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rancis\Hemopexin manuscript\6-5-2026\"/>
    </mc:Choice>
  </mc:AlternateContent>
  <xr:revisionPtr revIDLastSave="0" documentId="13_ncr:1_{144E393A-383D-4F7A-93FA-56C5A375215C}" xr6:coauthVersionLast="47" xr6:coauthVersionMax="47" xr10:uidLastSave="{00000000-0000-0000-0000-000000000000}"/>
  <bookViews>
    <workbookView xWindow="28680" yWindow="-120" windowWidth="29040" windowHeight="15720" xr2:uid="{B816206D-F135-4783-A6C6-DB5520621C49}"/>
  </bookViews>
  <sheets>
    <sheet name="All" sheetId="1" r:id="rId1"/>
  </sheets>
  <definedNames>
    <definedName name="_xlnm._FilterDatabase" localSheetId="0" hidden="1">All!$A$1:$EZ$1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8" i="1" l="1"/>
  <c r="C277" i="1"/>
  <c r="C276" i="1"/>
  <c r="C275" i="1"/>
  <c r="C274" i="1"/>
  <c r="C273" i="1"/>
  <c r="C272" i="1"/>
  <c r="C271" i="1"/>
  <c r="C270" i="1"/>
  <c r="C269" i="1"/>
  <c r="C268" i="1"/>
  <c r="C267" i="1"/>
  <c r="C266" i="1"/>
  <c r="C265" i="1"/>
  <c r="C264" i="1"/>
  <c r="C263" i="1"/>
  <c r="C262" i="1"/>
  <c r="C261" i="1"/>
  <c r="C260" i="1"/>
  <c r="C259" i="1"/>
  <c r="C258" i="1"/>
  <c r="C257" i="1"/>
  <c r="C256" i="1"/>
  <c r="C255" i="1"/>
  <c r="C254" i="1"/>
  <c r="C253" i="1"/>
  <c r="C252" i="1"/>
  <c r="C251" i="1"/>
  <c r="C250" i="1"/>
  <c r="C249" i="1"/>
  <c r="C248" i="1"/>
  <c r="C247" i="1"/>
  <c r="C246" i="1"/>
  <c r="C245" i="1"/>
  <c r="C244" i="1"/>
  <c r="C243" i="1"/>
  <c r="C242" i="1"/>
  <c r="C241" i="1"/>
  <c r="C240" i="1"/>
  <c r="C239" i="1"/>
  <c r="C238" i="1"/>
  <c r="C237" i="1"/>
  <c r="C236" i="1"/>
  <c r="C235" i="1"/>
  <c r="C234" i="1"/>
  <c r="C233" i="1"/>
  <c r="C232" i="1"/>
  <c r="C231" i="1"/>
  <c r="C230" i="1"/>
  <c r="C229" i="1"/>
  <c r="C228" i="1"/>
  <c r="C227" i="1"/>
  <c r="C226" i="1"/>
  <c r="C225" i="1"/>
  <c r="C224" i="1"/>
  <c r="C223" i="1"/>
  <c r="C222" i="1"/>
  <c r="C221" i="1"/>
  <c r="C220" i="1"/>
  <c r="C219" i="1"/>
  <c r="C218" i="1"/>
  <c r="C217" i="1"/>
  <c r="C216" i="1"/>
  <c r="C215" i="1"/>
  <c r="C214" i="1"/>
  <c r="C213" i="1"/>
  <c r="C212" i="1"/>
  <c r="C211" i="1"/>
  <c r="C210" i="1"/>
  <c r="C209" i="1"/>
  <c r="C208" i="1"/>
  <c r="C207" i="1"/>
  <c r="C206" i="1"/>
  <c r="C205" i="1"/>
  <c r="C204" i="1"/>
  <c r="C203" i="1"/>
  <c r="C202" i="1"/>
  <c r="C201" i="1"/>
  <c r="C200"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9" i="1"/>
  <c r="C158" i="1"/>
  <c r="C157" i="1"/>
  <c r="C156" i="1"/>
  <c r="C155" i="1"/>
  <c r="C154" i="1"/>
  <c r="C153" i="1"/>
  <c r="C152" i="1"/>
  <c r="C151" i="1"/>
  <c r="C150" i="1"/>
  <c r="C149" i="1"/>
  <c r="C148" i="1"/>
  <c r="C147" i="1"/>
  <c r="C146" i="1"/>
  <c r="C145" i="1"/>
  <c r="C144" i="1"/>
  <c r="C143" i="1"/>
  <c r="C142" i="1"/>
  <c r="C141" i="1"/>
  <c r="C140" i="1"/>
  <c r="C139" i="1"/>
  <c r="C138" i="1"/>
  <c r="C137" i="1"/>
  <c r="C136" i="1"/>
  <c r="C135" i="1"/>
  <c r="C134" i="1"/>
  <c r="C133" i="1"/>
  <c r="C132" i="1"/>
  <c r="C131" i="1"/>
  <c r="C130" i="1"/>
  <c r="C129" i="1"/>
  <c r="C128" i="1"/>
  <c r="C127" i="1"/>
  <c r="C126" i="1"/>
  <c r="C125" i="1"/>
  <c r="C124" i="1"/>
  <c r="C123" i="1"/>
  <c r="C122" i="1"/>
  <c r="C121" i="1"/>
  <c r="C120" i="1"/>
  <c r="C119" i="1"/>
  <c r="C118" i="1"/>
  <c r="C117" i="1"/>
  <c r="C116" i="1"/>
  <c r="C115" i="1"/>
  <c r="C114" i="1"/>
  <c r="C113" i="1"/>
  <c r="C112" i="1"/>
  <c r="C111" i="1"/>
  <c r="C110" i="1"/>
  <c r="C109" i="1"/>
  <c r="C108" i="1"/>
  <c r="C107" i="1"/>
  <c r="C106" i="1"/>
  <c r="C105" i="1"/>
  <c r="C104" i="1"/>
  <c r="C103" i="1"/>
  <c r="C102" i="1"/>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 r="C7" i="1"/>
  <c r="C6" i="1"/>
  <c r="C5" i="1"/>
  <c r="C4" i="1"/>
  <c r="C3" i="1"/>
  <c r="C2" i="1"/>
  <c r="EV32" i="1"/>
  <c r="EU32" i="1"/>
  <c r="ET32" i="1"/>
  <c r="EC32" i="1"/>
  <c r="DQ32" i="1"/>
  <c r="DK32" i="1"/>
  <c r="DH32" i="1"/>
  <c r="DD32" i="1"/>
  <c r="CW32" i="1"/>
  <c r="Y32" i="1"/>
  <c r="K32" i="1"/>
  <c r="J32" i="1"/>
  <c r="EV142" i="1"/>
  <c r="EU142" i="1"/>
  <c r="ET142" i="1"/>
  <c r="EC142" i="1"/>
  <c r="DQ142" i="1"/>
  <c r="DK142" i="1"/>
  <c r="DH142" i="1"/>
  <c r="DD142" i="1"/>
  <c r="CW142" i="1"/>
  <c r="CP142" i="1"/>
  <c r="CL142" i="1"/>
  <c r="CG142" i="1"/>
  <c r="CB142" i="1"/>
  <c r="BW142" i="1"/>
  <c r="BV142" i="1"/>
  <c r="BQ142" i="1"/>
  <c r="BP142" i="1"/>
  <c r="BO142" i="1"/>
  <c r="BJ142" i="1"/>
  <c r="BI142" i="1"/>
  <c r="BH142" i="1"/>
  <c r="BC142" i="1"/>
  <c r="BB142" i="1"/>
  <c r="BA142" i="1"/>
  <c r="AV142" i="1"/>
  <c r="AU142" i="1"/>
  <c r="AT142" i="1"/>
  <c r="AO142" i="1"/>
  <c r="AN142" i="1"/>
  <c r="AC142" i="1"/>
  <c r="Y142" i="1"/>
  <c r="S142" i="1"/>
  <c r="K142" i="1"/>
  <c r="J142" i="1"/>
  <c r="EV269" i="1"/>
  <c r="EU269" i="1"/>
  <c r="ET269" i="1"/>
  <c r="EC269" i="1"/>
  <c r="DQ269" i="1"/>
  <c r="DK269" i="1"/>
  <c r="DH269" i="1"/>
  <c r="DD269" i="1"/>
  <c r="CW269" i="1"/>
  <c r="CP269" i="1"/>
  <c r="CL269" i="1"/>
  <c r="CG269" i="1"/>
  <c r="CB269" i="1"/>
  <c r="BW269" i="1"/>
  <c r="BV269" i="1"/>
  <c r="BQ269" i="1"/>
  <c r="BP269" i="1"/>
  <c r="BO269" i="1"/>
  <c r="BJ269" i="1"/>
  <c r="BI269" i="1"/>
  <c r="BH269" i="1"/>
  <c r="BC269" i="1"/>
  <c r="BB269" i="1"/>
  <c r="BA269" i="1"/>
  <c r="AV269" i="1"/>
  <c r="AU269" i="1"/>
  <c r="AT269" i="1"/>
  <c r="AO269" i="1"/>
  <c r="AN269" i="1"/>
  <c r="AC269" i="1"/>
  <c r="Y269" i="1"/>
  <c r="S269" i="1"/>
  <c r="K269" i="1"/>
  <c r="J269" i="1"/>
  <c r="EV275" i="1"/>
  <c r="EU275" i="1"/>
  <c r="ET275" i="1"/>
  <c r="EG275" i="1"/>
  <c r="EC275" i="1"/>
  <c r="DQ275" i="1"/>
  <c r="DK275" i="1"/>
  <c r="DH275" i="1"/>
  <c r="DD275" i="1"/>
  <c r="CW275" i="1"/>
  <c r="CP275" i="1"/>
  <c r="CL275" i="1"/>
  <c r="CG275" i="1"/>
  <c r="CB275" i="1"/>
  <c r="BW275" i="1"/>
  <c r="BV275" i="1"/>
  <c r="BQ275" i="1"/>
  <c r="BP275" i="1"/>
  <c r="BO275" i="1"/>
  <c r="BJ275" i="1"/>
  <c r="BI275" i="1"/>
  <c r="BH275" i="1"/>
  <c r="BC275" i="1"/>
  <c r="BB275" i="1"/>
  <c r="BA275" i="1"/>
  <c r="AV275" i="1"/>
  <c r="AU275" i="1"/>
  <c r="AT275" i="1"/>
  <c r="AO275" i="1"/>
  <c r="AN275" i="1"/>
  <c r="AC275" i="1"/>
  <c r="AB275" i="1"/>
  <c r="Y275" i="1"/>
  <c r="S275" i="1"/>
  <c r="K275" i="1"/>
  <c r="J275" i="1"/>
  <c r="EV179" i="1"/>
  <c r="EU179" i="1"/>
  <c r="ET179" i="1"/>
  <c r="EC179" i="1"/>
  <c r="DQ179" i="1"/>
  <c r="DK179" i="1"/>
  <c r="DH179" i="1"/>
  <c r="DD179" i="1"/>
  <c r="CW179" i="1"/>
  <c r="CP179" i="1"/>
  <c r="CL179" i="1"/>
  <c r="CG179" i="1"/>
  <c r="CB179" i="1"/>
  <c r="BW179" i="1"/>
  <c r="BV179" i="1"/>
  <c r="BQ179" i="1"/>
  <c r="BP179" i="1"/>
  <c r="BO179" i="1"/>
  <c r="BJ179" i="1"/>
  <c r="BI179" i="1"/>
  <c r="BH179" i="1"/>
  <c r="BC179" i="1"/>
  <c r="BB179" i="1"/>
  <c r="BA179" i="1"/>
  <c r="AV179" i="1"/>
  <c r="AU179" i="1"/>
  <c r="AT179" i="1"/>
  <c r="AO179" i="1"/>
  <c r="AN179" i="1"/>
  <c r="AC179" i="1"/>
  <c r="Y179" i="1"/>
  <c r="S179" i="1"/>
  <c r="K179" i="1"/>
  <c r="J179" i="1"/>
  <c r="EV30" i="1"/>
  <c r="EU30" i="1"/>
  <c r="ET30" i="1"/>
  <c r="EC30" i="1"/>
  <c r="DY30" i="1"/>
  <c r="DQ30" i="1"/>
  <c r="DK30" i="1"/>
  <c r="DH30" i="1"/>
  <c r="DD30" i="1"/>
  <c r="CW30" i="1"/>
  <c r="CP30" i="1"/>
  <c r="CL30" i="1"/>
  <c r="CG30" i="1"/>
  <c r="CB30" i="1"/>
  <c r="BW30" i="1"/>
  <c r="BV30" i="1"/>
  <c r="BQ30" i="1"/>
  <c r="BP30" i="1"/>
  <c r="BO30" i="1"/>
  <c r="BJ30" i="1"/>
  <c r="BI30" i="1"/>
  <c r="BH30" i="1"/>
  <c r="BC30" i="1"/>
  <c r="BB30" i="1"/>
  <c r="BA30" i="1"/>
  <c r="AV30" i="1"/>
  <c r="AU30" i="1"/>
  <c r="AT30" i="1"/>
  <c r="AO30" i="1"/>
  <c r="AN30" i="1"/>
  <c r="AJ30" i="1"/>
  <c r="AC30" i="1"/>
  <c r="Y30" i="1"/>
  <c r="S30" i="1"/>
  <c r="K30" i="1"/>
  <c r="J30" i="1"/>
  <c r="EV255" i="1"/>
  <c r="EU255" i="1"/>
  <c r="ET255" i="1"/>
  <c r="EC255" i="1"/>
  <c r="DY255" i="1"/>
  <c r="DQ255" i="1"/>
  <c r="DK255" i="1"/>
  <c r="DH255" i="1"/>
  <c r="DD255" i="1"/>
  <c r="CW255" i="1"/>
  <c r="CP255" i="1"/>
  <c r="CL255" i="1"/>
  <c r="CG255" i="1"/>
  <c r="CB255" i="1"/>
  <c r="BW255" i="1"/>
  <c r="BV255" i="1"/>
  <c r="BQ255" i="1"/>
  <c r="BP255" i="1"/>
  <c r="BO255" i="1"/>
  <c r="BJ255" i="1"/>
  <c r="BI255" i="1"/>
  <c r="BH255" i="1"/>
  <c r="BC255" i="1"/>
  <c r="BB255" i="1"/>
  <c r="BA255" i="1"/>
  <c r="AV255" i="1"/>
  <c r="AU255" i="1"/>
  <c r="AT255" i="1"/>
  <c r="AO255" i="1"/>
  <c r="AN255" i="1"/>
  <c r="AJ255" i="1"/>
  <c r="AC255" i="1"/>
  <c r="K255" i="1"/>
  <c r="J255" i="1"/>
  <c r="EV270" i="1"/>
  <c r="EU270" i="1"/>
  <c r="ET270" i="1"/>
  <c r="EC270" i="1"/>
  <c r="DY270" i="1"/>
  <c r="DQ270" i="1"/>
  <c r="DK270" i="1"/>
  <c r="DH270" i="1"/>
  <c r="DD270" i="1"/>
  <c r="CW270" i="1"/>
  <c r="CP270" i="1"/>
  <c r="CL270" i="1"/>
  <c r="CG270" i="1"/>
  <c r="CB270" i="1"/>
  <c r="BW270" i="1"/>
  <c r="BV270" i="1"/>
  <c r="BQ270" i="1"/>
  <c r="BP270" i="1"/>
  <c r="BO270" i="1"/>
  <c r="BJ270" i="1"/>
  <c r="BI270" i="1"/>
  <c r="BH270" i="1"/>
  <c r="BC270" i="1"/>
  <c r="BB270" i="1"/>
  <c r="BA270" i="1"/>
  <c r="AV270" i="1"/>
  <c r="AU270" i="1"/>
  <c r="AT270" i="1"/>
  <c r="AO270" i="1"/>
  <c r="AN270" i="1"/>
  <c r="AJ270" i="1"/>
  <c r="AC270" i="1"/>
  <c r="Y270" i="1"/>
  <c r="S270" i="1"/>
  <c r="K270" i="1"/>
  <c r="J270" i="1"/>
  <c r="EV274" i="1"/>
  <c r="EU274" i="1"/>
  <c r="ET274" i="1"/>
  <c r="EG274" i="1"/>
  <c r="EC274" i="1"/>
  <c r="DQ274" i="1"/>
  <c r="DK274" i="1"/>
  <c r="DH274" i="1"/>
  <c r="DD274" i="1"/>
  <c r="CW274" i="1"/>
  <c r="CP274" i="1"/>
  <c r="CL274" i="1"/>
  <c r="CG274" i="1"/>
  <c r="CB274" i="1"/>
  <c r="BW274" i="1"/>
  <c r="BV274" i="1"/>
  <c r="BQ274" i="1"/>
  <c r="BP274" i="1"/>
  <c r="BO274" i="1"/>
  <c r="BJ274" i="1"/>
  <c r="BI274" i="1"/>
  <c r="BH274" i="1"/>
  <c r="BC274" i="1"/>
  <c r="BB274" i="1"/>
  <c r="BA274" i="1"/>
  <c r="AV274" i="1"/>
  <c r="AU274" i="1"/>
  <c r="AT274" i="1"/>
  <c r="AO274" i="1"/>
  <c r="AN274" i="1"/>
  <c r="AC274" i="1"/>
  <c r="AB274" i="1"/>
  <c r="Y274" i="1"/>
  <c r="S274" i="1"/>
  <c r="K274" i="1"/>
  <c r="J274" i="1"/>
  <c r="EV70" i="1"/>
  <c r="EU70" i="1"/>
  <c r="ET70" i="1"/>
  <c r="EC70" i="1"/>
  <c r="DQ70" i="1"/>
  <c r="DK70" i="1"/>
  <c r="DH70" i="1"/>
  <c r="DD70" i="1"/>
  <c r="CW70" i="1"/>
  <c r="CP70" i="1"/>
  <c r="CL70" i="1"/>
  <c r="CG70" i="1"/>
  <c r="CB70" i="1"/>
  <c r="BW70" i="1"/>
  <c r="BV70" i="1"/>
  <c r="BQ70" i="1"/>
  <c r="BP70" i="1"/>
  <c r="BO70" i="1"/>
  <c r="BJ70" i="1"/>
  <c r="BI70" i="1"/>
  <c r="BH70" i="1"/>
  <c r="BC70" i="1"/>
  <c r="BB70" i="1"/>
  <c r="BA70" i="1"/>
  <c r="AV70" i="1"/>
  <c r="AU70" i="1"/>
  <c r="AT70" i="1"/>
  <c r="AO70" i="1"/>
  <c r="AN70" i="1"/>
  <c r="AC70" i="1"/>
  <c r="Y70" i="1"/>
  <c r="S70" i="1"/>
  <c r="K70" i="1"/>
  <c r="J70" i="1"/>
  <c r="EV83" i="1"/>
  <c r="EU83" i="1"/>
  <c r="ET83" i="1"/>
  <c r="EC83" i="1"/>
  <c r="DQ83" i="1"/>
  <c r="DK83" i="1"/>
  <c r="DH83" i="1"/>
  <c r="DD83" i="1"/>
  <c r="CW83" i="1"/>
  <c r="CP83" i="1"/>
  <c r="CL83" i="1"/>
  <c r="CG83" i="1"/>
  <c r="CB83" i="1"/>
  <c r="BW83" i="1"/>
  <c r="BV83" i="1"/>
  <c r="BQ83" i="1"/>
  <c r="BP83" i="1"/>
  <c r="BO83" i="1"/>
  <c r="BJ83" i="1"/>
  <c r="BI83" i="1"/>
  <c r="BH83" i="1"/>
  <c r="BC83" i="1"/>
  <c r="BB83" i="1"/>
  <c r="BA83" i="1"/>
  <c r="AV83" i="1"/>
  <c r="AU83" i="1"/>
  <c r="AT83" i="1"/>
  <c r="AO83" i="1"/>
  <c r="AN83" i="1"/>
  <c r="AC83" i="1"/>
  <c r="Y83" i="1"/>
  <c r="S83" i="1"/>
  <c r="K83" i="1"/>
  <c r="J83" i="1"/>
  <c r="EV198" i="1"/>
  <c r="EU198" i="1"/>
  <c r="ET198" i="1"/>
  <c r="EC198" i="1"/>
  <c r="DQ198" i="1"/>
  <c r="DK198" i="1"/>
  <c r="DH198" i="1"/>
  <c r="DD198" i="1"/>
  <c r="CW198" i="1"/>
  <c r="CP198" i="1"/>
  <c r="CL198" i="1"/>
  <c r="CG198" i="1"/>
  <c r="CB198" i="1"/>
  <c r="BW198" i="1"/>
  <c r="BV198" i="1"/>
  <c r="BQ198" i="1"/>
  <c r="BP198" i="1"/>
  <c r="BO198" i="1"/>
  <c r="BJ198" i="1"/>
  <c r="BI198" i="1"/>
  <c r="BH198" i="1"/>
  <c r="BC198" i="1"/>
  <c r="BB198" i="1"/>
  <c r="BA198" i="1"/>
  <c r="AV198" i="1"/>
  <c r="AU198" i="1"/>
  <c r="AT198" i="1"/>
  <c r="AO198" i="1"/>
  <c r="AN198" i="1"/>
  <c r="AC198" i="1"/>
  <c r="Y198" i="1"/>
  <c r="K198" i="1"/>
  <c r="J198" i="1"/>
  <c r="EV16" i="1"/>
  <c r="EU16" i="1"/>
  <c r="ET16" i="1"/>
  <c r="EC16" i="1"/>
  <c r="DQ16" i="1"/>
  <c r="DK16" i="1"/>
  <c r="DH16" i="1"/>
  <c r="DD16" i="1"/>
  <c r="CW16" i="1"/>
  <c r="CP16" i="1"/>
  <c r="CL16" i="1"/>
  <c r="CG16" i="1"/>
  <c r="CB16" i="1"/>
  <c r="BW16" i="1"/>
  <c r="BV16" i="1"/>
  <c r="BQ16" i="1"/>
  <c r="BP16" i="1"/>
  <c r="BO16" i="1"/>
  <c r="BJ16" i="1"/>
  <c r="BI16" i="1"/>
  <c r="BH16" i="1"/>
  <c r="BC16" i="1"/>
  <c r="BB16" i="1"/>
  <c r="BA16" i="1"/>
  <c r="AV16" i="1"/>
  <c r="AU16" i="1"/>
  <c r="AT16" i="1"/>
  <c r="AO16" i="1"/>
  <c r="AN16" i="1"/>
  <c r="AC16" i="1"/>
  <c r="K16" i="1"/>
  <c r="J16" i="1"/>
  <c r="EV231" i="1"/>
  <c r="EU231" i="1"/>
  <c r="ET231" i="1"/>
  <c r="EC231" i="1"/>
  <c r="DY231" i="1"/>
  <c r="DQ231" i="1"/>
  <c r="DK231" i="1"/>
  <c r="DH231" i="1"/>
  <c r="DD231" i="1"/>
  <c r="CW231" i="1"/>
  <c r="CP231" i="1"/>
  <c r="CL231" i="1"/>
  <c r="CG231" i="1"/>
  <c r="CB231" i="1"/>
  <c r="BW231" i="1"/>
  <c r="BV231" i="1"/>
  <c r="BQ231" i="1"/>
  <c r="BP231" i="1"/>
  <c r="BO231" i="1"/>
  <c r="BJ231" i="1"/>
  <c r="BI231" i="1"/>
  <c r="BH231" i="1"/>
  <c r="BC231" i="1"/>
  <c r="BB231" i="1"/>
  <c r="BA231" i="1"/>
  <c r="AV231" i="1"/>
  <c r="AU231" i="1"/>
  <c r="AT231" i="1"/>
  <c r="AO231" i="1"/>
  <c r="AN231" i="1"/>
  <c r="AJ231" i="1"/>
  <c r="AC231" i="1"/>
  <c r="Y231" i="1"/>
  <c r="S231" i="1"/>
  <c r="K231" i="1"/>
  <c r="J231" i="1"/>
  <c r="EV233" i="1"/>
  <c r="EU233" i="1"/>
  <c r="ET233" i="1"/>
  <c r="EC233" i="1"/>
  <c r="DY233" i="1"/>
  <c r="DQ233" i="1"/>
  <c r="DK233" i="1"/>
  <c r="DH233" i="1"/>
  <c r="DD233" i="1"/>
  <c r="CW233" i="1"/>
  <c r="CP233" i="1"/>
  <c r="CL233" i="1"/>
  <c r="CG233" i="1"/>
  <c r="CB233" i="1"/>
  <c r="BW233" i="1"/>
  <c r="BV233" i="1"/>
  <c r="BQ233" i="1"/>
  <c r="BP233" i="1"/>
  <c r="BO233" i="1"/>
  <c r="BJ233" i="1"/>
  <c r="BI233" i="1"/>
  <c r="BH233" i="1"/>
  <c r="BC233" i="1"/>
  <c r="BB233" i="1"/>
  <c r="BA233" i="1"/>
  <c r="AV233" i="1"/>
  <c r="AU233" i="1"/>
  <c r="AT233" i="1"/>
  <c r="AO233" i="1"/>
  <c r="AN233" i="1"/>
  <c r="AJ233" i="1"/>
  <c r="AC233" i="1"/>
  <c r="Y233" i="1"/>
  <c r="S233" i="1"/>
  <c r="K233" i="1"/>
  <c r="J233" i="1"/>
  <c r="EV206" i="1"/>
  <c r="EU206" i="1"/>
  <c r="ET206" i="1"/>
  <c r="EC206" i="1"/>
  <c r="DY206" i="1"/>
  <c r="DQ206" i="1"/>
  <c r="DK206" i="1"/>
  <c r="DH206" i="1"/>
  <c r="DD206" i="1"/>
  <c r="CW206" i="1"/>
  <c r="CP206" i="1"/>
  <c r="CL206" i="1"/>
  <c r="CG206" i="1"/>
  <c r="CB206" i="1"/>
  <c r="BW206" i="1"/>
  <c r="BV206" i="1"/>
  <c r="BQ206" i="1"/>
  <c r="BP206" i="1"/>
  <c r="BO206" i="1"/>
  <c r="BJ206" i="1"/>
  <c r="BI206" i="1"/>
  <c r="BH206" i="1"/>
  <c r="BC206" i="1"/>
  <c r="BB206" i="1"/>
  <c r="BA206" i="1"/>
  <c r="AV206" i="1"/>
  <c r="AU206" i="1"/>
  <c r="AT206" i="1"/>
  <c r="AO206" i="1"/>
  <c r="AN206" i="1"/>
  <c r="AJ206" i="1"/>
  <c r="AC206" i="1"/>
  <c r="Y206" i="1"/>
  <c r="S206" i="1"/>
  <c r="K206" i="1"/>
  <c r="J206" i="1"/>
  <c r="EV226" i="1"/>
  <c r="EU226" i="1"/>
  <c r="ET226" i="1"/>
  <c r="EC226" i="1"/>
  <c r="DY226" i="1"/>
  <c r="DQ226" i="1"/>
  <c r="DK226" i="1"/>
  <c r="DH226" i="1"/>
  <c r="DD226" i="1"/>
  <c r="CW226" i="1"/>
  <c r="CP226" i="1"/>
  <c r="CL226" i="1"/>
  <c r="CG226" i="1"/>
  <c r="CB226" i="1"/>
  <c r="BW226" i="1"/>
  <c r="BV226" i="1"/>
  <c r="BQ226" i="1"/>
  <c r="BP226" i="1"/>
  <c r="BO226" i="1"/>
  <c r="BJ226" i="1"/>
  <c r="BI226" i="1"/>
  <c r="BH226" i="1"/>
  <c r="BC226" i="1"/>
  <c r="BB226" i="1"/>
  <c r="BA226" i="1"/>
  <c r="AV226" i="1"/>
  <c r="AU226" i="1"/>
  <c r="AT226" i="1"/>
  <c r="AO226" i="1"/>
  <c r="AN226" i="1"/>
  <c r="AJ226" i="1"/>
  <c r="AC226" i="1"/>
  <c r="Y226" i="1"/>
  <c r="S226" i="1"/>
  <c r="K226" i="1"/>
  <c r="J226" i="1"/>
  <c r="EV249" i="1"/>
  <c r="EU249" i="1"/>
  <c r="ET249" i="1"/>
  <c r="EC249" i="1"/>
  <c r="DY249" i="1"/>
  <c r="DQ249" i="1"/>
  <c r="DK249" i="1"/>
  <c r="DH249" i="1"/>
  <c r="DD249" i="1"/>
  <c r="CW249" i="1"/>
  <c r="CP249" i="1"/>
  <c r="CL249" i="1"/>
  <c r="CG249" i="1"/>
  <c r="CB249" i="1"/>
  <c r="BW249" i="1"/>
  <c r="BV249" i="1"/>
  <c r="BQ249" i="1"/>
  <c r="BP249" i="1"/>
  <c r="BO249" i="1"/>
  <c r="BJ249" i="1"/>
  <c r="BI249" i="1"/>
  <c r="BH249" i="1"/>
  <c r="BC249" i="1"/>
  <c r="BB249" i="1"/>
  <c r="BA249" i="1"/>
  <c r="AV249" i="1"/>
  <c r="AU249" i="1"/>
  <c r="AT249" i="1"/>
  <c r="AO249" i="1"/>
  <c r="AN249" i="1"/>
  <c r="AJ249" i="1"/>
  <c r="AC249" i="1"/>
  <c r="Y249" i="1"/>
  <c r="S249" i="1"/>
  <c r="K249" i="1"/>
  <c r="J249" i="1"/>
  <c r="EV224" i="1"/>
  <c r="EU224" i="1"/>
  <c r="ET224" i="1"/>
  <c r="EC224" i="1"/>
  <c r="DY224" i="1"/>
  <c r="DQ224" i="1"/>
  <c r="DK224" i="1"/>
  <c r="DH224" i="1"/>
  <c r="DD224" i="1"/>
  <c r="CW224" i="1"/>
  <c r="CP224" i="1"/>
  <c r="CL224" i="1"/>
  <c r="CG224" i="1"/>
  <c r="CB224" i="1"/>
  <c r="BW224" i="1"/>
  <c r="BV224" i="1"/>
  <c r="BQ224" i="1"/>
  <c r="BP224" i="1"/>
  <c r="BO224" i="1"/>
  <c r="BJ224" i="1"/>
  <c r="BI224" i="1"/>
  <c r="BH224" i="1"/>
  <c r="BC224" i="1"/>
  <c r="BB224" i="1"/>
  <c r="BA224" i="1"/>
  <c r="AV224" i="1"/>
  <c r="AU224" i="1"/>
  <c r="AT224" i="1"/>
  <c r="AO224" i="1"/>
  <c r="AN224" i="1"/>
  <c r="AJ224" i="1"/>
  <c r="AC224" i="1"/>
  <c r="Y224" i="1"/>
  <c r="S224" i="1"/>
  <c r="K224" i="1"/>
  <c r="J224" i="1"/>
  <c r="EV252" i="1"/>
  <c r="EU252" i="1"/>
  <c r="ET252" i="1"/>
  <c r="EC252" i="1"/>
  <c r="DY252" i="1"/>
  <c r="DQ252" i="1"/>
  <c r="DK252" i="1"/>
  <c r="DH252" i="1"/>
  <c r="DD252" i="1"/>
  <c r="CW252" i="1"/>
  <c r="CP252" i="1"/>
  <c r="CL252" i="1"/>
  <c r="CG252" i="1"/>
  <c r="CB252" i="1"/>
  <c r="BW252" i="1"/>
  <c r="BV252" i="1"/>
  <c r="BQ252" i="1"/>
  <c r="BP252" i="1"/>
  <c r="BO252" i="1"/>
  <c r="BJ252" i="1"/>
  <c r="BI252" i="1"/>
  <c r="BH252" i="1"/>
  <c r="BC252" i="1"/>
  <c r="BB252" i="1"/>
  <c r="BA252" i="1"/>
  <c r="AV252" i="1"/>
  <c r="AU252" i="1"/>
  <c r="AT252" i="1"/>
  <c r="AO252" i="1"/>
  <c r="AN252" i="1"/>
  <c r="AJ252" i="1"/>
  <c r="AC252" i="1"/>
  <c r="Y252" i="1"/>
  <c r="S252" i="1"/>
  <c r="K252" i="1"/>
  <c r="J252" i="1"/>
  <c r="EV235" i="1"/>
  <c r="EU235" i="1"/>
  <c r="ET235" i="1"/>
  <c r="EC235" i="1"/>
  <c r="DY235" i="1"/>
  <c r="DQ235" i="1"/>
  <c r="DK235" i="1"/>
  <c r="DH235" i="1"/>
  <c r="DD235" i="1"/>
  <c r="CW235" i="1"/>
  <c r="CP235" i="1"/>
  <c r="CL235" i="1"/>
  <c r="CG235" i="1"/>
  <c r="CB235" i="1"/>
  <c r="BW235" i="1"/>
  <c r="BV235" i="1"/>
  <c r="BQ235" i="1"/>
  <c r="BP235" i="1"/>
  <c r="BO235" i="1"/>
  <c r="BJ235" i="1"/>
  <c r="BI235" i="1"/>
  <c r="BH235" i="1"/>
  <c r="BC235" i="1"/>
  <c r="BB235" i="1"/>
  <c r="BA235" i="1"/>
  <c r="AV235" i="1"/>
  <c r="AU235" i="1"/>
  <c r="AT235" i="1"/>
  <c r="AO235" i="1"/>
  <c r="AN235" i="1"/>
  <c r="AJ235" i="1"/>
  <c r="AC235" i="1"/>
  <c r="Y235" i="1"/>
  <c r="S235" i="1"/>
  <c r="K235" i="1"/>
  <c r="J235" i="1"/>
  <c r="EV156" i="1"/>
  <c r="EU156" i="1"/>
  <c r="ET156" i="1"/>
  <c r="EC156" i="1"/>
  <c r="DQ156" i="1"/>
  <c r="DK156" i="1"/>
  <c r="DH156" i="1"/>
  <c r="DD156" i="1"/>
  <c r="CW156" i="1"/>
  <c r="CP156" i="1"/>
  <c r="CL156" i="1"/>
  <c r="CG156" i="1"/>
  <c r="CB156" i="1"/>
  <c r="BW156" i="1"/>
  <c r="BV156" i="1"/>
  <c r="BQ156" i="1"/>
  <c r="BP156" i="1"/>
  <c r="BO156" i="1"/>
  <c r="BJ156" i="1"/>
  <c r="BI156" i="1"/>
  <c r="BH156" i="1"/>
  <c r="BC156" i="1"/>
  <c r="BB156" i="1"/>
  <c r="BA156" i="1"/>
  <c r="AV156" i="1"/>
  <c r="AU156" i="1"/>
  <c r="AT156" i="1"/>
  <c r="AO156" i="1"/>
  <c r="AN156" i="1"/>
  <c r="AC156" i="1"/>
  <c r="Y156" i="1"/>
  <c r="S156" i="1"/>
  <c r="K156" i="1"/>
  <c r="J156" i="1"/>
  <c r="EV185" i="1"/>
  <c r="EU185" i="1"/>
  <c r="ET185" i="1"/>
  <c r="EC185" i="1"/>
  <c r="DQ185" i="1"/>
  <c r="DK185" i="1"/>
  <c r="DH185" i="1"/>
  <c r="DD185" i="1"/>
  <c r="CW185" i="1"/>
  <c r="CP185" i="1"/>
  <c r="CL185" i="1"/>
  <c r="CG185" i="1"/>
  <c r="CB185" i="1"/>
  <c r="BW185" i="1"/>
  <c r="BV185" i="1"/>
  <c r="BQ185" i="1"/>
  <c r="BP185" i="1"/>
  <c r="BO185" i="1"/>
  <c r="BJ185" i="1"/>
  <c r="BI185" i="1"/>
  <c r="BH185" i="1"/>
  <c r="BC185" i="1"/>
  <c r="BB185" i="1"/>
  <c r="BA185" i="1"/>
  <c r="AV185" i="1"/>
  <c r="AU185" i="1"/>
  <c r="AT185" i="1"/>
  <c r="AO185" i="1"/>
  <c r="AN185" i="1"/>
  <c r="AC185" i="1"/>
  <c r="Y185" i="1"/>
  <c r="S185" i="1"/>
  <c r="K185" i="1"/>
  <c r="J185" i="1"/>
  <c r="EV251" i="1"/>
  <c r="EU251" i="1"/>
  <c r="ET251" i="1"/>
  <c r="EG251" i="1"/>
  <c r="EC251" i="1"/>
  <c r="DQ251" i="1"/>
  <c r="DK251" i="1"/>
  <c r="DH251" i="1"/>
  <c r="DD251" i="1"/>
  <c r="CW251" i="1"/>
  <c r="CP251" i="1"/>
  <c r="CL251" i="1"/>
  <c r="CG251" i="1"/>
  <c r="CB251" i="1"/>
  <c r="BW251" i="1"/>
  <c r="BV251" i="1"/>
  <c r="BQ251" i="1"/>
  <c r="BP251" i="1"/>
  <c r="BO251" i="1"/>
  <c r="BJ251" i="1"/>
  <c r="BI251" i="1"/>
  <c r="BH251" i="1"/>
  <c r="BC251" i="1"/>
  <c r="BB251" i="1"/>
  <c r="BA251" i="1"/>
  <c r="AV251" i="1"/>
  <c r="AU251" i="1"/>
  <c r="AT251" i="1"/>
  <c r="AO251" i="1"/>
  <c r="AN251" i="1"/>
  <c r="AC251" i="1"/>
  <c r="AB251" i="1"/>
  <c r="Y251" i="1"/>
  <c r="S251" i="1"/>
  <c r="K251" i="1"/>
  <c r="J251" i="1"/>
  <c r="EV92" i="1"/>
  <c r="EU92" i="1"/>
  <c r="ET92" i="1"/>
  <c r="EC92" i="1"/>
  <c r="DQ92" i="1"/>
  <c r="DK92" i="1"/>
  <c r="DH92" i="1"/>
  <c r="DD92" i="1"/>
  <c r="CW92" i="1"/>
  <c r="CP92" i="1"/>
  <c r="CL92" i="1"/>
  <c r="CG92" i="1"/>
  <c r="CB92" i="1"/>
  <c r="BW92" i="1"/>
  <c r="BV92" i="1"/>
  <c r="BQ92" i="1"/>
  <c r="BP92" i="1"/>
  <c r="BO92" i="1"/>
  <c r="BJ92" i="1"/>
  <c r="BI92" i="1"/>
  <c r="BH92" i="1"/>
  <c r="BC92" i="1"/>
  <c r="BB92" i="1"/>
  <c r="BA92" i="1"/>
  <c r="AV92" i="1"/>
  <c r="AU92" i="1"/>
  <c r="AT92" i="1"/>
  <c r="AO92" i="1"/>
  <c r="AN92" i="1"/>
  <c r="AC92" i="1"/>
  <c r="Y92" i="1"/>
  <c r="S92" i="1"/>
  <c r="K92" i="1"/>
  <c r="J92" i="1"/>
  <c r="EV258" i="1"/>
  <c r="EU258" i="1"/>
  <c r="ET258" i="1"/>
  <c r="EG258" i="1"/>
  <c r="EC258" i="1"/>
  <c r="DQ258" i="1"/>
  <c r="DK258" i="1"/>
  <c r="DH258" i="1"/>
  <c r="DD258" i="1"/>
  <c r="CW258" i="1"/>
  <c r="CP258" i="1"/>
  <c r="CL258" i="1"/>
  <c r="CG258" i="1"/>
  <c r="CB258" i="1"/>
  <c r="BW258" i="1"/>
  <c r="BV258" i="1"/>
  <c r="BQ258" i="1"/>
  <c r="BP258" i="1"/>
  <c r="BO258" i="1"/>
  <c r="BJ258" i="1"/>
  <c r="BI258" i="1"/>
  <c r="BH258" i="1"/>
  <c r="BC258" i="1"/>
  <c r="BB258" i="1"/>
  <c r="BA258" i="1"/>
  <c r="AV258" i="1"/>
  <c r="AU258" i="1"/>
  <c r="AT258" i="1"/>
  <c r="AO258" i="1"/>
  <c r="AN258" i="1"/>
  <c r="AC258" i="1"/>
  <c r="AB258" i="1"/>
  <c r="Y258" i="1"/>
  <c r="S258" i="1"/>
  <c r="K258" i="1"/>
  <c r="J258" i="1"/>
  <c r="EV245" i="1"/>
  <c r="EU245" i="1"/>
  <c r="ET245" i="1"/>
  <c r="EG245" i="1"/>
  <c r="EC245" i="1"/>
  <c r="DQ245" i="1"/>
  <c r="DK245" i="1"/>
  <c r="DH245" i="1"/>
  <c r="DD245" i="1"/>
  <c r="CW245" i="1"/>
  <c r="CP245" i="1"/>
  <c r="CL245" i="1"/>
  <c r="CG245" i="1"/>
  <c r="CB245" i="1"/>
  <c r="BW245" i="1"/>
  <c r="BV245" i="1"/>
  <c r="BQ245" i="1"/>
  <c r="BP245" i="1"/>
  <c r="BO245" i="1"/>
  <c r="BJ245" i="1"/>
  <c r="BI245" i="1"/>
  <c r="BH245" i="1"/>
  <c r="BC245" i="1"/>
  <c r="BB245" i="1"/>
  <c r="BA245" i="1"/>
  <c r="AV245" i="1"/>
  <c r="AU245" i="1"/>
  <c r="AT245" i="1"/>
  <c r="AO245" i="1"/>
  <c r="AN245" i="1"/>
  <c r="AC245" i="1"/>
  <c r="AB245" i="1"/>
  <c r="Y245" i="1"/>
  <c r="S245" i="1"/>
  <c r="K245" i="1"/>
  <c r="J245" i="1"/>
  <c r="EV27" i="1"/>
  <c r="EU27" i="1"/>
  <c r="ET27" i="1"/>
  <c r="EG27" i="1"/>
  <c r="EC27" i="1"/>
  <c r="DQ27" i="1"/>
  <c r="DK27" i="1"/>
  <c r="DH27" i="1"/>
  <c r="DD27" i="1"/>
  <c r="CW27" i="1"/>
  <c r="CP27" i="1"/>
  <c r="CL27" i="1"/>
  <c r="CG27" i="1"/>
  <c r="CB27" i="1"/>
  <c r="BW27" i="1"/>
  <c r="BV27" i="1"/>
  <c r="BQ27" i="1"/>
  <c r="BP27" i="1"/>
  <c r="BO27" i="1"/>
  <c r="BJ27" i="1"/>
  <c r="BI27" i="1"/>
  <c r="BH27" i="1"/>
  <c r="BC27" i="1"/>
  <c r="BB27" i="1"/>
  <c r="BA27" i="1"/>
  <c r="AV27" i="1"/>
  <c r="AU27" i="1"/>
  <c r="AT27" i="1"/>
  <c r="AO27" i="1"/>
  <c r="AN27" i="1"/>
  <c r="AC27" i="1"/>
  <c r="AB27" i="1"/>
  <c r="Y27" i="1"/>
  <c r="S27" i="1"/>
  <c r="K27" i="1"/>
  <c r="J27" i="1"/>
  <c r="EV267" i="1"/>
  <c r="EU267" i="1"/>
  <c r="ET267" i="1"/>
  <c r="EC267" i="1"/>
  <c r="DQ267" i="1"/>
  <c r="DK267" i="1"/>
  <c r="DH267" i="1"/>
  <c r="DD267" i="1"/>
  <c r="CW267" i="1"/>
  <c r="CP267" i="1"/>
  <c r="CL267" i="1"/>
  <c r="CG267" i="1"/>
  <c r="CB267" i="1"/>
  <c r="BW267" i="1"/>
  <c r="BV267" i="1"/>
  <c r="BQ267" i="1"/>
  <c r="BP267" i="1"/>
  <c r="BO267" i="1"/>
  <c r="BJ267" i="1"/>
  <c r="BI267" i="1"/>
  <c r="BH267" i="1"/>
  <c r="BC267" i="1"/>
  <c r="BB267" i="1"/>
  <c r="BA267" i="1"/>
  <c r="AV267" i="1"/>
  <c r="AU267" i="1"/>
  <c r="AT267" i="1"/>
  <c r="AO267" i="1"/>
  <c r="AN267" i="1"/>
  <c r="AC267" i="1"/>
  <c r="Y267" i="1"/>
  <c r="S267" i="1"/>
  <c r="K267" i="1"/>
  <c r="J267" i="1"/>
  <c r="EV59" i="1"/>
  <c r="EU59" i="1"/>
  <c r="ET59" i="1"/>
  <c r="EC59" i="1"/>
  <c r="DY59" i="1"/>
  <c r="DQ59" i="1"/>
  <c r="DK59" i="1"/>
  <c r="DH59" i="1"/>
  <c r="DD59" i="1"/>
  <c r="CW59" i="1"/>
  <c r="CP59" i="1"/>
  <c r="CL59" i="1"/>
  <c r="CG59" i="1"/>
  <c r="CB59" i="1"/>
  <c r="BW59" i="1"/>
  <c r="BV59" i="1"/>
  <c r="BQ59" i="1"/>
  <c r="BP59" i="1"/>
  <c r="BO59" i="1"/>
  <c r="BJ59" i="1"/>
  <c r="BI59" i="1"/>
  <c r="BH59" i="1"/>
  <c r="BC59" i="1"/>
  <c r="BB59" i="1"/>
  <c r="BA59" i="1"/>
  <c r="AV59" i="1"/>
  <c r="AU59" i="1"/>
  <c r="AT59" i="1"/>
  <c r="AO59" i="1"/>
  <c r="AN59" i="1"/>
  <c r="AJ59" i="1"/>
  <c r="AC59" i="1"/>
  <c r="Y59" i="1"/>
  <c r="S59" i="1"/>
  <c r="K59" i="1"/>
  <c r="J59" i="1"/>
  <c r="EV75" i="1"/>
  <c r="EU75" i="1"/>
  <c r="ET75" i="1"/>
  <c r="EG75" i="1"/>
  <c r="EC75" i="1"/>
  <c r="DY75" i="1"/>
  <c r="DQ75" i="1"/>
  <c r="DK75" i="1"/>
  <c r="DH75" i="1"/>
  <c r="DD75" i="1"/>
  <c r="CW75" i="1"/>
  <c r="CP75" i="1"/>
  <c r="CL75" i="1"/>
  <c r="CG75" i="1"/>
  <c r="CB75" i="1"/>
  <c r="BW75" i="1"/>
  <c r="BV75" i="1"/>
  <c r="BQ75" i="1"/>
  <c r="BP75" i="1"/>
  <c r="BO75" i="1"/>
  <c r="BJ75" i="1"/>
  <c r="BI75" i="1"/>
  <c r="BH75" i="1"/>
  <c r="BC75" i="1"/>
  <c r="BB75" i="1"/>
  <c r="BA75" i="1"/>
  <c r="AV75" i="1"/>
  <c r="AU75" i="1"/>
  <c r="AT75" i="1"/>
  <c r="AO75" i="1"/>
  <c r="AN75" i="1"/>
  <c r="AJ75" i="1"/>
  <c r="AC75" i="1"/>
  <c r="AB75" i="1"/>
  <c r="Y75" i="1"/>
  <c r="S75" i="1"/>
  <c r="K75" i="1"/>
  <c r="J75" i="1"/>
  <c r="EV215" i="1"/>
  <c r="EU215" i="1"/>
  <c r="ET215" i="1"/>
  <c r="EC215" i="1"/>
  <c r="DQ215" i="1"/>
  <c r="DK215" i="1"/>
  <c r="DH215" i="1"/>
  <c r="DD215" i="1"/>
  <c r="CW215" i="1"/>
  <c r="CP215" i="1"/>
  <c r="CL215" i="1"/>
  <c r="CG215" i="1"/>
  <c r="CB215" i="1"/>
  <c r="BW215" i="1"/>
  <c r="BV215" i="1"/>
  <c r="BQ215" i="1"/>
  <c r="BP215" i="1"/>
  <c r="BO215" i="1"/>
  <c r="BJ215" i="1"/>
  <c r="BI215" i="1"/>
  <c r="BH215" i="1"/>
  <c r="BC215" i="1"/>
  <c r="BB215" i="1"/>
  <c r="BA215" i="1"/>
  <c r="AV215" i="1"/>
  <c r="AU215" i="1"/>
  <c r="AT215" i="1"/>
  <c r="AO215" i="1"/>
  <c r="AN215" i="1"/>
  <c r="AC215" i="1"/>
  <c r="Y215" i="1"/>
  <c r="S215" i="1"/>
  <c r="K215" i="1"/>
  <c r="J215" i="1"/>
  <c r="EV223" i="1"/>
  <c r="EU223" i="1"/>
  <c r="ET223" i="1"/>
  <c r="EG223" i="1"/>
  <c r="EC223" i="1"/>
  <c r="DQ223" i="1"/>
  <c r="DK223" i="1"/>
  <c r="DH223" i="1"/>
  <c r="DD223" i="1"/>
  <c r="CW223" i="1"/>
  <c r="CP223" i="1"/>
  <c r="CL223" i="1"/>
  <c r="CG223" i="1"/>
  <c r="CB223" i="1"/>
  <c r="BW223" i="1"/>
  <c r="BV223" i="1"/>
  <c r="BQ223" i="1"/>
  <c r="BP223" i="1"/>
  <c r="BO223" i="1"/>
  <c r="BJ223" i="1"/>
  <c r="BI223" i="1"/>
  <c r="BH223" i="1"/>
  <c r="BC223" i="1"/>
  <c r="BB223" i="1"/>
  <c r="BA223" i="1"/>
  <c r="AV223" i="1"/>
  <c r="AU223" i="1"/>
  <c r="AT223" i="1"/>
  <c r="AO223" i="1"/>
  <c r="AN223" i="1"/>
  <c r="AC223" i="1"/>
  <c r="AB223" i="1"/>
  <c r="Y223" i="1"/>
  <c r="S223" i="1"/>
  <c r="K223" i="1"/>
  <c r="J223" i="1"/>
  <c r="EV193" i="1"/>
  <c r="EU193" i="1"/>
  <c r="ET193" i="1"/>
  <c r="EC193" i="1"/>
  <c r="DY193" i="1"/>
  <c r="DQ193" i="1"/>
  <c r="DK193" i="1"/>
  <c r="DH193" i="1"/>
  <c r="DD193" i="1"/>
  <c r="CW193" i="1"/>
  <c r="CP193" i="1"/>
  <c r="CL193" i="1"/>
  <c r="CG193" i="1"/>
  <c r="CB193" i="1"/>
  <c r="BW193" i="1"/>
  <c r="BV193" i="1"/>
  <c r="BQ193" i="1"/>
  <c r="BP193" i="1"/>
  <c r="BO193" i="1"/>
  <c r="BJ193" i="1"/>
  <c r="BI193" i="1"/>
  <c r="BH193" i="1"/>
  <c r="BC193" i="1"/>
  <c r="BB193" i="1"/>
  <c r="BA193" i="1"/>
  <c r="AV193" i="1"/>
  <c r="AU193" i="1"/>
  <c r="AT193" i="1"/>
  <c r="AO193" i="1"/>
  <c r="AN193" i="1"/>
  <c r="AJ193" i="1"/>
  <c r="AC193" i="1"/>
  <c r="Y193" i="1"/>
  <c r="S193" i="1"/>
  <c r="K193" i="1"/>
  <c r="J193" i="1"/>
  <c r="EV212" i="1"/>
  <c r="EU212" i="1"/>
  <c r="ET212" i="1"/>
  <c r="EC212" i="1"/>
  <c r="DY212" i="1"/>
  <c r="DQ212" i="1"/>
  <c r="DK212" i="1"/>
  <c r="DH212" i="1"/>
  <c r="DD212" i="1"/>
  <c r="CW212" i="1"/>
  <c r="CP212" i="1"/>
  <c r="CL212" i="1"/>
  <c r="CG212" i="1"/>
  <c r="CB212" i="1"/>
  <c r="BW212" i="1"/>
  <c r="BV212" i="1"/>
  <c r="BQ212" i="1"/>
  <c r="BP212" i="1"/>
  <c r="BO212" i="1"/>
  <c r="BJ212" i="1"/>
  <c r="BI212" i="1"/>
  <c r="BH212" i="1"/>
  <c r="BC212" i="1"/>
  <c r="BB212" i="1"/>
  <c r="BA212" i="1"/>
  <c r="AV212" i="1"/>
  <c r="AU212" i="1"/>
  <c r="AT212" i="1"/>
  <c r="AO212" i="1"/>
  <c r="AN212" i="1"/>
  <c r="AJ212" i="1"/>
  <c r="AC212" i="1"/>
  <c r="Y212" i="1"/>
  <c r="S212" i="1"/>
  <c r="K212" i="1"/>
  <c r="J212" i="1"/>
  <c r="EV227" i="1"/>
  <c r="EU227" i="1"/>
  <c r="ET227" i="1"/>
  <c r="EC227" i="1"/>
  <c r="DY227" i="1"/>
  <c r="DQ227" i="1"/>
  <c r="DK227" i="1"/>
  <c r="DH227" i="1"/>
  <c r="DD227" i="1"/>
  <c r="CW227" i="1"/>
  <c r="CP227" i="1"/>
  <c r="CL227" i="1"/>
  <c r="CG227" i="1"/>
  <c r="CB227" i="1"/>
  <c r="BW227" i="1"/>
  <c r="BV227" i="1"/>
  <c r="BQ227" i="1"/>
  <c r="BP227" i="1"/>
  <c r="BO227" i="1"/>
  <c r="BJ227" i="1"/>
  <c r="BI227" i="1"/>
  <c r="BH227" i="1"/>
  <c r="BC227" i="1"/>
  <c r="BB227" i="1"/>
  <c r="BA227" i="1"/>
  <c r="AV227" i="1"/>
  <c r="AU227" i="1"/>
  <c r="AT227" i="1"/>
  <c r="AO227" i="1"/>
  <c r="AN227" i="1"/>
  <c r="AJ227" i="1"/>
  <c r="AC227" i="1"/>
  <c r="Y227" i="1"/>
  <c r="S227" i="1"/>
  <c r="K227" i="1"/>
  <c r="J227" i="1"/>
  <c r="EV140" i="1"/>
  <c r="EU140" i="1"/>
  <c r="ET140" i="1"/>
  <c r="EC140" i="1"/>
  <c r="DQ140" i="1"/>
  <c r="DK140" i="1"/>
  <c r="DH140" i="1"/>
  <c r="DD140" i="1"/>
  <c r="CW140" i="1"/>
  <c r="CP140" i="1"/>
  <c r="CL140" i="1"/>
  <c r="CG140" i="1"/>
  <c r="CB140" i="1"/>
  <c r="BW140" i="1"/>
  <c r="BV140" i="1"/>
  <c r="BQ140" i="1"/>
  <c r="BP140" i="1"/>
  <c r="BO140" i="1"/>
  <c r="BJ140" i="1"/>
  <c r="BI140" i="1"/>
  <c r="BH140" i="1"/>
  <c r="BC140" i="1"/>
  <c r="BB140" i="1"/>
  <c r="BA140" i="1"/>
  <c r="AV140" i="1"/>
  <c r="AU140" i="1"/>
  <c r="AT140" i="1"/>
  <c r="AO140" i="1"/>
  <c r="AN140" i="1"/>
  <c r="AC140" i="1"/>
  <c r="Y140" i="1"/>
  <c r="S140" i="1"/>
  <c r="K140" i="1"/>
  <c r="J140" i="1"/>
  <c r="EV65" i="1"/>
  <c r="EU65" i="1"/>
  <c r="ET65" i="1"/>
  <c r="EC65" i="1"/>
  <c r="DQ65" i="1"/>
  <c r="DK65" i="1"/>
  <c r="DH65" i="1"/>
  <c r="DD65" i="1"/>
  <c r="CW65" i="1"/>
  <c r="CP65" i="1"/>
  <c r="CL65" i="1"/>
  <c r="CG65" i="1"/>
  <c r="CB65" i="1"/>
  <c r="BW65" i="1"/>
  <c r="BV65" i="1"/>
  <c r="BQ65" i="1"/>
  <c r="BP65" i="1"/>
  <c r="BO65" i="1"/>
  <c r="BJ65" i="1"/>
  <c r="BI65" i="1"/>
  <c r="BH65" i="1"/>
  <c r="BC65" i="1"/>
  <c r="BB65" i="1"/>
  <c r="BA65" i="1"/>
  <c r="AV65" i="1"/>
  <c r="AU65" i="1"/>
  <c r="AT65" i="1"/>
  <c r="AO65" i="1"/>
  <c r="AN65" i="1"/>
  <c r="AC65" i="1"/>
  <c r="Y65" i="1"/>
  <c r="S65" i="1"/>
  <c r="K65" i="1"/>
  <c r="J65" i="1"/>
  <c r="EV113" i="1"/>
  <c r="EU113" i="1"/>
  <c r="ET113" i="1"/>
  <c r="EC113" i="1"/>
  <c r="DQ113" i="1"/>
  <c r="DK113" i="1"/>
  <c r="DH113" i="1"/>
  <c r="DD113" i="1"/>
  <c r="CW113" i="1"/>
  <c r="CP113" i="1"/>
  <c r="CL113" i="1"/>
  <c r="CG113" i="1"/>
  <c r="CB113" i="1"/>
  <c r="BW113" i="1"/>
  <c r="BV113" i="1"/>
  <c r="BQ113" i="1"/>
  <c r="BP113" i="1"/>
  <c r="BO113" i="1"/>
  <c r="BJ113" i="1"/>
  <c r="BI113" i="1"/>
  <c r="BH113" i="1"/>
  <c r="BC113" i="1"/>
  <c r="BB113" i="1"/>
  <c r="BA113" i="1"/>
  <c r="AV113" i="1"/>
  <c r="AU113" i="1"/>
  <c r="AT113" i="1"/>
  <c r="AO113" i="1"/>
  <c r="AN113" i="1"/>
  <c r="AC113" i="1"/>
  <c r="Y113" i="1"/>
  <c r="S113" i="1"/>
  <c r="K113" i="1"/>
  <c r="J113" i="1"/>
  <c r="EV50" i="1"/>
  <c r="EU50" i="1"/>
  <c r="ET50" i="1"/>
  <c r="EC50" i="1"/>
  <c r="DY50" i="1"/>
  <c r="DQ50" i="1"/>
  <c r="DK50" i="1"/>
  <c r="DH50" i="1"/>
  <c r="DD50" i="1"/>
  <c r="CW50" i="1"/>
  <c r="CP50" i="1"/>
  <c r="CL50" i="1"/>
  <c r="CG50" i="1"/>
  <c r="CB50" i="1"/>
  <c r="BW50" i="1"/>
  <c r="BV50" i="1"/>
  <c r="BQ50" i="1"/>
  <c r="BP50" i="1"/>
  <c r="BO50" i="1"/>
  <c r="BJ50" i="1"/>
  <c r="BI50" i="1"/>
  <c r="BH50" i="1"/>
  <c r="BC50" i="1"/>
  <c r="BB50" i="1"/>
  <c r="BA50" i="1"/>
  <c r="AV50" i="1"/>
  <c r="AU50" i="1"/>
  <c r="AT50" i="1"/>
  <c r="AO50" i="1"/>
  <c r="AN50" i="1"/>
  <c r="AJ50" i="1"/>
  <c r="AC50" i="1"/>
  <c r="Y50" i="1"/>
  <c r="S50" i="1"/>
  <c r="K50" i="1"/>
  <c r="J50" i="1"/>
  <c r="EV46" i="1"/>
  <c r="EU46" i="1"/>
  <c r="ET46" i="1"/>
  <c r="EC46" i="1"/>
  <c r="DY46" i="1"/>
  <c r="DQ46" i="1"/>
  <c r="DK46" i="1"/>
  <c r="DH46" i="1"/>
  <c r="DD46" i="1"/>
  <c r="CW46" i="1"/>
  <c r="CP46" i="1"/>
  <c r="CL46" i="1"/>
  <c r="CG46" i="1"/>
  <c r="CB46" i="1"/>
  <c r="BW46" i="1"/>
  <c r="BV46" i="1"/>
  <c r="BQ46" i="1"/>
  <c r="BP46" i="1"/>
  <c r="BO46" i="1"/>
  <c r="BJ46" i="1"/>
  <c r="BI46" i="1"/>
  <c r="BH46" i="1"/>
  <c r="BC46" i="1"/>
  <c r="BB46" i="1"/>
  <c r="BA46" i="1"/>
  <c r="AV46" i="1"/>
  <c r="AU46" i="1"/>
  <c r="AT46" i="1"/>
  <c r="AO46" i="1"/>
  <c r="AN46" i="1"/>
  <c r="AJ46" i="1"/>
  <c r="AC46" i="1"/>
  <c r="Y46" i="1"/>
  <c r="S46" i="1"/>
  <c r="K46" i="1"/>
  <c r="J46" i="1"/>
  <c r="EV126" i="1"/>
  <c r="EU126" i="1"/>
  <c r="ET126" i="1"/>
  <c r="EC126" i="1"/>
  <c r="DQ126" i="1"/>
  <c r="DK126" i="1"/>
  <c r="DH126" i="1"/>
  <c r="DD126" i="1"/>
  <c r="CW126" i="1"/>
  <c r="CP126" i="1"/>
  <c r="CL126" i="1"/>
  <c r="CG126" i="1"/>
  <c r="CB126" i="1"/>
  <c r="BW126" i="1"/>
  <c r="BV126" i="1"/>
  <c r="BQ126" i="1"/>
  <c r="BP126" i="1"/>
  <c r="BO126" i="1"/>
  <c r="BJ126" i="1"/>
  <c r="BI126" i="1"/>
  <c r="BH126" i="1"/>
  <c r="BC126" i="1"/>
  <c r="BB126" i="1"/>
  <c r="BA126" i="1"/>
  <c r="AV126" i="1"/>
  <c r="AU126" i="1"/>
  <c r="AT126" i="1"/>
  <c r="AO126" i="1"/>
  <c r="AN126" i="1"/>
  <c r="AC126" i="1"/>
  <c r="Y126" i="1"/>
  <c r="S126" i="1"/>
  <c r="K126" i="1"/>
  <c r="J126" i="1"/>
  <c r="EV23" i="1"/>
  <c r="EU23" i="1"/>
  <c r="ET23" i="1"/>
  <c r="EC23" i="1"/>
  <c r="DQ23" i="1"/>
  <c r="DK23" i="1"/>
  <c r="DH23" i="1"/>
  <c r="DD23" i="1"/>
  <c r="CW23" i="1"/>
  <c r="CP23" i="1"/>
  <c r="CL23" i="1"/>
  <c r="CG23" i="1"/>
  <c r="CB23" i="1"/>
  <c r="BW23" i="1"/>
  <c r="BV23" i="1"/>
  <c r="BQ23" i="1"/>
  <c r="BP23" i="1"/>
  <c r="BO23" i="1"/>
  <c r="BJ23" i="1"/>
  <c r="BI23" i="1"/>
  <c r="BH23" i="1"/>
  <c r="BC23" i="1"/>
  <c r="BB23" i="1"/>
  <c r="BA23" i="1"/>
  <c r="AV23" i="1"/>
  <c r="AU23" i="1"/>
  <c r="AT23" i="1"/>
  <c r="AO23" i="1"/>
  <c r="AN23" i="1"/>
  <c r="AC23" i="1"/>
  <c r="Y23" i="1"/>
  <c r="S23" i="1"/>
  <c r="K23" i="1"/>
  <c r="J23" i="1"/>
  <c r="EV261" i="1"/>
  <c r="EU261" i="1"/>
  <c r="ET261" i="1"/>
  <c r="EC261" i="1"/>
  <c r="DQ261" i="1"/>
  <c r="DK261" i="1"/>
  <c r="DH261" i="1"/>
  <c r="DD261" i="1"/>
  <c r="CW261" i="1"/>
  <c r="CP261" i="1"/>
  <c r="CL261" i="1"/>
  <c r="CG261" i="1"/>
  <c r="CB261" i="1"/>
  <c r="BW261" i="1"/>
  <c r="BV261" i="1"/>
  <c r="BQ261" i="1"/>
  <c r="BP261" i="1"/>
  <c r="BO261" i="1"/>
  <c r="BJ261" i="1"/>
  <c r="BI261" i="1"/>
  <c r="BH261" i="1"/>
  <c r="BC261" i="1"/>
  <c r="BB261" i="1"/>
  <c r="BA261" i="1"/>
  <c r="AV261" i="1"/>
  <c r="AU261" i="1"/>
  <c r="AT261" i="1"/>
  <c r="AO261" i="1"/>
  <c r="AN261" i="1"/>
  <c r="AC261" i="1"/>
  <c r="Y261" i="1"/>
  <c r="S261" i="1"/>
  <c r="K261" i="1"/>
  <c r="J261" i="1"/>
  <c r="EV170" i="1"/>
  <c r="EU170" i="1"/>
  <c r="ET170" i="1"/>
  <c r="EC170" i="1"/>
  <c r="DQ170" i="1"/>
  <c r="DK170" i="1"/>
  <c r="DH170" i="1"/>
  <c r="DD170" i="1"/>
  <c r="CW170" i="1"/>
  <c r="CP170" i="1"/>
  <c r="CL170" i="1"/>
  <c r="CG170" i="1"/>
  <c r="CB170" i="1"/>
  <c r="BW170" i="1"/>
  <c r="BV170" i="1"/>
  <c r="BQ170" i="1"/>
  <c r="BP170" i="1"/>
  <c r="BO170" i="1"/>
  <c r="BJ170" i="1"/>
  <c r="BI170" i="1"/>
  <c r="BH170" i="1"/>
  <c r="BC170" i="1"/>
  <c r="BB170" i="1"/>
  <c r="BA170" i="1"/>
  <c r="AV170" i="1"/>
  <c r="AU170" i="1"/>
  <c r="AT170" i="1"/>
  <c r="AO170" i="1"/>
  <c r="AN170" i="1"/>
  <c r="AC170" i="1"/>
  <c r="Y170" i="1"/>
  <c r="S170" i="1"/>
  <c r="K170" i="1"/>
  <c r="J170" i="1"/>
  <c r="EV72" i="1"/>
  <c r="EU72" i="1"/>
  <c r="ET72" i="1"/>
  <c r="EC72" i="1"/>
  <c r="DY72" i="1"/>
  <c r="DQ72" i="1"/>
  <c r="DK72" i="1"/>
  <c r="DH72" i="1"/>
  <c r="DD72" i="1"/>
  <c r="CW72" i="1"/>
  <c r="CP72" i="1"/>
  <c r="CL72" i="1"/>
  <c r="CG72" i="1"/>
  <c r="CB72" i="1"/>
  <c r="BW72" i="1"/>
  <c r="BV72" i="1"/>
  <c r="BQ72" i="1"/>
  <c r="BP72" i="1"/>
  <c r="BO72" i="1"/>
  <c r="BJ72" i="1"/>
  <c r="BI72" i="1"/>
  <c r="BH72" i="1"/>
  <c r="BC72" i="1"/>
  <c r="BB72" i="1"/>
  <c r="BA72" i="1"/>
  <c r="AV72" i="1"/>
  <c r="AU72" i="1"/>
  <c r="AT72" i="1"/>
  <c r="AO72" i="1"/>
  <c r="AN72" i="1"/>
  <c r="AJ72" i="1"/>
  <c r="AC72" i="1"/>
  <c r="Y72" i="1"/>
  <c r="S72" i="1"/>
  <c r="K72" i="1"/>
  <c r="J72" i="1"/>
  <c r="EV28" i="1"/>
  <c r="EU28" i="1"/>
  <c r="ET28" i="1"/>
  <c r="EG28" i="1"/>
  <c r="EC28" i="1"/>
  <c r="DQ28" i="1"/>
  <c r="DK28" i="1"/>
  <c r="DH28" i="1"/>
  <c r="DD28" i="1"/>
  <c r="CW28" i="1"/>
  <c r="CP28" i="1"/>
  <c r="CL28" i="1"/>
  <c r="CG28" i="1"/>
  <c r="CB28" i="1"/>
  <c r="BW28" i="1"/>
  <c r="BV28" i="1"/>
  <c r="BQ28" i="1"/>
  <c r="BP28" i="1"/>
  <c r="BO28" i="1"/>
  <c r="BJ28" i="1"/>
  <c r="BI28" i="1"/>
  <c r="BH28" i="1"/>
  <c r="BC28" i="1"/>
  <c r="BB28" i="1"/>
  <c r="BA28" i="1"/>
  <c r="AV28" i="1"/>
  <c r="AU28" i="1"/>
  <c r="AT28" i="1"/>
  <c r="AO28" i="1"/>
  <c r="AN28" i="1"/>
  <c r="AC28" i="1"/>
  <c r="AB28" i="1"/>
  <c r="Y28" i="1"/>
  <c r="S28" i="1"/>
  <c r="K28" i="1"/>
  <c r="J28" i="1"/>
  <c r="EV33" i="1"/>
  <c r="EU33" i="1"/>
  <c r="ET33" i="1"/>
  <c r="EG33" i="1"/>
  <c r="EC33" i="1"/>
  <c r="DY33" i="1"/>
  <c r="DQ33" i="1"/>
  <c r="DK33" i="1"/>
  <c r="DH33" i="1"/>
  <c r="DD33" i="1"/>
  <c r="CW33" i="1"/>
  <c r="CP33" i="1"/>
  <c r="CL33" i="1"/>
  <c r="CG33" i="1"/>
  <c r="CB33" i="1"/>
  <c r="BW33" i="1"/>
  <c r="BV33" i="1"/>
  <c r="BQ33" i="1"/>
  <c r="BP33" i="1"/>
  <c r="BO33" i="1"/>
  <c r="BJ33" i="1"/>
  <c r="BI33" i="1"/>
  <c r="BH33" i="1"/>
  <c r="BC33" i="1"/>
  <c r="BB33" i="1"/>
  <c r="BA33" i="1"/>
  <c r="AV33" i="1"/>
  <c r="AU33" i="1"/>
  <c r="AT33" i="1"/>
  <c r="AO33" i="1"/>
  <c r="AN33" i="1"/>
  <c r="AJ33" i="1"/>
  <c r="AC33" i="1"/>
  <c r="AB33" i="1"/>
  <c r="Y33" i="1"/>
  <c r="S33" i="1"/>
  <c r="K33" i="1"/>
  <c r="J33" i="1"/>
  <c r="EV188" i="1"/>
  <c r="EU188" i="1"/>
  <c r="ET188" i="1"/>
  <c r="EC188" i="1"/>
  <c r="DQ188" i="1"/>
  <c r="DK188" i="1"/>
  <c r="DH188" i="1"/>
  <c r="DD188" i="1"/>
  <c r="CW188" i="1"/>
  <c r="CP188" i="1"/>
  <c r="CL188" i="1"/>
  <c r="CG188" i="1"/>
  <c r="CB188" i="1"/>
  <c r="BW188" i="1"/>
  <c r="BV188" i="1"/>
  <c r="BQ188" i="1"/>
  <c r="BP188" i="1"/>
  <c r="BO188" i="1"/>
  <c r="BJ188" i="1"/>
  <c r="BI188" i="1"/>
  <c r="BH188" i="1"/>
  <c r="BC188" i="1"/>
  <c r="BB188" i="1"/>
  <c r="BA188" i="1"/>
  <c r="AV188" i="1"/>
  <c r="AU188" i="1"/>
  <c r="AT188" i="1"/>
  <c r="AO188" i="1"/>
  <c r="AN188" i="1"/>
  <c r="AC188" i="1"/>
  <c r="Y188" i="1"/>
  <c r="S188" i="1"/>
  <c r="K188" i="1"/>
  <c r="J188" i="1"/>
  <c r="EV40" i="1"/>
  <c r="EU40" i="1"/>
  <c r="ET40" i="1"/>
  <c r="EG40" i="1"/>
  <c r="EC40" i="1"/>
  <c r="DQ40" i="1"/>
  <c r="DK40" i="1"/>
  <c r="DH40" i="1"/>
  <c r="DD40" i="1"/>
  <c r="CW40" i="1"/>
  <c r="CP40" i="1"/>
  <c r="CL40" i="1"/>
  <c r="CG40" i="1"/>
  <c r="CB40" i="1"/>
  <c r="BW40" i="1"/>
  <c r="BV40" i="1"/>
  <c r="BQ40" i="1"/>
  <c r="BP40" i="1"/>
  <c r="BO40" i="1"/>
  <c r="BJ40" i="1"/>
  <c r="BI40" i="1"/>
  <c r="BH40" i="1"/>
  <c r="BC40" i="1"/>
  <c r="BB40" i="1"/>
  <c r="BA40" i="1"/>
  <c r="AV40" i="1"/>
  <c r="AU40" i="1"/>
  <c r="AT40" i="1"/>
  <c r="AO40" i="1"/>
  <c r="AN40" i="1"/>
  <c r="AC40" i="1"/>
  <c r="AB40" i="1"/>
  <c r="Y40" i="1"/>
  <c r="S40" i="1"/>
  <c r="K40" i="1"/>
  <c r="J40" i="1"/>
  <c r="EV214" i="1"/>
  <c r="EU214" i="1"/>
  <c r="ET214" i="1"/>
  <c r="EC214" i="1"/>
  <c r="DQ214" i="1"/>
  <c r="DK214" i="1"/>
  <c r="DH214" i="1"/>
  <c r="DD214" i="1"/>
  <c r="CW214" i="1"/>
  <c r="CP214" i="1"/>
  <c r="CL214" i="1"/>
  <c r="CG214" i="1"/>
  <c r="CB214" i="1"/>
  <c r="BW214" i="1"/>
  <c r="BV214" i="1"/>
  <c r="BQ214" i="1"/>
  <c r="BP214" i="1"/>
  <c r="BO214" i="1"/>
  <c r="BJ214" i="1"/>
  <c r="BI214" i="1"/>
  <c r="BH214" i="1"/>
  <c r="BC214" i="1"/>
  <c r="BB214" i="1"/>
  <c r="BA214" i="1"/>
  <c r="AV214" i="1"/>
  <c r="AU214" i="1"/>
  <c r="AT214" i="1"/>
  <c r="AO214" i="1"/>
  <c r="AN214" i="1"/>
  <c r="AC214" i="1"/>
  <c r="Y214" i="1"/>
  <c r="S214" i="1"/>
  <c r="K214" i="1"/>
  <c r="J214" i="1"/>
  <c r="EV64" i="1"/>
  <c r="EU64" i="1"/>
  <c r="ET64" i="1"/>
  <c r="EG64" i="1"/>
  <c r="EC64" i="1"/>
  <c r="DQ64" i="1"/>
  <c r="DK64" i="1"/>
  <c r="DH64" i="1"/>
  <c r="DD64" i="1"/>
  <c r="CW64" i="1"/>
  <c r="CP64" i="1"/>
  <c r="CL64" i="1"/>
  <c r="CG64" i="1"/>
  <c r="CB64" i="1"/>
  <c r="BW64" i="1"/>
  <c r="BV64" i="1"/>
  <c r="BQ64" i="1"/>
  <c r="BP64" i="1"/>
  <c r="BO64" i="1"/>
  <c r="BJ64" i="1"/>
  <c r="BI64" i="1"/>
  <c r="BH64" i="1"/>
  <c r="BC64" i="1"/>
  <c r="BB64" i="1"/>
  <c r="BA64" i="1"/>
  <c r="AV64" i="1"/>
  <c r="AU64" i="1"/>
  <c r="AT64" i="1"/>
  <c r="AO64" i="1"/>
  <c r="AN64" i="1"/>
  <c r="AC64" i="1"/>
  <c r="AB64" i="1"/>
  <c r="Y64" i="1"/>
  <c r="S64" i="1"/>
  <c r="K64" i="1"/>
  <c r="J64" i="1"/>
  <c r="EV157" i="1"/>
  <c r="EU157" i="1"/>
  <c r="ET157" i="1"/>
  <c r="EG157" i="1"/>
  <c r="EC157" i="1"/>
  <c r="DQ157" i="1"/>
  <c r="DK157" i="1"/>
  <c r="DH157" i="1"/>
  <c r="DD157" i="1"/>
  <c r="CW157" i="1"/>
  <c r="Y157" i="1"/>
  <c r="K157" i="1"/>
  <c r="J157" i="1"/>
  <c r="EV246" i="1"/>
  <c r="EU246" i="1"/>
  <c r="ET246" i="1"/>
  <c r="EG246" i="1"/>
  <c r="EC246" i="1"/>
  <c r="DQ246" i="1"/>
  <c r="DK246" i="1"/>
  <c r="DH246" i="1"/>
  <c r="DD246" i="1"/>
  <c r="CW246" i="1"/>
  <c r="CP246" i="1"/>
  <c r="CL246" i="1"/>
  <c r="CG246" i="1"/>
  <c r="CB246" i="1"/>
  <c r="BW246" i="1"/>
  <c r="BV246" i="1"/>
  <c r="BQ246" i="1"/>
  <c r="BP246" i="1"/>
  <c r="BO246" i="1"/>
  <c r="BJ246" i="1"/>
  <c r="BI246" i="1"/>
  <c r="BH246" i="1"/>
  <c r="BC246" i="1"/>
  <c r="BB246" i="1"/>
  <c r="BA246" i="1"/>
  <c r="AV246" i="1"/>
  <c r="AU246" i="1"/>
  <c r="AT246" i="1"/>
  <c r="AO246" i="1"/>
  <c r="AN246" i="1"/>
  <c r="AC246" i="1"/>
  <c r="AB246" i="1"/>
  <c r="Y246" i="1"/>
  <c r="S246" i="1"/>
  <c r="K246" i="1"/>
  <c r="J246" i="1"/>
  <c r="EV207" i="1"/>
  <c r="EU207" i="1"/>
  <c r="ET207" i="1"/>
  <c r="EG207" i="1"/>
  <c r="EC207" i="1"/>
  <c r="DY207" i="1"/>
  <c r="DQ207" i="1"/>
  <c r="DK207" i="1"/>
  <c r="DH207" i="1"/>
  <c r="DD207" i="1"/>
  <c r="CW207" i="1"/>
  <c r="CP207" i="1"/>
  <c r="CL207" i="1"/>
  <c r="CG207" i="1"/>
  <c r="CB207" i="1"/>
  <c r="BW207" i="1"/>
  <c r="BV207" i="1"/>
  <c r="BQ207" i="1"/>
  <c r="BP207" i="1"/>
  <c r="BO207" i="1"/>
  <c r="BJ207" i="1"/>
  <c r="BI207" i="1"/>
  <c r="BH207" i="1"/>
  <c r="BC207" i="1"/>
  <c r="BB207" i="1"/>
  <c r="BA207" i="1"/>
  <c r="AV207" i="1"/>
  <c r="AU207" i="1"/>
  <c r="AT207" i="1"/>
  <c r="AO207" i="1"/>
  <c r="AN207" i="1"/>
  <c r="AJ207" i="1"/>
  <c r="AC207" i="1"/>
  <c r="AB207" i="1"/>
  <c r="Y207" i="1"/>
  <c r="S207" i="1"/>
  <c r="K207" i="1"/>
  <c r="J207" i="1"/>
  <c r="EV42" i="1"/>
  <c r="EU42" i="1"/>
  <c r="ET42" i="1"/>
  <c r="EC42" i="1"/>
  <c r="DQ42" i="1"/>
  <c r="DK42" i="1"/>
  <c r="DH42" i="1"/>
  <c r="DD42" i="1"/>
  <c r="CW42" i="1"/>
  <c r="CP42" i="1"/>
  <c r="CL42" i="1"/>
  <c r="CG42" i="1"/>
  <c r="CB42" i="1"/>
  <c r="BW42" i="1"/>
  <c r="BV42" i="1"/>
  <c r="BQ42" i="1"/>
  <c r="BP42" i="1"/>
  <c r="BO42" i="1"/>
  <c r="BJ42" i="1"/>
  <c r="BI42" i="1"/>
  <c r="BH42" i="1"/>
  <c r="BC42" i="1"/>
  <c r="BB42" i="1"/>
  <c r="BA42" i="1"/>
  <c r="AV42" i="1"/>
  <c r="AU42" i="1"/>
  <c r="AT42" i="1"/>
  <c r="AO42" i="1"/>
  <c r="AN42" i="1"/>
  <c r="AC42" i="1"/>
  <c r="Y42" i="1"/>
  <c r="S42" i="1"/>
  <c r="K42" i="1"/>
  <c r="J42" i="1"/>
  <c r="EV199" i="1"/>
  <c r="EU199" i="1"/>
  <c r="ET199" i="1"/>
  <c r="EC199" i="1"/>
  <c r="DQ199" i="1"/>
  <c r="DK199" i="1"/>
  <c r="DH199" i="1"/>
  <c r="DD199" i="1"/>
  <c r="CW199" i="1"/>
  <c r="CP199" i="1"/>
  <c r="CL199" i="1"/>
  <c r="CG199" i="1"/>
  <c r="CB199" i="1"/>
  <c r="BW199" i="1"/>
  <c r="BV199" i="1"/>
  <c r="BQ199" i="1"/>
  <c r="BP199" i="1"/>
  <c r="BO199" i="1"/>
  <c r="BJ199" i="1"/>
  <c r="BI199" i="1"/>
  <c r="BH199" i="1"/>
  <c r="BC199" i="1"/>
  <c r="BB199" i="1"/>
  <c r="BA199" i="1"/>
  <c r="AV199" i="1"/>
  <c r="AU199" i="1"/>
  <c r="AT199" i="1"/>
  <c r="AO199" i="1"/>
  <c r="AN199" i="1"/>
  <c r="AC199" i="1"/>
  <c r="Y199" i="1"/>
  <c r="S199" i="1"/>
  <c r="K199" i="1"/>
  <c r="J199" i="1"/>
  <c r="EV81" i="1"/>
  <c r="EU81" i="1"/>
  <c r="ET81" i="1"/>
  <c r="EC81" i="1"/>
  <c r="DQ81" i="1"/>
  <c r="DK81" i="1"/>
  <c r="DH81" i="1"/>
  <c r="DD81" i="1"/>
  <c r="CW81" i="1"/>
  <c r="CP81" i="1"/>
  <c r="CL81" i="1"/>
  <c r="CG81" i="1"/>
  <c r="CB81" i="1"/>
  <c r="BW81" i="1"/>
  <c r="BV81" i="1"/>
  <c r="BQ81" i="1"/>
  <c r="BP81" i="1"/>
  <c r="BO81" i="1"/>
  <c r="BJ81" i="1"/>
  <c r="BI81" i="1"/>
  <c r="BH81" i="1"/>
  <c r="BC81" i="1"/>
  <c r="BB81" i="1"/>
  <c r="BA81" i="1"/>
  <c r="AV81" i="1"/>
  <c r="AU81" i="1"/>
  <c r="AT81" i="1"/>
  <c r="AO81" i="1"/>
  <c r="AN81" i="1"/>
  <c r="AC81" i="1"/>
  <c r="Y81" i="1"/>
  <c r="S81" i="1"/>
  <c r="K81" i="1"/>
  <c r="J81" i="1"/>
  <c r="EV45" i="1"/>
  <c r="EU45" i="1"/>
  <c r="ET45" i="1"/>
  <c r="EG45" i="1"/>
  <c r="EC45" i="1"/>
  <c r="DQ45" i="1"/>
  <c r="DK45" i="1"/>
  <c r="DH45" i="1"/>
  <c r="DD45" i="1"/>
  <c r="CW45" i="1"/>
  <c r="CP45" i="1"/>
  <c r="CL45" i="1"/>
  <c r="CG45" i="1"/>
  <c r="CB45" i="1"/>
  <c r="BW45" i="1"/>
  <c r="BV45" i="1"/>
  <c r="BQ45" i="1"/>
  <c r="BP45" i="1"/>
  <c r="BO45" i="1"/>
  <c r="BJ45" i="1"/>
  <c r="BI45" i="1"/>
  <c r="BH45" i="1"/>
  <c r="BC45" i="1"/>
  <c r="BB45" i="1"/>
  <c r="BA45" i="1"/>
  <c r="AV45" i="1"/>
  <c r="AU45" i="1"/>
  <c r="AT45" i="1"/>
  <c r="AO45" i="1"/>
  <c r="AN45" i="1"/>
  <c r="AC45" i="1"/>
  <c r="AB45" i="1"/>
  <c r="Y45" i="1"/>
  <c r="S45" i="1"/>
  <c r="K45" i="1"/>
  <c r="J45" i="1"/>
  <c r="EV200" i="1"/>
  <c r="EU200" i="1"/>
  <c r="ET200" i="1"/>
  <c r="EC200" i="1"/>
  <c r="DY200" i="1"/>
  <c r="DQ200" i="1"/>
  <c r="DK200" i="1"/>
  <c r="DH200" i="1"/>
  <c r="DD200" i="1"/>
  <c r="CW200" i="1"/>
  <c r="CP200" i="1"/>
  <c r="CL200" i="1"/>
  <c r="CG200" i="1"/>
  <c r="CB200" i="1"/>
  <c r="BW200" i="1"/>
  <c r="BV200" i="1"/>
  <c r="BQ200" i="1"/>
  <c r="BP200" i="1"/>
  <c r="BO200" i="1"/>
  <c r="BJ200" i="1"/>
  <c r="BI200" i="1"/>
  <c r="BH200" i="1"/>
  <c r="BC200" i="1"/>
  <c r="BB200" i="1"/>
  <c r="BA200" i="1"/>
  <c r="AV200" i="1"/>
  <c r="AU200" i="1"/>
  <c r="AT200" i="1"/>
  <c r="AO200" i="1"/>
  <c r="AN200" i="1"/>
  <c r="AJ200" i="1"/>
  <c r="AC200" i="1"/>
  <c r="Y200" i="1"/>
  <c r="S200" i="1"/>
  <c r="K200" i="1"/>
  <c r="J200" i="1"/>
  <c r="EV181" i="1"/>
  <c r="EU181" i="1"/>
  <c r="ET181" i="1"/>
  <c r="EC181" i="1"/>
  <c r="DY181" i="1"/>
  <c r="DQ181" i="1"/>
  <c r="DK181" i="1"/>
  <c r="DH181" i="1"/>
  <c r="DD181" i="1"/>
  <c r="CW181" i="1"/>
  <c r="CP181" i="1"/>
  <c r="CL181" i="1"/>
  <c r="CG181" i="1"/>
  <c r="CB181" i="1"/>
  <c r="BW181" i="1"/>
  <c r="BV181" i="1"/>
  <c r="BQ181" i="1"/>
  <c r="BP181" i="1"/>
  <c r="BO181" i="1"/>
  <c r="BJ181" i="1"/>
  <c r="BI181" i="1"/>
  <c r="BH181" i="1"/>
  <c r="BC181" i="1"/>
  <c r="BB181" i="1"/>
  <c r="BA181" i="1"/>
  <c r="AV181" i="1"/>
  <c r="AU181" i="1"/>
  <c r="AT181" i="1"/>
  <c r="AO181" i="1"/>
  <c r="AN181" i="1"/>
  <c r="AJ181" i="1"/>
  <c r="AC181" i="1"/>
  <c r="Y181" i="1"/>
  <c r="S181" i="1"/>
  <c r="K181" i="1"/>
  <c r="J181" i="1"/>
  <c r="EV52" i="1"/>
  <c r="EU52" i="1"/>
  <c r="ET52" i="1"/>
  <c r="EC52" i="1"/>
  <c r="DQ52" i="1"/>
  <c r="DK52" i="1"/>
  <c r="DH52" i="1"/>
  <c r="DD52" i="1"/>
  <c r="CW52" i="1"/>
  <c r="CP52" i="1"/>
  <c r="CL52" i="1"/>
  <c r="CG52" i="1"/>
  <c r="CB52" i="1"/>
  <c r="BW52" i="1"/>
  <c r="BV52" i="1"/>
  <c r="BQ52" i="1"/>
  <c r="BP52" i="1"/>
  <c r="BO52" i="1"/>
  <c r="BJ52" i="1"/>
  <c r="BI52" i="1"/>
  <c r="BH52" i="1"/>
  <c r="BC52" i="1"/>
  <c r="BB52" i="1"/>
  <c r="BA52" i="1"/>
  <c r="AV52" i="1"/>
  <c r="AU52" i="1"/>
  <c r="AT52" i="1"/>
  <c r="AO52" i="1"/>
  <c r="AN52" i="1"/>
  <c r="AC52" i="1"/>
  <c r="Y52" i="1"/>
  <c r="S52" i="1"/>
  <c r="K52" i="1"/>
  <c r="J52" i="1"/>
  <c r="EV119" i="1"/>
  <c r="EU119" i="1"/>
  <c r="ET119" i="1"/>
  <c r="EC119" i="1"/>
  <c r="DQ119" i="1"/>
  <c r="DK119" i="1"/>
  <c r="DH119" i="1"/>
  <c r="DD119" i="1"/>
  <c r="CW119" i="1"/>
  <c r="CP119" i="1"/>
  <c r="CL119" i="1"/>
  <c r="CG119" i="1"/>
  <c r="CB119" i="1"/>
  <c r="BW119" i="1"/>
  <c r="BV119" i="1"/>
  <c r="BQ119" i="1"/>
  <c r="BP119" i="1"/>
  <c r="BO119" i="1"/>
  <c r="BJ119" i="1"/>
  <c r="BI119" i="1"/>
  <c r="BH119" i="1"/>
  <c r="BC119" i="1"/>
  <c r="BB119" i="1"/>
  <c r="BA119" i="1"/>
  <c r="AV119" i="1"/>
  <c r="AU119" i="1"/>
  <c r="AT119" i="1"/>
  <c r="AO119" i="1"/>
  <c r="AN119" i="1"/>
  <c r="AC119" i="1"/>
  <c r="Y119" i="1"/>
  <c r="S119" i="1"/>
  <c r="K119" i="1"/>
  <c r="J119" i="1"/>
  <c r="EV152" i="1"/>
  <c r="EU152" i="1"/>
  <c r="ET152" i="1"/>
  <c r="EC152" i="1"/>
  <c r="DY152" i="1"/>
  <c r="DQ152" i="1"/>
  <c r="DK152" i="1"/>
  <c r="DH152" i="1"/>
  <c r="DD152" i="1"/>
  <c r="CW152" i="1"/>
  <c r="CP152" i="1"/>
  <c r="CL152" i="1"/>
  <c r="CG152" i="1"/>
  <c r="CB152" i="1"/>
  <c r="BW152" i="1"/>
  <c r="BV152" i="1"/>
  <c r="BQ152" i="1"/>
  <c r="BP152" i="1"/>
  <c r="BO152" i="1"/>
  <c r="BJ152" i="1"/>
  <c r="BI152" i="1"/>
  <c r="BH152" i="1"/>
  <c r="BC152" i="1"/>
  <c r="BB152" i="1"/>
  <c r="BA152" i="1"/>
  <c r="AV152" i="1"/>
  <c r="AU152" i="1"/>
  <c r="AT152" i="1"/>
  <c r="AO152" i="1"/>
  <c r="AN152" i="1"/>
  <c r="AJ152" i="1"/>
  <c r="AC152" i="1"/>
  <c r="Y152" i="1"/>
  <c r="S152" i="1"/>
  <c r="K152" i="1"/>
  <c r="J152" i="1"/>
  <c r="EV183" i="1"/>
  <c r="EU183" i="1"/>
  <c r="ET183" i="1"/>
  <c r="EC183" i="1"/>
  <c r="DY183" i="1"/>
  <c r="DQ183" i="1"/>
  <c r="DK183" i="1"/>
  <c r="DH183" i="1"/>
  <c r="DD183" i="1"/>
  <c r="CW183" i="1"/>
  <c r="CP183" i="1"/>
  <c r="CL183" i="1"/>
  <c r="CG183" i="1"/>
  <c r="CB183" i="1"/>
  <c r="BW183" i="1"/>
  <c r="BV183" i="1"/>
  <c r="BQ183" i="1"/>
  <c r="BP183" i="1"/>
  <c r="BO183" i="1"/>
  <c r="BJ183" i="1"/>
  <c r="BI183" i="1"/>
  <c r="BH183" i="1"/>
  <c r="BC183" i="1"/>
  <c r="BB183" i="1"/>
  <c r="BA183" i="1"/>
  <c r="AV183" i="1"/>
  <c r="AU183" i="1"/>
  <c r="AT183" i="1"/>
  <c r="AO183" i="1"/>
  <c r="AN183" i="1"/>
  <c r="AJ183" i="1"/>
  <c r="AC183" i="1"/>
  <c r="Y183" i="1"/>
  <c r="S183" i="1"/>
  <c r="K183" i="1"/>
  <c r="J183" i="1"/>
  <c r="EV103" i="1"/>
  <c r="EU103" i="1"/>
  <c r="ET103" i="1"/>
  <c r="EC103" i="1"/>
  <c r="DQ103" i="1"/>
  <c r="DK103" i="1"/>
  <c r="DH103" i="1"/>
  <c r="DD103" i="1"/>
  <c r="CW103" i="1"/>
  <c r="CP103" i="1"/>
  <c r="CL103" i="1"/>
  <c r="CG103" i="1"/>
  <c r="CB103" i="1"/>
  <c r="BW103" i="1"/>
  <c r="BV103" i="1"/>
  <c r="BQ103" i="1"/>
  <c r="BP103" i="1"/>
  <c r="BO103" i="1"/>
  <c r="BJ103" i="1"/>
  <c r="BI103" i="1"/>
  <c r="BH103" i="1"/>
  <c r="BC103" i="1"/>
  <c r="BB103" i="1"/>
  <c r="BA103" i="1"/>
  <c r="AV103" i="1"/>
  <c r="AU103" i="1"/>
  <c r="AT103" i="1"/>
  <c r="AO103" i="1"/>
  <c r="AN103" i="1"/>
  <c r="AC103" i="1"/>
  <c r="Y103" i="1"/>
  <c r="S103" i="1"/>
  <c r="K103" i="1"/>
  <c r="J103" i="1"/>
  <c r="EV208" i="1"/>
  <c r="EU208" i="1"/>
  <c r="ET208" i="1"/>
  <c r="EG208" i="1"/>
  <c r="EC208" i="1"/>
  <c r="DQ208" i="1"/>
  <c r="DK208" i="1"/>
  <c r="DH208" i="1"/>
  <c r="DD208" i="1"/>
  <c r="CW208" i="1"/>
  <c r="CP208" i="1"/>
  <c r="CL208" i="1"/>
  <c r="CG208" i="1"/>
  <c r="CB208" i="1"/>
  <c r="BW208" i="1"/>
  <c r="BV208" i="1"/>
  <c r="BQ208" i="1"/>
  <c r="BP208" i="1"/>
  <c r="BO208" i="1"/>
  <c r="BJ208" i="1"/>
  <c r="BI208" i="1"/>
  <c r="BH208" i="1"/>
  <c r="BC208" i="1"/>
  <c r="BB208" i="1"/>
  <c r="BA208" i="1"/>
  <c r="AV208" i="1"/>
  <c r="AU208" i="1"/>
  <c r="AT208" i="1"/>
  <c r="AO208" i="1"/>
  <c r="AN208" i="1"/>
  <c r="AC208" i="1"/>
  <c r="AB208" i="1"/>
  <c r="Y208" i="1"/>
  <c r="S208" i="1"/>
  <c r="K208" i="1"/>
  <c r="J208" i="1"/>
  <c r="EV120" i="1"/>
  <c r="EU120" i="1"/>
  <c r="ET120" i="1"/>
  <c r="EC120" i="1"/>
  <c r="DQ120" i="1"/>
  <c r="DK120" i="1"/>
  <c r="DH120" i="1"/>
  <c r="DD120" i="1"/>
  <c r="CW120" i="1"/>
  <c r="CP120" i="1"/>
  <c r="CL120" i="1"/>
  <c r="CG120" i="1"/>
  <c r="CB120" i="1"/>
  <c r="BW120" i="1"/>
  <c r="BV120" i="1"/>
  <c r="BQ120" i="1"/>
  <c r="BP120" i="1"/>
  <c r="BO120" i="1"/>
  <c r="BJ120" i="1"/>
  <c r="BI120" i="1"/>
  <c r="BH120" i="1"/>
  <c r="BC120" i="1"/>
  <c r="BB120" i="1"/>
  <c r="BA120" i="1"/>
  <c r="AV120" i="1"/>
  <c r="AU120" i="1"/>
  <c r="AT120" i="1"/>
  <c r="AO120" i="1"/>
  <c r="AN120" i="1"/>
  <c r="AC120" i="1"/>
  <c r="Y120" i="1"/>
  <c r="S120" i="1"/>
  <c r="K120" i="1"/>
  <c r="J120" i="1"/>
  <c r="EV104" i="1"/>
  <c r="EU104" i="1"/>
  <c r="ET104" i="1"/>
  <c r="EC104" i="1"/>
  <c r="DQ104" i="1"/>
  <c r="DK104" i="1"/>
  <c r="DH104" i="1"/>
  <c r="DD104" i="1"/>
  <c r="CW104" i="1"/>
  <c r="CP104" i="1"/>
  <c r="CL104" i="1"/>
  <c r="CG104" i="1"/>
  <c r="CB104" i="1"/>
  <c r="BW104" i="1"/>
  <c r="BV104" i="1"/>
  <c r="BQ104" i="1"/>
  <c r="BP104" i="1"/>
  <c r="BO104" i="1"/>
  <c r="BJ104" i="1"/>
  <c r="BI104" i="1"/>
  <c r="BH104" i="1"/>
  <c r="BC104" i="1"/>
  <c r="BB104" i="1"/>
  <c r="BA104" i="1"/>
  <c r="AV104" i="1"/>
  <c r="AU104" i="1"/>
  <c r="AT104" i="1"/>
  <c r="AO104" i="1"/>
  <c r="AN104" i="1"/>
  <c r="AC104" i="1"/>
  <c r="Y104" i="1"/>
  <c r="S104" i="1"/>
  <c r="K104" i="1"/>
  <c r="J104" i="1"/>
  <c r="EV191" i="1"/>
  <c r="EU191" i="1"/>
  <c r="ET191" i="1"/>
  <c r="EC191" i="1"/>
  <c r="DY191" i="1"/>
  <c r="DQ191" i="1"/>
  <c r="DK191" i="1"/>
  <c r="DH191" i="1"/>
  <c r="DD191" i="1"/>
  <c r="CW191" i="1"/>
  <c r="CP191" i="1"/>
  <c r="CL191" i="1"/>
  <c r="CG191" i="1"/>
  <c r="CB191" i="1"/>
  <c r="BW191" i="1"/>
  <c r="BV191" i="1"/>
  <c r="BQ191" i="1"/>
  <c r="BP191" i="1"/>
  <c r="BO191" i="1"/>
  <c r="BJ191" i="1"/>
  <c r="BI191" i="1"/>
  <c r="BH191" i="1"/>
  <c r="BC191" i="1"/>
  <c r="BB191" i="1"/>
  <c r="BA191" i="1"/>
  <c r="AV191" i="1"/>
  <c r="AU191" i="1"/>
  <c r="AT191" i="1"/>
  <c r="AO191" i="1"/>
  <c r="AN191" i="1"/>
  <c r="AJ191" i="1"/>
  <c r="AC191" i="1"/>
  <c r="Y191" i="1"/>
  <c r="S191" i="1"/>
  <c r="K191" i="1"/>
  <c r="J191" i="1"/>
  <c r="EV164" i="1"/>
  <c r="EU164" i="1"/>
  <c r="ET164" i="1"/>
  <c r="EC164" i="1"/>
  <c r="DQ164" i="1"/>
  <c r="DK164" i="1"/>
  <c r="DH164" i="1"/>
  <c r="DD164" i="1"/>
  <c r="CW164" i="1"/>
  <c r="CP164" i="1"/>
  <c r="CL164" i="1"/>
  <c r="CG164" i="1"/>
  <c r="CB164" i="1"/>
  <c r="BW164" i="1"/>
  <c r="BV164" i="1"/>
  <c r="BQ164" i="1"/>
  <c r="BP164" i="1"/>
  <c r="BO164" i="1"/>
  <c r="BJ164" i="1"/>
  <c r="BI164" i="1"/>
  <c r="BH164" i="1"/>
  <c r="BC164" i="1"/>
  <c r="BB164" i="1"/>
  <c r="BA164" i="1"/>
  <c r="AV164" i="1"/>
  <c r="AU164" i="1"/>
  <c r="AT164" i="1"/>
  <c r="AO164" i="1"/>
  <c r="AN164" i="1"/>
  <c r="AC164" i="1"/>
  <c r="Y164" i="1"/>
  <c r="S164" i="1"/>
  <c r="K164" i="1"/>
  <c r="J164" i="1"/>
  <c r="EV189" i="1"/>
  <c r="EU189" i="1"/>
  <c r="ET189" i="1"/>
  <c r="EC189" i="1"/>
  <c r="DY189" i="1"/>
  <c r="DQ189" i="1"/>
  <c r="DK189" i="1"/>
  <c r="DH189" i="1"/>
  <c r="DD189" i="1"/>
  <c r="CW189" i="1"/>
  <c r="CP189" i="1"/>
  <c r="CL189" i="1"/>
  <c r="CG189" i="1"/>
  <c r="CB189" i="1"/>
  <c r="BW189" i="1"/>
  <c r="BV189" i="1"/>
  <c r="BQ189" i="1"/>
  <c r="BP189" i="1"/>
  <c r="BO189" i="1"/>
  <c r="BJ189" i="1"/>
  <c r="BI189" i="1"/>
  <c r="BH189" i="1"/>
  <c r="BC189" i="1"/>
  <c r="BB189" i="1"/>
  <c r="BA189" i="1"/>
  <c r="AV189" i="1"/>
  <c r="AU189" i="1"/>
  <c r="AT189" i="1"/>
  <c r="AO189" i="1"/>
  <c r="AN189" i="1"/>
  <c r="AJ189" i="1"/>
  <c r="AC189" i="1"/>
  <c r="Y189" i="1"/>
  <c r="S189" i="1"/>
  <c r="K189" i="1"/>
  <c r="J189" i="1"/>
  <c r="EV3" i="1"/>
  <c r="EU3" i="1"/>
  <c r="ET3" i="1"/>
  <c r="EG3" i="1"/>
  <c r="EC3" i="1"/>
  <c r="DY3" i="1"/>
  <c r="DQ3" i="1"/>
  <c r="DK3" i="1"/>
  <c r="DH3" i="1"/>
  <c r="DD3" i="1"/>
  <c r="CW3" i="1"/>
  <c r="CP3" i="1"/>
  <c r="CL3" i="1"/>
  <c r="CG3" i="1"/>
  <c r="CB3" i="1"/>
  <c r="BW3" i="1"/>
  <c r="BV3" i="1"/>
  <c r="BQ3" i="1"/>
  <c r="BP3" i="1"/>
  <c r="BO3" i="1"/>
  <c r="BJ3" i="1"/>
  <c r="BI3" i="1"/>
  <c r="BH3" i="1"/>
  <c r="BC3" i="1"/>
  <c r="BB3" i="1"/>
  <c r="BA3" i="1"/>
  <c r="AV3" i="1"/>
  <c r="AU3" i="1"/>
  <c r="AT3" i="1"/>
  <c r="AO3" i="1"/>
  <c r="AN3" i="1"/>
  <c r="AJ3" i="1"/>
  <c r="AC3" i="1"/>
  <c r="AB3" i="1"/>
  <c r="Y3" i="1"/>
  <c r="S3" i="1"/>
  <c r="K3" i="1"/>
  <c r="J3" i="1"/>
  <c r="EV221" i="1"/>
  <c r="EU221" i="1"/>
  <c r="ET221" i="1"/>
  <c r="EG221" i="1"/>
  <c r="EC221" i="1"/>
  <c r="DY221" i="1"/>
  <c r="DQ221" i="1"/>
  <c r="DK221" i="1"/>
  <c r="DH221" i="1"/>
  <c r="DD221" i="1"/>
  <c r="CW221" i="1"/>
  <c r="CP221" i="1"/>
  <c r="CL221" i="1"/>
  <c r="CG221" i="1"/>
  <c r="CB221" i="1"/>
  <c r="BW221" i="1"/>
  <c r="BV221" i="1"/>
  <c r="BQ221" i="1"/>
  <c r="BP221" i="1"/>
  <c r="BO221" i="1"/>
  <c r="BJ221" i="1"/>
  <c r="BI221" i="1"/>
  <c r="BH221" i="1"/>
  <c r="BC221" i="1"/>
  <c r="BB221" i="1"/>
  <c r="BA221" i="1"/>
  <c r="AV221" i="1"/>
  <c r="AU221" i="1"/>
  <c r="AT221" i="1"/>
  <c r="AO221" i="1"/>
  <c r="AN221" i="1"/>
  <c r="AJ221" i="1"/>
  <c r="AC221" i="1"/>
  <c r="AB221" i="1"/>
  <c r="Y221" i="1"/>
  <c r="S221" i="1"/>
  <c r="K221" i="1"/>
  <c r="J221" i="1"/>
  <c r="EV180" i="1"/>
  <c r="EU180" i="1"/>
  <c r="ET180" i="1"/>
  <c r="EG180" i="1"/>
  <c r="EC180" i="1"/>
  <c r="DQ180" i="1"/>
  <c r="DK180" i="1"/>
  <c r="DH180" i="1"/>
  <c r="DD180" i="1"/>
  <c r="CW180" i="1"/>
  <c r="CP180" i="1"/>
  <c r="CL180" i="1"/>
  <c r="CG180" i="1"/>
  <c r="CB180" i="1"/>
  <c r="BW180" i="1"/>
  <c r="BV180" i="1"/>
  <c r="BQ180" i="1"/>
  <c r="BP180" i="1"/>
  <c r="BO180" i="1"/>
  <c r="BJ180" i="1"/>
  <c r="BI180" i="1"/>
  <c r="BH180" i="1"/>
  <c r="BC180" i="1"/>
  <c r="BB180" i="1"/>
  <c r="BA180" i="1"/>
  <c r="AV180" i="1"/>
  <c r="AU180" i="1"/>
  <c r="AT180" i="1"/>
  <c r="AO180" i="1"/>
  <c r="AN180" i="1"/>
  <c r="AC180" i="1"/>
  <c r="AB180" i="1"/>
  <c r="Y180" i="1"/>
  <c r="S180" i="1"/>
  <c r="K180" i="1"/>
  <c r="J180" i="1"/>
  <c r="EV225" i="1"/>
  <c r="EU225" i="1"/>
  <c r="ET225" i="1"/>
  <c r="EC225" i="1"/>
  <c r="DQ225" i="1"/>
  <c r="DK225" i="1"/>
  <c r="DH225" i="1"/>
  <c r="DD225" i="1"/>
  <c r="CW225" i="1"/>
  <c r="CP225" i="1"/>
  <c r="CL225" i="1"/>
  <c r="CG225" i="1"/>
  <c r="CB225" i="1"/>
  <c r="BW225" i="1"/>
  <c r="BV225" i="1"/>
  <c r="BQ225" i="1"/>
  <c r="BP225" i="1"/>
  <c r="BO225" i="1"/>
  <c r="BJ225" i="1"/>
  <c r="BI225" i="1"/>
  <c r="BH225" i="1"/>
  <c r="BC225" i="1"/>
  <c r="BB225" i="1"/>
  <c r="BA225" i="1"/>
  <c r="AV225" i="1"/>
  <c r="AU225" i="1"/>
  <c r="AT225" i="1"/>
  <c r="AO225" i="1"/>
  <c r="AN225" i="1"/>
  <c r="AC225" i="1"/>
  <c r="Y225" i="1"/>
  <c r="S225" i="1"/>
  <c r="K225" i="1"/>
  <c r="J225" i="1"/>
  <c r="EV272" i="1"/>
  <c r="EU272" i="1"/>
  <c r="ET272" i="1"/>
  <c r="EG272" i="1"/>
  <c r="EC272" i="1"/>
  <c r="DY272" i="1"/>
  <c r="DQ272" i="1"/>
  <c r="DK272" i="1"/>
  <c r="DH272" i="1"/>
  <c r="DD272" i="1"/>
  <c r="CW272" i="1"/>
  <c r="CP272" i="1"/>
  <c r="CL272" i="1"/>
  <c r="CG272" i="1"/>
  <c r="CB272" i="1"/>
  <c r="BW272" i="1"/>
  <c r="BV272" i="1"/>
  <c r="BQ272" i="1"/>
  <c r="BP272" i="1"/>
  <c r="BO272" i="1"/>
  <c r="BJ272" i="1"/>
  <c r="BI272" i="1"/>
  <c r="BH272" i="1"/>
  <c r="BC272" i="1"/>
  <c r="BB272" i="1"/>
  <c r="BA272" i="1"/>
  <c r="AV272" i="1"/>
  <c r="AU272" i="1"/>
  <c r="AT272" i="1"/>
  <c r="AO272" i="1"/>
  <c r="AN272" i="1"/>
  <c r="AJ272" i="1"/>
  <c r="AC272" i="1"/>
  <c r="AB272" i="1"/>
  <c r="Y272" i="1"/>
  <c r="S272" i="1"/>
  <c r="K272" i="1"/>
  <c r="J272" i="1"/>
  <c r="EV273" i="1"/>
  <c r="EU273" i="1"/>
  <c r="ET273" i="1"/>
  <c r="EG273" i="1"/>
  <c r="EC273" i="1"/>
  <c r="DY273" i="1"/>
  <c r="DQ273" i="1"/>
  <c r="DK273" i="1"/>
  <c r="DH273" i="1"/>
  <c r="DD273" i="1"/>
  <c r="CW273" i="1"/>
  <c r="CL273" i="1"/>
  <c r="CG273" i="1"/>
  <c r="CB273" i="1"/>
  <c r="BW273" i="1"/>
  <c r="BV273" i="1"/>
  <c r="BQ273" i="1"/>
  <c r="BP273" i="1"/>
  <c r="BO273" i="1"/>
  <c r="BJ273" i="1"/>
  <c r="BI273" i="1"/>
  <c r="BH273" i="1"/>
  <c r="BC273" i="1"/>
  <c r="BB273" i="1"/>
  <c r="BA273" i="1"/>
  <c r="AV273" i="1"/>
  <c r="AU273" i="1"/>
  <c r="AT273" i="1"/>
  <c r="AO273" i="1"/>
  <c r="AN273" i="1"/>
  <c r="AJ273" i="1"/>
  <c r="AC273" i="1"/>
  <c r="AB273" i="1"/>
  <c r="Y273" i="1"/>
  <c r="S273" i="1"/>
  <c r="K273" i="1"/>
  <c r="J273" i="1"/>
  <c r="EV159" i="1"/>
  <c r="EU159" i="1"/>
  <c r="ET159" i="1"/>
  <c r="EC159" i="1"/>
  <c r="DQ159" i="1"/>
  <c r="DK159" i="1"/>
  <c r="DH159" i="1"/>
  <c r="DD159" i="1"/>
  <c r="CW159" i="1"/>
  <c r="CP159" i="1"/>
  <c r="CL159" i="1"/>
  <c r="CG159" i="1"/>
  <c r="CB159" i="1"/>
  <c r="BW159" i="1"/>
  <c r="BV159" i="1"/>
  <c r="BQ159" i="1"/>
  <c r="BP159" i="1"/>
  <c r="BO159" i="1"/>
  <c r="BJ159" i="1"/>
  <c r="BI159" i="1"/>
  <c r="BH159" i="1"/>
  <c r="BC159" i="1"/>
  <c r="BB159" i="1"/>
  <c r="BA159" i="1"/>
  <c r="AV159" i="1"/>
  <c r="AU159" i="1"/>
  <c r="AT159" i="1"/>
  <c r="AO159" i="1"/>
  <c r="AN159" i="1"/>
  <c r="AC159" i="1"/>
  <c r="Y159" i="1"/>
  <c r="S159" i="1"/>
  <c r="K159" i="1"/>
  <c r="J159" i="1"/>
  <c r="EV97" i="1"/>
  <c r="EU97" i="1"/>
  <c r="ET97" i="1"/>
  <c r="EC97" i="1"/>
  <c r="DQ97" i="1"/>
  <c r="DK97" i="1"/>
  <c r="DH97" i="1"/>
  <c r="DD97" i="1"/>
  <c r="CW97" i="1"/>
  <c r="CP97" i="1"/>
  <c r="CL97" i="1"/>
  <c r="CG97" i="1"/>
  <c r="CB97" i="1"/>
  <c r="BW97" i="1"/>
  <c r="BV97" i="1"/>
  <c r="BQ97" i="1"/>
  <c r="BP97" i="1"/>
  <c r="BO97" i="1"/>
  <c r="BJ97" i="1"/>
  <c r="BI97" i="1"/>
  <c r="BH97" i="1"/>
  <c r="BC97" i="1"/>
  <c r="BB97" i="1"/>
  <c r="BA97" i="1"/>
  <c r="AV97" i="1"/>
  <c r="AU97" i="1"/>
  <c r="AT97" i="1"/>
  <c r="AO97" i="1"/>
  <c r="AN97" i="1"/>
  <c r="AC97" i="1"/>
  <c r="Y97" i="1"/>
  <c r="S97" i="1"/>
  <c r="K97" i="1"/>
  <c r="J97" i="1"/>
  <c r="EV20" i="1"/>
  <c r="EU20" i="1"/>
  <c r="ET20" i="1"/>
  <c r="EG20" i="1"/>
  <c r="EC20" i="1"/>
  <c r="DY20" i="1"/>
  <c r="DQ20" i="1"/>
  <c r="DK20" i="1"/>
  <c r="DH20" i="1"/>
  <c r="DD20" i="1"/>
  <c r="CW20" i="1"/>
  <c r="CP20" i="1"/>
  <c r="CL20" i="1"/>
  <c r="CG20" i="1"/>
  <c r="CB20" i="1"/>
  <c r="BW20" i="1"/>
  <c r="BV20" i="1"/>
  <c r="BQ20" i="1"/>
  <c r="BP20" i="1"/>
  <c r="BO20" i="1"/>
  <c r="BJ20" i="1"/>
  <c r="BI20" i="1"/>
  <c r="BH20" i="1"/>
  <c r="BC20" i="1"/>
  <c r="BB20" i="1"/>
  <c r="BA20" i="1"/>
  <c r="AV20" i="1"/>
  <c r="AU20" i="1"/>
  <c r="AT20" i="1"/>
  <c r="AO20" i="1"/>
  <c r="AN20" i="1"/>
  <c r="AJ20" i="1"/>
  <c r="AC20" i="1"/>
  <c r="AB20" i="1"/>
  <c r="Y20" i="1"/>
  <c r="S20" i="1"/>
  <c r="K20" i="1"/>
  <c r="J20" i="1"/>
  <c r="EV85" i="1"/>
  <c r="EU85" i="1"/>
  <c r="ET85" i="1"/>
  <c r="EC85" i="1"/>
  <c r="DQ85" i="1"/>
  <c r="DK85" i="1"/>
  <c r="DH85" i="1"/>
  <c r="DD85" i="1"/>
  <c r="CW85" i="1"/>
  <c r="CP85" i="1"/>
  <c r="CL85" i="1"/>
  <c r="CG85" i="1"/>
  <c r="CB85" i="1"/>
  <c r="BW85" i="1"/>
  <c r="BV85" i="1"/>
  <c r="BQ85" i="1"/>
  <c r="BP85" i="1"/>
  <c r="BO85" i="1"/>
  <c r="BJ85" i="1"/>
  <c r="BI85" i="1"/>
  <c r="BH85" i="1"/>
  <c r="BC85" i="1"/>
  <c r="BB85" i="1"/>
  <c r="BA85" i="1"/>
  <c r="AV85" i="1"/>
  <c r="AU85" i="1"/>
  <c r="AT85" i="1"/>
  <c r="AO85" i="1"/>
  <c r="AN85" i="1"/>
  <c r="AC85" i="1"/>
  <c r="Y85" i="1"/>
  <c r="S85" i="1"/>
  <c r="K85" i="1"/>
  <c r="J85" i="1"/>
  <c r="EV63" i="1"/>
  <c r="EU63" i="1"/>
  <c r="ET63" i="1"/>
  <c r="EC63" i="1"/>
  <c r="DQ63" i="1"/>
  <c r="DK63" i="1"/>
  <c r="DH63" i="1"/>
  <c r="DD63" i="1"/>
  <c r="CW63" i="1"/>
  <c r="CP63" i="1"/>
  <c r="CL63" i="1"/>
  <c r="CG63" i="1"/>
  <c r="CB63" i="1"/>
  <c r="BW63" i="1"/>
  <c r="BV63" i="1"/>
  <c r="BQ63" i="1"/>
  <c r="BP63" i="1"/>
  <c r="BO63" i="1"/>
  <c r="BJ63" i="1"/>
  <c r="BI63" i="1"/>
  <c r="BH63" i="1"/>
  <c r="BC63" i="1"/>
  <c r="BB63" i="1"/>
  <c r="BA63" i="1"/>
  <c r="AV63" i="1"/>
  <c r="AU63" i="1"/>
  <c r="AT63" i="1"/>
  <c r="AO63" i="1"/>
  <c r="AN63" i="1"/>
  <c r="AC63" i="1"/>
  <c r="Y63" i="1"/>
  <c r="S63" i="1"/>
  <c r="K63" i="1"/>
  <c r="J63" i="1"/>
  <c r="EV163" i="1"/>
  <c r="EU163" i="1"/>
  <c r="ET163" i="1"/>
  <c r="EC163" i="1"/>
  <c r="DY163" i="1"/>
  <c r="DQ163" i="1"/>
  <c r="DK163" i="1"/>
  <c r="DH163" i="1"/>
  <c r="DD163" i="1"/>
  <c r="CW163" i="1"/>
  <c r="CP163" i="1"/>
  <c r="CL163" i="1"/>
  <c r="CG163" i="1"/>
  <c r="CB163" i="1"/>
  <c r="BW163" i="1"/>
  <c r="BV163" i="1"/>
  <c r="BQ163" i="1"/>
  <c r="BP163" i="1"/>
  <c r="BO163" i="1"/>
  <c r="BJ163" i="1"/>
  <c r="BI163" i="1"/>
  <c r="BH163" i="1"/>
  <c r="BC163" i="1"/>
  <c r="BB163" i="1"/>
  <c r="BA163" i="1"/>
  <c r="AV163" i="1"/>
  <c r="AU163" i="1"/>
  <c r="AT163" i="1"/>
  <c r="AO163" i="1"/>
  <c r="AN163" i="1"/>
  <c r="AJ163" i="1"/>
  <c r="AC163" i="1"/>
  <c r="Y163" i="1"/>
  <c r="S163" i="1"/>
  <c r="K163" i="1"/>
  <c r="J163" i="1"/>
  <c r="EV134" i="1"/>
  <c r="EU134" i="1"/>
  <c r="ET134" i="1"/>
  <c r="EG134" i="1"/>
  <c r="EC134" i="1"/>
  <c r="DQ134" i="1"/>
  <c r="DK134" i="1"/>
  <c r="DH134" i="1"/>
  <c r="DD134" i="1"/>
  <c r="CW134" i="1"/>
  <c r="CP134" i="1"/>
  <c r="CL134" i="1"/>
  <c r="CG134" i="1"/>
  <c r="CB134" i="1"/>
  <c r="BW134" i="1"/>
  <c r="BV134" i="1"/>
  <c r="BQ134" i="1"/>
  <c r="BP134" i="1"/>
  <c r="BO134" i="1"/>
  <c r="BJ134" i="1"/>
  <c r="BI134" i="1"/>
  <c r="BH134" i="1"/>
  <c r="BC134" i="1"/>
  <c r="BB134" i="1"/>
  <c r="BA134" i="1"/>
  <c r="AV134" i="1"/>
  <c r="AU134" i="1"/>
  <c r="AT134" i="1"/>
  <c r="AO134" i="1"/>
  <c r="AN134" i="1"/>
  <c r="AC134" i="1"/>
  <c r="AB134" i="1"/>
  <c r="Y134" i="1"/>
  <c r="S134" i="1"/>
  <c r="K134" i="1"/>
  <c r="J134" i="1"/>
  <c r="EV100" i="1"/>
  <c r="EU100" i="1"/>
  <c r="ET100" i="1"/>
  <c r="EC100" i="1"/>
  <c r="DY100" i="1"/>
  <c r="DQ100" i="1"/>
  <c r="DK100" i="1"/>
  <c r="DH100" i="1"/>
  <c r="DD100" i="1"/>
  <c r="CW100" i="1"/>
  <c r="CP100" i="1"/>
  <c r="CL100" i="1"/>
  <c r="CG100" i="1"/>
  <c r="CB100" i="1"/>
  <c r="BW100" i="1"/>
  <c r="BV100" i="1"/>
  <c r="BQ100" i="1"/>
  <c r="BP100" i="1"/>
  <c r="BO100" i="1"/>
  <c r="BJ100" i="1"/>
  <c r="BI100" i="1"/>
  <c r="BH100" i="1"/>
  <c r="BC100" i="1"/>
  <c r="BB100" i="1"/>
  <c r="BA100" i="1"/>
  <c r="AV100" i="1"/>
  <c r="AU100" i="1"/>
  <c r="AT100" i="1"/>
  <c r="AO100" i="1"/>
  <c r="AN100" i="1"/>
  <c r="AJ100" i="1"/>
  <c r="AC100" i="1"/>
  <c r="Y100" i="1"/>
  <c r="S100" i="1"/>
  <c r="K100" i="1"/>
  <c r="J100" i="1"/>
  <c r="EV147" i="1"/>
  <c r="EU147" i="1"/>
  <c r="ET147" i="1"/>
  <c r="EC147" i="1"/>
  <c r="DQ147" i="1"/>
  <c r="DK147" i="1"/>
  <c r="DH147" i="1"/>
  <c r="DD147" i="1"/>
  <c r="CW147" i="1"/>
  <c r="CP147" i="1"/>
  <c r="CL147" i="1"/>
  <c r="CG147" i="1"/>
  <c r="CB147" i="1"/>
  <c r="BW147" i="1"/>
  <c r="BV147" i="1"/>
  <c r="BQ147" i="1"/>
  <c r="BP147" i="1"/>
  <c r="BO147" i="1"/>
  <c r="BJ147" i="1"/>
  <c r="BI147" i="1"/>
  <c r="BH147" i="1"/>
  <c r="BC147" i="1"/>
  <c r="BB147" i="1"/>
  <c r="BA147" i="1"/>
  <c r="AV147" i="1"/>
  <c r="AU147" i="1"/>
  <c r="AT147" i="1"/>
  <c r="AO147" i="1"/>
  <c r="AN147" i="1"/>
  <c r="AC147" i="1"/>
  <c r="Y147" i="1"/>
  <c r="S147" i="1"/>
  <c r="K147" i="1"/>
  <c r="J147" i="1"/>
  <c r="EV211" i="1"/>
  <c r="EU211" i="1"/>
  <c r="ET211" i="1"/>
  <c r="EC211" i="1"/>
  <c r="DY211" i="1"/>
  <c r="DQ211" i="1"/>
  <c r="DK211" i="1"/>
  <c r="DH211" i="1"/>
  <c r="DD211" i="1"/>
  <c r="CW211" i="1"/>
  <c r="CP211" i="1"/>
  <c r="CL211" i="1"/>
  <c r="CG211" i="1"/>
  <c r="CB211" i="1"/>
  <c r="BW211" i="1"/>
  <c r="BV211" i="1"/>
  <c r="BQ211" i="1"/>
  <c r="BP211" i="1"/>
  <c r="BO211" i="1"/>
  <c r="BJ211" i="1"/>
  <c r="BI211" i="1"/>
  <c r="BH211" i="1"/>
  <c r="BC211" i="1"/>
  <c r="BB211" i="1"/>
  <c r="BA211" i="1"/>
  <c r="AV211" i="1"/>
  <c r="AU211" i="1"/>
  <c r="AT211" i="1"/>
  <c r="AO211" i="1"/>
  <c r="AN211" i="1"/>
  <c r="AJ211" i="1"/>
  <c r="AC211" i="1"/>
  <c r="Y211" i="1"/>
  <c r="S211" i="1"/>
  <c r="K211" i="1"/>
  <c r="J211" i="1"/>
  <c r="EV6" i="1"/>
  <c r="EU6" i="1"/>
  <c r="ET6" i="1"/>
  <c r="EG6" i="1"/>
  <c r="EC6" i="1"/>
  <c r="DQ6" i="1"/>
  <c r="DK6" i="1"/>
  <c r="DH6" i="1"/>
  <c r="DD6" i="1"/>
  <c r="CW6" i="1"/>
  <c r="CP6" i="1"/>
  <c r="CL6" i="1"/>
  <c r="CG6" i="1"/>
  <c r="CB6" i="1"/>
  <c r="BW6" i="1"/>
  <c r="BV6" i="1"/>
  <c r="BQ6" i="1"/>
  <c r="BP6" i="1"/>
  <c r="BO6" i="1"/>
  <c r="BJ6" i="1"/>
  <c r="BI6" i="1"/>
  <c r="BH6" i="1"/>
  <c r="BC6" i="1"/>
  <c r="BB6" i="1"/>
  <c r="BA6" i="1"/>
  <c r="AV6" i="1"/>
  <c r="AU6" i="1"/>
  <c r="AT6" i="1"/>
  <c r="AO6" i="1"/>
  <c r="AN6" i="1"/>
  <c r="AC6" i="1"/>
  <c r="AB6" i="1"/>
  <c r="Y6" i="1"/>
  <c r="S6" i="1"/>
  <c r="K6" i="1"/>
  <c r="J6" i="1"/>
  <c r="EV34" i="1"/>
  <c r="EU34" i="1"/>
  <c r="ET34" i="1"/>
  <c r="EG34" i="1"/>
  <c r="EC34" i="1"/>
  <c r="DY34" i="1"/>
  <c r="DQ34" i="1"/>
  <c r="DK34" i="1"/>
  <c r="DH34" i="1"/>
  <c r="DD34" i="1"/>
  <c r="CW34" i="1"/>
  <c r="CP34" i="1"/>
  <c r="CL34" i="1"/>
  <c r="CG34" i="1"/>
  <c r="CB34" i="1"/>
  <c r="BW34" i="1"/>
  <c r="BV34" i="1"/>
  <c r="BQ34" i="1"/>
  <c r="BP34" i="1"/>
  <c r="BO34" i="1"/>
  <c r="BJ34" i="1"/>
  <c r="BI34" i="1"/>
  <c r="BH34" i="1"/>
  <c r="BC34" i="1"/>
  <c r="BB34" i="1"/>
  <c r="BA34" i="1"/>
  <c r="AV34" i="1"/>
  <c r="AU34" i="1"/>
  <c r="AT34" i="1"/>
  <c r="AO34" i="1"/>
  <c r="AN34" i="1"/>
  <c r="AJ34" i="1"/>
  <c r="AC34" i="1"/>
  <c r="AB34" i="1"/>
  <c r="Y34" i="1"/>
  <c r="S34" i="1"/>
  <c r="K34" i="1"/>
  <c r="J34" i="1"/>
  <c r="EV276" i="1"/>
  <c r="EU276" i="1"/>
  <c r="ET276" i="1"/>
  <c r="EC276" i="1"/>
  <c r="DY276" i="1"/>
  <c r="DQ276" i="1"/>
  <c r="DK276" i="1"/>
  <c r="DH276" i="1"/>
  <c r="DD276" i="1"/>
  <c r="CW276" i="1"/>
  <c r="CP276" i="1"/>
  <c r="CL276" i="1"/>
  <c r="CG276" i="1"/>
  <c r="CB276" i="1"/>
  <c r="BW276" i="1"/>
  <c r="BV276" i="1"/>
  <c r="BQ276" i="1"/>
  <c r="BP276" i="1"/>
  <c r="BO276" i="1"/>
  <c r="BJ276" i="1"/>
  <c r="BI276" i="1"/>
  <c r="BH276" i="1"/>
  <c r="BC276" i="1"/>
  <c r="BB276" i="1"/>
  <c r="BA276" i="1"/>
  <c r="AV276" i="1"/>
  <c r="AU276" i="1"/>
  <c r="AT276" i="1"/>
  <c r="AO276" i="1"/>
  <c r="AN276" i="1"/>
  <c r="AJ276" i="1"/>
  <c r="AC276" i="1"/>
  <c r="Y276" i="1"/>
  <c r="S276" i="1"/>
  <c r="K276" i="1"/>
  <c r="J276" i="1"/>
  <c r="EV25" i="1"/>
  <c r="EU25" i="1"/>
  <c r="ET25" i="1"/>
  <c r="EG25" i="1"/>
  <c r="EC25" i="1"/>
  <c r="DY25" i="1"/>
  <c r="DQ25" i="1"/>
  <c r="DK25" i="1"/>
  <c r="DH25" i="1"/>
  <c r="DD25" i="1"/>
  <c r="CW25" i="1"/>
  <c r="CP25" i="1"/>
  <c r="CL25" i="1"/>
  <c r="CG25" i="1"/>
  <c r="CB25" i="1"/>
  <c r="BW25" i="1"/>
  <c r="BV25" i="1"/>
  <c r="BQ25" i="1"/>
  <c r="BP25" i="1"/>
  <c r="BO25" i="1"/>
  <c r="BJ25" i="1"/>
  <c r="BI25" i="1"/>
  <c r="BH25" i="1"/>
  <c r="BC25" i="1"/>
  <c r="BB25" i="1"/>
  <c r="BA25" i="1"/>
  <c r="AV25" i="1"/>
  <c r="AU25" i="1"/>
  <c r="AT25" i="1"/>
  <c r="AO25" i="1"/>
  <c r="AN25" i="1"/>
  <c r="AJ25" i="1"/>
  <c r="AC25" i="1"/>
  <c r="AB25" i="1"/>
  <c r="Y25" i="1"/>
  <c r="S25" i="1"/>
  <c r="K25" i="1"/>
  <c r="J25" i="1"/>
  <c r="EV243" i="1"/>
  <c r="EU243" i="1"/>
  <c r="ET243" i="1"/>
  <c r="EC243" i="1"/>
  <c r="DQ243" i="1"/>
  <c r="DK243" i="1"/>
  <c r="DH243" i="1"/>
  <c r="DD243" i="1"/>
  <c r="CW243" i="1"/>
  <c r="CP243" i="1"/>
  <c r="CL243" i="1"/>
  <c r="CG243" i="1"/>
  <c r="CB243" i="1"/>
  <c r="BW243" i="1"/>
  <c r="BV243" i="1"/>
  <c r="BQ243" i="1"/>
  <c r="BP243" i="1"/>
  <c r="BO243" i="1"/>
  <c r="BJ243" i="1"/>
  <c r="BI243" i="1"/>
  <c r="BH243" i="1"/>
  <c r="BC243" i="1"/>
  <c r="BB243" i="1"/>
  <c r="BA243" i="1"/>
  <c r="AV243" i="1"/>
  <c r="AU243" i="1"/>
  <c r="AT243" i="1"/>
  <c r="AO243" i="1"/>
  <c r="AN243" i="1"/>
  <c r="AC243" i="1"/>
  <c r="Y243" i="1"/>
  <c r="S243" i="1"/>
  <c r="K243" i="1"/>
  <c r="J243" i="1"/>
  <c r="EV17" i="1"/>
  <c r="EU17" i="1"/>
  <c r="ET17" i="1"/>
  <c r="EG17" i="1"/>
  <c r="EC17" i="1"/>
  <c r="DY17" i="1"/>
  <c r="DQ17" i="1"/>
  <c r="DK17" i="1"/>
  <c r="DH17" i="1"/>
  <c r="DD17" i="1"/>
  <c r="CW17" i="1"/>
  <c r="CP17" i="1"/>
  <c r="CL17" i="1"/>
  <c r="CG17" i="1"/>
  <c r="CB17" i="1"/>
  <c r="BW17" i="1"/>
  <c r="BV17" i="1"/>
  <c r="BQ17" i="1"/>
  <c r="BP17" i="1"/>
  <c r="BO17" i="1"/>
  <c r="BJ17" i="1"/>
  <c r="BI17" i="1"/>
  <c r="BH17" i="1"/>
  <c r="BC17" i="1"/>
  <c r="BB17" i="1"/>
  <c r="BA17" i="1"/>
  <c r="AV17" i="1"/>
  <c r="AU17" i="1"/>
  <c r="AT17" i="1"/>
  <c r="AO17" i="1"/>
  <c r="AN17" i="1"/>
  <c r="AJ17" i="1"/>
  <c r="AC17" i="1"/>
  <c r="AB17" i="1"/>
  <c r="Y17" i="1"/>
  <c r="S17" i="1"/>
  <c r="K17" i="1"/>
  <c r="J17" i="1"/>
  <c r="EV155" i="1"/>
  <c r="EU155" i="1"/>
  <c r="ET155" i="1"/>
  <c r="EG155" i="1"/>
  <c r="EC155" i="1"/>
  <c r="DQ155" i="1"/>
  <c r="DK155" i="1"/>
  <c r="DH155" i="1"/>
  <c r="DD155" i="1"/>
  <c r="CW155" i="1"/>
  <c r="CP155" i="1"/>
  <c r="CL155" i="1"/>
  <c r="CG155" i="1"/>
  <c r="CB155" i="1"/>
  <c r="BW155" i="1"/>
  <c r="BV155" i="1"/>
  <c r="BQ155" i="1"/>
  <c r="BP155" i="1"/>
  <c r="BO155" i="1"/>
  <c r="BJ155" i="1"/>
  <c r="BI155" i="1"/>
  <c r="BH155" i="1"/>
  <c r="BC155" i="1"/>
  <c r="BB155" i="1"/>
  <c r="BA155" i="1"/>
  <c r="AV155" i="1"/>
  <c r="AU155" i="1"/>
  <c r="AT155" i="1"/>
  <c r="AO155" i="1"/>
  <c r="AN155" i="1"/>
  <c r="AC155" i="1"/>
  <c r="AB155" i="1"/>
  <c r="Y155" i="1"/>
  <c r="S155" i="1"/>
  <c r="K155" i="1"/>
  <c r="J155" i="1"/>
  <c r="EV268" i="1"/>
  <c r="EU268" i="1"/>
  <c r="ET268" i="1"/>
  <c r="EG268" i="1"/>
  <c r="EC268" i="1"/>
  <c r="DQ268" i="1"/>
  <c r="DK268" i="1"/>
  <c r="DH268" i="1"/>
  <c r="DD268" i="1"/>
  <c r="CW268" i="1"/>
  <c r="CP268" i="1"/>
  <c r="CL268" i="1"/>
  <c r="CG268" i="1"/>
  <c r="CB268" i="1"/>
  <c r="BW268" i="1"/>
  <c r="BV268" i="1"/>
  <c r="BQ268" i="1"/>
  <c r="BP268" i="1"/>
  <c r="BO268" i="1"/>
  <c r="BJ268" i="1"/>
  <c r="BI268" i="1"/>
  <c r="BH268" i="1"/>
  <c r="BC268" i="1"/>
  <c r="BB268" i="1"/>
  <c r="BA268" i="1"/>
  <c r="AV268" i="1"/>
  <c r="AU268" i="1"/>
  <c r="AT268" i="1"/>
  <c r="AO268" i="1"/>
  <c r="AN268" i="1"/>
  <c r="AC268" i="1"/>
  <c r="AB268" i="1"/>
  <c r="Y268" i="1"/>
  <c r="S268" i="1"/>
  <c r="K268" i="1"/>
  <c r="J268" i="1"/>
  <c r="EV144" i="1"/>
  <c r="EU144" i="1"/>
  <c r="ET144" i="1"/>
  <c r="EC144" i="1"/>
  <c r="DQ144" i="1"/>
  <c r="DK144" i="1"/>
  <c r="DH144" i="1"/>
  <c r="DD144" i="1"/>
  <c r="CW144" i="1"/>
  <c r="CP144" i="1"/>
  <c r="CL144" i="1"/>
  <c r="CG144" i="1"/>
  <c r="CB144" i="1"/>
  <c r="BW144" i="1"/>
  <c r="BV144" i="1"/>
  <c r="BQ144" i="1"/>
  <c r="BP144" i="1"/>
  <c r="BO144" i="1"/>
  <c r="BJ144" i="1"/>
  <c r="BI144" i="1"/>
  <c r="BH144" i="1"/>
  <c r="BC144" i="1"/>
  <c r="BB144" i="1"/>
  <c r="BA144" i="1"/>
  <c r="AV144" i="1"/>
  <c r="AU144" i="1"/>
  <c r="AT144" i="1"/>
  <c r="AO144" i="1"/>
  <c r="AN144" i="1"/>
  <c r="AC144" i="1"/>
  <c r="Y144" i="1"/>
  <c r="S144" i="1"/>
  <c r="K144" i="1"/>
  <c r="J144" i="1"/>
  <c r="EV167" i="1"/>
  <c r="EU167" i="1"/>
  <c r="ET167" i="1"/>
  <c r="EC167" i="1"/>
  <c r="DQ167" i="1"/>
  <c r="DK167" i="1"/>
  <c r="DH167" i="1"/>
  <c r="DD167" i="1"/>
  <c r="CW167" i="1"/>
  <c r="CP167" i="1"/>
  <c r="CL167" i="1"/>
  <c r="CG167" i="1"/>
  <c r="CB167" i="1"/>
  <c r="BW167" i="1"/>
  <c r="BV167" i="1"/>
  <c r="BQ167" i="1"/>
  <c r="BP167" i="1"/>
  <c r="BO167" i="1"/>
  <c r="BJ167" i="1"/>
  <c r="BI167" i="1"/>
  <c r="BH167" i="1"/>
  <c r="BC167" i="1"/>
  <c r="BB167" i="1"/>
  <c r="BA167" i="1"/>
  <c r="AV167" i="1"/>
  <c r="AU167" i="1"/>
  <c r="AT167" i="1"/>
  <c r="AO167" i="1"/>
  <c r="AN167" i="1"/>
  <c r="AC167" i="1"/>
  <c r="Y167" i="1"/>
  <c r="S167" i="1"/>
  <c r="K167" i="1"/>
  <c r="J167" i="1"/>
  <c r="EV109" i="1"/>
  <c r="EU109" i="1"/>
  <c r="ET109" i="1"/>
  <c r="EC109" i="1"/>
  <c r="DQ109" i="1"/>
  <c r="DK109" i="1"/>
  <c r="DH109" i="1"/>
  <c r="DD109" i="1"/>
  <c r="CW109" i="1"/>
  <c r="CP109" i="1"/>
  <c r="CL109" i="1"/>
  <c r="CG109" i="1"/>
  <c r="CB109" i="1"/>
  <c r="BW109" i="1"/>
  <c r="BV109" i="1"/>
  <c r="BQ109" i="1"/>
  <c r="BP109" i="1"/>
  <c r="BO109" i="1"/>
  <c r="BJ109" i="1"/>
  <c r="BI109" i="1"/>
  <c r="BH109" i="1"/>
  <c r="BC109" i="1"/>
  <c r="BB109" i="1"/>
  <c r="BA109" i="1"/>
  <c r="AV109" i="1"/>
  <c r="AU109" i="1"/>
  <c r="AT109" i="1"/>
  <c r="AO109" i="1"/>
  <c r="AN109" i="1"/>
  <c r="AC109" i="1"/>
  <c r="Y109" i="1"/>
  <c r="S109" i="1"/>
  <c r="K109" i="1"/>
  <c r="J109" i="1"/>
  <c r="EV7" i="1"/>
  <c r="EU7" i="1"/>
  <c r="ET7" i="1"/>
  <c r="EC7" i="1"/>
  <c r="DQ7" i="1"/>
  <c r="DK7" i="1"/>
  <c r="DH7" i="1"/>
  <c r="DD7" i="1"/>
  <c r="CW7" i="1"/>
  <c r="CP7" i="1"/>
  <c r="CL7" i="1"/>
  <c r="CG7" i="1"/>
  <c r="CB7" i="1"/>
  <c r="BW7" i="1"/>
  <c r="BV7" i="1"/>
  <c r="BQ7" i="1"/>
  <c r="BP7" i="1"/>
  <c r="BO7" i="1"/>
  <c r="BJ7" i="1"/>
  <c r="BI7" i="1"/>
  <c r="BH7" i="1"/>
  <c r="BC7" i="1"/>
  <c r="BB7" i="1"/>
  <c r="BA7" i="1"/>
  <c r="AV7" i="1"/>
  <c r="AU7" i="1"/>
  <c r="AT7" i="1"/>
  <c r="AO7" i="1"/>
  <c r="AN7" i="1"/>
  <c r="AC7" i="1"/>
  <c r="Y7" i="1"/>
  <c r="S7" i="1"/>
  <c r="K7" i="1"/>
  <c r="J7" i="1"/>
  <c r="EV9" i="1"/>
  <c r="EU9" i="1"/>
  <c r="ET9" i="1"/>
  <c r="EC9" i="1"/>
  <c r="DY9" i="1"/>
  <c r="DQ9" i="1"/>
  <c r="DK9" i="1"/>
  <c r="DH9" i="1"/>
  <c r="DD9" i="1"/>
  <c r="CW9" i="1"/>
  <c r="CP9" i="1"/>
  <c r="CL9" i="1"/>
  <c r="CG9" i="1"/>
  <c r="CB9" i="1"/>
  <c r="BW9" i="1"/>
  <c r="BV9" i="1"/>
  <c r="BQ9" i="1"/>
  <c r="BP9" i="1"/>
  <c r="BO9" i="1"/>
  <c r="BJ9" i="1"/>
  <c r="BI9" i="1"/>
  <c r="BH9" i="1"/>
  <c r="BC9" i="1"/>
  <c r="BB9" i="1"/>
  <c r="BA9" i="1"/>
  <c r="AV9" i="1"/>
  <c r="AU9" i="1"/>
  <c r="AT9" i="1"/>
  <c r="AO9" i="1"/>
  <c r="AN9" i="1"/>
  <c r="AJ9" i="1"/>
  <c r="AC9" i="1"/>
  <c r="Y9" i="1"/>
  <c r="S9" i="1"/>
  <c r="K9" i="1"/>
  <c r="J9" i="1"/>
  <c r="EV244" i="1"/>
  <c r="EU244" i="1"/>
  <c r="ET244" i="1"/>
  <c r="EC244" i="1"/>
  <c r="DQ244" i="1"/>
  <c r="DK244" i="1"/>
  <c r="DH244" i="1"/>
  <c r="DD244" i="1"/>
  <c r="CW244" i="1"/>
  <c r="CP244" i="1"/>
  <c r="CL244" i="1"/>
  <c r="CG244" i="1"/>
  <c r="CB244" i="1"/>
  <c r="BW244" i="1"/>
  <c r="BV244" i="1"/>
  <c r="BQ244" i="1"/>
  <c r="BP244" i="1"/>
  <c r="BO244" i="1"/>
  <c r="BJ244" i="1"/>
  <c r="BI244" i="1"/>
  <c r="BH244" i="1"/>
  <c r="BC244" i="1"/>
  <c r="BB244" i="1"/>
  <c r="BA244" i="1"/>
  <c r="AV244" i="1"/>
  <c r="AU244" i="1"/>
  <c r="AT244" i="1"/>
  <c r="AO244" i="1"/>
  <c r="AN244" i="1"/>
  <c r="AC244" i="1"/>
  <c r="Y244" i="1"/>
  <c r="S244" i="1"/>
  <c r="K244" i="1"/>
  <c r="J244" i="1"/>
  <c r="EV66" i="1"/>
  <c r="EU66" i="1"/>
  <c r="ET66" i="1"/>
  <c r="EC66" i="1"/>
  <c r="DQ66" i="1"/>
  <c r="DK66" i="1"/>
  <c r="DH66" i="1"/>
  <c r="DD66" i="1"/>
  <c r="CW66" i="1"/>
  <c r="CP66" i="1"/>
  <c r="CL66" i="1"/>
  <c r="CG66" i="1"/>
  <c r="CB66" i="1"/>
  <c r="BW66" i="1"/>
  <c r="BV66" i="1"/>
  <c r="BQ66" i="1"/>
  <c r="BP66" i="1"/>
  <c r="BO66" i="1"/>
  <c r="BJ66" i="1"/>
  <c r="BI66" i="1"/>
  <c r="BH66" i="1"/>
  <c r="BC66" i="1"/>
  <c r="BB66" i="1"/>
  <c r="BA66" i="1"/>
  <c r="AV66" i="1"/>
  <c r="AU66" i="1"/>
  <c r="AT66" i="1"/>
  <c r="AO66" i="1"/>
  <c r="AN66" i="1"/>
  <c r="AC66" i="1"/>
  <c r="Y66" i="1"/>
  <c r="S66" i="1"/>
  <c r="K66" i="1"/>
  <c r="J66" i="1"/>
  <c r="EV247" i="1"/>
  <c r="EU247" i="1"/>
  <c r="ET247" i="1"/>
  <c r="EG247" i="1"/>
  <c r="EC247" i="1"/>
  <c r="DQ247" i="1"/>
  <c r="DK247" i="1"/>
  <c r="DH247" i="1"/>
  <c r="DD247" i="1"/>
  <c r="CW247" i="1"/>
  <c r="CP247" i="1"/>
  <c r="CL247" i="1"/>
  <c r="CG247" i="1"/>
  <c r="CB247" i="1"/>
  <c r="BW247" i="1"/>
  <c r="BV247" i="1"/>
  <c r="BQ247" i="1"/>
  <c r="BP247" i="1"/>
  <c r="BO247" i="1"/>
  <c r="BJ247" i="1"/>
  <c r="BI247" i="1"/>
  <c r="BH247" i="1"/>
  <c r="BC247" i="1"/>
  <c r="BB247" i="1"/>
  <c r="BA247" i="1"/>
  <c r="AV247" i="1"/>
  <c r="AU247" i="1"/>
  <c r="AT247" i="1"/>
  <c r="AO247" i="1"/>
  <c r="AN247" i="1"/>
  <c r="AC247" i="1"/>
  <c r="AB247" i="1"/>
  <c r="Y247" i="1"/>
  <c r="S247" i="1"/>
  <c r="K247" i="1"/>
  <c r="J247" i="1"/>
  <c r="EV149" i="1"/>
  <c r="EU149" i="1"/>
  <c r="ET149" i="1"/>
  <c r="EG149" i="1"/>
  <c r="EC149" i="1"/>
  <c r="DQ149" i="1"/>
  <c r="DK149" i="1"/>
  <c r="DH149" i="1"/>
  <c r="DD149" i="1"/>
  <c r="CW149" i="1"/>
  <c r="CP149" i="1"/>
  <c r="CL149" i="1"/>
  <c r="CG149" i="1"/>
  <c r="CB149" i="1"/>
  <c r="BW149" i="1"/>
  <c r="BV149" i="1"/>
  <c r="BQ149" i="1"/>
  <c r="BP149" i="1"/>
  <c r="BO149" i="1"/>
  <c r="BJ149" i="1"/>
  <c r="BI149" i="1"/>
  <c r="BH149" i="1"/>
  <c r="BC149" i="1"/>
  <c r="BB149" i="1"/>
  <c r="BA149" i="1"/>
  <c r="AV149" i="1"/>
  <c r="AU149" i="1"/>
  <c r="AT149" i="1"/>
  <c r="AO149" i="1"/>
  <c r="AN149" i="1"/>
  <c r="AC149" i="1"/>
  <c r="AB149" i="1"/>
  <c r="Y149" i="1"/>
  <c r="S149" i="1"/>
  <c r="K149" i="1"/>
  <c r="J149" i="1"/>
  <c r="EV240" i="1"/>
  <c r="EU240" i="1"/>
  <c r="ET240" i="1"/>
  <c r="EG240" i="1"/>
  <c r="EC240" i="1"/>
  <c r="DY240" i="1"/>
  <c r="DQ240" i="1"/>
  <c r="DK240" i="1"/>
  <c r="DH240" i="1"/>
  <c r="DD240" i="1"/>
  <c r="CW240" i="1"/>
  <c r="CP240" i="1"/>
  <c r="CL240" i="1"/>
  <c r="CG240" i="1"/>
  <c r="CB240" i="1"/>
  <c r="BW240" i="1"/>
  <c r="BV240" i="1"/>
  <c r="BQ240" i="1"/>
  <c r="BP240" i="1"/>
  <c r="BO240" i="1"/>
  <c r="BJ240" i="1"/>
  <c r="BI240" i="1"/>
  <c r="BH240" i="1"/>
  <c r="BC240" i="1"/>
  <c r="BB240" i="1"/>
  <c r="BA240" i="1"/>
  <c r="AV240" i="1"/>
  <c r="AU240" i="1"/>
  <c r="AT240" i="1"/>
  <c r="AO240" i="1"/>
  <c r="AN240" i="1"/>
  <c r="AJ240" i="1"/>
  <c r="AC240" i="1"/>
  <c r="AB240" i="1"/>
  <c r="Y240" i="1"/>
  <c r="S240" i="1"/>
  <c r="K240" i="1"/>
  <c r="J240" i="1"/>
  <c r="EV176" i="1"/>
  <c r="EU176" i="1"/>
  <c r="ET176" i="1"/>
  <c r="EG176" i="1"/>
  <c r="EC176" i="1"/>
  <c r="DY176" i="1"/>
  <c r="DQ176" i="1"/>
  <c r="DK176" i="1"/>
  <c r="DH176" i="1"/>
  <c r="DD176" i="1"/>
  <c r="CW176" i="1"/>
  <c r="CP176" i="1"/>
  <c r="CL176" i="1"/>
  <c r="CG176" i="1"/>
  <c r="CB176" i="1"/>
  <c r="BW176" i="1"/>
  <c r="BV176" i="1"/>
  <c r="BQ176" i="1"/>
  <c r="BP176" i="1"/>
  <c r="BO176" i="1"/>
  <c r="BJ176" i="1"/>
  <c r="BI176" i="1"/>
  <c r="BH176" i="1"/>
  <c r="BC176" i="1"/>
  <c r="BB176" i="1"/>
  <c r="BA176" i="1"/>
  <c r="AV176" i="1"/>
  <c r="AU176" i="1"/>
  <c r="AT176" i="1"/>
  <c r="AO176" i="1"/>
  <c r="AN176" i="1"/>
  <c r="AJ176" i="1"/>
  <c r="AC176" i="1"/>
  <c r="AB176" i="1"/>
  <c r="Y176" i="1"/>
  <c r="S176" i="1"/>
  <c r="K176" i="1"/>
  <c r="J176" i="1"/>
  <c r="EV115" i="1"/>
  <c r="EU115" i="1"/>
  <c r="ET115" i="1"/>
  <c r="EC115" i="1"/>
  <c r="DQ115" i="1"/>
  <c r="DK115" i="1"/>
  <c r="DH115" i="1"/>
  <c r="DD115" i="1"/>
  <c r="CW115" i="1"/>
  <c r="CP115" i="1"/>
  <c r="CL115" i="1"/>
  <c r="CG115" i="1"/>
  <c r="CB115" i="1"/>
  <c r="BW115" i="1"/>
  <c r="BV115" i="1"/>
  <c r="BQ115" i="1"/>
  <c r="BP115" i="1"/>
  <c r="BO115" i="1"/>
  <c r="BJ115" i="1"/>
  <c r="BI115" i="1"/>
  <c r="BH115" i="1"/>
  <c r="BC115" i="1"/>
  <c r="BB115" i="1"/>
  <c r="BA115" i="1"/>
  <c r="AV115" i="1"/>
  <c r="AU115" i="1"/>
  <c r="AT115" i="1"/>
  <c r="AO115" i="1"/>
  <c r="AN115" i="1"/>
  <c r="AC115" i="1"/>
  <c r="Y115" i="1"/>
  <c r="S115" i="1"/>
  <c r="K115" i="1"/>
  <c r="J115" i="1"/>
  <c r="EV145" i="1"/>
  <c r="EU145" i="1"/>
  <c r="ET145" i="1"/>
  <c r="EC145" i="1"/>
  <c r="DY145" i="1"/>
  <c r="DQ145" i="1"/>
  <c r="DK145" i="1"/>
  <c r="DH145" i="1"/>
  <c r="DD145" i="1"/>
  <c r="CW145" i="1"/>
  <c r="CP145" i="1"/>
  <c r="CL145" i="1"/>
  <c r="CG145" i="1"/>
  <c r="CB145" i="1"/>
  <c r="BW145" i="1"/>
  <c r="BV145" i="1"/>
  <c r="BQ145" i="1"/>
  <c r="BP145" i="1"/>
  <c r="BO145" i="1"/>
  <c r="BJ145" i="1"/>
  <c r="BI145" i="1"/>
  <c r="BH145" i="1"/>
  <c r="BC145" i="1"/>
  <c r="BB145" i="1"/>
  <c r="BA145" i="1"/>
  <c r="AV145" i="1"/>
  <c r="AU145" i="1"/>
  <c r="AT145" i="1"/>
  <c r="AO145" i="1"/>
  <c r="AN145" i="1"/>
  <c r="AJ145" i="1"/>
  <c r="AC145" i="1"/>
  <c r="Y145" i="1"/>
  <c r="S145" i="1"/>
  <c r="K145" i="1"/>
  <c r="J145" i="1"/>
  <c r="EV73" i="1"/>
  <c r="EU73" i="1"/>
  <c r="ET73" i="1"/>
  <c r="EC73" i="1"/>
  <c r="DQ73" i="1"/>
  <c r="DK73" i="1"/>
  <c r="DH73" i="1"/>
  <c r="DD73" i="1"/>
  <c r="CW73" i="1"/>
  <c r="CP73" i="1"/>
  <c r="CL73" i="1"/>
  <c r="CG73" i="1"/>
  <c r="CB73" i="1"/>
  <c r="BW73" i="1"/>
  <c r="BV73" i="1"/>
  <c r="BQ73" i="1"/>
  <c r="BP73" i="1"/>
  <c r="BO73" i="1"/>
  <c r="BJ73" i="1"/>
  <c r="BI73" i="1"/>
  <c r="BH73" i="1"/>
  <c r="BC73" i="1"/>
  <c r="BB73" i="1"/>
  <c r="BA73" i="1"/>
  <c r="AV73" i="1"/>
  <c r="AU73" i="1"/>
  <c r="AT73" i="1"/>
  <c r="AO73" i="1"/>
  <c r="AN73" i="1"/>
  <c r="AC73" i="1"/>
  <c r="Y73" i="1"/>
  <c r="S73" i="1"/>
  <c r="K73" i="1"/>
  <c r="J73" i="1"/>
  <c r="EV260" i="1"/>
  <c r="EU260" i="1"/>
  <c r="ET260" i="1"/>
  <c r="EC260" i="1"/>
  <c r="DQ260" i="1"/>
  <c r="DK260" i="1"/>
  <c r="DH260" i="1"/>
  <c r="DD260" i="1"/>
  <c r="CW260" i="1"/>
  <c r="CP260" i="1"/>
  <c r="CL260" i="1"/>
  <c r="CG260" i="1"/>
  <c r="CB260" i="1"/>
  <c r="BW260" i="1"/>
  <c r="BV260" i="1"/>
  <c r="BQ260" i="1"/>
  <c r="BP260" i="1"/>
  <c r="BO260" i="1"/>
  <c r="BJ260" i="1"/>
  <c r="BI260" i="1"/>
  <c r="BH260" i="1"/>
  <c r="BC260" i="1"/>
  <c r="BB260" i="1"/>
  <c r="BA260" i="1"/>
  <c r="AV260" i="1"/>
  <c r="AU260" i="1"/>
  <c r="AT260" i="1"/>
  <c r="AO260" i="1"/>
  <c r="AN260" i="1"/>
  <c r="AC260" i="1"/>
  <c r="Y260" i="1"/>
  <c r="S260" i="1"/>
  <c r="K260" i="1"/>
  <c r="J260" i="1"/>
  <c r="EV95" i="1"/>
  <c r="EU95" i="1"/>
  <c r="ET95" i="1"/>
  <c r="EC95" i="1"/>
  <c r="DQ95" i="1"/>
  <c r="DK95" i="1"/>
  <c r="DH95" i="1"/>
  <c r="DD95" i="1"/>
  <c r="CW95" i="1"/>
  <c r="CP95" i="1"/>
  <c r="CL95" i="1"/>
  <c r="CG95" i="1"/>
  <c r="CB95" i="1"/>
  <c r="BW95" i="1"/>
  <c r="BV95" i="1"/>
  <c r="BQ95" i="1"/>
  <c r="BP95" i="1"/>
  <c r="BO95" i="1"/>
  <c r="BJ95" i="1"/>
  <c r="BI95" i="1"/>
  <c r="BH95" i="1"/>
  <c r="BC95" i="1"/>
  <c r="BB95" i="1"/>
  <c r="BA95" i="1"/>
  <c r="AV95" i="1"/>
  <c r="AU95" i="1"/>
  <c r="AT95" i="1"/>
  <c r="AO95" i="1"/>
  <c r="AN95" i="1"/>
  <c r="AC95" i="1"/>
  <c r="Y95" i="1"/>
  <c r="S95" i="1"/>
  <c r="K95" i="1"/>
  <c r="J95" i="1"/>
  <c r="EV47" i="1"/>
  <c r="EU47" i="1"/>
  <c r="ET47" i="1"/>
  <c r="EG47" i="1"/>
  <c r="EC47" i="1"/>
  <c r="DQ47" i="1"/>
  <c r="DK47" i="1"/>
  <c r="DH47" i="1"/>
  <c r="DD47" i="1"/>
  <c r="CW47" i="1"/>
  <c r="CP47" i="1"/>
  <c r="CL47" i="1"/>
  <c r="CG47" i="1"/>
  <c r="CB47" i="1"/>
  <c r="BW47" i="1"/>
  <c r="BV47" i="1"/>
  <c r="BQ47" i="1"/>
  <c r="BP47" i="1"/>
  <c r="BO47" i="1"/>
  <c r="BJ47" i="1"/>
  <c r="BI47" i="1"/>
  <c r="BH47" i="1"/>
  <c r="BC47" i="1"/>
  <c r="BB47" i="1"/>
  <c r="BA47" i="1"/>
  <c r="AV47" i="1"/>
  <c r="AU47" i="1"/>
  <c r="AT47" i="1"/>
  <c r="AO47" i="1"/>
  <c r="AN47" i="1"/>
  <c r="AC47" i="1"/>
  <c r="AB47" i="1"/>
  <c r="Y47" i="1"/>
  <c r="S47" i="1"/>
  <c r="K47" i="1"/>
  <c r="J47" i="1"/>
  <c r="EV29" i="1"/>
  <c r="EU29" i="1"/>
  <c r="ET29" i="1"/>
  <c r="EG29" i="1"/>
  <c r="EC29" i="1"/>
  <c r="DQ29" i="1"/>
  <c r="DK29" i="1"/>
  <c r="DH29" i="1"/>
  <c r="DD29" i="1"/>
  <c r="CW29" i="1"/>
  <c r="CP29" i="1"/>
  <c r="CL29" i="1"/>
  <c r="CG29" i="1"/>
  <c r="CB29" i="1"/>
  <c r="BW29" i="1"/>
  <c r="BV29" i="1"/>
  <c r="BQ29" i="1"/>
  <c r="BP29" i="1"/>
  <c r="BO29" i="1"/>
  <c r="BJ29" i="1"/>
  <c r="BI29" i="1"/>
  <c r="BH29" i="1"/>
  <c r="BC29" i="1"/>
  <c r="BB29" i="1"/>
  <c r="BA29" i="1"/>
  <c r="AV29" i="1"/>
  <c r="AU29" i="1"/>
  <c r="AT29" i="1"/>
  <c r="AO29" i="1"/>
  <c r="AN29" i="1"/>
  <c r="AC29" i="1"/>
  <c r="AB29" i="1"/>
  <c r="Y29" i="1"/>
  <c r="S29" i="1"/>
  <c r="K29" i="1"/>
  <c r="J29" i="1"/>
  <c r="EV236" i="1"/>
  <c r="EU236" i="1"/>
  <c r="ET236" i="1"/>
  <c r="EG236" i="1"/>
  <c r="EC236" i="1"/>
  <c r="DQ236" i="1"/>
  <c r="DK236" i="1"/>
  <c r="DH236" i="1"/>
  <c r="DD236" i="1"/>
  <c r="CW236" i="1"/>
  <c r="CP236" i="1"/>
  <c r="CL236" i="1"/>
  <c r="CG236" i="1"/>
  <c r="CB236" i="1"/>
  <c r="BW236" i="1"/>
  <c r="BV236" i="1"/>
  <c r="BQ236" i="1"/>
  <c r="BP236" i="1"/>
  <c r="BO236" i="1"/>
  <c r="BJ236" i="1"/>
  <c r="BI236" i="1"/>
  <c r="BH236" i="1"/>
  <c r="BC236" i="1"/>
  <c r="BB236" i="1"/>
  <c r="BA236" i="1"/>
  <c r="AV236" i="1"/>
  <c r="AU236" i="1"/>
  <c r="AT236" i="1"/>
  <c r="AO236" i="1"/>
  <c r="AN236" i="1"/>
  <c r="AC236" i="1"/>
  <c r="AB236" i="1"/>
  <c r="Y236" i="1"/>
  <c r="S236" i="1"/>
  <c r="K236" i="1"/>
  <c r="J236" i="1"/>
  <c r="EV219" i="1"/>
  <c r="EU219" i="1"/>
  <c r="ET219" i="1"/>
  <c r="EG219" i="1"/>
  <c r="EC219" i="1"/>
  <c r="DQ219" i="1"/>
  <c r="DK219" i="1"/>
  <c r="DH219" i="1"/>
  <c r="DD219" i="1"/>
  <c r="CW219" i="1"/>
  <c r="CP219" i="1"/>
  <c r="CL219" i="1"/>
  <c r="CG219" i="1"/>
  <c r="CB219" i="1"/>
  <c r="BW219" i="1"/>
  <c r="BV219" i="1"/>
  <c r="BQ219" i="1"/>
  <c r="BP219" i="1"/>
  <c r="BO219" i="1"/>
  <c r="BJ219" i="1"/>
  <c r="BI219" i="1"/>
  <c r="BH219" i="1"/>
  <c r="BC219" i="1"/>
  <c r="BB219" i="1"/>
  <c r="BA219" i="1"/>
  <c r="AV219" i="1"/>
  <c r="AU219" i="1"/>
  <c r="AT219" i="1"/>
  <c r="AO219" i="1"/>
  <c r="AN219" i="1"/>
  <c r="AC219" i="1"/>
  <c r="AB219" i="1"/>
  <c r="Y219" i="1"/>
  <c r="S219" i="1"/>
  <c r="K219" i="1"/>
  <c r="J219" i="1"/>
  <c r="EV99" i="1"/>
  <c r="EU99" i="1"/>
  <c r="ET99" i="1"/>
  <c r="EC99" i="1"/>
  <c r="DQ99" i="1"/>
  <c r="DK99" i="1"/>
  <c r="DH99" i="1"/>
  <c r="DD99" i="1"/>
  <c r="CW99" i="1"/>
  <c r="CP99" i="1"/>
  <c r="CL99" i="1"/>
  <c r="CG99" i="1"/>
  <c r="CB99" i="1"/>
  <c r="BW99" i="1"/>
  <c r="BV99" i="1"/>
  <c r="BQ99" i="1"/>
  <c r="BP99" i="1"/>
  <c r="BO99" i="1"/>
  <c r="BJ99" i="1"/>
  <c r="BI99" i="1"/>
  <c r="BH99" i="1"/>
  <c r="BC99" i="1"/>
  <c r="BB99" i="1"/>
  <c r="BA99" i="1"/>
  <c r="AV99" i="1"/>
  <c r="AU99" i="1"/>
  <c r="AT99" i="1"/>
  <c r="AO99" i="1"/>
  <c r="AN99" i="1"/>
  <c r="AC99" i="1"/>
  <c r="Y99" i="1"/>
  <c r="S99" i="1"/>
  <c r="K99" i="1"/>
  <c r="J99" i="1"/>
  <c r="EV77" i="1"/>
  <c r="EU77" i="1"/>
  <c r="ET77" i="1"/>
  <c r="EC77" i="1"/>
  <c r="DY77" i="1"/>
  <c r="DQ77" i="1"/>
  <c r="DK77" i="1"/>
  <c r="DH77" i="1"/>
  <c r="DD77" i="1"/>
  <c r="CW77" i="1"/>
  <c r="CP77" i="1"/>
  <c r="CL77" i="1"/>
  <c r="CG77" i="1"/>
  <c r="CB77" i="1"/>
  <c r="BW77" i="1"/>
  <c r="BV77" i="1"/>
  <c r="BQ77" i="1"/>
  <c r="BP77" i="1"/>
  <c r="BO77" i="1"/>
  <c r="BJ77" i="1"/>
  <c r="BI77" i="1"/>
  <c r="BH77" i="1"/>
  <c r="BC77" i="1"/>
  <c r="BB77" i="1"/>
  <c r="BA77" i="1"/>
  <c r="AV77" i="1"/>
  <c r="AU77" i="1"/>
  <c r="AT77" i="1"/>
  <c r="AO77" i="1"/>
  <c r="AN77" i="1"/>
  <c r="AJ77" i="1"/>
  <c r="AC77" i="1"/>
  <c r="Y77" i="1"/>
  <c r="S77" i="1"/>
  <c r="K77" i="1"/>
  <c r="J77" i="1"/>
  <c r="EV69" i="1"/>
  <c r="EU69" i="1"/>
  <c r="ET69" i="1"/>
  <c r="EC69" i="1"/>
  <c r="DY69" i="1"/>
  <c r="DQ69" i="1"/>
  <c r="DK69" i="1"/>
  <c r="DH69" i="1"/>
  <c r="DD69" i="1"/>
  <c r="CW69" i="1"/>
  <c r="CP69" i="1"/>
  <c r="CL69" i="1"/>
  <c r="CG69" i="1"/>
  <c r="CB69" i="1"/>
  <c r="BW69" i="1"/>
  <c r="BV69" i="1"/>
  <c r="BQ69" i="1"/>
  <c r="BP69" i="1"/>
  <c r="BO69" i="1"/>
  <c r="BJ69" i="1"/>
  <c r="BI69" i="1"/>
  <c r="BH69" i="1"/>
  <c r="BC69" i="1"/>
  <c r="BB69" i="1"/>
  <c r="BA69" i="1"/>
  <c r="AV69" i="1"/>
  <c r="AU69" i="1"/>
  <c r="AT69" i="1"/>
  <c r="AO69" i="1"/>
  <c r="AN69" i="1"/>
  <c r="AJ69" i="1"/>
  <c r="AC69" i="1"/>
  <c r="Y69" i="1"/>
  <c r="S69" i="1"/>
  <c r="K69" i="1"/>
  <c r="J69" i="1"/>
  <c r="EV192" i="1"/>
  <c r="EU192" i="1"/>
  <c r="ET192" i="1"/>
  <c r="EC192" i="1"/>
  <c r="DY192" i="1"/>
  <c r="DQ192" i="1"/>
  <c r="DK192" i="1"/>
  <c r="DH192" i="1"/>
  <c r="DD192" i="1"/>
  <c r="CW192" i="1"/>
  <c r="CP192" i="1"/>
  <c r="CL192" i="1"/>
  <c r="CG192" i="1"/>
  <c r="CB192" i="1"/>
  <c r="BW192" i="1"/>
  <c r="BV192" i="1"/>
  <c r="BQ192" i="1"/>
  <c r="BP192" i="1"/>
  <c r="BO192" i="1"/>
  <c r="BJ192" i="1"/>
  <c r="BI192" i="1"/>
  <c r="BH192" i="1"/>
  <c r="BC192" i="1"/>
  <c r="BB192" i="1"/>
  <c r="BA192" i="1"/>
  <c r="AV192" i="1"/>
  <c r="AU192" i="1"/>
  <c r="AT192" i="1"/>
  <c r="AO192" i="1"/>
  <c r="AN192" i="1"/>
  <c r="AJ192" i="1"/>
  <c r="AC192" i="1"/>
  <c r="Y192" i="1"/>
  <c r="S192" i="1"/>
  <c r="K192" i="1"/>
  <c r="J192" i="1"/>
  <c r="EV57" i="1"/>
  <c r="EU57" i="1"/>
  <c r="ET57" i="1"/>
  <c r="EC57" i="1"/>
  <c r="DQ57" i="1"/>
  <c r="DK57" i="1"/>
  <c r="DH57" i="1"/>
  <c r="DD57" i="1"/>
  <c r="CW57" i="1"/>
  <c r="CP57" i="1"/>
  <c r="CL57" i="1"/>
  <c r="CG57" i="1"/>
  <c r="CB57" i="1"/>
  <c r="BW57" i="1"/>
  <c r="BV57" i="1"/>
  <c r="BQ57" i="1"/>
  <c r="BP57" i="1"/>
  <c r="BO57" i="1"/>
  <c r="BJ57" i="1"/>
  <c r="BI57" i="1"/>
  <c r="BH57" i="1"/>
  <c r="BC57" i="1"/>
  <c r="BB57" i="1"/>
  <c r="BA57" i="1"/>
  <c r="AV57" i="1"/>
  <c r="AU57" i="1"/>
  <c r="AT57" i="1"/>
  <c r="AO57" i="1"/>
  <c r="AN57" i="1"/>
  <c r="AC57" i="1"/>
  <c r="Y57" i="1"/>
  <c r="S57" i="1"/>
  <c r="K57" i="1"/>
  <c r="J57" i="1"/>
  <c r="EV79" i="1"/>
  <c r="EU79" i="1"/>
  <c r="ET79" i="1"/>
  <c r="EG79" i="1"/>
  <c r="EC79" i="1"/>
  <c r="DQ79" i="1"/>
  <c r="DK79" i="1"/>
  <c r="DH79" i="1"/>
  <c r="DD79" i="1"/>
  <c r="CW79" i="1"/>
  <c r="CP79" i="1"/>
  <c r="CL79" i="1"/>
  <c r="CG79" i="1"/>
  <c r="CB79" i="1"/>
  <c r="BW79" i="1"/>
  <c r="BV79" i="1"/>
  <c r="BQ79" i="1"/>
  <c r="BP79" i="1"/>
  <c r="BO79" i="1"/>
  <c r="BJ79" i="1"/>
  <c r="BI79" i="1"/>
  <c r="BH79" i="1"/>
  <c r="BC79" i="1"/>
  <c r="BB79" i="1"/>
  <c r="BA79" i="1"/>
  <c r="AV79" i="1"/>
  <c r="AU79" i="1"/>
  <c r="AT79" i="1"/>
  <c r="AO79" i="1"/>
  <c r="AN79" i="1"/>
  <c r="AC79" i="1"/>
  <c r="AB79" i="1"/>
  <c r="Y79" i="1"/>
  <c r="S79" i="1"/>
  <c r="K79" i="1"/>
  <c r="J79" i="1"/>
  <c r="EV277" i="1"/>
  <c r="EU277" i="1"/>
  <c r="ET277" i="1"/>
  <c r="EC277" i="1"/>
  <c r="DQ277" i="1"/>
  <c r="DK277" i="1"/>
  <c r="DH277" i="1"/>
  <c r="DD277" i="1"/>
  <c r="CW277" i="1"/>
  <c r="CP277" i="1"/>
  <c r="CL277" i="1"/>
  <c r="CG277" i="1"/>
  <c r="CB277" i="1"/>
  <c r="BW277" i="1"/>
  <c r="BV277" i="1"/>
  <c r="BQ277" i="1"/>
  <c r="BP277" i="1"/>
  <c r="BO277" i="1"/>
  <c r="BJ277" i="1"/>
  <c r="BI277" i="1"/>
  <c r="BH277" i="1"/>
  <c r="BC277" i="1"/>
  <c r="BB277" i="1"/>
  <c r="BA277" i="1"/>
  <c r="AV277" i="1"/>
  <c r="AU277" i="1"/>
  <c r="AT277" i="1"/>
  <c r="AO277" i="1"/>
  <c r="AN277" i="1"/>
  <c r="AC277" i="1"/>
  <c r="Y277" i="1"/>
  <c r="S277" i="1"/>
  <c r="K277" i="1"/>
  <c r="J277" i="1"/>
  <c r="EV194" i="1"/>
  <c r="EU194" i="1"/>
  <c r="ET194" i="1"/>
  <c r="EC194" i="1"/>
  <c r="DY194" i="1"/>
  <c r="DQ194" i="1"/>
  <c r="DK194" i="1"/>
  <c r="DH194" i="1"/>
  <c r="DD194" i="1"/>
  <c r="CW194" i="1"/>
  <c r="CP194" i="1"/>
  <c r="CL194" i="1"/>
  <c r="CG194" i="1"/>
  <c r="CB194" i="1"/>
  <c r="BW194" i="1"/>
  <c r="BV194" i="1"/>
  <c r="BQ194" i="1"/>
  <c r="BP194" i="1"/>
  <c r="BO194" i="1"/>
  <c r="BJ194" i="1"/>
  <c r="BI194" i="1"/>
  <c r="BH194" i="1"/>
  <c r="BC194" i="1"/>
  <c r="BB194" i="1"/>
  <c r="BA194" i="1"/>
  <c r="AV194" i="1"/>
  <c r="AU194" i="1"/>
  <c r="AT194" i="1"/>
  <c r="AO194" i="1"/>
  <c r="AN194" i="1"/>
  <c r="AJ194" i="1"/>
  <c r="AC194" i="1"/>
  <c r="Y194" i="1"/>
  <c r="S194" i="1"/>
  <c r="K194" i="1"/>
  <c r="J194" i="1"/>
  <c r="EV131" i="1"/>
  <c r="EU131" i="1"/>
  <c r="ET131" i="1"/>
  <c r="EC131" i="1"/>
  <c r="DY131" i="1"/>
  <c r="DQ131" i="1"/>
  <c r="DK131" i="1"/>
  <c r="DH131" i="1"/>
  <c r="DD131" i="1"/>
  <c r="CW131" i="1"/>
  <c r="CP131" i="1"/>
  <c r="CL131" i="1"/>
  <c r="CG131" i="1"/>
  <c r="CB131" i="1"/>
  <c r="BW131" i="1"/>
  <c r="BV131" i="1"/>
  <c r="BQ131" i="1"/>
  <c r="BP131" i="1"/>
  <c r="BO131" i="1"/>
  <c r="BJ131" i="1"/>
  <c r="BI131" i="1"/>
  <c r="BH131" i="1"/>
  <c r="BC131" i="1"/>
  <c r="BB131" i="1"/>
  <c r="BA131" i="1"/>
  <c r="AV131" i="1"/>
  <c r="AU131" i="1"/>
  <c r="AT131" i="1"/>
  <c r="AO131" i="1"/>
  <c r="AN131" i="1"/>
  <c r="AJ131" i="1"/>
  <c r="AC131" i="1"/>
  <c r="Y131" i="1"/>
  <c r="S131" i="1"/>
  <c r="K131" i="1"/>
  <c r="J131" i="1"/>
  <c r="EV39" i="1"/>
  <c r="EU39" i="1"/>
  <c r="ET39" i="1"/>
  <c r="EG39" i="1"/>
  <c r="EC39" i="1"/>
  <c r="DQ39" i="1"/>
  <c r="DK39" i="1"/>
  <c r="DH39" i="1"/>
  <c r="DD39" i="1"/>
  <c r="CW39" i="1"/>
  <c r="CP39" i="1"/>
  <c r="CL39" i="1"/>
  <c r="CG39" i="1"/>
  <c r="CB39" i="1"/>
  <c r="BQ39" i="1"/>
  <c r="BP39" i="1"/>
  <c r="BO39" i="1"/>
  <c r="BJ39" i="1"/>
  <c r="BI39" i="1"/>
  <c r="BH39" i="1"/>
  <c r="BC39" i="1"/>
  <c r="BB39" i="1"/>
  <c r="BA39" i="1"/>
  <c r="AV39" i="1"/>
  <c r="AU39" i="1"/>
  <c r="AT39" i="1"/>
  <c r="AO39" i="1"/>
  <c r="AN39" i="1"/>
  <c r="AC39" i="1"/>
  <c r="AB39" i="1"/>
  <c r="Y39" i="1"/>
  <c r="S39" i="1"/>
  <c r="K39" i="1"/>
  <c r="J39" i="1"/>
  <c r="EV93" i="1"/>
  <c r="EU93" i="1"/>
  <c r="ET93" i="1"/>
  <c r="EC93" i="1"/>
  <c r="DY93" i="1"/>
  <c r="DQ93" i="1"/>
  <c r="DK93" i="1"/>
  <c r="DH93" i="1"/>
  <c r="DD93" i="1"/>
  <c r="CW93" i="1"/>
  <c r="CP93" i="1"/>
  <c r="CL93" i="1"/>
  <c r="CG93" i="1"/>
  <c r="CB93" i="1"/>
  <c r="BW93" i="1"/>
  <c r="BV93" i="1"/>
  <c r="BQ93" i="1"/>
  <c r="BP93" i="1"/>
  <c r="BO93" i="1"/>
  <c r="BJ93" i="1"/>
  <c r="BI93" i="1"/>
  <c r="BH93" i="1"/>
  <c r="BC93" i="1"/>
  <c r="BB93" i="1"/>
  <c r="BA93" i="1"/>
  <c r="AV93" i="1"/>
  <c r="AU93" i="1"/>
  <c r="AT93" i="1"/>
  <c r="AO93" i="1"/>
  <c r="AN93" i="1"/>
  <c r="AJ93" i="1"/>
  <c r="AC93" i="1"/>
  <c r="Y93" i="1"/>
  <c r="S93" i="1"/>
  <c r="K93" i="1"/>
  <c r="J93" i="1"/>
  <c r="EV254" i="1"/>
  <c r="EU254" i="1"/>
  <c r="ET254" i="1"/>
  <c r="EC254" i="1"/>
  <c r="DQ254" i="1"/>
  <c r="DK254" i="1"/>
  <c r="DH254" i="1"/>
  <c r="DD254" i="1"/>
  <c r="CW254" i="1"/>
  <c r="CP254" i="1"/>
  <c r="CL254" i="1"/>
  <c r="CG254" i="1"/>
  <c r="BW254" i="1"/>
  <c r="BV254" i="1"/>
  <c r="BQ254" i="1"/>
  <c r="BP254" i="1"/>
  <c r="BO254" i="1"/>
  <c r="BJ254" i="1"/>
  <c r="BI254" i="1"/>
  <c r="BH254" i="1"/>
  <c r="BC254" i="1"/>
  <c r="BB254" i="1"/>
  <c r="BA254" i="1"/>
  <c r="AV254" i="1"/>
  <c r="AU254" i="1"/>
  <c r="AT254" i="1"/>
  <c r="AO254" i="1"/>
  <c r="AN254" i="1"/>
  <c r="AC254" i="1"/>
  <c r="Y254" i="1"/>
  <c r="S254" i="1"/>
  <c r="K254" i="1"/>
  <c r="J254" i="1"/>
  <c r="EV222" i="1"/>
  <c r="EU222" i="1"/>
  <c r="ET222" i="1"/>
  <c r="EC222" i="1"/>
  <c r="DY222" i="1"/>
  <c r="DQ222" i="1"/>
  <c r="DK222" i="1"/>
  <c r="DH222" i="1"/>
  <c r="DD222" i="1"/>
  <c r="CW222" i="1"/>
  <c r="CP222" i="1"/>
  <c r="CL222" i="1"/>
  <c r="CG222" i="1"/>
  <c r="CB222" i="1"/>
  <c r="BW222" i="1"/>
  <c r="BV222" i="1"/>
  <c r="BQ222" i="1"/>
  <c r="BP222" i="1"/>
  <c r="BO222" i="1"/>
  <c r="BJ222" i="1"/>
  <c r="BI222" i="1"/>
  <c r="BH222" i="1"/>
  <c r="BC222" i="1"/>
  <c r="BB222" i="1"/>
  <c r="BA222" i="1"/>
  <c r="AV222" i="1"/>
  <c r="AU222" i="1"/>
  <c r="AT222" i="1"/>
  <c r="AO222" i="1"/>
  <c r="AN222" i="1"/>
  <c r="AJ222" i="1"/>
  <c r="AC222" i="1"/>
  <c r="Y222" i="1"/>
  <c r="S222" i="1"/>
  <c r="K222" i="1"/>
  <c r="J222" i="1"/>
  <c r="EV239" i="1"/>
  <c r="EU239" i="1"/>
  <c r="ET239" i="1"/>
  <c r="EG239" i="1"/>
  <c r="EC239" i="1"/>
  <c r="DY239" i="1"/>
  <c r="DQ239" i="1"/>
  <c r="DK239" i="1"/>
  <c r="DH239" i="1"/>
  <c r="DD239" i="1"/>
  <c r="CW239" i="1"/>
  <c r="CP239" i="1"/>
  <c r="CL239" i="1"/>
  <c r="CG239" i="1"/>
  <c r="CB239" i="1"/>
  <c r="BW239" i="1"/>
  <c r="BV239" i="1"/>
  <c r="BQ239" i="1"/>
  <c r="BP239" i="1"/>
  <c r="BO239" i="1"/>
  <c r="BJ239" i="1"/>
  <c r="BI239" i="1"/>
  <c r="BH239" i="1"/>
  <c r="BC239" i="1"/>
  <c r="BB239" i="1"/>
  <c r="BA239" i="1"/>
  <c r="AV239" i="1"/>
  <c r="AU239" i="1"/>
  <c r="AT239" i="1"/>
  <c r="AO239" i="1"/>
  <c r="AN239" i="1"/>
  <c r="AJ239" i="1"/>
  <c r="AC239" i="1"/>
  <c r="AB239" i="1"/>
  <c r="Y239" i="1"/>
  <c r="S239" i="1"/>
  <c r="K239" i="1"/>
  <c r="J239" i="1"/>
  <c r="EV256" i="1"/>
  <c r="EU256" i="1"/>
  <c r="ET256" i="1"/>
  <c r="EG256" i="1"/>
  <c r="EC256" i="1"/>
  <c r="DQ256" i="1"/>
  <c r="DK256" i="1"/>
  <c r="DH256" i="1"/>
  <c r="DD256" i="1"/>
  <c r="CW256" i="1"/>
  <c r="CP256" i="1"/>
  <c r="CL256" i="1"/>
  <c r="CG256" i="1"/>
  <c r="CB256" i="1"/>
  <c r="BW256" i="1"/>
  <c r="BV256" i="1"/>
  <c r="BQ256" i="1"/>
  <c r="BP256" i="1"/>
  <c r="BO256" i="1"/>
  <c r="BJ256" i="1"/>
  <c r="BI256" i="1"/>
  <c r="BH256" i="1"/>
  <c r="BC256" i="1"/>
  <c r="BB256" i="1"/>
  <c r="BA256" i="1"/>
  <c r="AV256" i="1"/>
  <c r="AU256" i="1"/>
  <c r="AT256" i="1"/>
  <c r="AO256" i="1"/>
  <c r="AN256" i="1"/>
  <c r="AC256" i="1"/>
  <c r="AB256" i="1"/>
  <c r="Y256" i="1"/>
  <c r="S256" i="1"/>
  <c r="K256" i="1"/>
  <c r="J256" i="1"/>
  <c r="EV56" i="1"/>
  <c r="EU56" i="1"/>
  <c r="ET56" i="1"/>
  <c r="EC56" i="1"/>
  <c r="DQ56" i="1"/>
  <c r="DK56" i="1"/>
  <c r="DH56" i="1"/>
  <c r="DD56" i="1"/>
  <c r="CW56" i="1"/>
  <c r="CP56" i="1"/>
  <c r="CL56" i="1"/>
  <c r="CG56" i="1"/>
  <c r="CB56" i="1"/>
  <c r="BW56" i="1"/>
  <c r="BV56" i="1"/>
  <c r="BQ56" i="1"/>
  <c r="BP56" i="1"/>
  <c r="BO56" i="1"/>
  <c r="BJ56" i="1"/>
  <c r="BI56" i="1"/>
  <c r="BH56" i="1"/>
  <c r="BC56" i="1"/>
  <c r="BB56" i="1"/>
  <c r="BA56" i="1"/>
  <c r="AV56" i="1"/>
  <c r="AU56" i="1"/>
  <c r="AT56" i="1"/>
  <c r="AO56" i="1"/>
  <c r="AN56" i="1"/>
  <c r="AC56" i="1"/>
  <c r="Y56" i="1"/>
  <c r="S56" i="1"/>
  <c r="K56" i="1"/>
  <c r="J56" i="1"/>
  <c r="EV76" i="1"/>
  <c r="EU76" i="1"/>
  <c r="ET76" i="1"/>
  <c r="EC76" i="1"/>
  <c r="DY76" i="1"/>
  <c r="DQ76" i="1"/>
  <c r="DK76" i="1"/>
  <c r="DH76" i="1"/>
  <c r="DD76" i="1"/>
  <c r="CW76" i="1"/>
  <c r="CP76" i="1"/>
  <c r="CL76" i="1"/>
  <c r="CG76" i="1"/>
  <c r="CB76" i="1"/>
  <c r="BW76" i="1"/>
  <c r="BV76" i="1"/>
  <c r="BQ76" i="1"/>
  <c r="BP76" i="1"/>
  <c r="BO76" i="1"/>
  <c r="BJ76" i="1"/>
  <c r="BI76" i="1"/>
  <c r="BH76" i="1"/>
  <c r="BC76" i="1"/>
  <c r="BB76" i="1"/>
  <c r="BA76" i="1"/>
  <c r="AV76" i="1"/>
  <c r="AU76" i="1"/>
  <c r="AT76" i="1"/>
  <c r="AO76" i="1"/>
  <c r="AN76" i="1"/>
  <c r="AJ76" i="1"/>
  <c r="AC76" i="1"/>
  <c r="Y76" i="1"/>
  <c r="S76" i="1"/>
  <c r="K76" i="1"/>
  <c r="J76" i="1"/>
  <c r="EV11" i="1"/>
  <c r="EU11" i="1"/>
  <c r="ET11" i="1"/>
  <c r="EC11" i="1"/>
  <c r="DQ11" i="1"/>
  <c r="DK11" i="1"/>
  <c r="DH11" i="1"/>
  <c r="DD11" i="1"/>
  <c r="CW11" i="1"/>
  <c r="CP11" i="1"/>
  <c r="CL11" i="1"/>
  <c r="CG11" i="1"/>
  <c r="CB11" i="1"/>
  <c r="BQ11" i="1"/>
  <c r="BP11" i="1"/>
  <c r="BO11" i="1"/>
  <c r="BJ11" i="1"/>
  <c r="BI11" i="1"/>
  <c r="BH11" i="1"/>
  <c r="BC11" i="1"/>
  <c r="BB11" i="1"/>
  <c r="BA11" i="1"/>
  <c r="AV11" i="1"/>
  <c r="AU11" i="1"/>
  <c r="AT11" i="1"/>
  <c r="AO11" i="1"/>
  <c r="AN11" i="1"/>
  <c r="AC11" i="1"/>
  <c r="Y11" i="1"/>
  <c r="S11" i="1"/>
  <c r="K11" i="1"/>
  <c r="J11" i="1"/>
  <c r="EV67" i="1"/>
  <c r="EU67" i="1"/>
  <c r="ET67" i="1"/>
  <c r="EC67" i="1"/>
  <c r="DQ67" i="1"/>
  <c r="DK67" i="1"/>
  <c r="DH67" i="1"/>
  <c r="DD67" i="1"/>
  <c r="CW67" i="1"/>
  <c r="CP67" i="1"/>
  <c r="CL67" i="1"/>
  <c r="CG67" i="1"/>
  <c r="CB67" i="1"/>
  <c r="BW67" i="1"/>
  <c r="BV67" i="1"/>
  <c r="BQ67" i="1"/>
  <c r="BP67" i="1"/>
  <c r="BO67" i="1"/>
  <c r="BJ67" i="1"/>
  <c r="BI67" i="1"/>
  <c r="BH67" i="1"/>
  <c r="BC67" i="1"/>
  <c r="BB67" i="1"/>
  <c r="BA67" i="1"/>
  <c r="AV67" i="1"/>
  <c r="AU67" i="1"/>
  <c r="AT67" i="1"/>
  <c r="AO67" i="1"/>
  <c r="AN67" i="1"/>
  <c r="AC67" i="1"/>
  <c r="Y67" i="1"/>
  <c r="S67" i="1"/>
  <c r="K67" i="1"/>
  <c r="J67" i="1"/>
  <c r="EV111" i="1"/>
  <c r="EU111" i="1"/>
  <c r="ET111" i="1"/>
  <c r="EG111" i="1"/>
  <c r="EC111" i="1"/>
  <c r="DQ111" i="1"/>
  <c r="DK111" i="1"/>
  <c r="DH111" i="1"/>
  <c r="DD111" i="1"/>
  <c r="CW111" i="1"/>
  <c r="CP111" i="1"/>
  <c r="CL111" i="1"/>
  <c r="CG111" i="1"/>
  <c r="CB111" i="1"/>
  <c r="BW111" i="1"/>
  <c r="BV111" i="1"/>
  <c r="BQ111" i="1"/>
  <c r="BP111" i="1"/>
  <c r="BO111" i="1"/>
  <c r="BJ111" i="1"/>
  <c r="BI111" i="1"/>
  <c r="BH111" i="1"/>
  <c r="BC111" i="1"/>
  <c r="BB111" i="1"/>
  <c r="BA111" i="1"/>
  <c r="AV111" i="1"/>
  <c r="AU111" i="1"/>
  <c r="AT111" i="1"/>
  <c r="AO111" i="1"/>
  <c r="AN111" i="1"/>
  <c r="AC111" i="1"/>
  <c r="AB111" i="1"/>
  <c r="Y111" i="1"/>
  <c r="S111" i="1"/>
  <c r="K111" i="1"/>
  <c r="J111" i="1"/>
  <c r="EV271" i="1"/>
  <c r="EU271" i="1"/>
  <c r="ET271" i="1"/>
  <c r="EC271" i="1"/>
  <c r="DQ271" i="1"/>
  <c r="DK271" i="1"/>
  <c r="DH271" i="1"/>
  <c r="DD271" i="1"/>
  <c r="CW271" i="1"/>
  <c r="CP271" i="1"/>
  <c r="CL271" i="1"/>
  <c r="CG271" i="1"/>
  <c r="CB271" i="1"/>
  <c r="BW271" i="1"/>
  <c r="BV271" i="1"/>
  <c r="BQ271" i="1"/>
  <c r="BP271" i="1"/>
  <c r="BO271" i="1"/>
  <c r="BJ271" i="1"/>
  <c r="BI271" i="1"/>
  <c r="BH271" i="1"/>
  <c r="BC271" i="1"/>
  <c r="BB271" i="1"/>
  <c r="BA271" i="1"/>
  <c r="AV271" i="1"/>
  <c r="AU271" i="1"/>
  <c r="AT271" i="1"/>
  <c r="AO271" i="1"/>
  <c r="AN271" i="1"/>
  <c r="AC271" i="1"/>
  <c r="Y271" i="1"/>
  <c r="S271" i="1"/>
  <c r="K271" i="1"/>
  <c r="J271" i="1"/>
  <c r="EV24" i="1"/>
  <c r="EU24" i="1"/>
  <c r="ET24" i="1"/>
  <c r="EC24" i="1"/>
  <c r="DY24" i="1"/>
  <c r="DQ24" i="1"/>
  <c r="DK24" i="1"/>
  <c r="DH24" i="1"/>
  <c r="DD24" i="1"/>
  <c r="CW24" i="1"/>
  <c r="CP24" i="1"/>
  <c r="CL24" i="1"/>
  <c r="CG24" i="1"/>
  <c r="CB24" i="1"/>
  <c r="BW24" i="1"/>
  <c r="BV24" i="1"/>
  <c r="BQ24" i="1"/>
  <c r="BP24" i="1"/>
  <c r="BO24" i="1"/>
  <c r="BJ24" i="1"/>
  <c r="BI24" i="1"/>
  <c r="BH24" i="1"/>
  <c r="BC24" i="1"/>
  <c r="BB24" i="1"/>
  <c r="BA24" i="1"/>
  <c r="AV24" i="1"/>
  <c r="AU24" i="1"/>
  <c r="AT24" i="1"/>
  <c r="AO24" i="1"/>
  <c r="AN24" i="1"/>
  <c r="AJ24" i="1"/>
  <c r="AC24" i="1"/>
  <c r="Y24" i="1"/>
  <c r="S24" i="1"/>
  <c r="K24" i="1"/>
  <c r="J24" i="1"/>
  <c r="EV264" i="1"/>
  <c r="EU264" i="1"/>
  <c r="ET264" i="1"/>
  <c r="EC264" i="1"/>
  <c r="DQ264" i="1"/>
  <c r="DK264" i="1"/>
  <c r="DH264" i="1"/>
  <c r="DD264" i="1"/>
  <c r="CW264" i="1"/>
  <c r="CP264" i="1"/>
  <c r="CL264" i="1"/>
  <c r="CG264" i="1"/>
  <c r="CB264" i="1"/>
  <c r="BW264" i="1"/>
  <c r="BV264" i="1"/>
  <c r="BQ264" i="1"/>
  <c r="BP264" i="1"/>
  <c r="BO264" i="1"/>
  <c r="BJ264" i="1"/>
  <c r="BI264" i="1"/>
  <c r="BH264" i="1"/>
  <c r="BC264" i="1"/>
  <c r="BB264" i="1"/>
  <c r="BA264" i="1"/>
  <c r="AV264" i="1"/>
  <c r="AU264" i="1"/>
  <c r="AT264" i="1"/>
  <c r="AO264" i="1"/>
  <c r="AN264" i="1"/>
  <c r="AC264" i="1"/>
  <c r="Y264" i="1"/>
  <c r="S264" i="1"/>
  <c r="K264" i="1"/>
  <c r="J264" i="1"/>
  <c r="EV248" i="1"/>
  <c r="EU248" i="1"/>
  <c r="ET248" i="1"/>
  <c r="EC248" i="1"/>
  <c r="DY248" i="1"/>
  <c r="DQ248" i="1"/>
  <c r="DK248" i="1"/>
  <c r="DH248" i="1"/>
  <c r="DD248" i="1"/>
  <c r="CW248" i="1"/>
  <c r="CP248" i="1"/>
  <c r="CL248" i="1"/>
  <c r="CG248" i="1"/>
  <c r="CB248" i="1"/>
  <c r="BW248" i="1"/>
  <c r="BV248" i="1"/>
  <c r="BQ248" i="1"/>
  <c r="BP248" i="1"/>
  <c r="BO248" i="1"/>
  <c r="BJ248" i="1"/>
  <c r="BI248" i="1"/>
  <c r="BH248" i="1"/>
  <c r="BC248" i="1"/>
  <c r="BB248" i="1"/>
  <c r="BA248" i="1"/>
  <c r="AV248" i="1"/>
  <c r="AU248" i="1"/>
  <c r="AT248" i="1"/>
  <c r="AO248" i="1"/>
  <c r="AN248" i="1"/>
  <c r="AJ248" i="1"/>
  <c r="AC248" i="1"/>
  <c r="Y248" i="1"/>
  <c r="S248" i="1"/>
  <c r="K248" i="1"/>
  <c r="J248" i="1"/>
  <c r="EV51" i="1"/>
  <c r="EU51" i="1"/>
  <c r="ET51" i="1"/>
  <c r="EG51" i="1"/>
  <c r="EC51" i="1"/>
  <c r="DQ51" i="1"/>
  <c r="DK51" i="1"/>
  <c r="DH51" i="1"/>
  <c r="DD51" i="1"/>
  <c r="CW51" i="1"/>
  <c r="CP51" i="1"/>
  <c r="CL51" i="1"/>
  <c r="CG51" i="1"/>
  <c r="CB51" i="1"/>
  <c r="BW51" i="1"/>
  <c r="BV51" i="1"/>
  <c r="BQ51" i="1"/>
  <c r="BP51" i="1"/>
  <c r="BO51" i="1"/>
  <c r="BJ51" i="1"/>
  <c r="BI51" i="1"/>
  <c r="BH51" i="1"/>
  <c r="BC51" i="1"/>
  <c r="BB51" i="1"/>
  <c r="BA51" i="1"/>
  <c r="AV51" i="1"/>
  <c r="AU51" i="1"/>
  <c r="AT51" i="1"/>
  <c r="AO51" i="1"/>
  <c r="AN51" i="1"/>
  <c r="AC51" i="1"/>
  <c r="AB51" i="1"/>
  <c r="Y51" i="1"/>
  <c r="S51" i="1"/>
  <c r="K51" i="1"/>
  <c r="J51" i="1"/>
  <c r="EV5" i="1"/>
  <c r="EU5" i="1"/>
  <c r="ET5" i="1"/>
  <c r="EC5" i="1"/>
  <c r="DY5" i="1"/>
  <c r="DQ5" i="1"/>
  <c r="DK5" i="1"/>
  <c r="DH5" i="1"/>
  <c r="DD5" i="1"/>
  <c r="CW5" i="1"/>
  <c r="CP5" i="1"/>
  <c r="CL5" i="1"/>
  <c r="CG5" i="1"/>
  <c r="CB5" i="1"/>
  <c r="BW5" i="1"/>
  <c r="BV5" i="1"/>
  <c r="BQ5" i="1"/>
  <c r="BP5" i="1"/>
  <c r="BO5" i="1"/>
  <c r="BJ5" i="1"/>
  <c r="BI5" i="1"/>
  <c r="BH5" i="1"/>
  <c r="BC5" i="1"/>
  <c r="BB5" i="1"/>
  <c r="BA5" i="1"/>
  <c r="AV5" i="1"/>
  <c r="AU5" i="1"/>
  <c r="AT5" i="1"/>
  <c r="AO5" i="1"/>
  <c r="AN5" i="1"/>
  <c r="AJ5" i="1"/>
  <c r="AC5" i="1"/>
  <c r="Y5" i="1"/>
  <c r="S5" i="1"/>
  <c r="K5" i="1"/>
  <c r="J5" i="1"/>
  <c r="EV218" i="1"/>
  <c r="EU218" i="1"/>
  <c r="ET218" i="1"/>
  <c r="EC218" i="1"/>
  <c r="DY218" i="1"/>
  <c r="DQ218" i="1"/>
  <c r="DK218" i="1"/>
  <c r="DH218" i="1"/>
  <c r="DD218" i="1"/>
  <c r="CW218" i="1"/>
  <c r="CP218" i="1"/>
  <c r="CL218" i="1"/>
  <c r="CG218" i="1"/>
  <c r="CB218" i="1"/>
  <c r="BW218" i="1"/>
  <c r="BV218" i="1"/>
  <c r="BQ218" i="1"/>
  <c r="BP218" i="1"/>
  <c r="BO218" i="1"/>
  <c r="BJ218" i="1"/>
  <c r="BI218" i="1"/>
  <c r="BH218" i="1"/>
  <c r="BC218" i="1"/>
  <c r="BB218" i="1"/>
  <c r="BA218" i="1"/>
  <c r="AV218" i="1"/>
  <c r="AU218" i="1"/>
  <c r="AT218" i="1"/>
  <c r="AO218" i="1"/>
  <c r="AN218" i="1"/>
  <c r="AJ218" i="1"/>
  <c r="AC218" i="1"/>
  <c r="Y218" i="1"/>
  <c r="S218" i="1"/>
  <c r="K218" i="1"/>
  <c r="J218" i="1"/>
  <c r="EV8" i="1"/>
  <c r="EU8" i="1"/>
  <c r="ET8" i="1"/>
  <c r="EG8" i="1"/>
  <c r="EC8" i="1"/>
  <c r="DQ8" i="1"/>
  <c r="DK8" i="1"/>
  <c r="DH8" i="1"/>
  <c r="DD8" i="1"/>
  <c r="CW8" i="1"/>
  <c r="CP8" i="1"/>
  <c r="CL8" i="1"/>
  <c r="CG8" i="1"/>
  <c r="CB8" i="1"/>
  <c r="BW8" i="1"/>
  <c r="BV8" i="1"/>
  <c r="BQ8" i="1"/>
  <c r="BP8" i="1"/>
  <c r="BO8" i="1"/>
  <c r="BJ8" i="1"/>
  <c r="BI8" i="1"/>
  <c r="BH8" i="1"/>
  <c r="BC8" i="1"/>
  <c r="BB8" i="1"/>
  <c r="BA8" i="1"/>
  <c r="AV8" i="1"/>
  <c r="AU8" i="1"/>
  <c r="AT8" i="1"/>
  <c r="AO8" i="1"/>
  <c r="AN8" i="1"/>
  <c r="AC8" i="1"/>
  <c r="AB8" i="1"/>
  <c r="Y8" i="1"/>
  <c r="S8" i="1"/>
  <c r="K8" i="1"/>
  <c r="J8" i="1"/>
  <c r="EV190" i="1"/>
  <c r="EU190" i="1"/>
  <c r="ET190" i="1"/>
  <c r="EC190" i="1"/>
  <c r="DQ190" i="1"/>
  <c r="DK190" i="1"/>
  <c r="DH190" i="1"/>
  <c r="DD190" i="1"/>
  <c r="CW190" i="1"/>
  <c r="CP190" i="1"/>
  <c r="CL190" i="1"/>
  <c r="CG190" i="1"/>
  <c r="CB190" i="1"/>
  <c r="BW190" i="1"/>
  <c r="BV190" i="1"/>
  <c r="BQ190" i="1"/>
  <c r="BP190" i="1"/>
  <c r="BO190" i="1"/>
  <c r="BJ190" i="1"/>
  <c r="BI190" i="1"/>
  <c r="BH190" i="1"/>
  <c r="BC190" i="1"/>
  <c r="BB190" i="1"/>
  <c r="BA190" i="1"/>
  <c r="AV190" i="1"/>
  <c r="AU190" i="1"/>
  <c r="AT190" i="1"/>
  <c r="AO190" i="1"/>
  <c r="AN190" i="1"/>
  <c r="AC190" i="1"/>
  <c r="Y190" i="1"/>
  <c r="S190" i="1"/>
  <c r="K190" i="1"/>
  <c r="J190" i="1"/>
  <c r="EV209" i="1"/>
  <c r="EU209" i="1"/>
  <c r="ET209" i="1"/>
  <c r="EG209" i="1"/>
  <c r="EC209" i="1"/>
  <c r="DQ209" i="1"/>
  <c r="DK209" i="1"/>
  <c r="DH209" i="1"/>
  <c r="DD209" i="1"/>
  <c r="CW209" i="1"/>
  <c r="CP209" i="1"/>
  <c r="CL209" i="1"/>
  <c r="CG209" i="1"/>
  <c r="CB209" i="1"/>
  <c r="BW209" i="1"/>
  <c r="BV209" i="1"/>
  <c r="BQ209" i="1"/>
  <c r="BP209" i="1"/>
  <c r="BO209" i="1"/>
  <c r="BJ209" i="1"/>
  <c r="BI209" i="1"/>
  <c r="BH209" i="1"/>
  <c r="BC209" i="1"/>
  <c r="BB209" i="1"/>
  <c r="BA209" i="1"/>
  <c r="AV209" i="1"/>
  <c r="AU209" i="1"/>
  <c r="AT209" i="1"/>
  <c r="AO209" i="1"/>
  <c r="AN209" i="1"/>
  <c r="AC209" i="1"/>
  <c r="AB209" i="1"/>
  <c r="Y209" i="1"/>
  <c r="S209" i="1"/>
  <c r="K209" i="1"/>
  <c r="J209" i="1"/>
  <c r="EV74" i="1"/>
  <c r="EU74" i="1"/>
  <c r="ET74" i="1"/>
  <c r="EC74" i="1"/>
  <c r="DQ74" i="1"/>
  <c r="DK74" i="1"/>
  <c r="DH74" i="1"/>
  <c r="DD74" i="1"/>
  <c r="CW74" i="1"/>
  <c r="CP74" i="1"/>
  <c r="CL74" i="1"/>
  <c r="CG74" i="1"/>
  <c r="CB74" i="1"/>
  <c r="BW74" i="1"/>
  <c r="BV74" i="1"/>
  <c r="BQ74" i="1"/>
  <c r="BP74" i="1"/>
  <c r="BO74" i="1"/>
  <c r="BJ74" i="1"/>
  <c r="BI74" i="1"/>
  <c r="BH74" i="1"/>
  <c r="BC74" i="1"/>
  <c r="BB74" i="1"/>
  <c r="BA74" i="1"/>
  <c r="AV74" i="1"/>
  <c r="AU74" i="1"/>
  <c r="AT74" i="1"/>
  <c r="AO74" i="1"/>
  <c r="AN74" i="1"/>
  <c r="AC74" i="1"/>
  <c r="Y74" i="1"/>
  <c r="S74" i="1"/>
  <c r="K74" i="1"/>
  <c r="J74" i="1"/>
  <c r="EV102" i="1"/>
  <c r="EU102" i="1"/>
  <c r="ET102" i="1"/>
  <c r="EC102" i="1"/>
  <c r="DQ102" i="1"/>
  <c r="DK102" i="1"/>
  <c r="DH102" i="1"/>
  <c r="DD102" i="1"/>
  <c r="CW102" i="1"/>
  <c r="CP102" i="1"/>
  <c r="CL102" i="1"/>
  <c r="CG102" i="1"/>
  <c r="CB102" i="1"/>
  <c r="BW102" i="1"/>
  <c r="BV102" i="1"/>
  <c r="BQ102" i="1"/>
  <c r="BP102" i="1"/>
  <c r="BO102" i="1"/>
  <c r="BJ102" i="1"/>
  <c r="BI102" i="1"/>
  <c r="BH102" i="1"/>
  <c r="BC102" i="1"/>
  <c r="BB102" i="1"/>
  <c r="BA102" i="1"/>
  <c r="AV102" i="1"/>
  <c r="AU102" i="1"/>
  <c r="AT102" i="1"/>
  <c r="AO102" i="1"/>
  <c r="AN102" i="1"/>
  <c r="AC102" i="1"/>
  <c r="Y102" i="1"/>
  <c r="S102" i="1"/>
  <c r="K102" i="1"/>
  <c r="J102" i="1"/>
  <c r="EV136" i="1"/>
  <c r="EU136" i="1"/>
  <c r="ET136" i="1"/>
  <c r="EC136" i="1"/>
  <c r="DY136" i="1"/>
  <c r="DQ136" i="1"/>
  <c r="DK136" i="1"/>
  <c r="DH136" i="1"/>
  <c r="DD136" i="1"/>
  <c r="CW136" i="1"/>
  <c r="CP136" i="1"/>
  <c r="CL136" i="1"/>
  <c r="CG136" i="1"/>
  <c r="CB136" i="1"/>
  <c r="BW136" i="1"/>
  <c r="BV136" i="1"/>
  <c r="BQ136" i="1"/>
  <c r="BP136" i="1"/>
  <c r="BO136" i="1"/>
  <c r="BJ136" i="1"/>
  <c r="BI136" i="1"/>
  <c r="BH136" i="1"/>
  <c r="BC136" i="1"/>
  <c r="BB136" i="1"/>
  <c r="BA136" i="1"/>
  <c r="AV136" i="1"/>
  <c r="AU136" i="1"/>
  <c r="AT136" i="1"/>
  <c r="AO136" i="1"/>
  <c r="AN136" i="1"/>
  <c r="AJ136" i="1"/>
  <c r="AC136" i="1"/>
  <c r="Y136" i="1"/>
  <c r="S136" i="1"/>
  <c r="K136" i="1"/>
  <c r="J136" i="1"/>
  <c r="EV123" i="1"/>
  <c r="EU123" i="1"/>
  <c r="ET123" i="1"/>
  <c r="EC123" i="1"/>
  <c r="DQ123" i="1"/>
  <c r="DK123" i="1"/>
  <c r="DH123" i="1"/>
  <c r="DD123" i="1"/>
  <c r="CW123" i="1"/>
  <c r="CP123" i="1"/>
  <c r="CL123" i="1"/>
  <c r="CG123" i="1"/>
  <c r="CB123" i="1"/>
  <c r="BW123" i="1"/>
  <c r="BV123" i="1"/>
  <c r="BQ123" i="1"/>
  <c r="BP123" i="1"/>
  <c r="BO123" i="1"/>
  <c r="BJ123" i="1"/>
  <c r="BI123" i="1"/>
  <c r="BH123" i="1"/>
  <c r="BC123" i="1"/>
  <c r="BB123" i="1"/>
  <c r="BA123" i="1"/>
  <c r="AV123" i="1"/>
  <c r="AU123" i="1"/>
  <c r="AT123" i="1"/>
  <c r="AO123" i="1"/>
  <c r="AN123" i="1"/>
  <c r="AC123" i="1"/>
  <c r="Y123" i="1"/>
  <c r="S123" i="1"/>
  <c r="K123" i="1"/>
  <c r="J123" i="1"/>
  <c r="EV203" i="1"/>
  <c r="EU203" i="1"/>
  <c r="ET203" i="1"/>
  <c r="EC203" i="1"/>
  <c r="DY203" i="1"/>
  <c r="DQ203" i="1"/>
  <c r="DK203" i="1"/>
  <c r="DH203" i="1"/>
  <c r="DD203" i="1"/>
  <c r="CW203" i="1"/>
  <c r="CP203" i="1"/>
  <c r="CL203" i="1"/>
  <c r="CG203" i="1"/>
  <c r="CB203" i="1"/>
  <c r="BW203" i="1"/>
  <c r="BV203" i="1"/>
  <c r="BQ203" i="1"/>
  <c r="BP203" i="1"/>
  <c r="BO203" i="1"/>
  <c r="BJ203" i="1"/>
  <c r="BI203" i="1"/>
  <c r="BH203" i="1"/>
  <c r="BC203" i="1"/>
  <c r="BB203" i="1"/>
  <c r="BA203" i="1"/>
  <c r="AV203" i="1"/>
  <c r="AU203" i="1"/>
  <c r="AT203" i="1"/>
  <c r="AO203" i="1"/>
  <c r="AN203" i="1"/>
  <c r="AJ203" i="1"/>
  <c r="AC203" i="1"/>
  <c r="Y203" i="1"/>
  <c r="S203" i="1"/>
  <c r="K203" i="1"/>
  <c r="J203" i="1"/>
  <c r="EV84" i="1"/>
  <c r="EU84" i="1"/>
  <c r="ET84" i="1"/>
  <c r="EC84" i="1"/>
  <c r="DQ84" i="1"/>
  <c r="DK84" i="1"/>
  <c r="DH84" i="1"/>
  <c r="DD84" i="1"/>
  <c r="CW84" i="1"/>
  <c r="CP84" i="1"/>
  <c r="CL84" i="1"/>
  <c r="CG84" i="1"/>
  <c r="CB84" i="1"/>
  <c r="BW84" i="1"/>
  <c r="BV84" i="1"/>
  <c r="BQ84" i="1"/>
  <c r="BP84" i="1"/>
  <c r="BO84" i="1"/>
  <c r="BJ84" i="1"/>
  <c r="BI84" i="1"/>
  <c r="BH84" i="1"/>
  <c r="BC84" i="1"/>
  <c r="BB84" i="1"/>
  <c r="BA84" i="1"/>
  <c r="AV84" i="1"/>
  <c r="AU84" i="1"/>
  <c r="AT84" i="1"/>
  <c r="AO84" i="1"/>
  <c r="AN84" i="1"/>
  <c r="AC84" i="1"/>
  <c r="Y84" i="1"/>
  <c r="S84" i="1"/>
  <c r="K84" i="1"/>
  <c r="J84" i="1"/>
  <c r="EV12" i="1"/>
  <c r="EU12" i="1"/>
  <c r="ET12" i="1"/>
  <c r="EC12" i="1"/>
  <c r="DQ12" i="1"/>
  <c r="DK12" i="1"/>
  <c r="DH12" i="1"/>
  <c r="DD12" i="1"/>
  <c r="CW12" i="1"/>
  <c r="CP12" i="1"/>
  <c r="CL12" i="1"/>
  <c r="CG12" i="1"/>
  <c r="CB12" i="1"/>
  <c r="BW12" i="1"/>
  <c r="BV12" i="1"/>
  <c r="BQ12" i="1"/>
  <c r="BP12" i="1"/>
  <c r="BO12" i="1"/>
  <c r="BJ12" i="1"/>
  <c r="BI12" i="1"/>
  <c r="BH12" i="1"/>
  <c r="BC12" i="1"/>
  <c r="BB12" i="1"/>
  <c r="BA12" i="1"/>
  <c r="AV12" i="1"/>
  <c r="AU12" i="1"/>
  <c r="AT12" i="1"/>
  <c r="AO12" i="1"/>
  <c r="AN12" i="1"/>
  <c r="AC12" i="1"/>
  <c r="Y12" i="1"/>
  <c r="S12" i="1"/>
  <c r="K12" i="1"/>
  <c r="J12" i="1"/>
  <c r="EV36" i="1"/>
  <c r="EU36" i="1"/>
  <c r="ET36" i="1"/>
  <c r="EG36" i="1"/>
  <c r="EC36" i="1"/>
  <c r="DQ36" i="1"/>
  <c r="DK36" i="1"/>
  <c r="DH36" i="1"/>
  <c r="DD36" i="1"/>
  <c r="CW36" i="1"/>
  <c r="CP36" i="1"/>
  <c r="CL36" i="1"/>
  <c r="CG36" i="1"/>
  <c r="CB36" i="1"/>
  <c r="BW36" i="1"/>
  <c r="BV36" i="1"/>
  <c r="BQ36" i="1"/>
  <c r="BP36" i="1"/>
  <c r="BO36" i="1"/>
  <c r="BJ36" i="1"/>
  <c r="BI36" i="1"/>
  <c r="BH36" i="1"/>
  <c r="BC36" i="1"/>
  <c r="BB36" i="1"/>
  <c r="BA36" i="1"/>
  <c r="AV36" i="1"/>
  <c r="AU36" i="1"/>
  <c r="AT36" i="1"/>
  <c r="AO36" i="1"/>
  <c r="AN36" i="1"/>
  <c r="AC36" i="1"/>
  <c r="AB36" i="1"/>
  <c r="Y36" i="1"/>
  <c r="S36" i="1"/>
  <c r="K36" i="1"/>
  <c r="J36" i="1"/>
  <c r="EV116" i="1"/>
  <c r="EU116" i="1"/>
  <c r="ET116" i="1"/>
  <c r="EC116" i="1"/>
  <c r="DQ116" i="1"/>
  <c r="DK116" i="1"/>
  <c r="DH116" i="1"/>
  <c r="DD116" i="1"/>
  <c r="CW116" i="1"/>
  <c r="CP116" i="1"/>
  <c r="CL116" i="1"/>
  <c r="CG116" i="1"/>
  <c r="CB116" i="1"/>
  <c r="BW116" i="1"/>
  <c r="BV116" i="1"/>
  <c r="BQ116" i="1"/>
  <c r="BP116" i="1"/>
  <c r="BO116" i="1"/>
  <c r="BJ116" i="1"/>
  <c r="BI116" i="1"/>
  <c r="BH116" i="1"/>
  <c r="BC116" i="1"/>
  <c r="BB116" i="1"/>
  <c r="BA116" i="1"/>
  <c r="AV116" i="1"/>
  <c r="AU116" i="1"/>
  <c r="AT116" i="1"/>
  <c r="AO116" i="1"/>
  <c r="AN116" i="1"/>
  <c r="AC116" i="1"/>
  <c r="Y116" i="1"/>
  <c r="S116" i="1"/>
  <c r="K116" i="1"/>
  <c r="J116" i="1"/>
  <c r="EV148" i="1"/>
  <c r="EU148" i="1"/>
  <c r="ET148" i="1"/>
  <c r="EG148" i="1"/>
  <c r="EC148" i="1"/>
  <c r="DQ148" i="1"/>
  <c r="DK148" i="1"/>
  <c r="DH148" i="1"/>
  <c r="DD148" i="1"/>
  <c r="CW148" i="1"/>
  <c r="CP148" i="1"/>
  <c r="CL148" i="1"/>
  <c r="CG148" i="1"/>
  <c r="CB148" i="1"/>
  <c r="BW148" i="1"/>
  <c r="BV148" i="1"/>
  <c r="BQ148" i="1"/>
  <c r="BP148" i="1"/>
  <c r="BO148" i="1"/>
  <c r="BJ148" i="1"/>
  <c r="BI148" i="1"/>
  <c r="BH148" i="1"/>
  <c r="BC148" i="1"/>
  <c r="BB148" i="1"/>
  <c r="BA148" i="1"/>
  <c r="AV148" i="1"/>
  <c r="AU148" i="1"/>
  <c r="AT148" i="1"/>
  <c r="AO148" i="1"/>
  <c r="AN148" i="1"/>
  <c r="AC148" i="1"/>
  <c r="AB148" i="1"/>
  <c r="Y148" i="1"/>
  <c r="S148" i="1"/>
  <c r="K148" i="1"/>
  <c r="J148" i="1"/>
  <c r="EV166" i="1"/>
  <c r="EU166" i="1"/>
  <c r="ET166" i="1"/>
  <c r="EC166" i="1"/>
  <c r="DQ166" i="1"/>
  <c r="DK166" i="1"/>
  <c r="DH166" i="1"/>
  <c r="DD166" i="1"/>
  <c r="CW166" i="1"/>
  <c r="CP166" i="1"/>
  <c r="CL166" i="1"/>
  <c r="CG166" i="1"/>
  <c r="CB166" i="1"/>
  <c r="BW166" i="1"/>
  <c r="BV166" i="1"/>
  <c r="BQ166" i="1"/>
  <c r="BP166" i="1"/>
  <c r="BO166" i="1"/>
  <c r="BJ166" i="1"/>
  <c r="BI166" i="1"/>
  <c r="BH166" i="1"/>
  <c r="BC166" i="1"/>
  <c r="BB166" i="1"/>
  <c r="BA166" i="1"/>
  <c r="AV166" i="1"/>
  <c r="AU166" i="1"/>
  <c r="AT166" i="1"/>
  <c r="AO166" i="1"/>
  <c r="AN166" i="1"/>
  <c r="AC166" i="1"/>
  <c r="Y166" i="1"/>
  <c r="S166" i="1"/>
  <c r="K166" i="1"/>
  <c r="J166" i="1"/>
  <c r="EV31" i="1"/>
  <c r="EU31" i="1"/>
  <c r="ET31" i="1"/>
  <c r="EG31" i="1"/>
  <c r="EC31" i="1"/>
  <c r="DY31" i="1"/>
  <c r="DQ31" i="1"/>
  <c r="DK31" i="1"/>
  <c r="DH31" i="1"/>
  <c r="DD31" i="1"/>
  <c r="CW31" i="1"/>
  <c r="CP31" i="1"/>
  <c r="CL31" i="1"/>
  <c r="CG31" i="1"/>
  <c r="CB31" i="1"/>
  <c r="BW31" i="1"/>
  <c r="BV31" i="1"/>
  <c r="BQ31" i="1"/>
  <c r="BP31" i="1"/>
  <c r="BO31" i="1"/>
  <c r="BJ31" i="1"/>
  <c r="BI31" i="1"/>
  <c r="BH31" i="1"/>
  <c r="BC31" i="1"/>
  <c r="BB31" i="1"/>
  <c r="BA31" i="1"/>
  <c r="AV31" i="1"/>
  <c r="AU31" i="1"/>
  <c r="AT31" i="1"/>
  <c r="AO31" i="1"/>
  <c r="AN31" i="1"/>
  <c r="AJ31" i="1"/>
  <c r="AC31" i="1"/>
  <c r="AB31" i="1"/>
  <c r="Y31" i="1"/>
  <c r="S31" i="1"/>
  <c r="K31" i="1"/>
  <c r="J31" i="1"/>
  <c r="EV220" i="1"/>
  <c r="EU220" i="1"/>
  <c r="ET220" i="1"/>
  <c r="EC220" i="1"/>
  <c r="DQ220" i="1"/>
  <c r="DK220" i="1"/>
  <c r="DH220" i="1"/>
  <c r="DD220" i="1"/>
  <c r="CW220" i="1"/>
  <c r="CP220" i="1"/>
  <c r="CL220" i="1"/>
  <c r="CG220" i="1"/>
  <c r="CB220" i="1"/>
  <c r="BW220" i="1"/>
  <c r="BV220" i="1"/>
  <c r="BQ220" i="1"/>
  <c r="BP220" i="1"/>
  <c r="BO220" i="1"/>
  <c r="BJ220" i="1"/>
  <c r="BI220" i="1"/>
  <c r="BH220" i="1"/>
  <c r="BC220" i="1"/>
  <c r="BB220" i="1"/>
  <c r="BA220" i="1"/>
  <c r="AV220" i="1"/>
  <c r="AU220" i="1"/>
  <c r="AT220" i="1"/>
  <c r="AO220" i="1"/>
  <c r="AN220" i="1"/>
  <c r="AC220" i="1"/>
  <c r="Y220" i="1"/>
  <c r="S220" i="1"/>
  <c r="K220" i="1"/>
  <c r="J220" i="1"/>
  <c r="EV21" i="1"/>
  <c r="EU21" i="1"/>
  <c r="ET21" i="1"/>
  <c r="EC21" i="1"/>
  <c r="DY21" i="1"/>
  <c r="DQ21" i="1"/>
  <c r="DK21" i="1"/>
  <c r="DH21" i="1"/>
  <c r="DD21" i="1"/>
  <c r="CW21" i="1"/>
  <c r="CP21" i="1"/>
  <c r="CL21" i="1"/>
  <c r="CG21" i="1"/>
  <c r="CB21" i="1"/>
  <c r="BW21" i="1"/>
  <c r="BV21" i="1"/>
  <c r="BQ21" i="1"/>
  <c r="BP21" i="1"/>
  <c r="BO21" i="1"/>
  <c r="BJ21" i="1"/>
  <c r="BI21" i="1"/>
  <c r="BH21" i="1"/>
  <c r="BC21" i="1"/>
  <c r="BB21" i="1"/>
  <c r="BA21" i="1"/>
  <c r="AV21" i="1"/>
  <c r="AU21" i="1"/>
  <c r="AT21" i="1"/>
  <c r="AO21" i="1"/>
  <c r="AN21" i="1"/>
  <c r="AJ21" i="1"/>
  <c r="AC21" i="1"/>
  <c r="Y21" i="1"/>
  <c r="S21" i="1"/>
  <c r="K21" i="1"/>
  <c r="J21" i="1"/>
  <c r="EV62" i="1"/>
  <c r="EU62" i="1"/>
  <c r="ET62" i="1"/>
  <c r="EC62" i="1"/>
  <c r="DQ62" i="1"/>
  <c r="DK62" i="1"/>
  <c r="DH62" i="1"/>
  <c r="DD62" i="1"/>
  <c r="CW62" i="1"/>
  <c r="CP62" i="1"/>
  <c r="CL62" i="1"/>
  <c r="CG62" i="1"/>
  <c r="CB62" i="1"/>
  <c r="BW62" i="1"/>
  <c r="BV62" i="1"/>
  <c r="BQ62" i="1"/>
  <c r="BP62" i="1"/>
  <c r="BO62" i="1"/>
  <c r="BJ62" i="1"/>
  <c r="BI62" i="1"/>
  <c r="BH62" i="1"/>
  <c r="BC62" i="1"/>
  <c r="BB62" i="1"/>
  <c r="BA62" i="1"/>
  <c r="AV62" i="1"/>
  <c r="AU62" i="1"/>
  <c r="AT62" i="1"/>
  <c r="AO62" i="1"/>
  <c r="AN62" i="1"/>
  <c r="AC62" i="1"/>
  <c r="Y62" i="1"/>
  <c r="S62" i="1"/>
  <c r="K62" i="1"/>
  <c r="J62" i="1"/>
  <c r="EV143" i="1"/>
  <c r="EU143" i="1"/>
  <c r="ET143" i="1"/>
  <c r="EC143" i="1"/>
  <c r="DQ143" i="1"/>
  <c r="DK143" i="1"/>
  <c r="DH143" i="1"/>
  <c r="DD143" i="1"/>
  <c r="CW143" i="1"/>
  <c r="CP143" i="1"/>
  <c r="CL143" i="1"/>
  <c r="CG143" i="1"/>
  <c r="CB143" i="1"/>
  <c r="BW143" i="1"/>
  <c r="BV143" i="1"/>
  <c r="BQ143" i="1"/>
  <c r="BP143" i="1"/>
  <c r="BO143" i="1"/>
  <c r="BJ143" i="1"/>
  <c r="BI143" i="1"/>
  <c r="BH143" i="1"/>
  <c r="BC143" i="1"/>
  <c r="BB143" i="1"/>
  <c r="BA143" i="1"/>
  <c r="AV143" i="1"/>
  <c r="AU143" i="1"/>
  <c r="AT143" i="1"/>
  <c r="AO143" i="1"/>
  <c r="AN143" i="1"/>
  <c r="AC143" i="1"/>
  <c r="Y143" i="1"/>
  <c r="S143" i="1"/>
  <c r="K143" i="1"/>
  <c r="J143" i="1"/>
  <c r="EV41" i="1"/>
  <c r="EU41" i="1"/>
  <c r="ET41" i="1"/>
  <c r="EC41" i="1"/>
  <c r="DQ41" i="1"/>
  <c r="DK41" i="1"/>
  <c r="DH41" i="1"/>
  <c r="DD41" i="1"/>
  <c r="CW41" i="1"/>
  <c r="CP41" i="1"/>
  <c r="CL41" i="1"/>
  <c r="CG41" i="1"/>
  <c r="CB41" i="1"/>
  <c r="BW41" i="1"/>
  <c r="BV41" i="1"/>
  <c r="BQ41" i="1"/>
  <c r="BP41" i="1"/>
  <c r="BO41" i="1"/>
  <c r="BJ41" i="1"/>
  <c r="BI41" i="1"/>
  <c r="BH41" i="1"/>
  <c r="BC41" i="1"/>
  <c r="BB41" i="1"/>
  <c r="BA41" i="1"/>
  <c r="AV41" i="1"/>
  <c r="AU41" i="1"/>
  <c r="AT41" i="1"/>
  <c r="AO41" i="1"/>
  <c r="AN41" i="1"/>
  <c r="AC41" i="1"/>
  <c r="Y41" i="1"/>
  <c r="S41" i="1"/>
  <c r="K41" i="1"/>
  <c r="J41" i="1"/>
  <c r="EV71" i="1"/>
  <c r="EU71" i="1"/>
  <c r="ET71" i="1"/>
  <c r="EC71" i="1"/>
  <c r="DQ71" i="1"/>
  <c r="DK71" i="1"/>
  <c r="DH71" i="1"/>
  <c r="DD71" i="1"/>
  <c r="CW71" i="1"/>
  <c r="CP71" i="1"/>
  <c r="CL71" i="1"/>
  <c r="CG71" i="1"/>
  <c r="CB71" i="1"/>
  <c r="BW71" i="1"/>
  <c r="BV71" i="1"/>
  <c r="BQ71" i="1"/>
  <c r="BP71" i="1"/>
  <c r="BO71" i="1"/>
  <c r="BJ71" i="1"/>
  <c r="BI71" i="1"/>
  <c r="BH71" i="1"/>
  <c r="BC71" i="1"/>
  <c r="BB71" i="1"/>
  <c r="BA71" i="1"/>
  <c r="AV71" i="1"/>
  <c r="AU71" i="1"/>
  <c r="AT71" i="1"/>
  <c r="AO71" i="1"/>
  <c r="AN71" i="1"/>
  <c r="AC71" i="1"/>
  <c r="Y71" i="1"/>
  <c r="S71" i="1"/>
  <c r="K71" i="1"/>
  <c r="J71" i="1"/>
  <c r="EV210" i="1"/>
  <c r="EU210" i="1"/>
  <c r="ET210" i="1"/>
  <c r="EC210" i="1"/>
  <c r="DQ210" i="1"/>
  <c r="DK210" i="1"/>
  <c r="DH210" i="1"/>
  <c r="DD210" i="1"/>
  <c r="CW210" i="1"/>
  <c r="CP210" i="1"/>
  <c r="CL210" i="1"/>
  <c r="CG210" i="1"/>
  <c r="CB210" i="1"/>
  <c r="BW210" i="1"/>
  <c r="BV210" i="1"/>
  <c r="BQ210" i="1"/>
  <c r="BP210" i="1"/>
  <c r="BO210" i="1"/>
  <c r="BJ210" i="1"/>
  <c r="BI210" i="1"/>
  <c r="BH210" i="1"/>
  <c r="BC210" i="1"/>
  <c r="BB210" i="1"/>
  <c r="BA210" i="1"/>
  <c r="AV210" i="1"/>
  <c r="AU210" i="1"/>
  <c r="AT210" i="1"/>
  <c r="AO210" i="1"/>
  <c r="AN210" i="1"/>
  <c r="AC210" i="1"/>
  <c r="Y210" i="1"/>
  <c r="S210" i="1"/>
  <c r="K210" i="1"/>
  <c r="J210" i="1"/>
  <c r="EV124" i="1"/>
  <c r="EU124" i="1"/>
  <c r="ET124" i="1"/>
  <c r="EC124" i="1"/>
  <c r="DQ124" i="1"/>
  <c r="DK124" i="1"/>
  <c r="DH124" i="1"/>
  <c r="DD124" i="1"/>
  <c r="CW124" i="1"/>
  <c r="CP124" i="1"/>
  <c r="CL124" i="1"/>
  <c r="CG124" i="1"/>
  <c r="CB124" i="1"/>
  <c r="BW124" i="1"/>
  <c r="BV124" i="1"/>
  <c r="BQ124" i="1"/>
  <c r="BP124" i="1"/>
  <c r="BO124" i="1"/>
  <c r="BJ124" i="1"/>
  <c r="BI124" i="1"/>
  <c r="BH124" i="1"/>
  <c r="BC124" i="1"/>
  <c r="BB124" i="1"/>
  <c r="BA124" i="1"/>
  <c r="AV124" i="1"/>
  <c r="AU124" i="1"/>
  <c r="AT124" i="1"/>
  <c r="AO124" i="1"/>
  <c r="AN124" i="1"/>
  <c r="AC124" i="1"/>
  <c r="Y124" i="1"/>
  <c r="S124" i="1"/>
  <c r="K124" i="1"/>
  <c r="J124" i="1"/>
  <c r="EV175" i="1"/>
  <c r="EU175" i="1"/>
  <c r="ET175" i="1"/>
  <c r="EC175" i="1"/>
  <c r="DY175" i="1"/>
  <c r="DQ175" i="1"/>
  <c r="DK175" i="1"/>
  <c r="DH175" i="1"/>
  <c r="DD175" i="1"/>
  <c r="CW175" i="1"/>
  <c r="CP175" i="1"/>
  <c r="CL175" i="1"/>
  <c r="CG175" i="1"/>
  <c r="CB175" i="1"/>
  <c r="BW175" i="1"/>
  <c r="BV175" i="1"/>
  <c r="BQ175" i="1"/>
  <c r="BP175" i="1"/>
  <c r="BO175" i="1"/>
  <c r="BJ175" i="1"/>
  <c r="BI175" i="1"/>
  <c r="BH175" i="1"/>
  <c r="BC175" i="1"/>
  <c r="BB175" i="1"/>
  <c r="BA175" i="1"/>
  <c r="AV175" i="1"/>
  <c r="AU175" i="1"/>
  <c r="AT175" i="1"/>
  <c r="AO175" i="1"/>
  <c r="AN175" i="1"/>
  <c r="AJ175" i="1"/>
  <c r="AC175" i="1"/>
  <c r="Y175" i="1"/>
  <c r="S175" i="1"/>
  <c r="K175" i="1"/>
  <c r="J175" i="1"/>
  <c r="EV160" i="1"/>
  <c r="EU160" i="1"/>
  <c r="ET160" i="1"/>
  <c r="EC160" i="1"/>
  <c r="DQ160" i="1"/>
  <c r="DK160" i="1"/>
  <c r="DH160" i="1"/>
  <c r="DD160" i="1"/>
  <c r="CW160" i="1"/>
  <c r="CP160" i="1"/>
  <c r="CL160" i="1"/>
  <c r="CG160" i="1"/>
  <c r="CB160" i="1"/>
  <c r="BW160" i="1"/>
  <c r="BV160" i="1"/>
  <c r="BQ160" i="1"/>
  <c r="BP160" i="1"/>
  <c r="BO160" i="1"/>
  <c r="BJ160" i="1"/>
  <c r="BI160" i="1"/>
  <c r="BH160" i="1"/>
  <c r="BC160" i="1"/>
  <c r="BB160" i="1"/>
  <c r="BA160" i="1"/>
  <c r="AV160" i="1"/>
  <c r="AU160" i="1"/>
  <c r="AT160" i="1"/>
  <c r="AO160" i="1"/>
  <c r="AN160" i="1"/>
  <c r="AC160" i="1"/>
  <c r="Y160" i="1"/>
  <c r="S160" i="1"/>
  <c r="K160" i="1"/>
  <c r="J160" i="1"/>
  <c r="EV173" i="1"/>
  <c r="EU173" i="1"/>
  <c r="ET173" i="1"/>
  <c r="EC173" i="1"/>
  <c r="DQ173" i="1"/>
  <c r="DK173" i="1"/>
  <c r="DH173" i="1"/>
  <c r="DD173" i="1"/>
  <c r="CW173" i="1"/>
  <c r="CP173" i="1"/>
  <c r="CL173" i="1"/>
  <c r="CG173" i="1"/>
  <c r="CB173" i="1"/>
  <c r="BW173" i="1"/>
  <c r="BV173" i="1"/>
  <c r="BQ173" i="1"/>
  <c r="BP173" i="1"/>
  <c r="BO173" i="1"/>
  <c r="BJ173" i="1"/>
  <c r="BI173" i="1"/>
  <c r="BH173" i="1"/>
  <c r="BC173" i="1"/>
  <c r="BB173" i="1"/>
  <c r="BA173" i="1"/>
  <c r="AV173" i="1"/>
  <c r="AU173" i="1"/>
  <c r="AT173" i="1"/>
  <c r="AO173" i="1"/>
  <c r="AN173" i="1"/>
  <c r="AC173" i="1"/>
  <c r="Y173" i="1"/>
  <c r="S173" i="1"/>
  <c r="K173" i="1"/>
  <c r="J173" i="1"/>
  <c r="EV204" i="1"/>
  <c r="EU204" i="1"/>
  <c r="ET204" i="1"/>
  <c r="EG204" i="1"/>
  <c r="EC204" i="1"/>
  <c r="DQ204" i="1"/>
  <c r="DK204" i="1"/>
  <c r="DH204" i="1"/>
  <c r="DD204" i="1"/>
  <c r="CW204" i="1"/>
  <c r="CP204" i="1"/>
  <c r="CL204" i="1"/>
  <c r="CG204" i="1"/>
  <c r="CB204" i="1"/>
  <c r="BW204" i="1"/>
  <c r="BV204" i="1"/>
  <c r="BQ204" i="1"/>
  <c r="BP204" i="1"/>
  <c r="BO204" i="1"/>
  <c r="BJ204" i="1"/>
  <c r="BI204" i="1"/>
  <c r="BH204" i="1"/>
  <c r="BC204" i="1"/>
  <c r="BB204" i="1"/>
  <c r="BA204" i="1"/>
  <c r="AV204" i="1"/>
  <c r="AU204" i="1"/>
  <c r="AT204" i="1"/>
  <c r="AO204" i="1"/>
  <c r="AN204" i="1"/>
  <c r="AC204" i="1"/>
  <c r="AB204" i="1"/>
  <c r="Y204" i="1"/>
  <c r="S204" i="1"/>
  <c r="K204" i="1"/>
  <c r="J204" i="1"/>
  <c r="EV196" i="1"/>
  <c r="EU196" i="1"/>
  <c r="ET196" i="1"/>
  <c r="EC196" i="1"/>
  <c r="DQ196" i="1"/>
  <c r="DK196" i="1"/>
  <c r="DH196" i="1"/>
  <c r="DD196" i="1"/>
  <c r="CW196" i="1"/>
  <c r="CP196" i="1"/>
  <c r="CL196" i="1"/>
  <c r="CG196" i="1"/>
  <c r="CB196" i="1"/>
  <c r="BW196" i="1"/>
  <c r="BV196" i="1"/>
  <c r="BQ196" i="1"/>
  <c r="BP196" i="1"/>
  <c r="BO196" i="1"/>
  <c r="BJ196" i="1"/>
  <c r="BI196" i="1"/>
  <c r="BH196" i="1"/>
  <c r="BC196" i="1"/>
  <c r="BB196" i="1"/>
  <c r="BA196" i="1"/>
  <c r="AV196" i="1"/>
  <c r="AU196" i="1"/>
  <c r="AT196" i="1"/>
  <c r="AO196" i="1"/>
  <c r="AN196" i="1"/>
  <c r="AC196" i="1"/>
  <c r="Y196" i="1"/>
  <c r="S196" i="1"/>
  <c r="K196" i="1"/>
  <c r="J196" i="1"/>
  <c r="EV187" i="1"/>
  <c r="EU187" i="1"/>
  <c r="ET187" i="1"/>
  <c r="EC187" i="1"/>
  <c r="DQ187" i="1"/>
  <c r="DK187" i="1"/>
  <c r="DH187" i="1"/>
  <c r="DD187" i="1"/>
  <c r="CW187" i="1"/>
  <c r="CP187" i="1"/>
  <c r="CL187" i="1"/>
  <c r="CG187" i="1"/>
  <c r="CB187" i="1"/>
  <c r="BW187" i="1"/>
  <c r="BV187" i="1"/>
  <c r="BQ187" i="1"/>
  <c r="BP187" i="1"/>
  <c r="BO187" i="1"/>
  <c r="BJ187" i="1"/>
  <c r="BI187" i="1"/>
  <c r="BH187" i="1"/>
  <c r="BC187" i="1"/>
  <c r="BB187" i="1"/>
  <c r="BA187" i="1"/>
  <c r="AV187" i="1"/>
  <c r="AU187" i="1"/>
  <c r="AT187" i="1"/>
  <c r="AO187" i="1"/>
  <c r="AN187" i="1"/>
  <c r="AC187" i="1"/>
  <c r="Y187" i="1"/>
  <c r="S187" i="1"/>
  <c r="K187" i="1"/>
  <c r="J187" i="1"/>
  <c r="EV168" i="1"/>
  <c r="EU168" i="1"/>
  <c r="ET168" i="1"/>
  <c r="EC168" i="1"/>
  <c r="DQ168" i="1"/>
  <c r="DK168" i="1"/>
  <c r="DH168" i="1"/>
  <c r="DD168" i="1"/>
  <c r="CW168" i="1"/>
  <c r="CP168" i="1"/>
  <c r="CL168" i="1"/>
  <c r="CG168" i="1"/>
  <c r="CB168" i="1"/>
  <c r="BW168" i="1"/>
  <c r="BV168" i="1"/>
  <c r="BQ168" i="1"/>
  <c r="BP168" i="1"/>
  <c r="BO168" i="1"/>
  <c r="BJ168" i="1"/>
  <c r="BI168" i="1"/>
  <c r="BH168" i="1"/>
  <c r="BC168" i="1"/>
  <c r="BB168" i="1"/>
  <c r="BA168" i="1"/>
  <c r="AV168" i="1"/>
  <c r="AU168" i="1"/>
  <c r="AT168" i="1"/>
  <c r="AO168" i="1"/>
  <c r="AN168" i="1"/>
  <c r="AC168" i="1"/>
  <c r="Y168" i="1"/>
  <c r="S168" i="1"/>
  <c r="K168" i="1"/>
  <c r="J168" i="1"/>
  <c r="EV213" i="1"/>
  <c r="EU213" i="1"/>
  <c r="ET213" i="1"/>
  <c r="EC213" i="1"/>
  <c r="DY213" i="1"/>
  <c r="DQ213" i="1"/>
  <c r="DK213" i="1"/>
  <c r="DH213" i="1"/>
  <c r="DD213" i="1"/>
  <c r="CW213" i="1"/>
  <c r="CP213" i="1"/>
  <c r="CL213" i="1"/>
  <c r="CG213" i="1"/>
  <c r="CB213" i="1"/>
  <c r="BW213" i="1"/>
  <c r="BV213" i="1"/>
  <c r="BQ213" i="1"/>
  <c r="BP213" i="1"/>
  <c r="BO213" i="1"/>
  <c r="BJ213" i="1"/>
  <c r="BI213" i="1"/>
  <c r="BH213" i="1"/>
  <c r="BC213" i="1"/>
  <c r="BB213" i="1"/>
  <c r="BA213" i="1"/>
  <c r="AV213" i="1"/>
  <c r="AU213" i="1"/>
  <c r="AT213" i="1"/>
  <c r="AO213" i="1"/>
  <c r="AN213" i="1"/>
  <c r="AJ213" i="1"/>
  <c r="AC213" i="1"/>
  <c r="Y213" i="1"/>
  <c r="S213" i="1"/>
  <c r="K213" i="1"/>
  <c r="J213" i="1"/>
  <c r="EV241" i="1"/>
  <c r="EU241" i="1"/>
  <c r="ET241" i="1"/>
  <c r="EC241" i="1"/>
  <c r="DY241" i="1"/>
  <c r="DQ241" i="1"/>
  <c r="DK241" i="1"/>
  <c r="DH241" i="1"/>
  <c r="DD241" i="1"/>
  <c r="CW241" i="1"/>
  <c r="CP241" i="1"/>
  <c r="CL241" i="1"/>
  <c r="CG241" i="1"/>
  <c r="CB241" i="1"/>
  <c r="BW241" i="1"/>
  <c r="BV241" i="1"/>
  <c r="BQ241" i="1"/>
  <c r="BP241" i="1"/>
  <c r="BO241" i="1"/>
  <c r="BJ241" i="1"/>
  <c r="BI241" i="1"/>
  <c r="BH241" i="1"/>
  <c r="BC241" i="1"/>
  <c r="BB241" i="1"/>
  <c r="BA241" i="1"/>
  <c r="AV241" i="1"/>
  <c r="AU241" i="1"/>
  <c r="AT241" i="1"/>
  <c r="AO241" i="1"/>
  <c r="AN241" i="1"/>
  <c r="AJ241" i="1"/>
  <c r="AC241" i="1"/>
  <c r="Y241" i="1"/>
  <c r="S241" i="1"/>
  <c r="K241" i="1"/>
  <c r="J241" i="1"/>
  <c r="EV195" i="1"/>
  <c r="EU195" i="1"/>
  <c r="ET195" i="1"/>
  <c r="EC195" i="1"/>
  <c r="DQ195" i="1"/>
  <c r="DK195" i="1"/>
  <c r="DH195" i="1"/>
  <c r="DD195" i="1"/>
  <c r="CW195" i="1"/>
  <c r="CP195" i="1"/>
  <c r="CL195" i="1"/>
  <c r="CG195" i="1"/>
  <c r="CB195" i="1"/>
  <c r="BW195" i="1"/>
  <c r="BV195" i="1"/>
  <c r="BQ195" i="1"/>
  <c r="BP195" i="1"/>
  <c r="BO195" i="1"/>
  <c r="BJ195" i="1"/>
  <c r="BI195" i="1"/>
  <c r="BH195" i="1"/>
  <c r="BC195" i="1"/>
  <c r="BB195" i="1"/>
  <c r="BA195" i="1"/>
  <c r="AV195" i="1"/>
  <c r="AU195" i="1"/>
  <c r="AT195" i="1"/>
  <c r="AO195" i="1"/>
  <c r="AN195" i="1"/>
  <c r="AC195" i="1"/>
  <c r="Y195" i="1"/>
  <c r="S195" i="1"/>
  <c r="K195" i="1"/>
  <c r="J195" i="1"/>
  <c r="EV234" i="1"/>
  <c r="EU234" i="1"/>
  <c r="ET234" i="1"/>
  <c r="EG234" i="1"/>
  <c r="EC234" i="1"/>
  <c r="DQ234" i="1"/>
  <c r="DK234" i="1"/>
  <c r="DH234" i="1"/>
  <c r="DD234" i="1"/>
  <c r="CW234" i="1"/>
  <c r="CP234" i="1"/>
  <c r="CL234" i="1"/>
  <c r="CG234" i="1"/>
  <c r="CB234" i="1"/>
  <c r="BW234" i="1"/>
  <c r="BV234" i="1"/>
  <c r="BQ234" i="1"/>
  <c r="BP234" i="1"/>
  <c r="BO234" i="1"/>
  <c r="BJ234" i="1"/>
  <c r="BI234" i="1"/>
  <c r="BH234" i="1"/>
  <c r="BC234" i="1"/>
  <c r="BB234" i="1"/>
  <c r="BA234" i="1"/>
  <c r="AV234" i="1"/>
  <c r="AU234" i="1"/>
  <c r="AT234" i="1"/>
  <c r="AO234" i="1"/>
  <c r="AN234" i="1"/>
  <c r="AC234" i="1"/>
  <c r="AB234" i="1"/>
  <c r="Y234" i="1"/>
  <c r="S234" i="1"/>
  <c r="K234" i="1"/>
  <c r="J234" i="1"/>
  <c r="EV53" i="1"/>
  <c r="EU53" i="1"/>
  <c r="ET53" i="1"/>
  <c r="EC53" i="1"/>
  <c r="DY53" i="1"/>
  <c r="DQ53" i="1"/>
  <c r="DK53" i="1"/>
  <c r="DH53" i="1"/>
  <c r="DD53" i="1"/>
  <c r="CW53" i="1"/>
  <c r="CP53" i="1"/>
  <c r="CL53" i="1"/>
  <c r="CG53" i="1"/>
  <c r="CB53" i="1"/>
  <c r="BW53" i="1"/>
  <c r="BV53" i="1"/>
  <c r="BQ53" i="1"/>
  <c r="BP53" i="1"/>
  <c r="BO53" i="1"/>
  <c r="BJ53" i="1"/>
  <c r="BI53" i="1"/>
  <c r="BH53" i="1"/>
  <c r="BC53" i="1"/>
  <c r="BB53" i="1"/>
  <c r="BA53" i="1"/>
  <c r="AV53" i="1"/>
  <c r="AU53" i="1"/>
  <c r="AT53" i="1"/>
  <c r="AO53" i="1"/>
  <c r="AN53" i="1"/>
  <c r="AJ53" i="1"/>
  <c r="AC53" i="1"/>
  <c r="Y53" i="1"/>
  <c r="S53" i="1"/>
  <c r="K53" i="1"/>
  <c r="J53" i="1"/>
  <c r="EV138" i="1"/>
  <c r="EU138" i="1"/>
  <c r="ET138" i="1"/>
  <c r="EC138" i="1"/>
  <c r="DQ138" i="1"/>
  <c r="DK138" i="1"/>
  <c r="DH138" i="1"/>
  <c r="DD138" i="1"/>
  <c r="CW138" i="1"/>
  <c r="CP138" i="1"/>
  <c r="CL138" i="1"/>
  <c r="CG138" i="1"/>
  <c r="CB138" i="1"/>
  <c r="BW138" i="1"/>
  <c r="BV138" i="1"/>
  <c r="BQ138" i="1"/>
  <c r="BP138" i="1"/>
  <c r="BO138" i="1"/>
  <c r="BJ138" i="1"/>
  <c r="BI138" i="1"/>
  <c r="BH138" i="1"/>
  <c r="BC138" i="1"/>
  <c r="BB138" i="1"/>
  <c r="BA138" i="1"/>
  <c r="AV138" i="1"/>
  <c r="AU138" i="1"/>
  <c r="AT138" i="1"/>
  <c r="AO138" i="1"/>
  <c r="AN138" i="1"/>
  <c r="AC138" i="1"/>
  <c r="Y138" i="1"/>
  <c r="S138" i="1"/>
  <c r="K138" i="1"/>
  <c r="J138" i="1"/>
  <c r="EV151" i="1"/>
  <c r="EU151" i="1"/>
  <c r="ET151" i="1"/>
  <c r="EC151" i="1"/>
  <c r="DY151" i="1"/>
  <c r="DQ151" i="1"/>
  <c r="DK151" i="1"/>
  <c r="DH151" i="1"/>
  <c r="DD151" i="1"/>
  <c r="CW151" i="1"/>
  <c r="CP151" i="1"/>
  <c r="CL151" i="1"/>
  <c r="CG151" i="1"/>
  <c r="CB151" i="1"/>
  <c r="BW151" i="1"/>
  <c r="BV151" i="1"/>
  <c r="BQ151" i="1"/>
  <c r="BP151" i="1"/>
  <c r="BO151" i="1"/>
  <c r="BJ151" i="1"/>
  <c r="BI151" i="1"/>
  <c r="BH151" i="1"/>
  <c r="BC151" i="1"/>
  <c r="BB151" i="1"/>
  <c r="BA151" i="1"/>
  <c r="AV151" i="1"/>
  <c r="AU151" i="1"/>
  <c r="AT151" i="1"/>
  <c r="AO151" i="1"/>
  <c r="AN151" i="1"/>
  <c r="AJ151" i="1"/>
  <c r="AC151" i="1"/>
  <c r="Y151" i="1"/>
  <c r="S151" i="1"/>
  <c r="K151" i="1"/>
  <c r="J151" i="1"/>
  <c r="EV263" i="1"/>
  <c r="EU263" i="1"/>
  <c r="ET263" i="1"/>
  <c r="EC263" i="1"/>
  <c r="DY263" i="1"/>
  <c r="DQ263" i="1"/>
  <c r="DK263" i="1"/>
  <c r="DH263" i="1"/>
  <c r="DD263" i="1"/>
  <c r="CW263" i="1"/>
  <c r="CP263" i="1"/>
  <c r="CL263" i="1"/>
  <c r="CG263" i="1"/>
  <c r="CB263" i="1"/>
  <c r="BW263" i="1"/>
  <c r="BV263" i="1"/>
  <c r="BQ263" i="1"/>
  <c r="BP263" i="1"/>
  <c r="BO263" i="1"/>
  <c r="BJ263" i="1"/>
  <c r="BI263" i="1"/>
  <c r="BH263" i="1"/>
  <c r="BC263" i="1"/>
  <c r="BB263" i="1"/>
  <c r="BA263" i="1"/>
  <c r="AV263" i="1"/>
  <c r="AU263" i="1"/>
  <c r="AT263" i="1"/>
  <c r="AO263" i="1"/>
  <c r="AN263" i="1"/>
  <c r="AJ263" i="1"/>
  <c r="AC263" i="1"/>
  <c r="Y263" i="1"/>
  <c r="S263" i="1"/>
  <c r="K263" i="1"/>
  <c r="J263" i="1"/>
  <c r="EV130" i="1"/>
  <c r="EU130" i="1"/>
  <c r="ET130" i="1"/>
  <c r="EC130" i="1"/>
  <c r="DY130" i="1"/>
  <c r="DQ130" i="1"/>
  <c r="DK130" i="1"/>
  <c r="DH130" i="1"/>
  <c r="DD130" i="1"/>
  <c r="CW130" i="1"/>
  <c r="CP130" i="1"/>
  <c r="CL130" i="1"/>
  <c r="CG130" i="1"/>
  <c r="CB130" i="1"/>
  <c r="BW130" i="1"/>
  <c r="BV130" i="1"/>
  <c r="BQ130" i="1"/>
  <c r="BP130" i="1"/>
  <c r="BO130" i="1"/>
  <c r="BJ130" i="1"/>
  <c r="BI130" i="1"/>
  <c r="BH130" i="1"/>
  <c r="BC130" i="1"/>
  <c r="BB130" i="1"/>
  <c r="BA130" i="1"/>
  <c r="AV130" i="1"/>
  <c r="AU130" i="1"/>
  <c r="AT130" i="1"/>
  <c r="AO130" i="1"/>
  <c r="AN130" i="1"/>
  <c r="AJ130" i="1"/>
  <c r="AC130" i="1"/>
  <c r="Y130" i="1"/>
  <c r="S130" i="1"/>
  <c r="K130" i="1"/>
  <c r="J130" i="1"/>
  <c r="EV171" i="1"/>
  <c r="EU171" i="1"/>
  <c r="ET171" i="1"/>
  <c r="EC171" i="1"/>
  <c r="DQ171" i="1"/>
  <c r="DK171" i="1"/>
  <c r="DH171" i="1"/>
  <c r="DD171" i="1"/>
  <c r="CW171" i="1"/>
  <c r="CP171" i="1"/>
  <c r="CL171" i="1"/>
  <c r="CG171" i="1"/>
  <c r="CB171" i="1"/>
  <c r="BW171" i="1"/>
  <c r="BV171" i="1"/>
  <c r="BQ171" i="1"/>
  <c r="BP171" i="1"/>
  <c r="BO171" i="1"/>
  <c r="BJ171" i="1"/>
  <c r="BI171" i="1"/>
  <c r="BH171" i="1"/>
  <c r="BC171" i="1"/>
  <c r="BB171" i="1"/>
  <c r="BA171" i="1"/>
  <c r="AV171" i="1"/>
  <c r="AU171" i="1"/>
  <c r="AT171" i="1"/>
  <c r="AO171" i="1"/>
  <c r="AN171" i="1"/>
  <c r="AC171" i="1"/>
  <c r="Y171" i="1"/>
  <c r="S171" i="1"/>
  <c r="K171" i="1"/>
  <c r="J171" i="1"/>
  <c r="EV82" i="1"/>
  <c r="EU82" i="1"/>
  <c r="ET82" i="1"/>
  <c r="EC82" i="1"/>
  <c r="DQ82" i="1"/>
  <c r="DK82" i="1"/>
  <c r="DH82" i="1"/>
  <c r="DD82" i="1"/>
  <c r="CW82" i="1"/>
  <c r="CP82" i="1"/>
  <c r="CL82" i="1"/>
  <c r="CG82" i="1"/>
  <c r="CB82" i="1"/>
  <c r="BW82" i="1"/>
  <c r="BV82" i="1"/>
  <c r="BQ82" i="1"/>
  <c r="BP82" i="1"/>
  <c r="BO82" i="1"/>
  <c r="BJ82" i="1"/>
  <c r="BI82" i="1"/>
  <c r="BH82" i="1"/>
  <c r="BC82" i="1"/>
  <c r="BB82" i="1"/>
  <c r="BA82" i="1"/>
  <c r="AV82" i="1"/>
  <c r="AU82" i="1"/>
  <c r="AT82" i="1"/>
  <c r="AO82" i="1"/>
  <c r="AN82" i="1"/>
  <c r="AC82" i="1"/>
  <c r="Y82" i="1"/>
  <c r="S82" i="1"/>
  <c r="K82" i="1"/>
  <c r="J82" i="1"/>
  <c r="EV94" i="1"/>
  <c r="EU94" i="1"/>
  <c r="ET94" i="1"/>
  <c r="EC94" i="1"/>
  <c r="DQ94" i="1"/>
  <c r="DK94" i="1"/>
  <c r="DH94" i="1"/>
  <c r="DD94" i="1"/>
  <c r="CW94" i="1"/>
  <c r="CP94" i="1"/>
  <c r="CL94" i="1"/>
  <c r="CG94" i="1"/>
  <c r="CB94" i="1"/>
  <c r="BW94" i="1"/>
  <c r="BV94" i="1"/>
  <c r="BQ94" i="1"/>
  <c r="BP94" i="1"/>
  <c r="BO94" i="1"/>
  <c r="BJ94" i="1"/>
  <c r="BI94" i="1"/>
  <c r="BH94" i="1"/>
  <c r="BC94" i="1"/>
  <c r="BB94" i="1"/>
  <c r="BA94" i="1"/>
  <c r="AV94" i="1"/>
  <c r="AU94" i="1"/>
  <c r="AT94" i="1"/>
  <c r="AO94" i="1"/>
  <c r="AN94" i="1"/>
  <c r="AC94" i="1"/>
  <c r="Y94" i="1"/>
  <c r="S94" i="1"/>
  <c r="K94" i="1"/>
  <c r="J94" i="1"/>
  <c r="EV4" i="1"/>
  <c r="EU4" i="1"/>
  <c r="ET4" i="1"/>
  <c r="EG4" i="1"/>
  <c r="EC4" i="1"/>
  <c r="DQ4" i="1"/>
  <c r="DK4" i="1"/>
  <c r="DH4" i="1"/>
  <c r="DD4" i="1"/>
  <c r="CW4" i="1"/>
  <c r="CP4" i="1"/>
  <c r="CL4" i="1"/>
  <c r="CG4" i="1"/>
  <c r="CB4" i="1"/>
  <c r="BW4" i="1"/>
  <c r="BV4" i="1"/>
  <c r="BQ4" i="1"/>
  <c r="BP4" i="1"/>
  <c r="BO4" i="1"/>
  <c r="BJ4" i="1"/>
  <c r="BI4" i="1"/>
  <c r="BH4" i="1"/>
  <c r="BC4" i="1"/>
  <c r="BB4" i="1"/>
  <c r="BA4" i="1"/>
  <c r="AV4" i="1"/>
  <c r="AU4" i="1"/>
  <c r="AT4" i="1"/>
  <c r="AO4" i="1"/>
  <c r="AN4" i="1"/>
  <c r="AC4" i="1"/>
  <c r="AB4" i="1"/>
  <c r="Y4" i="1"/>
  <c r="S4" i="1"/>
  <c r="K4" i="1"/>
  <c r="J4" i="1"/>
  <c r="EV250" i="1"/>
  <c r="EU250" i="1"/>
  <c r="ET250" i="1"/>
  <c r="EC250" i="1"/>
  <c r="DY250" i="1"/>
  <c r="DQ250" i="1"/>
  <c r="DK250" i="1"/>
  <c r="DH250" i="1"/>
  <c r="DD250" i="1"/>
  <c r="CW250" i="1"/>
  <c r="CP250" i="1"/>
  <c r="CL250" i="1"/>
  <c r="CG250" i="1"/>
  <c r="CB250" i="1"/>
  <c r="BW250" i="1"/>
  <c r="BV250" i="1"/>
  <c r="BQ250" i="1"/>
  <c r="BP250" i="1"/>
  <c r="BO250" i="1"/>
  <c r="BJ250" i="1"/>
  <c r="BI250" i="1"/>
  <c r="BH250" i="1"/>
  <c r="BC250" i="1"/>
  <c r="BB250" i="1"/>
  <c r="BA250" i="1"/>
  <c r="AV250" i="1"/>
  <c r="AU250" i="1"/>
  <c r="AT250" i="1"/>
  <c r="AO250" i="1"/>
  <c r="AN250" i="1"/>
  <c r="AJ250" i="1"/>
  <c r="AC250" i="1"/>
  <c r="Y250" i="1"/>
  <c r="S250" i="1"/>
  <c r="K250" i="1"/>
  <c r="J250" i="1"/>
  <c r="EV230" i="1"/>
  <c r="EU230" i="1"/>
  <c r="ET230" i="1"/>
  <c r="EC230" i="1"/>
  <c r="DQ230" i="1"/>
  <c r="DK230" i="1"/>
  <c r="DH230" i="1"/>
  <c r="DD230" i="1"/>
  <c r="CW230" i="1"/>
  <c r="CP230" i="1"/>
  <c r="CL230" i="1"/>
  <c r="CG230" i="1"/>
  <c r="CB230" i="1"/>
  <c r="BW230" i="1"/>
  <c r="BV230" i="1"/>
  <c r="BQ230" i="1"/>
  <c r="BP230" i="1"/>
  <c r="BO230" i="1"/>
  <c r="BJ230" i="1"/>
  <c r="BI230" i="1"/>
  <c r="BH230" i="1"/>
  <c r="BC230" i="1"/>
  <c r="BB230" i="1"/>
  <c r="BA230" i="1"/>
  <c r="AV230" i="1"/>
  <c r="AU230" i="1"/>
  <c r="AT230" i="1"/>
  <c r="AO230" i="1"/>
  <c r="AN230" i="1"/>
  <c r="AC230" i="1"/>
  <c r="Y230" i="1"/>
  <c r="S230" i="1"/>
  <c r="K230" i="1"/>
  <c r="J230" i="1"/>
  <c r="EV89" i="1"/>
  <c r="EU89" i="1"/>
  <c r="ET89" i="1"/>
  <c r="EC89" i="1"/>
  <c r="DQ89" i="1"/>
  <c r="DK89" i="1"/>
  <c r="DH89" i="1"/>
  <c r="DD89" i="1"/>
  <c r="CW89" i="1"/>
  <c r="CP89" i="1"/>
  <c r="CL89" i="1"/>
  <c r="CG89" i="1"/>
  <c r="CB89" i="1"/>
  <c r="BW89" i="1"/>
  <c r="BV89" i="1"/>
  <c r="BQ89" i="1"/>
  <c r="BP89" i="1"/>
  <c r="BO89" i="1"/>
  <c r="BJ89" i="1"/>
  <c r="BI89" i="1"/>
  <c r="BH89" i="1"/>
  <c r="BC89" i="1"/>
  <c r="BB89" i="1"/>
  <c r="BA89" i="1"/>
  <c r="AV89" i="1"/>
  <c r="AU89" i="1"/>
  <c r="AT89" i="1"/>
  <c r="AO89" i="1"/>
  <c r="AN89" i="1"/>
  <c r="AC89" i="1"/>
  <c r="Y89" i="1"/>
  <c r="S89" i="1"/>
  <c r="K89" i="1"/>
  <c r="J89" i="1"/>
  <c r="EV114" i="1"/>
  <c r="EU114" i="1"/>
  <c r="ET114" i="1"/>
  <c r="EC114" i="1"/>
  <c r="DQ114" i="1"/>
  <c r="DK114" i="1"/>
  <c r="DH114" i="1"/>
  <c r="DD114" i="1"/>
  <c r="CW114" i="1"/>
  <c r="CP114" i="1"/>
  <c r="CL114" i="1"/>
  <c r="CG114" i="1"/>
  <c r="CB114" i="1"/>
  <c r="BW114" i="1"/>
  <c r="BV114" i="1"/>
  <c r="BQ114" i="1"/>
  <c r="BP114" i="1"/>
  <c r="BO114" i="1"/>
  <c r="BJ114" i="1"/>
  <c r="BI114" i="1"/>
  <c r="BH114" i="1"/>
  <c r="BC114" i="1"/>
  <c r="BB114" i="1"/>
  <c r="BA114" i="1"/>
  <c r="AV114" i="1"/>
  <c r="AU114" i="1"/>
  <c r="AT114" i="1"/>
  <c r="AO114" i="1"/>
  <c r="AN114" i="1"/>
  <c r="AC114" i="1"/>
  <c r="Y114" i="1"/>
  <c r="S114" i="1"/>
  <c r="K114" i="1"/>
  <c r="J114" i="1"/>
  <c r="EV165" i="1"/>
  <c r="EU165" i="1"/>
  <c r="ET165" i="1"/>
  <c r="EC165" i="1"/>
  <c r="DY165" i="1"/>
  <c r="DQ165" i="1"/>
  <c r="DK165" i="1"/>
  <c r="DH165" i="1"/>
  <c r="DD165" i="1"/>
  <c r="CW165" i="1"/>
  <c r="CP165" i="1"/>
  <c r="CL165" i="1"/>
  <c r="CG165" i="1"/>
  <c r="CB165" i="1"/>
  <c r="BW165" i="1"/>
  <c r="BV165" i="1"/>
  <c r="BQ165" i="1"/>
  <c r="BP165" i="1"/>
  <c r="BO165" i="1"/>
  <c r="BJ165" i="1"/>
  <c r="BI165" i="1"/>
  <c r="BH165" i="1"/>
  <c r="BC165" i="1"/>
  <c r="BB165" i="1"/>
  <c r="BA165" i="1"/>
  <c r="AV165" i="1"/>
  <c r="AU165" i="1"/>
  <c r="AT165" i="1"/>
  <c r="AO165" i="1"/>
  <c r="AN165" i="1"/>
  <c r="AJ165" i="1"/>
  <c r="AC165" i="1"/>
  <c r="Y165" i="1"/>
  <c r="S165" i="1"/>
  <c r="K165" i="1"/>
  <c r="J165" i="1"/>
  <c r="EV182" i="1"/>
  <c r="EU182" i="1"/>
  <c r="ET182" i="1"/>
  <c r="EC182" i="1"/>
  <c r="DY182" i="1"/>
  <c r="DQ182" i="1"/>
  <c r="DK182" i="1"/>
  <c r="DH182" i="1"/>
  <c r="DD182" i="1"/>
  <c r="CW182" i="1"/>
  <c r="CP182" i="1"/>
  <c r="CL182" i="1"/>
  <c r="CG182" i="1"/>
  <c r="CB182" i="1"/>
  <c r="BW182" i="1"/>
  <c r="BV182" i="1"/>
  <c r="BQ182" i="1"/>
  <c r="BP182" i="1"/>
  <c r="BO182" i="1"/>
  <c r="BJ182" i="1"/>
  <c r="BI182" i="1"/>
  <c r="BH182" i="1"/>
  <c r="BC182" i="1"/>
  <c r="BB182" i="1"/>
  <c r="BA182" i="1"/>
  <c r="AV182" i="1"/>
  <c r="AU182" i="1"/>
  <c r="AT182" i="1"/>
  <c r="AO182" i="1"/>
  <c r="AN182" i="1"/>
  <c r="AJ182" i="1"/>
  <c r="AC182" i="1"/>
  <c r="Y182" i="1"/>
  <c r="S182" i="1"/>
  <c r="K182" i="1"/>
  <c r="J182" i="1"/>
  <c r="EV15" i="1"/>
  <c r="EU15" i="1"/>
  <c r="ET15" i="1"/>
  <c r="EC15" i="1"/>
  <c r="DY15" i="1"/>
  <c r="DQ15" i="1"/>
  <c r="DK15" i="1"/>
  <c r="DH15" i="1"/>
  <c r="DD15" i="1"/>
  <c r="CW15" i="1"/>
  <c r="CP15" i="1"/>
  <c r="CL15" i="1"/>
  <c r="CG15" i="1"/>
  <c r="CB15" i="1"/>
  <c r="BW15" i="1"/>
  <c r="BV15" i="1"/>
  <c r="BQ15" i="1"/>
  <c r="BP15" i="1"/>
  <c r="BO15" i="1"/>
  <c r="BJ15" i="1"/>
  <c r="BI15" i="1"/>
  <c r="BH15" i="1"/>
  <c r="BC15" i="1"/>
  <c r="BB15" i="1"/>
  <c r="BA15" i="1"/>
  <c r="AV15" i="1"/>
  <c r="AU15" i="1"/>
  <c r="AT15" i="1"/>
  <c r="AO15" i="1"/>
  <c r="AN15" i="1"/>
  <c r="AJ15" i="1"/>
  <c r="AC15" i="1"/>
  <c r="Y15" i="1"/>
  <c r="S15" i="1"/>
  <c r="K15" i="1"/>
  <c r="J15" i="1"/>
  <c r="EV153" i="1"/>
  <c r="EU153" i="1"/>
  <c r="ET153" i="1"/>
  <c r="EC153" i="1"/>
  <c r="DQ153" i="1"/>
  <c r="DK153" i="1"/>
  <c r="DH153" i="1"/>
  <c r="DD153" i="1"/>
  <c r="CW153" i="1"/>
  <c r="CP153" i="1"/>
  <c r="CL153" i="1"/>
  <c r="CG153" i="1"/>
  <c r="CB153" i="1"/>
  <c r="BW153" i="1"/>
  <c r="BV153" i="1"/>
  <c r="BQ153" i="1"/>
  <c r="BP153" i="1"/>
  <c r="BO153" i="1"/>
  <c r="BJ153" i="1"/>
  <c r="BI153" i="1"/>
  <c r="BH153" i="1"/>
  <c r="BC153" i="1"/>
  <c r="BB153" i="1"/>
  <c r="BA153" i="1"/>
  <c r="AV153" i="1"/>
  <c r="AU153" i="1"/>
  <c r="AT153" i="1"/>
  <c r="AO153" i="1"/>
  <c r="AN153" i="1"/>
  <c r="AC153" i="1"/>
  <c r="Y153" i="1"/>
  <c r="S153" i="1"/>
  <c r="K153" i="1"/>
  <c r="J153" i="1"/>
  <c r="EV58" i="1"/>
  <c r="EU58" i="1"/>
  <c r="ET58" i="1"/>
  <c r="EG58" i="1"/>
  <c r="EC58" i="1"/>
  <c r="DQ58" i="1"/>
  <c r="DK58" i="1"/>
  <c r="DH58" i="1"/>
  <c r="DD58" i="1"/>
  <c r="CW58" i="1"/>
  <c r="CP58" i="1"/>
  <c r="CL58" i="1"/>
  <c r="CG58" i="1"/>
  <c r="CB58" i="1"/>
  <c r="BW58" i="1"/>
  <c r="BV58" i="1"/>
  <c r="BQ58" i="1"/>
  <c r="BP58" i="1"/>
  <c r="BO58" i="1"/>
  <c r="BJ58" i="1"/>
  <c r="BI58" i="1"/>
  <c r="BH58" i="1"/>
  <c r="BC58" i="1"/>
  <c r="BB58" i="1"/>
  <c r="BA58" i="1"/>
  <c r="AV58" i="1"/>
  <c r="AU58" i="1"/>
  <c r="AT58" i="1"/>
  <c r="AO58" i="1"/>
  <c r="AN58" i="1"/>
  <c r="AC58" i="1"/>
  <c r="AB58" i="1"/>
  <c r="Y58" i="1"/>
  <c r="S58" i="1"/>
  <c r="K58" i="1"/>
  <c r="J58" i="1"/>
  <c r="EV110" i="1"/>
  <c r="EU110" i="1"/>
  <c r="ET110" i="1"/>
  <c r="EG110" i="1"/>
  <c r="EC110" i="1"/>
  <c r="DY110" i="1"/>
  <c r="DQ110" i="1"/>
  <c r="DK110" i="1"/>
  <c r="DH110" i="1"/>
  <c r="DD110" i="1"/>
  <c r="CW110" i="1"/>
  <c r="CP110" i="1"/>
  <c r="CL110" i="1"/>
  <c r="CG110" i="1"/>
  <c r="CB110" i="1"/>
  <c r="BW110" i="1"/>
  <c r="BV110" i="1"/>
  <c r="BQ110" i="1"/>
  <c r="BP110" i="1"/>
  <c r="BO110" i="1"/>
  <c r="BJ110" i="1"/>
  <c r="BI110" i="1"/>
  <c r="BH110" i="1"/>
  <c r="BC110" i="1"/>
  <c r="BB110" i="1"/>
  <c r="BA110" i="1"/>
  <c r="AV110" i="1"/>
  <c r="AU110" i="1"/>
  <c r="AT110" i="1"/>
  <c r="AO110" i="1"/>
  <c r="AN110" i="1"/>
  <c r="AJ110" i="1"/>
  <c r="AC110" i="1"/>
  <c r="AB110" i="1"/>
  <c r="Y110" i="1"/>
  <c r="S110" i="1"/>
  <c r="K110" i="1"/>
  <c r="J110" i="1"/>
  <c r="EV158" i="1"/>
  <c r="EU158" i="1"/>
  <c r="ET158" i="1"/>
  <c r="EG158" i="1"/>
  <c r="EC158" i="1"/>
  <c r="DQ158" i="1"/>
  <c r="DK158" i="1"/>
  <c r="DH158" i="1"/>
  <c r="DD158" i="1"/>
  <c r="CW158" i="1"/>
  <c r="CP158" i="1"/>
  <c r="CL158" i="1"/>
  <c r="CG158" i="1"/>
  <c r="CB158" i="1"/>
  <c r="BW158" i="1"/>
  <c r="BV158" i="1"/>
  <c r="BQ158" i="1"/>
  <c r="BP158" i="1"/>
  <c r="BO158" i="1"/>
  <c r="BJ158" i="1"/>
  <c r="BI158" i="1"/>
  <c r="BH158" i="1"/>
  <c r="BC158" i="1"/>
  <c r="BB158" i="1"/>
  <c r="BA158" i="1"/>
  <c r="AV158" i="1"/>
  <c r="AU158" i="1"/>
  <c r="AT158" i="1"/>
  <c r="AO158" i="1"/>
  <c r="AN158" i="1"/>
  <c r="AC158" i="1"/>
  <c r="AB158" i="1"/>
  <c r="Y158" i="1"/>
  <c r="S158" i="1"/>
  <c r="K158" i="1"/>
  <c r="J158" i="1"/>
  <c r="EV68" i="1"/>
  <c r="EU68" i="1"/>
  <c r="ET68" i="1"/>
  <c r="EC68" i="1"/>
  <c r="DY68" i="1"/>
  <c r="DQ68" i="1"/>
  <c r="DK68" i="1"/>
  <c r="DH68" i="1"/>
  <c r="DD68" i="1"/>
  <c r="CW68" i="1"/>
  <c r="CP68" i="1"/>
  <c r="CL68" i="1"/>
  <c r="CG68" i="1"/>
  <c r="CB68" i="1"/>
  <c r="BW68" i="1"/>
  <c r="BV68" i="1"/>
  <c r="BQ68" i="1"/>
  <c r="BP68" i="1"/>
  <c r="BO68" i="1"/>
  <c r="BJ68" i="1"/>
  <c r="BI68" i="1"/>
  <c r="BH68" i="1"/>
  <c r="BC68" i="1"/>
  <c r="BB68" i="1"/>
  <c r="BA68" i="1"/>
  <c r="AV68" i="1"/>
  <c r="AU68" i="1"/>
  <c r="AT68" i="1"/>
  <c r="AO68" i="1"/>
  <c r="AN68" i="1"/>
  <c r="AJ68" i="1"/>
  <c r="AC68" i="1"/>
  <c r="Y68" i="1"/>
  <c r="S68" i="1"/>
  <c r="K68" i="1"/>
  <c r="J68" i="1"/>
  <c r="EV133" i="1"/>
  <c r="EU133" i="1"/>
  <c r="ET133" i="1"/>
  <c r="EG133" i="1"/>
  <c r="EC133" i="1"/>
  <c r="DQ133" i="1"/>
  <c r="DK133" i="1"/>
  <c r="DH133" i="1"/>
  <c r="DD133" i="1"/>
  <c r="CW133" i="1"/>
  <c r="CP133" i="1"/>
  <c r="CL133" i="1"/>
  <c r="CG133" i="1"/>
  <c r="CB133" i="1"/>
  <c r="BW133" i="1"/>
  <c r="BV133" i="1"/>
  <c r="BQ133" i="1"/>
  <c r="BP133" i="1"/>
  <c r="BO133" i="1"/>
  <c r="BJ133" i="1"/>
  <c r="BI133" i="1"/>
  <c r="BH133" i="1"/>
  <c r="BC133" i="1"/>
  <c r="BB133" i="1"/>
  <c r="BA133" i="1"/>
  <c r="AV133" i="1"/>
  <c r="AU133" i="1"/>
  <c r="AT133" i="1"/>
  <c r="AO133" i="1"/>
  <c r="AN133" i="1"/>
  <c r="AC133" i="1"/>
  <c r="AB133" i="1"/>
  <c r="Y133" i="1"/>
  <c r="S133" i="1"/>
  <c r="K133" i="1"/>
  <c r="J133" i="1"/>
  <c r="EV135" i="1"/>
  <c r="EU135" i="1"/>
  <c r="ET135" i="1"/>
  <c r="EC135" i="1"/>
  <c r="DQ135" i="1"/>
  <c r="DK135" i="1"/>
  <c r="DH135" i="1"/>
  <c r="DD135" i="1"/>
  <c r="CW135" i="1"/>
  <c r="CP135" i="1"/>
  <c r="CL135" i="1"/>
  <c r="CG135" i="1"/>
  <c r="CB135" i="1"/>
  <c r="BW135" i="1"/>
  <c r="BV135" i="1"/>
  <c r="BQ135" i="1"/>
  <c r="BP135" i="1"/>
  <c r="BO135" i="1"/>
  <c r="BJ135" i="1"/>
  <c r="BI135" i="1"/>
  <c r="BH135" i="1"/>
  <c r="BC135" i="1"/>
  <c r="BB135" i="1"/>
  <c r="BA135" i="1"/>
  <c r="AV135" i="1"/>
  <c r="AU135" i="1"/>
  <c r="AT135" i="1"/>
  <c r="AO135" i="1"/>
  <c r="AN135" i="1"/>
  <c r="AC135" i="1"/>
  <c r="Y135" i="1"/>
  <c r="S135" i="1"/>
  <c r="K135" i="1"/>
  <c r="J135" i="1"/>
  <c r="EV141" i="1"/>
  <c r="EU141" i="1"/>
  <c r="ET141" i="1"/>
  <c r="EC141" i="1"/>
  <c r="DQ141" i="1"/>
  <c r="DK141" i="1"/>
  <c r="DH141" i="1"/>
  <c r="DD141" i="1"/>
  <c r="CW141" i="1"/>
  <c r="CP141" i="1"/>
  <c r="CL141" i="1"/>
  <c r="CG141" i="1"/>
  <c r="CB141" i="1"/>
  <c r="BW141" i="1"/>
  <c r="BV141" i="1"/>
  <c r="BQ141" i="1"/>
  <c r="BP141" i="1"/>
  <c r="BO141" i="1"/>
  <c r="BJ141" i="1"/>
  <c r="BI141" i="1"/>
  <c r="BH141" i="1"/>
  <c r="BC141" i="1"/>
  <c r="BB141" i="1"/>
  <c r="BA141" i="1"/>
  <c r="AV141" i="1"/>
  <c r="AU141" i="1"/>
  <c r="AT141" i="1"/>
  <c r="AO141" i="1"/>
  <c r="AN141" i="1"/>
  <c r="AC141" i="1"/>
  <c r="Y141" i="1"/>
  <c r="S141" i="1"/>
  <c r="K141" i="1"/>
  <c r="J141" i="1"/>
  <c r="EV253" i="1"/>
  <c r="EU253" i="1"/>
  <c r="ET253" i="1"/>
  <c r="EC253" i="1"/>
  <c r="DQ253" i="1"/>
  <c r="DK253" i="1"/>
  <c r="DH253" i="1"/>
  <c r="DD253" i="1"/>
  <c r="CW253" i="1"/>
  <c r="CP253" i="1"/>
  <c r="CL253" i="1"/>
  <c r="CG253" i="1"/>
  <c r="CB253" i="1"/>
  <c r="BW253" i="1"/>
  <c r="BV253" i="1"/>
  <c r="BQ253" i="1"/>
  <c r="BP253" i="1"/>
  <c r="BO253" i="1"/>
  <c r="BJ253" i="1"/>
  <c r="BI253" i="1"/>
  <c r="BH253" i="1"/>
  <c r="BC253" i="1"/>
  <c r="BB253" i="1"/>
  <c r="BA253" i="1"/>
  <c r="AV253" i="1"/>
  <c r="AU253" i="1"/>
  <c r="AT253" i="1"/>
  <c r="AO253" i="1"/>
  <c r="AN253" i="1"/>
  <c r="AC253" i="1"/>
  <c r="Y253" i="1"/>
  <c r="S253" i="1"/>
  <c r="K253" i="1"/>
  <c r="J253" i="1"/>
  <c r="EV129" i="1"/>
  <c r="EU129" i="1"/>
  <c r="ET129" i="1"/>
  <c r="EC129" i="1"/>
  <c r="DQ129" i="1"/>
  <c r="DK129" i="1"/>
  <c r="DH129" i="1"/>
  <c r="DD129" i="1"/>
  <c r="CW129" i="1"/>
  <c r="CP129" i="1"/>
  <c r="CL129" i="1"/>
  <c r="CG129" i="1"/>
  <c r="CB129" i="1"/>
  <c r="BW129" i="1"/>
  <c r="BV129" i="1"/>
  <c r="BQ129" i="1"/>
  <c r="BP129" i="1"/>
  <c r="BO129" i="1"/>
  <c r="BJ129" i="1"/>
  <c r="BI129" i="1"/>
  <c r="BH129" i="1"/>
  <c r="BC129" i="1"/>
  <c r="BB129" i="1"/>
  <c r="BA129" i="1"/>
  <c r="AV129" i="1"/>
  <c r="AU129" i="1"/>
  <c r="AT129" i="1"/>
  <c r="AO129" i="1"/>
  <c r="AN129" i="1"/>
  <c r="AC129" i="1"/>
  <c r="Y129" i="1"/>
  <c r="S129" i="1"/>
  <c r="K129" i="1"/>
  <c r="J129" i="1"/>
  <c r="EV118" i="1"/>
  <c r="EU118" i="1"/>
  <c r="ET118" i="1"/>
  <c r="EG118" i="1"/>
  <c r="EC118" i="1"/>
  <c r="DQ118" i="1"/>
  <c r="DK118" i="1"/>
  <c r="DH118" i="1"/>
  <c r="DD118" i="1"/>
  <c r="CW118" i="1"/>
  <c r="CP118" i="1"/>
  <c r="CL118" i="1"/>
  <c r="CG118" i="1"/>
  <c r="CB118" i="1"/>
  <c r="BW118" i="1"/>
  <c r="BV118" i="1"/>
  <c r="BQ118" i="1"/>
  <c r="BP118" i="1"/>
  <c r="BO118" i="1"/>
  <c r="BJ118" i="1"/>
  <c r="BI118" i="1"/>
  <c r="BH118" i="1"/>
  <c r="BC118" i="1"/>
  <c r="BB118" i="1"/>
  <c r="BA118" i="1"/>
  <c r="AV118" i="1"/>
  <c r="AU118" i="1"/>
  <c r="AT118" i="1"/>
  <c r="AO118" i="1"/>
  <c r="AN118" i="1"/>
  <c r="AC118" i="1"/>
  <c r="AB118" i="1"/>
  <c r="Y118" i="1"/>
  <c r="S118" i="1"/>
  <c r="K118" i="1"/>
  <c r="J118" i="1"/>
  <c r="EV55" i="1"/>
  <c r="EU55" i="1"/>
  <c r="ET55" i="1"/>
  <c r="EC55" i="1"/>
  <c r="DY55" i="1"/>
  <c r="DQ55" i="1"/>
  <c r="DK55" i="1"/>
  <c r="DH55" i="1"/>
  <c r="DD55" i="1"/>
  <c r="CW55" i="1"/>
  <c r="CP55" i="1"/>
  <c r="CL55" i="1"/>
  <c r="CG55" i="1"/>
  <c r="CB55" i="1"/>
  <c r="BW55" i="1"/>
  <c r="BV55" i="1"/>
  <c r="BQ55" i="1"/>
  <c r="BP55" i="1"/>
  <c r="BO55" i="1"/>
  <c r="BJ55" i="1"/>
  <c r="BI55" i="1"/>
  <c r="BH55" i="1"/>
  <c r="BC55" i="1"/>
  <c r="BB55" i="1"/>
  <c r="BA55" i="1"/>
  <c r="AV55" i="1"/>
  <c r="AU55" i="1"/>
  <c r="AT55" i="1"/>
  <c r="AO55" i="1"/>
  <c r="AN55" i="1"/>
  <c r="AJ55" i="1"/>
  <c r="AC55" i="1"/>
  <c r="Y55" i="1"/>
  <c r="S55" i="1"/>
  <c r="K55" i="1"/>
  <c r="J55" i="1"/>
  <c r="EV232" i="1"/>
  <c r="EU232" i="1"/>
  <c r="ET232" i="1"/>
  <c r="EC232" i="1"/>
  <c r="DQ232" i="1"/>
  <c r="DK232" i="1"/>
  <c r="DH232" i="1"/>
  <c r="DD232" i="1"/>
  <c r="CW232" i="1"/>
  <c r="CP232" i="1"/>
  <c r="CL232" i="1"/>
  <c r="CG232" i="1"/>
  <c r="CB232" i="1"/>
  <c r="BW232" i="1"/>
  <c r="BV232" i="1"/>
  <c r="BQ232" i="1"/>
  <c r="BP232" i="1"/>
  <c r="BO232" i="1"/>
  <c r="BJ232" i="1"/>
  <c r="BI232" i="1"/>
  <c r="BH232" i="1"/>
  <c r="BC232" i="1"/>
  <c r="BB232" i="1"/>
  <c r="BA232" i="1"/>
  <c r="AV232" i="1"/>
  <c r="AU232" i="1"/>
  <c r="AT232" i="1"/>
  <c r="AO232" i="1"/>
  <c r="AN232" i="1"/>
  <c r="AC232" i="1"/>
  <c r="Y232" i="1"/>
  <c r="S232" i="1"/>
  <c r="K232" i="1"/>
  <c r="J232" i="1"/>
  <c r="EV177" i="1"/>
  <c r="EU177" i="1"/>
  <c r="ET177" i="1"/>
  <c r="EC177" i="1"/>
  <c r="DQ177" i="1"/>
  <c r="DK177" i="1"/>
  <c r="DH177" i="1"/>
  <c r="DD177" i="1"/>
  <c r="CW177" i="1"/>
  <c r="CP177" i="1"/>
  <c r="CL177" i="1"/>
  <c r="CG177" i="1"/>
  <c r="CB177" i="1"/>
  <c r="BW177" i="1"/>
  <c r="BV177" i="1"/>
  <c r="BQ177" i="1"/>
  <c r="BP177" i="1"/>
  <c r="BO177" i="1"/>
  <c r="BJ177" i="1"/>
  <c r="BI177" i="1"/>
  <c r="BH177" i="1"/>
  <c r="BC177" i="1"/>
  <c r="BB177" i="1"/>
  <c r="BA177" i="1"/>
  <c r="AV177" i="1"/>
  <c r="AU177" i="1"/>
  <c r="AT177" i="1"/>
  <c r="AO177" i="1"/>
  <c r="AN177" i="1"/>
  <c r="AC177" i="1"/>
  <c r="Y177" i="1"/>
  <c r="S177" i="1"/>
  <c r="K177" i="1"/>
  <c r="J177" i="1"/>
  <c r="EV60" i="1"/>
  <c r="EU60" i="1"/>
  <c r="ET60" i="1"/>
  <c r="EC60" i="1"/>
  <c r="DY60" i="1"/>
  <c r="DQ60" i="1"/>
  <c r="DK60" i="1"/>
  <c r="DH60" i="1"/>
  <c r="DD60" i="1"/>
  <c r="CW60" i="1"/>
  <c r="CP60" i="1"/>
  <c r="CL60" i="1"/>
  <c r="CG60" i="1"/>
  <c r="CB60" i="1"/>
  <c r="BW60" i="1"/>
  <c r="BV60" i="1"/>
  <c r="BQ60" i="1"/>
  <c r="BP60" i="1"/>
  <c r="BO60" i="1"/>
  <c r="BJ60" i="1"/>
  <c r="BI60" i="1"/>
  <c r="BH60" i="1"/>
  <c r="BC60" i="1"/>
  <c r="BB60" i="1"/>
  <c r="BA60" i="1"/>
  <c r="AV60" i="1"/>
  <c r="AU60" i="1"/>
  <c r="AT60" i="1"/>
  <c r="AO60" i="1"/>
  <c r="AN60" i="1"/>
  <c r="AJ60" i="1"/>
  <c r="AC60" i="1"/>
  <c r="Y60" i="1"/>
  <c r="S60" i="1"/>
  <c r="K60" i="1"/>
  <c r="J60" i="1"/>
  <c r="EV259" i="1"/>
  <c r="EU259" i="1"/>
  <c r="ET259" i="1"/>
  <c r="EC259" i="1"/>
  <c r="DY259" i="1"/>
  <c r="DQ259" i="1"/>
  <c r="DK259" i="1"/>
  <c r="DH259" i="1"/>
  <c r="DD259" i="1"/>
  <c r="CW259" i="1"/>
  <c r="CP259" i="1"/>
  <c r="CL259" i="1"/>
  <c r="CG259" i="1"/>
  <c r="CB259" i="1"/>
  <c r="BW259" i="1"/>
  <c r="BV259" i="1"/>
  <c r="BQ259" i="1"/>
  <c r="BP259" i="1"/>
  <c r="BO259" i="1"/>
  <c r="BJ259" i="1"/>
  <c r="BI259" i="1"/>
  <c r="BH259" i="1"/>
  <c r="BC259" i="1"/>
  <c r="BB259" i="1"/>
  <c r="BA259" i="1"/>
  <c r="AV259" i="1"/>
  <c r="AU259" i="1"/>
  <c r="AT259" i="1"/>
  <c r="AO259" i="1"/>
  <c r="AN259" i="1"/>
  <c r="AJ259" i="1"/>
  <c r="AC259" i="1"/>
  <c r="Y259" i="1"/>
  <c r="S259" i="1"/>
  <c r="K259" i="1"/>
  <c r="J259" i="1"/>
  <c r="EV108" i="1"/>
  <c r="EU108" i="1"/>
  <c r="ET108" i="1"/>
  <c r="EC108" i="1"/>
  <c r="DY108" i="1"/>
  <c r="DQ108" i="1"/>
  <c r="DK108" i="1"/>
  <c r="DH108" i="1"/>
  <c r="DD108" i="1"/>
  <c r="CW108" i="1"/>
  <c r="CP108" i="1"/>
  <c r="CL108" i="1"/>
  <c r="CG108" i="1"/>
  <c r="CB108" i="1"/>
  <c r="BW108" i="1"/>
  <c r="BV108" i="1"/>
  <c r="BQ108" i="1"/>
  <c r="BP108" i="1"/>
  <c r="BO108" i="1"/>
  <c r="BJ108" i="1"/>
  <c r="BI108" i="1"/>
  <c r="BH108" i="1"/>
  <c r="BC108" i="1"/>
  <c r="BB108" i="1"/>
  <c r="BA108" i="1"/>
  <c r="AV108" i="1"/>
  <c r="AU108" i="1"/>
  <c r="AT108" i="1"/>
  <c r="AO108" i="1"/>
  <c r="AN108" i="1"/>
  <c r="AJ108" i="1"/>
  <c r="AC108" i="1"/>
  <c r="Y108" i="1"/>
  <c r="S108" i="1"/>
  <c r="K108" i="1"/>
  <c r="J108" i="1"/>
  <c r="EV162" i="1"/>
  <c r="EU162" i="1"/>
  <c r="ET162" i="1"/>
  <c r="EC162" i="1"/>
  <c r="DQ162" i="1"/>
  <c r="DK162" i="1"/>
  <c r="DH162" i="1"/>
  <c r="DD162" i="1"/>
  <c r="CW162" i="1"/>
  <c r="CP162" i="1"/>
  <c r="CL162" i="1"/>
  <c r="CG162" i="1"/>
  <c r="CB162" i="1"/>
  <c r="BW162" i="1"/>
  <c r="BV162" i="1"/>
  <c r="BQ162" i="1"/>
  <c r="BP162" i="1"/>
  <c r="BO162" i="1"/>
  <c r="BJ162" i="1"/>
  <c r="BI162" i="1"/>
  <c r="BH162" i="1"/>
  <c r="BC162" i="1"/>
  <c r="BB162" i="1"/>
  <c r="BA162" i="1"/>
  <c r="AV162" i="1"/>
  <c r="AU162" i="1"/>
  <c r="AT162" i="1"/>
  <c r="AO162" i="1"/>
  <c r="AN162" i="1"/>
  <c r="AC162" i="1"/>
  <c r="Y162" i="1"/>
  <c r="S162" i="1"/>
  <c r="K162" i="1"/>
  <c r="J162" i="1"/>
  <c r="EV80" i="1"/>
  <c r="EU80" i="1"/>
  <c r="ET80" i="1"/>
  <c r="EC80" i="1"/>
  <c r="DY80" i="1"/>
  <c r="DQ80" i="1"/>
  <c r="DK80" i="1"/>
  <c r="DH80" i="1"/>
  <c r="DD80" i="1"/>
  <c r="CW80" i="1"/>
  <c r="CP80" i="1"/>
  <c r="CL80" i="1"/>
  <c r="CG80" i="1"/>
  <c r="CB80" i="1"/>
  <c r="BW80" i="1"/>
  <c r="BV80" i="1"/>
  <c r="BQ80" i="1"/>
  <c r="BP80" i="1"/>
  <c r="BO80" i="1"/>
  <c r="BJ80" i="1"/>
  <c r="BI80" i="1"/>
  <c r="BH80" i="1"/>
  <c r="BC80" i="1"/>
  <c r="BB80" i="1"/>
  <c r="BA80" i="1"/>
  <c r="AV80" i="1"/>
  <c r="AU80" i="1"/>
  <c r="AT80" i="1"/>
  <c r="AO80" i="1"/>
  <c r="AN80" i="1"/>
  <c r="AJ80" i="1"/>
  <c r="AC80" i="1"/>
  <c r="Y80" i="1"/>
  <c r="S80" i="1"/>
  <c r="K80" i="1"/>
  <c r="J80" i="1"/>
  <c r="EV202" i="1"/>
  <c r="EU202" i="1"/>
  <c r="ET202" i="1"/>
  <c r="EG202" i="1"/>
  <c r="EC202" i="1"/>
  <c r="DQ202" i="1"/>
  <c r="DK202" i="1"/>
  <c r="DH202" i="1"/>
  <c r="DD202" i="1"/>
  <c r="CW202" i="1"/>
  <c r="CP202" i="1"/>
  <c r="CL202" i="1"/>
  <c r="CG202" i="1"/>
  <c r="CB202" i="1"/>
  <c r="BW202" i="1"/>
  <c r="BV202" i="1"/>
  <c r="BQ202" i="1"/>
  <c r="BP202" i="1"/>
  <c r="BO202" i="1"/>
  <c r="BJ202" i="1"/>
  <c r="BI202" i="1"/>
  <c r="BH202" i="1"/>
  <c r="BC202" i="1"/>
  <c r="BB202" i="1"/>
  <c r="BA202" i="1"/>
  <c r="AV202" i="1"/>
  <c r="AU202" i="1"/>
  <c r="AT202" i="1"/>
  <c r="AO202" i="1"/>
  <c r="AN202" i="1"/>
  <c r="AC202" i="1"/>
  <c r="AB202" i="1"/>
  <c r="Y202" i="1"/>
  <c r="S202" i="1"/>
  <c r="K202" i="1"/>
  <c r="J202" i="1"/>
  <c r="EV265" i="1"/>
  <c r="EU265" i="1"/>
  <c r="ET265" i="1"/>
  <c r="EC265" i="1"/>
  <c r="DY265" i="1"/>
  <c r="DQ265" i="1"/>
  <c r="DK265" i="1"/>
  <c r="DH265" i="1"/>
  <c r="DD265" i="1"/>
  <c r="CW265" i="1"/>
  <c r="CP265" i="1"/>
  <c r="CL265" i="1"/>
  <c r="CG265" i="1"/>
  <c r="CB265" i="1"/>
  <c r="BW265" i="1"/>
  <c r="BV265" i="1"/>
  <c r="BQ265" i="1"/>
  <c r="BP265" i="1"/>
  <c r="BO265" i="1"/>
  <c r="BJ265" i="1"/>
  <c r="BI265" i="1"/>
  <c r="BH265" i="1"/>
  <c r="BC265" i="1"/>
  <c r="BB265" i="1"/>
  <c r="BA265" i="1"/>
  <c r="AV265" i="1"/>
  <c r="AU265" i="1"/>
  <c r="AT265" i="1"/>
  <c r="AO265" i="1"/>
  <c r="AN265" i="1"/>
  <c r="AJ265" i="1"/>
  <c r="AC265" i="1"/>
  <c r="Y265" i="1"/>
  <c r="S265" i="1"/>
  <c r="K265" i="1"/>
  <c r="J265" i="1"/>
  <c r="EV266" i="1"/>
  <c r="EU266" i="1"/>
  <c r="ET266" i="1"/>
  <c r="EC266" i="1"/>
  <c r="DY266" i="1"/>
  <c r="DQ266" i="1"/>
  <c r="DK266" i="1"/>
  <c r="DH266" i="1"/>
  <c r="DD266" i="1"/>
  <c r="CW266" i="1"/>
  <c r="CP266" i="1"/>
  <c r="CL266" i="1"/>
  <c r="CG266" i="1"/>
  <c r="CB266" i="1"/>
  <c r="BW266" i="1"/>
  <c r="BV266" i="1"/>
  <c r="BQ266" i="1"/>
  <c r="BP266" i="1"/>
  <c r="BO266" i="1"/>
  <c r="BJ266" i="1"/>
  <c r="BI266" i="1"/>
  <c r="BH266" i="1"/>
  <c r="BC266" i="1"/>
  <c r="BB266" i="1"/>
  <c r="BA266" i="1"/>
  <c r="AV266" i="1"/>
  <c r="AU266" i="1"/>
  <c r="AT266" i="1"/>
  <c r="AO266" i="1"/>
  <c r="AN266" i="1"/>
  <c r="AJ266" i="1"/>
  <c r="AC266" i="1"/>
  <c r="Y266" i="1"/>
  <c r="S266" i="1"/>
  <c r="K266" i="1"/>
  <c r="J266" i="1"/>
  <c r="EV44" i="1"/>
  <c r="EU44" i="1"/>
  <c r="ET44" i="1"/>
  <c r="EC44" i="1"/>
  <c r="DQ44" i="1"/>
  <c r="DK44" i="1"/>
  <c r="DH44" i="1"/>
  <c r="DD44" i="1"/>
  <c r="CW44" i="1"/>
  <c r="CP44" i="1"/>
  <c r="CL44" i="1"/>
  <c r="CG44" i="1"/>
  <c r="CB44" i="1"/>
  <c r="BW44" i="1"/>
  <c r="BV44" i="1"/>
  <c r="BQ44" i="1"/>
  <c r="BP44" i="1"/>
  <c r="BO44" i="1"/>
  <c r="BJ44" i="1"/>
  <c r="BI44" i="1"/>
  <c r="BH44" i="1"/>
  <c r="BC44" i="1"/>
  <c r="BB44" i="1"/>
  <c r="BA44" i="1"/>
  <c r="AV44" i="1"/>
  <c r="AU44" i="1"/>
  <c r="AT44" i="1"/>
  <c r="AO44" i="1"/>
  <c r="AN44" i="1"/>
  <c r="AC44" i="1"/>
  <c r="Y44" i="1"/>
  <c r="S44" i="1"/>
  <c r="K44" i="1"/>
  <c r="J44" i="1"/>
  <c r="EV174" i="1"/>
  <c r="EU174" i="1"/>
  <c r="ET174" i="1"/>
  <c r="EC174" i="1"/>
  <c r="DQ174" i="1"/>
  <c r="DK174" i="1"/>
  <c r="DH174" i="1"/>
  <c r="DD174" i="1"/>
  <c r="CW174" i="1"/>
  <c r="CP174" i="1"/>
  <c r="CL174" i="1"/>
  <c r="CG174" i="1"/>
  <c r="CB174" i="1"/>
  <c r="BW174" i="1"/>
  <c r="BV174" i="1"/>
  <c r="BQ174" i="1"/>
  <c r="BP174" i="1"/>
  <c r="BO174" i="1"/>
  <c r="BJ174" i="1"/>
  <c r="BI174" i="1"/>
  <c r="BH174" i="1"/>
  <c r="BC174" i="1"/>
  <c r="BB174" i="1"/>
  <c r="BA174" i="1"/>
  <c r="AV174" i="1"/>
  <c r="AU174" i="1"/>
  <c r="AT174" i="1"/>
  <c r="AO174" i="1"/>
  <c r="AN174" i="1"/>
  <c r="AC174" i="1"/>
  <c r="Y174" i="1"/>
  <c r="S174" i="1"/>
  <c r="K174" i="1"/>
  <c r="J174" i="1"/>
  <c r="EV121" i="1"/>
  <c r="EU121" i="1"/>
  <c r="ET121" i="1"/>
  <c r="EC121" i="1"/>
  <c r="DQ121" i="1"/>
  <c r="DK121" i="1"/>
  <c r="DH121" i="1"/>
  <c r="DD121" i="1"/>
  <c r="CW121" i="1"/>
  <c r="CP121" i="1"/>
  <c r="CL121" i="1"/>
  <c r="CG121" i="1"/>
  <c r="CB121" i="1"/>
  <c r="BW121" i="1"/>
  <c r="BV121" i="1"/>
  <c r="BQ121" i="1"/>
  <c r="BP121" i="1"/>
  <c r="BO121" i="1"/>
  <c r="BJ121" i="1"/>
  <c r="BI121" i="1"/>
  <c r="BH121" i="1"/>
  <c r="BC121" i="1"/>
  <c r="BB121" i="1"/>
  <c r="BA121" i="1"/>
  <c r="AV121" i="1"/>
  <c r="AU121" i="1"/>
  <c r="AT121" i="1"/>
  <c r="AO121" i="1"/>
  <c r="AN121" i="1"/>
  <c r="AC121" i="1"/>
  <c r="Y121" i="1"/>
  <c r="S121" i="1"/>
  <c r="K121" i="1"/>
  <c r="J121" i="1"/>
  <c r="EV237" i="1"/>
  <c r="EU237" i="1"/>
  <c r="ET237" i="1"/>
  <c r="EC237" i="1"/>
  <c r="DY237" i="1"/>
  <c r="DQ237" i="1"/>
  <c r="DK237" i="1"/>
  <c r="DH237" i="1"/>
  <c r="DD237" i="1"/>
  <c r="CW237" i="1"/>
  <c r="CP237" i="1"/>
  <c r="CL237" i="1"/>
  <c r="CG237" i="1"/>
  <c r="CB237" i="1"/>
  <c r="BW237" i="1"/>
  <c r="BV237" i="1"/>
  <c r="BQ237" i="1"/>
  <c r="BP237" i="1"/>
  <c r="BO237" i="1"/>
  <c r="BJ237" i="1"/>
  <c r="BI237" i="1"/>
  <c r="BH237" i="1"/>
  <c r="BC237" i="1"/>
  <c r="BB237" i="1"/>
  <c r="BA237" i="1"/>
  <c r="AV237" i="1"/>
  <c r="AU237" i="1"/>
  <c r="AT237" i="1"/>
  <c r="AO237" i="1"/>
  <c r="AN237" i="1"/>
  <c r="AJ237" i="1"/>
  <c r="AC237" i="1"/>
  <c r="Y237" i="1"/>
  <c r="S237" i="1"/>
  <c r="K237" i="1"/>
  <c r="J237" i="1"/>
  <c r="EV169" i="1"/>
  <c r="EU169" i="1"/>
  <c r="ET169" i="1"/>
  <c r="EC169" i="1"/>
  <c r="DQ169" i="1"/>
  <c r="DK169" i="1"/>
  <c r="DH169" i="1"/>
  <c r="DD169" i="1"/>
  <c r="CW169" i="1"/>
  <c r="CP169" i="1"/>
  <c r="CL169" i="1"/>
  <c r="CG169" i="1"/>
  <c r="CB169" i="1"/>
  <c r="BW169" i="1"/>
  <c r="BV169" i="1"/>
  <c r="BQ169" i="1"/>
  <c r="BP169" i="1"/>
  <c r="BO169" i="1"/>
  <c r="BJ169" i="1"/>
  <c r="BI169" i="1"/>
  <c r="BH169" i="1"/>
  <c r="BC169" i="1"/>
  <c r="BB169" i="1"/>
  <c r="BA169" i="1"/>
  <c r="AV169" i="1"/>
  <c r="AU169" i="1"/>
  <c r="AT169" i="1"/>
  <c r="AO169" i="1"/>
  <c r="AN169" i="1"/>
  <c r="AC169" i="1"/>
  <c r="Y169" i="1"/>
  <c r="S169" i="1"/>
  <c r="K169" i="1"/>
  <c r="J169" i="1"/>
  <c r="EV38" i="1"/>
  <c r="EU38" i="1"/>
  <c r="ET38" i="1"/>
  <c r="EG38" i="1"/>
  <c r="EC38" i="1"/>
  <c r="DQ38" i="1"/>
  <c r="DK38" i="1"/>
  <c r="DH38" i="1"/>
  <c r="DD38" i="1"/>
  <c r="CW38" i="1"/>
  <c r="CP38" i="1"/>
  <c r="CL38" i="1"/>
  <c r="CG38" i="1"/>
  <c r="CB38" i="1"/>
  <c r="BW38" i="1"/>
  <c r="BV38" i="1"/>
  <c r="BQ38" i="1"/>
  <c r="BP38" i="1"/>
  <c r="BO38" i="1"/>
  <c r="BJ38" i="1"/>
  <c r="BI38" i="1"/>
  <c r="BH38" i="1"/>
  <c r="BC38" i="1"/>
  <c r="BB38" i="1"/>
  <c r="BA38" i="1"/>
  <c r="AV38" i="1"/>
  <c r="AU38" i="1"/>
  <c r="AT38" i="1"/>
  <c r="AO38" i="1"/>
  <c r="AN38" i="1"/>
  <c r="AC38" i="1"/>
  <c r="AB38" i="1"/>
  <c r="Y38" i="1"/>
  <c r="S38" i="1"/>
  <c r="K38" i="1"/>
  <c r="J38" i="1"/>
  <c r="EV205" i="1"/>
  <c r="EU205" i="1"/>
  <c r="ET205" i="1"/>
  <c r="EC205" i="1"/>
  <c r="DY205" i="1"/>
  <c r="DQ205" i="1"/>
  <c r="DK205" i="1"/>
  <c r="DH205" i="1"/>
  <c r="DD205" i="1"/>
  <c r="CW205" i="1"/>
  <c r="CP205" i="1"/>
  <c r="CL205" i="1"/>
  <c r="CG205" i="1"/>
  <c r="CB205" i="1"/>
  <c r="BW205" i="1"/>
  <c r="BV205" i="1"/>
  <c r="BQ205" i="1"/>
  <c r="BP205" i="1"/>
  <c r="BO205" i="1"/>
  <c r="BJ205" i="1"/>
  <c r="BI205" i="1"/>
  <c r="BH205" i="1"/>
  <c r="BC205" i="1"/>
  <c r="BB205" i="1"/>
  <c r="BA205" i="1"/>
  <c r="AV205" i="1"/>
  <c r="AU205" i="1"/>
  <c r="AT205" i="1"/>
  <c r="AO205" i="1"/>
  <c r="AN205" i="1"/>
  <c r="AJ205" i="1"/>
  <c r="AC205" i="1"/>
  <c r="Y205" i="1"/>
  <c r="S205" i="1"/>
  <c r="K205" i="1"/>
  <c r="J205" i="1"/>
  <c r="EV150" i="1"/>
  <c r="EU150" i="1"/>
  <c r="ET150" i="1"/>
  <c r="EC150" i="1"/>
  <c r="DY150" i="1"/>
  <c r="DQ150" i="1"/>
  <c r="DK150" i="1"/>
  <c r="DH150" i="1"/>
  <c r="DD150" i="1"/>
  <c r="CW150" i="1"/>
  <c r="CP150" i="1"/>
  <c r="CL150" i="1"/>
  <c r="CG150" i="1"/>
  <c r="CB150" i="1"/>
  <c r="BW150" i="1"/>
  <c r="BV150" i="1"/>
  <c r="BQ150" i="1"/>
  <c r="BP150" i="1"/>
  <c r="BO150" i="1"/>
  <c r="BJ150" i="1"/>
  <c r="BI150" i="1"/>
  <c r="BH150" i="1"/>
  <c r="BC150" i="1"/>
  <c r="BB150" i="1"/>
  <c r="BA150" i="1"/>
  <c r="AV150" i="1"/>
  <c r="AU150" i="1"/>
  <c r="AT150" i="1"/>
  <c r="AO150" i="1"/>
  <c r="AN150" i="1"/>
  <c r="AJ150" i="1"/>
  <c r="AC150" i="1"/>
  <c r="Y150" i="1"/>
  <c r="S150" i="1"/>
  <c r="K150" i="1"/>
  <c r="J150" i="1"/>
  <c r="EV48" i="1"/>
  <c r="EU48" i="1"/>
  <c r="ET48" i="1"/>
  <c r="EG48" i="1"/>
  <c r="EC48" i="1"/>
  <c r="DQ48" i="1"/>
  <c r="DK48" i="1"/>
  <c r="DH48" i="1"/>
  <c r="DD48" i="1"/>
  <c r="CW48" i="1"/>
  <c r="CP48" i="1"/>
  <c r="CL48" i="1"/>
  <c r="CG48" i="1"/>
  <c r="CB48" i="1"/>
  <c r="BW48" i="1"/>
  <c r="BV48" i="1"/>
  <c r="BQ48" i="1"/>
  <c r="BP48" i="1"/>
  <c r="BO48" i="1"/>
  <c r="BJ48" i="1"/>
  <c r="BI48" i="1"/>
  <c r="BH48" i="1"/>
  <c r="BC48" i="1"/>
  <c r="BB48" i="1"/>
  <c r="BA48" i="1"/>
  <c r="AV48" i="1"/>
  <c r="AU48" i="1"/>
  <c r="AT48" i="1"/>
  <c r="AO48" i="1"/>
  <c r="AN48" i="1"/>
  <c r="AC48" i="1"/>
  <c r="AB48" i="1"/>
  <c r="Y48" i="1"/>
  <c r="S48" i="1"/>
  <c r="K48" i="1"/>
  <c r="J48" i="1"/>
  <c r="EV18" i="1"/>
  <c r="EU18" i="1"/>
  <c r="ET18" i="1"/>
  <c r="EG18" i="1"/>
  <c r="EC18" i="1"/>
  <c r="DY18" i="1"/>
  <c r="DQ18" i="1"/>
  <c r="DK18" i="1"/>
  <c r="DH18" i="1"/>
  <c r="DD18" i="1"/>
  <c r="CW18" i="1"/>
  <c r="CP18" i="1"/>
  <c r="CL18" i="1"/>
  <c r="CG18" i="1"/>
  <c r="CB18" i="1"/>
  <c r="BW18" i="1"/>
  <c r="BV18" i="1"/>
  <c r="BQ18" i="1"/>
  <c r="BP18" i="1"/>
  <c r="BO18" i="1"/>
  <c r="BJ18" i="1"/>
  <c r="BI18" i="1"/>
  <c r="BH18" i="1"/>
  <c r="BC18" i="1"/>
  <c r="BB18" i="1"/>
  <c r="BA18" i="1"/>
  <c r="AV18" i="1"/>
  <c r="AU18" i="1"/>
  <c r="AT18" i="1"/>
  <c r="AO18" i="1"/>
  <c r="AN18" i="1"/>
  <c r="AJ18" i="1"/>
  <c r="AC18" i="1"/>
  <c r="AB18" i="1"/>
  <c r="Y18" i="1"/>
  <c r="S18" i="1"/>
  <c r="K18" i="1"/>
  <c r="J18" i="1"/>
  <c r="EV125" i="1"/>
  <c r="EU125" i="1"/>
  <c r="ET125" i="1"/>
  <c r="EG125" i="1"/>
  <c r="EC125" i="1"/>
  <c r="DY125" i="1"/>
  <c r="DQ125" i="1"/>
  <c r="DK125" i="1"/>
  <c r="DH125" i="1"/>
  <c r="DD125" i="1"/>
  <c r="CW125" i="1"/>
  <c r="CP125" i="1"/>
  <c r="CL125" i="1"/>
  <c r="CG125" i="1"/>
  <c r="CB125" i="1"/>
  <c r="BW125" i="1"/>
  <c r="BV125" i="1"/>
  <c r="BQ125" i="1"/>
  <c r="BP125" i="1"/>
  <c r="BO125" i="1"/>
  <c r="BJ125" i="1"/>
  <c r="BI125" i="1"/>
  <c r="BH125" i="1"/>
  <c r="BC125" i="1"/>
  <c r="BB125" i="1"/>
  <c r="BA125" i="1"/>
  <c r="AV125" i="1"/>
  <c r="AU125" i="1"/>
  <c r="AT125" i="1"/>
  <c r="AO125" i="1"/>
  <c r="AN125" i="1"/>
  <c r="AJ125" i="1"/>
  <c r="AC125" i="1"/>
  <c r="AB125" i="1"/>
  <c r="Y125" i="1"/>
  <c r="S125" i="1"/>
  <c r="K125" i="1"/>
  <c r="J125" i="1"/>
  <c r="EV98" i="1"/>
  <c r="EU98" i="1"/>
  <c r="ET98" i="1"/>
  <c r="EG98" i="1"/>
  <c r="EC98" i="1"/>
  <c r="DQ98" i="1"/>
  <c r="DK98" i="1"/>
  <c r="DH98" i="1"/>
  <c r="DD98" i="1"/>
  <c r="CW98" i="1"/>
  <c r="CP98" i="1"/>
  <c r="CL98" i="1"/>
  <c r="CG98" i="1"/>
  <c r="CB98" i="1"/>
  <c r="BW98" i="1"/>
  <c r="BV98" i="1"/>
  <c r="BQ98" i="1"/>
  <c r="BP98" i="1"/>
  <c r="BO98" i="1"/>
  <c r="BJ98" i="1"/>
  <c r="BI98" i="1"/>
  <c r="BH98" i="1"/>
  <c r="BC98" i="1"/>
  <c r="BB98" i="1"/>
  <c r="BA98" i="1"/>
  <c r="AV98" i="1"/>
  <c r="AU98" i="1"/>
  <c r="AT98" i="1"/>
  <c r="AO98" i="1"/>
  <c r="AN98" i="1"/>
  <c r="AC98" i="1"/>
  <c r="AB98" i="1"/>
  <c r="Y98" i="1"/>
  <c r="S98" i="1"/>
  <c r="K98" i="1"/>
  <c r="J98" i="1"/>
  <c r="EV14" i="1"/>
  <c r="EU14" i="1"/>
  <c r="ET14" i="1"/>
  <c r="EG14" i="1"/>
  <c r="EC14" i="1"/>
  <c r="DY14" i="1"/>
  <c r="DQ14" i="1"/>
  <c r="DK14" i="1"/>
  <c r="DH14" i="1"/>
  <c r="DD14" i="1"/>
  <c r="CW14" i="1"/>
  <c r="CP14" i="1"/>
  <c r="CL14" i="1"/>
  <c r="CG14" i="1"/>
  <c r="CB14" i="1"/>
  <c r="BW14" i="1"/>
  <c r="BV14" i="1"/>
  <c r="BQ14" i="1"/>
  <c r="BP14" i="1"/>
  <c r="BO14" i="1"/>
  <c r="BJ14" i="1"/>
  <c r="BI14" i="1"/>
  <c r="BH14" i="1"/>
  <c r="BC14" i="1"/>
  <c r="BB14" i="1"/>
  <c r="BA14" i="1"/>
  <c r="AV14" i="1"/>
  <c r="AU14" i="1"/>
  <c r="AT14" i="1"/>
  <c r="AO14" i="1"/>
  <c r="AN14" i="1"/>
  <c r="AJ14" i="1"/>
  <c r="AC14" i="1"/>
  <c r="AB14" i="1"/>
  <c r="Y14" i="1"/>
  <c r="S14" i="1"/>
  <c r="K14" i="1"/>
  <c r="J14" i="1"/>
  <c r="EV78" i="1"/>
  <c r="EU78" i="1"/>
  <c r="ET78" i="1"/>
  <c r="EG78" i="1"/>
  <c r="EC78" i="1"/>
  <c r="DQ78" i="1"/>
  <c r="DK78" i="1"/>
  <c r="DH78" i="1"/>
  <c r="DD78" i="1"/>
  <c r="CW78" i="1"/>
  <c r="CP78" i="1"/>
  <c r="CL78" i="1"/>
  <c r="CG78" i="1"/>
  <c r="CB78" i="1"/>
  <c r="BW78" i="1"/>
  <c r="BV78" i="1"/>
  <c r="BQ78" i="1"/>
  <c r="BP78" i="1"/>
  <c r="BO78" i="1"/>
  <c r="BJ78" i="1"/>
  <c r="BI78" i="1"/>
  <c r="BH78" i="1"/>
  <c r="BC78" i="1"/>
  <c r="BB78" i="1"/>
  <c r="BA78" i="1"/>
  <c r="AV78" i="1"/>
  <c r="AU78" i="1"/>
  <c r="AT78" i="1"/>
  <c r="AO78" i="1"/>
  <c r="AN78" i="1"/>
  <c r="AC78" i="1"/>
  <c r="AB78" i="1"/>
  <c r="Y78" i="1"/>
  <c r="S78" i="1"/>
  <c r="K78" i="1"/>
  <c r="J78" i="1"/>
  <c r="EV91" i="1"/>
  <c r="EU91" i="1"/>
  <c r="ET91" i="1"/>
  <c r="EC91" i="1"/>
  <c r="DQ91" i="1"/>
  <c r="DK91" i="1"/>
  <c r="DH91" i="1"/>
  <c r="DD91" i="1"/>
  <c r="CW91" i="1"/>
  <c r="CP91" i="1"/>
  <c r="CL91" i="1"/>
  <c r="CG91" i="1"/>
  <c r="CB91" i="1"/>
  <c r="BW91" i="1"/>
  <c r="BV91" i="1"/>
  <c r="BQ91" i="1"/>
  <c r="BP91" i="1"/>
  <c r="BO91" i="1"/>
  <c r="BJ91" i="1"/>
  <c r="BI91" i="1"/>
  <c r="BH91" i="1"/>
  <c r="BC91" i="1"/>
  <c r="BB91" i="1"/>
  <c r="BA91" i="1"/>
  <c r="AV91" i="1"/>
  <c r="AU91" i="1"/>
  <c r="AT91" i="1"/>
  <c r="AO91" i="1"/>
  <c r="AN91" i="1"/>
  <c r="AC91" i="1"/>
  <c r="Y91" i="1"/>
  <c r="S91" i="1"/>
  <c r="K91" i="1"/>
  <c r="J91" i="1"/>
  <c r="EV54" i="1"/>
  <c r="EU54" i="1"/>
  <c r="ET54" i="1"/>
  <c r="EC54" i="1"/>
  <c r="DQ54" i="1"/>
  <c r="DK54" i="1"/>
  <c r="DH54" i="1"/>
  <c r="DD54" i="1"/>
  <c r="CW54" i="1"/>
  <c r="CP54" i="1"/>
  <c r="CL54" i="1"/>
  <c r="CG54" i="1"/>
  <c r="CB54" i="1"/>
  <c r="BW54" i="1"/>
  <c r="BV54" i="1"/>
  <c r="BQ54" i="1"/>
  <c r="BP54" i="1"/>
  <c r="BO54" i="1"/>
  <c r="BJ54" i="1"/>
  <c r="BI54" i="1"/>
  <c r="BH54" i="1"/>
  <c r="BC54" i="1"/>
  <c r="BB54" i="1"/>
  <c r="BA54" i="1"/>
  <c r="AV54" i="1"/>
  <c r="AU54" i="1"/>
  <c r="AT54" i="1"/>
  <c r="AO54" i="1"/>
  <c r="AN54" i="1"/>
  <c r="AC54" i="1"/>
  <c r="Y54" i="1"/>
  <c r="S54" i="1"/>
  <c r="K54" i="1"/>
  <c r="J54" i="1"/>
  <c r="EV26" i="1"/>
  <c r="EU26" i="1"/>
  <c r="ET26" i="1"/>
  <c r="EC26" i="1"/>
  <c r="DQ26" i="1"/>
  <c r="DK26" i="1"/>
  <c r="DH26" i="1"/>
  <c r="DD26" i="1"/>
  <c r="CW26" i="1"/>
  <c r="Y26" i="1"/>
  <c r="K26" i="1"/>
  <c r="J26" i="1"/>
  <c r="EV178" i="1"/>
  <c r="EU178" i="1"/>
  <c r="ET178" i="1"/>
  <c r="EC178" i="1"/>
  <c r="DQ178" i="1"/>
  <c r="DK178" i="1"/>
  <c r="DH178" i="1"/>
  <c r="DD178" i="1"/>
  <c r="CW178" i="1"/>
  <c r="CP178" i="1"/>
  <c r="CL178" i="1"/>
  <c r="CG178" i="1"/>
  <c r="CB178" i="1"/>
  <c r="BW178" i="1"/>
  <c r="BV178" i="1"/>
  <c r="BQ178" i="1"/>
  <c r="BP178" i="1"/>
  <c r="BO178" i="1"/>
  <c r="BJ178" i="1"/>
  <c r="BI178" i="1"/>
  <c r="BH178" i="1"/>
  <c r="BC178" i="1"/>
  <c r="BB178" i="1"/>
  <c r="BA178" i="1"/>
  <c r="AV178" i="1"/>
  <c r="AU178" i="1"/>
  <c r="AT178" i="1"/>
  <c r="AO178" i="1"/>
  <c r="AN178" i="1"/>
  <c r="AC178" i="1"/>
  <c r="Y178" i="1"/>
  <c r="S178" i="1"/>
  <c r="K178" i="1"/>
  <c r="J178" i="1"/>
  <c r="EV186" i="1"/>
  <c r="EU186" i="1"/>
  <c r="ET186" i="1"/>
  <c r="EC186" i="1"/>
  <c r="DQ186" i="1"/>
  <c r="DK186" i="1"/>
  <c r="DH186" i="1"/>
  <c r="DD186" i="1"/>
  <c r="CW186" i="1"/>
  <c r="CP186" i="1"/>
  <c r="CL186" i="1"/>
  <c r="CG186" i="1"/>
  <c r="CB186" i="1"/>
  <c r="BW186" i="1"/>
  <c r="BV186" i="1"/>
  <c r="BQ186" i="1"/>
  <c r="BP186" i="1"/>
  <c r="BO186" i="1"/>
  <c r="BJ186" i="1"/>
  <c r="BI186" i="1"/>
  <c r="BH186" i="1"/>
  <c r="BC186" i="1"/>
  <c r="BB186" i="1"/>
  <c r="BA186" i="1"/>
  <c r="AV186" i="1"/>
  <c r="AU186" i="1"/>
  <c r="AT186" i="1"/>
  <c r="AO186" i="1"/>
  <c r="AN186" i="1"/>
  <c r="AC186" i="1"/>
  <c r="Y186" i="1"/>
  <c r="S186" i="1"/>
  <c r="K186" i="1"/>
  <c r="J186" i="1"/>
  <c r="EV105" i="1"/>
  <c r="EU105" i="1"/>
  <c r="ET105" i="1"/>
  <c r="EG105" i="1"/>
  <c r="EC105" i="1"/>
  <c r="DY105" i="1"/>
  <c r="DQ105" i="1"/>
  <c r="DK105" i="1"/>
  <c r="DH105" i="1"/>
  <c r="DD105" i="1"/>
  <c r="CW105" i="1"/>
  <c r="CP105" i="1"/>
  <c r="CL105" i="1"/>
  <c r="CG105" i="1"/>
  <c r="CB105" i="1"/>
  <c r="BW105" i="1"/>
  <c r="BV105" i="1"/>
  <c r="BQ105" i="1"/>
  <c r="BP105" i="1"/>
  <c r="BO105" i="1"/>
  <c r="BJ105" i="1"/>
  <c r="BI105" i="1"/>
  <c r="BH105" i="1"/>
  <c r="BC105" i="1"/>
  <c r="BB105" i="1"/>
  <c r="BA105" i="1"/>
  <c r="AV105" i="1"/>
  <c r="AU105" i="1"/>
  <c r="AT105" i="1"/>
  <c r="AO105" i="1"/>
  <c r="AN105" i="1"/>
  <c r="AJ105" i="1"/>
  <c r="AC105" i="1"/>
  <c r="AB105" i="1"/>
  <c r="Y105" i="1"/>
  <c r="S105" i="1"/>
  <c r="K105" i="1"/>
  <c r="J105" i="1"/>
  <c r="EV35" i="1"/>
  <c r="EU35" i="1"/>
  <c r="ET35" i="1"/>
  <c r="EG35" i="1"/>
  <c r="EC35" i="1"/>
  <c r="DQ35" i="1"/>
  <c r="DK35" i="1"/>
  <c r="DH35" i="1"/>
  <c r="DD35" i="1"/>
  <c r="CW35" i="1"/>
  <c r="CP35" i="1"/>
  <c r="CL35" i="1"/>
  <c r="CG35" i="1"/>
  <c r="CB35" i="1"/>
  <c r="BW35" i="1"/>
  <c r="BV35" i="1"/>
  <c r="BQ35" i="1"/>
  <c r="BP35" i="1"/>
  <c r="BO35" i="1"/>
  <c r="BJ35" i="1"/>
  <c r="BI35" i="1"/>
  <c r="BH35" i="1"/>
  <c r="BC35" i="1"/>
  <c r="BB35" i="1"/>
  <c r="BA35" i="1"/>
  <c r="AV35" i="1"/>
  <c r="AU35" i="1"/>
  <c r="AT35" i="1"/>
  <c r="AO35" i="1"/>
  <c r="AN35" i="1"/>
  <c r="AC35" i="1"/>
  <c r="AB35" i="1"/>
  <c r="Y35" i="1"/>
  <c r="S35" i="1"/>
  <c r="K35" i="1"/>
  <c r="J35" i="1"/>
  <c r="EV154" i="1"/>
  <c r="EU154" i="1"/>
  <c r="ET154" i="1"/>
  <c r="EG154" i="1"/>
  <c r="EC154" i="1"/>
  <c r="DQ154" i="1"/>
  <c r="DK154" i="1"/>
  <c r="DH154" i="1"/>
  <c r="DD154" i="1"/>
  <c r="CW154" i="1"/>
  <c r="CP154" i="1"/>
  <c r="CL154" i="1"/>
  <c r="CG154" i="1"/>
  <c r="CB154" i="1"/>
  <c r="BW154" i="1"/>
  <c r="BV154" i="1"/>
  <c r="BQ154" i="1"/>
  <c r="BP154" i="1"/>
  <c r="BO154" i="1"/>
  <c r="BJ154" i="1"/>
  <c r="BI154" i="1"/>
  <c r="BH154" i="1"/>
  <c r="BC154" i="1"/>
  <c r="BB154" i="1"/>
  <c r="BA154" i="1"/>
  <c r="AV154" i="1"/>
  <c r="AU154" i="1"/>
  <c r="AT154" i="1"/>
  <c r="AO154" i="1"/>
  <c r="AN154" i="1"/>
  <c r="AC154" i="1"/>
  <c r="AB154" i="1"/>
  <c r="Y154" i="1"/>
  <c r="S154" i="1"/>
  <c r="K154" i="1"/>
  <c r="J154" i="1"/>
  <c r="EV13" i="1"/>
  <c r="EU13" i="1"/>
  <c r="ET13" i="1"/>
  <c r="EG13" i="1"/>
  <c r="EC13" i="1"/>
  <c r="DQ13" i="1"/>
  <c r="DK13" i="1"/>
  <c r="DH13" i="1"/>
  <c r="DD13" i="1"/>
  <c r="CW13" i="1"/>
  <c r="CP13" i="1"/>
  <c r="CL13" i="1"/>
  <c r="CG13" i="1"/>
  <c r="CB13" i="1"/>
  <c r="BW13" i="1"/>
  <c r="BV13" i="1"/>
  <c r="BQ13" i="1"/>
  <c r="BP13" i="1"/>
  <c r="BO13" i="1"/>
  <c r="BJ13" i="1"/>
  <c r="BI13" i="1"/>
  <c r="BH13" i="1"/>
  <c r="BC13" i="1"/>
  <c r="BB13" i="1"/>
  <c r="BA13" i="1"/>
  <c r="AV13" i="1"/>
  <c r="AU13" i="1"/>
  <c r="AT13" i="1"/>
  <c r="AO13" i="1"/>
  <c r="AN13" i="1"/>
  <c r="AC13" i="1"/>
  <c r="AB13" i="1"/>
  <c r="Y13" i="1"/>
  <c r="S13" i="1"/>
  <c r="K13" i="1"/>
  <c r="J13" i="1"/>
  <c r="EV132" i="1"/>
  <c r="EU132" i="1"/>
  <c r="ET132" i="1"/>
  <c r="EC132" i="1"/>
  <c r="DQ132" i="1"/>
  <c r="DK132" i="1"/>
  <c r="DH132" i="1"/>
  <c r="DD132" i="1"/>
  <c r="CW132" i="1"/>
  <c r="CP132" i="1"/>
  <c r="CL132" i="1"/>
  <c r="CG132" i="1"/>
  <c r="CB132" i="1"/>
  <c r="BW132" i="1"/>
  <c r="BV132" i="1"/>
  <c r="BQ132" i="1"/>
  <c r="BP132" i="1"/>
  <c r="BO132" i="1"/>
  <c r="BJ132" i="1"/>
  <c r="BI132" i="1"/>
  <c r="BH132" i="1"/>
  <c r="BC132" i="1"/>
  <c r="BB132" i="1"/>
  <c r="BA132" i="1"/>
  <c r="AV132" i="1"/>
  <c r="AU132" i="1"/>
  <c r="AT132" i="1"/>
  <c r="AO132" i="1"/>
  <c r="AN132" i="1"/>
  <c r="AC132" i="1"/>
  <c r="Y132" i="1"/>
  <c r="S132" i="1"/>
  <c r="K132" i="1"/>
  <c r="J132" i="1"/>
  <c r="EV217" i="1"/>
  <c r="EU217" i="1"/>
  <c r="ET217" i="1"/>
  <c r="EC217" i="1"/>
  <c r="DQ217" i="1"/>
  <c r="DK217" i="1"/>
  <c r="DH217" i="1"/>
  <c r="DD217" i="1"/>
  <c r="CW217" i="1"/>
  <c r="CP217" i="1"/>
  <c r="CL217" i="1"/>
  <c r="CG217" i="1"/>
  <c r="CB217" i="1"/>
  <c r="BW217" i="1"/>
  <c r="BV217" i="1"/>
  <c r="BQ217" i="1"/>
  <c r="BP217" i="1"/>
  <c r="BO217" i="1"/>
  <c r="BJ217" i="1"/>
  <c r="BI217" i="1"/>
  <c r="BH217" i="1"/>
  <c r="BC217" i="1"/>
  <c r="BB217" i="1"/>
  <c r="BA217" i="1"/>
  <c r="AV217" i="1"/>
  <c r="AU217" i="1"/>
  <c r="AT217" i="1"/>
  <c r="AO217" i="1"/>
  <c r="AN217" i="1"/>
  <c r="AC217" i="1"/>
  <c r="Y217" i="1"/>
  <c r="S217" i="1"/>
  <c r="K217" i="1"/>
  <c r="J217" i="1"/>
  <c r="EV101" i="1"/>
  <c r="EU101" i="1"/>
  <c r="ET101" i="1"/>
  <c r="EG101" i="1"/>
  <c r="EC101" i="1"/>
  <c r="DQ101" i="1"/>
  <c r="DK101" i="1"/>
  <c r="DH101" i="1"/>
  <c r="DD101" i="1"/>
  <c r="CW101" i="1"/>
  <c r="CP101" i="1"/>
  <c r="CL101" i="1"/>
  <c r="CG101" i="1"/>
  <c r="CB101" i="1"/>
  <c r="BW101" i="1"/>
  <c r="BV101" i="1"/>
  <c r="BQ101" i="1"/>
  <c r="BP101" i="1"/>
  <c r="BO101" i="1"/>
  <c r="BJ101" i="1"/>
  <c r="BI101" i="1"/>
  <c r="BH101" i="1"/>
  <c r="BC101" i="1"/>
  <c r="BB101" i="1"/>
  <c r="BA101" i="1"/>
  <c r="AV101" i="1"/>
  <c r="AU101" i="1"/>
  <c r="AT101" i="1"/>
  <c r="AO101" i="1"/>
  <c r="AN101" i="1"/>
  <c r="AC101" i="1"/>
  <c r="AB101" i="1"/>
  <c r="Y101" i="1"/>
  <c r="S101" i="1"/>
  <c r="K101" i="1"/>
  <c r="J101" i="1"/>
  <c r="EV49" i="1"/>
  <c r="EU49" i="1"/>
  <c r="ET49" i="1"/>
  <c r="EC49" i="1"/>
  <c r="DQ49" i="1"/>
  <c r="DK49" i="1"/>
  <c r="DH49" i="1"/>
  <c r="DD49" i="1"/>
  <c r="CW49" i="1"/>
  <c r="CP49" i="1"/>
  <c r="CL49" i="1"/>
  <c r="CG49" i="1"/>
  <c r="CB49" i="1"/>
  <c r="BW49" i="1"/>
  <c r="BV49" i="1"/>
  <c r="BQ49" i="1"/>
  <c r="BP49" i="1"/>
  <c r="BO49" i="1"/>
  <c r="BJ49" i="1"/>
  <c r="BI49" i="1"/>
  <c r="BH49" i="1"/>
  <c r="BC49" i="1"/>
  <c r="BB49" i="1"/>
  <c r="BA49" i="1"/>
  <c r="AV49" i="1"/>
  <c r="AU49" i="1"/>
  <c r="AT49" i="1"/>
  <c r="AO49" i="1"/>
  <c r="AN49" i="1"/>
  <c r="AC49" i="1"/>
  <c r="Y49" i="1"/>
  <c r="S49" i="1"/>
  <c r="K49" i="1"/>
  <c r="J49" i="1"/>
  <c r="EV139" i="1"/>
  <c r="EU139" i="1"/>
  <c r="ET139" i="1"/>
  <c r="EC139" i="1"/>
  <c r="DQ139" i="1"/>
  <c r="DK139" i="1"/>
  <c r="DH139" i="1"/>
  <c r="DD139" i="1"/>
  <c r="CW139" i="1"/>
  <c r="CP139" i="1"/>
  <c r="CL139" i="1"/>
  <c r="CG139" i="1"/>
  <c r="CB139" i="1"/>
  <c r="BW139" i="1"/>
  <c r="BV139" i="1"/>
  <c r="BQ139" i="1"/>
  <c r="BP139" i="1"/>
  <c r="BO139" i="1"/>
  <c r="BJ139" i="1"/>
  <c r="BI139" i="1"/>
  <c r="BH139" i="1"/>
  <c r="BC139" i="1"/>
  <c r="BB139" i="1"/>
  <c r="BA139" i="1"/>
  <c r="AV139" i="1"/>
  <c r="AU139" i="1"/>
  <c r="AT139" i="1"/>
  <c r="AO139" i="1"/>
  <c r="AN139" i="1"/>
  <c r="AC139" i="1"/>
  <c r="Y139" i="1"/>
  <c r="S139" i="1"/>
  <c r="K139" i="1"/>
  <c r="J139" i="1"/>
  <c r="EV43" i="1"/>
  <c r="EU43" i="1"/>
  <c r="ET43" i="1"/>
  <c r="EC43" i="1"/>
  <c r="DQ43" i="1"/>
  <c r="DK43" i="1"/>
  <c r="DH43" i="1"/>
  <c r="DD43" i="1"/>
  <c r="CW43" i="1"/>
  <c r="CP43" i="1"/>
  <c r="CL43" i="1"/>
  <c r="CG43" i="1"/>
  <c r="CB43" i="1"/>
  <c r="BW43" i="1"/>
  <c r="BV43" i="1"/>
  <c r="BQ43" i="1"/>
  <c r="BP43" i="1"/>
  <c r="BO43" i="1"/>
  <c r="BJ43" i="1"/>
  <c r="BI43" i="1"/>
  <c r="BH43" i="1"/>
  <c r="BC43" i="1"/>
  <c r="BB43" i="1"/>
  <c r="BA43" i="1"/>
  <c r="AV43" i="1"/>
  <c r="AU43" i="1"/>
  <c r="AT43" i="1"/>
  <c r="AO43" i="1"/>
  <c r="AN43" i="1"/>
  <c r="AC43" i="1"/>
  <c r="Y43" i="1"/>
  <c r="S43" i="1"/>
  <c r="K43" i="1"/>
  <c r="J43" i="1"/>
  <c r="EV90" i="1"/>
  <c r="EU90" i="1"/>
  <c r="ET90" i="1"/>
  <c r="EC90" i="1"/>
  <c r="DQ90" i="1"/>
  <c r="DK90" i="1"/>
  <c r="DH90" i="1"/>
  <c r="DD90" i="1"/>
  <c r="CW90" i="1"/>
  <c r="CP90" i="1"/>
  <c r="CL90" i="1"/>
  <c r="CG90" i="1"/>
  <c r="CB90" i="1"/>
  <c r="BW90" i="1"/>
  <c r="BV90" i="1"/>
  <c r="BQ90" i="1"/>
  <c r="BP90" i="1"/>
  <c r="BO90" i="1"/>
  <c r="BJ90" i="1"/>
  <c r="BI90" i="1"/>
  <c r="BH90" i="1"/>
  <c r="BC90" i="1"/>
  <c r="BB90" i="1"/>
  <c r="BA90" i="1"/>
  <c r="AV90" i="1"/>
  <c r="AU90" i="1"/>
  <c r="AT90" i="1"/>
  <c r="AO90" i="1"/>
  <c r="AN90" i="1"/>
  <c r="AC90" i="1"/>
  <c r="Y90" i="1"/>
  <c r="S90" i="1"/>
  <c r="K90" i="1"/>
  <c r="J90" i="1"/>
  <c r="EV216" i="1"/>
  <c r="EU216" i="1"/>
  <c r="ET216" i="1"/>
  <c r="EG216" i="1"/>
  <c r="EC216" i="1"/>
  <c r="DY216" i="1"/>
  <c r="DQ216" i="1"/>
  <c r="DK216" i="1"/>
  <c r="DH216" i="1"/>
  <c r="DD216" i="1"/>
  <c r="CW216" i="1"/>
  <c r="CP216" i="1"/>
  <c r="CL216" i="1"/>
  <c r="CG216" i="1"/>
  <c r="CB216" i="1"/>
  <c r="BW216" i="1"/>
  <c r="BV216" i="1"/>
  <c r="BQ216" i="1"/>
  <c r="BP216" i="1"/>
  <c r="BO216" i="1"/>
  <c r="BJ216" i="1"/>
  <c r="BI216" i="1"/>
  <c r="BH216" i="1"/>
  <c r="BC216" i="1"/>
  <c r="BB216" i="1"/>
  <c r="BA216" i="1"/>
  <c r="AV216" i="1"/>
  <c r="AU216" i="1"/>
  <c r="AT216" i="1"/>
  <c r="AO216" i="1"/>
  <c r="AN216" i="1"/>
  <c r="AJ216" i="1"/>
  <c r="AC216" i="1"/>
  <c r="AB216" i="1"/>
  <c r="Y216" i="1"/>
  <c r="S216" i="1"/>
  <c r="K216" i="1"/>
  <c r="J216" i="1"/>
  <c r="EV172" i="1"/>
  <c r="EU172" i="1"/>
  <c r="ET172" i="1"/>
  <c r="EG172" i="1"/>
  <c r="EC172" i="1"/>
  <c r="DQ172" i="1"/>
  <c r="DK172" i="1"/>
  <c r="DH172" i="1"/>
  <c r="DD172" i="1"/>
  <c r="CW172" i="1"/>
  <c r="CP172" i="1"/>
  <c r="CL172" i="1"/>
  <c r="CG172" i="1"/>
  <c r="CB172" i="1"/>
  <c r="BW172" i="1"/>
  <c r="BV172" i="1"/>
  <c r="BQ172" i="1"/>
  <c r="BP172" i="1"/>
  <c r="BO172" i="1"/>
  <c r="BJ172" i="1"/>
  <c r="BI172" i="1"/>
  <c r="BH172" i="1"/>
  <c r="BC172" i="1"/>
  <c r="BB172" i="1"/>
  <c r="BA172" i="1"/>
  <c r="AV172" i="1"/>
  <c r="AU172" i="1"/>
  <c r="AT172" i="1"/>
  <c r="AO172" i="1"/>
  <c r="AN172" i="1"/>
  <c r="AC172" i="1"/>
  <c r="AB172" i="1"/>
  <c r="Y172" i="1"/>
  <c r="S172" i="1"/>
  <c r="K172" i="1"/>
  <c r="J172" i="1"/>
  <c r="EV262" i="1"/>
  <c r="EU262" i="1"/>
  <c r="ET262" i="1"/>
  <c r="EC262" i="1"/>
  <c r="DQ262" i="1"/>
  <c r="DK262" i="1"/>
  <c r="DH262" i="1"/>
  <c r="DD262" i="1"/>
  <c r="CW262" i="1"/>
  <c r="CP262" i="1"/>
  <c r="CL262" i="1"/>
  <c r="CG262" i="1"/>
  <c r="CB262" i="1"/>
  <c r="BW262" i="1"/>
  <c r="BV262" i="1"/>
  <c r="BQ262" i="1"/>
  <c r="BP262" i="1"/>
  <c r="BO262" i="1"/>
  <c r="BJ262" i="1"/>
  <c r="BI262" i="1"/>
  <c r="BH262" i="1"/>
  <c r="BC262" i="1"/>
  <c r="BB262" i="1"/>
  <c r="BA262" i="1"/>
  <c r="AV262" i="1"/>
  <c r="AU262" i="1"/>
  <c r="AT262" i="1"/>
  <c r="AO262" i="1"/>
  <c r="AN262" i="1"/>
  <c r="AC262" i="1"/>
  <c r="Y262" i="1"/>
  <c r="S262" i="1"/>
  <c r="K262" i="1"/>
  <c r="J262" i="1"/>
  <c r="EV88" i="1"/>
  <c r="EU88" i="1"/>
  <c r="ET88" i="1"/>
  <c r="EG88" i="1"/>
  <c r="EC88" i="1"/>
  <c r="DY88" i="1"/>
  <c r="DQ88" i="1"/>
  <c r="DK88" i="1"/>
  <c r="DH88" i="1"/>
  <c r="DD88" i="1"/>
  <c r="CW88" i="1"/>
  <c r="CP88" i="1"/>
  <c r="CL88" i="1"/>
  <c r="CG88" i="1"/>
  <c r="CB88" i="1"/>
  <c r="BW88" i="1"/>
  <c r="BV88" i="1"/>
  <c r="BQ88" i="1"/>
  <c r="BP88" i="1"/>
  <c r="BO88" i="1"/>
  <c r="BJ88" i="1"/>
  <c r="BI88" i="1"/>
  <c r="BH88" i="1"/>
  <c r="BC88" i="1"/>
  <c r="BB88" i="1"/>
  <c r="BA88" i="1"/>
  <c r="AV88" i="1"/>
  <c r="AU88" i="1"/>
  <c r="AT88" i="1"/>
  <c r="AO88" i="1"/>
  <c r="AN88" i="1"/>
  <c r="AJ88" i="1"/>
  <c r="AC88" i="1"/>
  <c r="AB88" i="1"/>
  <c r="Y88" i="1"/>
  <c r="S88" i="1"/>
  <c r="K88" i="1"/>
  <c r="J88" i="1"/>
  <c r="EV107" i="1"/>
  <c r="EU107" i="1"/>
  <c r="ET107" i="1"/>
  <c r="EG107" i="1"/>
  <c r="EC107" i="1"/>
  <c r="DY107" i="1"/>
  <c r="DQ107" i="1"/>
  <c r="DK107" i="1"/>
  <c r="DH107" i="1"/>
  <c r="DD107" i="1"/>
  <c r="CW107" i="1"/>
  <c r="CP107" i="1"/>
  <c r="CL107" i="1"/>
  <c r="CG107" i="1"/>
  <c r="CB107" i="1"/>
  <c r="BW107" i="1"/>
  <c r="BV107" i="1"/>
  <c r="BQ107" i="1"/>
  <c r="BP107" i="1"/>
  <c r="BO107" i="1"/>
  <c r="BJ107" i="1"/>
  <c r="BI107" i="1"/>
  <c r="BH107" i="1"/>
  <c r="BC107" i="1"/>
  <c r="BB107" i="1"/>
  <c r="BA107" i="1"/>
  <c r="AV107" i="1"/>
  <c r="AU107" i="1"/>
  <c r="AT107" i="1"/>
  <c r="AO107" i="1"/>
  <c r="AN107" i="1"/>
  <c r="AJ107" i="1"/>
  <c r="AC107" i="1"/>
  <c r="AB107" i="1"/>
  <c r="Y107" i="1"/>
  <c r="S107" i="1"/>
  <c r="K107" i="1"/>
  <c r="J107" i="1"/>
  <c r="EV161" i="1"/>
  <c r="EU161" i="1"/>
  <c r="ET161" i="1"/>
  <c r="EC161" i="1"/>
  <c r="DQ161" i="1"/>
  <c r="DK161" i="1"/>
  <c r="DH161" i="1"/>
  <c r="DD161" i="1"/>
  <c r="CW161" i="1"/>
  <c r="CP161" i="1"/>
  <c r="CL161" i="1"/>
  <c r="CG161" i="1"/>
  <c r="CB161" i="1"/>
  <c r="BW161" i="1"/>
  <c r="BV161" i="1"/>
  <c r="BQ161" i="1"/>
  <c r="BP161" i="1"/>
  <c r="BO161" i="1"/>
  <c r="BJ161" i="1"/>
  <c r="BI161" i="1"/>
  <c r="BH161" i="1"/>
  <c r="BC161" i="1"/>
  <c r="BB161" i="1"/>
  <c r="BA161" i="1"/>
  <c r="AV161" i="1"/>
  <c r="AU161" i="1"/>
  <c r="AT161" i="1"/>
  <c r="AO161" i="1"/>
  <c r="AN161" i="1"/>
  <c r="AC161" i="1"/>
  <c r="Y161" i="1"/>
  <c r="S161" i="1"/>
  <c r="K161" i="1"/>
  <c r="J161" i="1"/>
  <c r="EV137" i="1"/>
  <c r="EU137" i="1"/>
  <c r="ET137" i="1"/>
  <c r="EC137" i="1"/>
  <c r="DQ137" i="1"/>
  <c r="DK137" i="1"/>
  <c r="DH137" i="1"/>
  <c r="DD137" i="1"/>
  <c r="CW137" i="1"/>
  <c r="CP137" i="1"/>
  <c r="CL137" i="1"/>
  <c r="CG137" i="1"/>
  <c r="CB137" i="1"/>
  <c r="BW137" i="1"/>
  <c r="BV137" i="1"/>
  <c r="BQ137" i="1"/>
  <c r="BP137" i="1"/>
  <c r="BO137" i="1"/>
  <c r="BJ137" i="1"/>
  <c r="BI137" i="1"/>
  <c r="BH137" i="1"/>
  <c r="BC137" i="1"/>
  <c r="BB137" i="1"/>
  <c r="BA137" i="1"/>
  <c r="AV137" i="1"/>
  <c r="AU137" i="1"/>
  <c r="AT137" i="1"/>
  <c r="AO137" i="1"/>
  <c r="AN137" i="1"/>
  <c r="AC137" i="1"/>
  <c r="Y137" i="1"/>
  <c r="S137" i="1"/>
  <c r="K137" i="1"/>
  <c r="J137" i="1"/>
  <c r="EV10" i="1"/>
  <c r="EU10" i="1"/>
  <c r="ET10" i="1"/>
  <c r="EC10" i="1"/>
  <c r="DQ10" i="1"/>
  <c r="DK10" i="1"/>
  <c r="DH10" i="1"/>
  <c r="DD10" i="1"/>
  <c r="CW10" i="1"/>
  <c r="CP10" i="1"/>
  <c r="CL10" i="1"/>
  <c r="CG10" i="1"/>
  <c r="CB10" i="1"/>
  <c r="BW10" i="1"/>
  <c r="BV10" i="1"/>
  <c r="BQ10" i="1"/>
  <c r="BP10" i="1"/>
  <c r="BO10" i="1"/>
  <c r="BJ10" i="1"/>
  <c r="BI10" i="1"/>
  <c r="BH10" i="1"/>
  <c r="BC10" i="1"/>
  <c r="BB10" i="1"/>
  <c r="BA10" i="1"/>
  <c r="AV10" i="1"/>
  <c r="AU10" i="1"/>
  <c r="AT10" i="1"/>
  <c r="AO10" i="1"/>
  <c r="AN10" i="1"/>
  <c r="AC10" i="1"/>
  <c r="Y10" i="1"/>
  <c r="S10" i="1"/>
  <c r="K10" i="1"/>
  <c r="J10" i="1"/>
  <c r="EV86" i="1"/>
  <c r="EU86" i="1"/>
  <c r="ET86" i="1"/>
  <c r="EC86" i="1"/>
  <c r="DY86" i="1"/>
  <c r="DQ86" i="1"/>
  <c r="DK86" i="1"/>
  <c r="DH86" i="1"/>
  <c r="DD86" i="1"/>
  <c r="CW86" i="1"/>
  <c r="CP86" i="1"/>
  <c r="CL86" i="1"/>
  <c r="CG86" i="1"/>
  <c r="CB86" i="1"/>
  <c r="BW86" i="1"/>
  <c r="BV86" i="1"/>
  <c r="BQ86" i="1"/>
  <c r="BP86" i="1"/>
  <c r="BO86" i="1"/>
  <c r="BJ86" i="1"/>
  <c r="BI86" i="1"/>
  <c r="BH86" i="1"/>
  <c r="BC86" i="1"/>
  <c r="BB86" i="1"/>
  <c r="BA86" i="1"/>
  <c r="AV86" i="1"/>
  <c r="AU86" i="1"/>
  <c r="AT86" i="1"/>
  <c r="AO86" i="1"/>
  <c r="AN86" i="1"/>
  <c r="AJ86" i="1"/>
  <c r="AC86" i="1"/>
  <c r="Y86" i="1"/>
  <c r="S86" i="1"/>
  <c r="K86" i="1"/>
  <c r="J86" i="1"/>
  <c r="EV19" i="1"/>
  <c r="EU19" i="1"/>
  <c r="ET19" i="1"/>
  <c r="EG19" i="1"/>
  <c r="EC19" i="1"/>
  <c r="DQ19" i="1"/>
  <c r="DK19" i="1"/>
  <c r="DH19" i="1"/>
  <c r="DD19" i="1"/>
  <c r="CW19" i="1"/>
  <c r="Y19" i="1"/>
  <c r="K19" i="1"/>
  <c r="J19" i="1"/>
  <c r="EV106" i="1"/>
  <c r="EU106" i="1"/>
  <c r="ET106" i="1"/>
  <c r="EC106" i="1"/>
  <c r="DQ106" i="1"/>
  <c r="DK106" i="1"/>
  <c r="DH106" i="1"/>
  <c r="DD106" i="1"/>
  <c r="CW106" i="1"/>
  <c r="CP106" i="1"/>
  <c r="CL106" i="1"/>
  <c r="CG106" i="1"/>
  <c r="CB106" i="1"/>
  <c r="BW106" i="1"/>
  <c r="BV106" i="1"/>
  <c r="BQ106" i="1"/>
  <c r="BP106" i="1"/>
  <c r="BO106" i="1"/>
  <c r="BJ106" i="1"/>
  <c r="BI106" i="1"/>
  <c r="BH106" i="1"/>
  <c r="BC106" i="1"/>
  <c r="BB106" i="1"/>
  <c r="BA106" i="1"/>
  <c r="AV106" i="1"/>
  <c r="AU106" i="1"/>
  <c r="AT106" i="1"/>
  <c r="AO106" i="1"/>
  <c r="AN106" i="1"/>
  <c r="AC106" i="1"/>
  <c r="Y106" i="1"/>
  <c r="S106" i="1"/>
  <c r="K106" i="1"/>
  <c r="J106" i="1"/>
  <c r="EV61" i="1"/>
  <c r="EU61" i="1"/>
  <c r="ET61" i="1"/>
  <c r="EC61" i="1"/>
  <c r="DQ61" i="1"/>
  <c r="DK61" i="1"/>
  <c r="DH61" i="1"/>
  <c r="DD61" i="1"/>
  <c r="CW61" i="1"/>
  <c r="CP61" i="1"/>
  <c r="CL61" i="1"/>
  <c r="CG61" i="1"/>
  <c r="CB61" i="1"/>
  <c r="BW61" i="1"/>
  <c r="BV61" i="1"/>
  <c r="BQ61" i="1"/>
  <c r="BP61" i="1"/>
  <c r="BO61" i="1"/>
  <c r="BJ61" i="1"/>
  <c r="BI61" i="1"/>
  <c r="BH61" i="1"/>
  <c r="BC61" i="1"/>
  <c r="BB61" i="1"/>
  <c r="BA61" i="1"/>
  <c r="AV61" i="1"/>
  <c r="AU61" i="1"/>
  <c r="AT61" i="1"/>
  <c r="AO61" i="1"/>
  <c r="AN61" i="1"/>
  <c r="AC61" i="1"/>
  <c r="Y61" i="1"/>
  <c r="S61" i="1"/>
  <c r="K61" i="1"/>
  <c r="J61" i="1"/>
  <c r="EV87" i="1"/>
  <c r="EU87" i="1"/>
  <c r="ET87" i="1"/>
  <c r="EC87" i="1"/>
  <c r="DQ87" i="1"/>
  <c r="DK87" i="1"/>
  <c r="DH87" i="1"/>
  <c r="DD87" i="1"/>
  <c r="CW87" i="1"/>
  <c r="CP87" i="1"/>
  <c r="CL87" i="1"/>
  <c r="CG87" i="1"/>
  <c r="CB87" i="1"/>
  <c r="BW87" i="1"/>
  <c r="BV87" i="1"/>
  <c r="BQ87" i="1"/>
  <c r="BP87" i="1"/>
  <c r="BO87" i="1"/>
  <c r="BJ87" i="1"/>
  <c r="BI87" i="1"/>
  <c r="BH87" i="1"/>
  <c r="BC87" i="1"/>
  <c r="BB87" i="1"/>
  <c r="BA87" i="1"/>
  <c r="AV87" i="1"/>
  <c r="AU87" i="1"/>
  <c r="AT87" i="1"/>
  <c r="AO87" i="1"/>
  <c r="AN87" i="1"/>
  <c r="AC87" i="1"/>
  <c r="Y87" i="1"/>
  <c r="S87" i="1"/>
  <c r="K87" i="1"/>
  <c r="J87" i="1"/>
  <c r="EV278" i="1"/>
  <c r="EU278" i="1"/>
  <c r="ET278" i="1"/>
  <c r="EG278" i="1"/>
  <c r="EC278" i="1"/>
  <c r="DY278" i="1"/>
  <c r="DQ278" i="1"/>
  <c r="DK278" i="1"/>
  <c r="DH278" i="1"/>
  <c r="DD278" i="1"/>
  <c r="CW278" i="1"/>
  <c r="CP278" i="1"/>
  <c r="CL278" i="1"/>
  <c r="CG278" i="1"/>
  <c r="CB278" i="1"/>
  <c r="BW278" i="1"/>
  <c r="BV278" i="1"/>
  <c r="BQ278" i="1"/>
  <c r="BP278" i="1"/>
  <c r="BO278" i="1"/>
  <c r="BJ278" i="1"/>
  <c r="BI278" i="1"/>
  <c r="BH278" i="1"/>
  <c r="BC278" i="1"/>
  <c r="BB278" i="1"/>
  <c r="BA278" i="1"/>
  <c r="AV278" i="1"/>
  <c r="AU278" i="1"/>
  <c r="AT278" i="1"/>
  <c r="AO278" i="1"/>
  <c r="AN278" i="1"/>
  <c r="AJ278" i="1"/>
  <c r="AC278" i="1"/>
  <c r="AB278" i="1"/>
  <c r="Y278" i="1"/>
  <c r="S278" i="1"/>
  <c r="K278" i="1"/>
  <c r="J278" i="1"/>
  <c r="EV146" i="1"/>
  <c r="EU146" i="1"/>
  <c r="ET146" i="1"/>
  <c r="EC146" i="1"/>
  <c r="DQ146" i="1"/>
  <c r="DK146" i="1"/>
  <c r="DH146" i="1"/>
  <c r="DD146" i="1"/>
  <c r="CW146" i="1"/>
  <c r="CP146" i="1"/>
  <c r="CL146" i="1"/>
  <c r="CG146" i="1"/>
  <c r="CB146" i="1"/>
  <c r="BW146" i="1"/>
  <c r="BV146" i="1"/>
  <c r="BQ146" i="1"/>
  <c r="BP146" i="1"/>
  <c r="BO146" i="1"/>
  <c r="BJ146" i="1"/>
  <c r="BI146" i="1"/>
  <c r="BH146" i="1"/>
  <c r="BC146" i="1"/>
  <c r="BB146" i="1"/>
  <c r="BA146" i="1"/>
  <c r="AV146" i="1"/>
  <c r="AU146" i="1"/>
  <c r="AT146" i="1"/>
  <c r="AO146" i="1"/>
  <c r="AN146" i="1"/>
  <c r="AC146" i="1"/>
  <c r="Y146" i="1"/>
  <c r="S146" i="1"/>
  <c r="K146" i="1"/>
  <c r="J146" i="1"/>
  <c r="EV117" i="1"/>
  <c r="EU117" i="1"/>
  <c r="ET117" i="1"/>
  <c r="EC117" i="1"/>
  <c r="DQ117" i="1"/>
  <c r="DK117" i="1"/>
  <c r="DH117" i="1"/>
  <c r="DD117" i="1"/>
  <c r="CW117" i="1"/>
  <c r="CP117" i="1"/>
  <c r="CL117" i="1"/>
  <c r="CG117" i="1"/>
  <c r="CB117" i="1"/>
  <c r="BW117" i="1"/>
  <c r="BV117" i="1"/>
  <c r="BQ117" i="1"/>
  <c r="BP117" i="1"/>
  <c r="BO117" i="1"/>
  <c r="BJ117" i="1"/>
  <c r="BI117" i="1"/>
  <c r="BH117" i="1"/>
  <c r="BC117" i="1"/>
  <c r="BB117" i="1"/>
  <c r="BA117" i="1"/>
  <c r="AV117" i="1"/>
  <c r="AU117" i="1"/>
  <c r="AT117" i="1"/>
  <c r="AO117" i="1"/>
  <c r="AN117" i="1"/>
  <c r="AC117" i="1"/>
  <c r="Y117" i="1"/>
  <c r="S117" i="1"/>
  <c r="K117" i="1"/>
  <c r="J117" i="1"/>
  <c r="EV197" i="1"/>
  <c r="EU197" i="1"/>
  <c r="ET197" i="1"/>
  <c r="EC197" i="1"/>
  <c r="DQ197" i="1"/>
  <c r="DK197" i="1"/>
  <c r="DH197" i="1"/>
  <c r="DD197" i="1"/>
  <c r="CW197" i="1"/>
  <c r="CP197" i="1"/>
  <c r="CL197" i="1"/>
  <c r="CG197" i="1"/>
  <c r="CB197" i="1"/>
  <c r="BW197" i="1"/>
  <c r="BV197" i="1"/>
  <c r="BQ197" i="1"/>
  <c r="BP197" i="1"/>
  <c r="BO197" i="1"/>
  <c r="BJ197" i="1"/>
  <c r="BI197" i="1"/>
  <c r="BH197" i="1"/>
  <c r="BC197" i="1"/>
  <c r="BB197" i="1"/>
  <c r="BA197" i="1"/>
  <c r="AV197" i="1"/>
  <c r="AU197" i="1"/>
  <c r="AT197" i="1"/>
  <c r="AO197" i="1"/>
  <c r="AN197" i="1"/>
  <c r="AC197" i="1"/>
  <c r="Y197" i="1"/>
  <c r="S197" i="1"/>
  <c r="K197" i="1"/>
  <c r="J197" i="1"/>
  <c r="EV96" i="1"/>
  <c r="EU96" i="1"/>
  <c r="ET96" i="1"/>
  <c r="EG96" i="1"/>
  <c r="EC96" i="1"/>
  <c r="DQ96" i="1"/>
  <c r="DK96" i="1"/>
  <c r="DH96" i="1"/>
  <c r="DD96" i="1"/>
  <c r="CW96" i="1"/>
  <c r="CP96" i="1"/>
  <c r="CL96" i="1"/>
  <c r="CG96" i="1"/>
  <c r="CB96" i="1"/>
  <c r="BW96" i="1"/>
  <c r="BV96" i="1"/>
  <c r="BQ96" i="1"/>
  <c r="BP96" i="1"/>
  <c r="BO96" i="1"/>
  <c r="BJ96" i="1"/>
  <c r="BI96" i="1"/>
  <c r="BH96" i="1"/>
  <c r="BC96" i="1"/>
  <c r="BB96" i="1"/>
  <c r="BA96" i="1"/>
  <c r="AV96" i="1"/>
  <c r="AU96" i="1"/>
  <c r="AT96" i="1"/>
  <c r="AO96" i="1"/>
  <c r="AN96" i="1"/>
  <c r="AC96" i="1"/>
  <c r="AB96" i="1"/>
  <c r="Y96" i="1"/>
  <c r="S96" i="1"/>
  <c r="K96" i="1"/>
  <c r="J96" i="1"/>
  <c r="EV242" i="1"/>
  <c r="EU242" i="1"/>
  <c r="ET242" i="1"/>
  <c r="EC242" i="1"/>
  <c r="DQ242" i="1"/>
  <c r="DK242" i="1"/>
  <c r="DH242" i="1"/>
  <c r="DD242" i="1"/>
  <c r="CW242" i="1"/>
  <c r="CP242" i="1"/>
  <c r="CL242" i="1"/>
  <c r="CG242" i="1"/>
  <c r="CB242" i="1"/>
  <c r="BW242" i="1"/>
  <c r="BV242" i="1"/>
  <c r="BQ242" i="1"/>
  <c r="BP242" i="1"/>
  <c r="BO242" i="1"/>
  <c r="BJ242" i="1"/>
  <c r="BI242" i="1"/>
  <c r="BH242" i="1"/>
  <c r="BC242" i="1"/>
  <c r="BB242" i="1"/>
  <c r="BA242" i="1"/>
  <c r="AV242" i="1"/>
  <c r="AU242" i="1"/>
  <c r="AT242" i="1"/>
  <c r="AO242" i="1"/>
  <c r="AN242" i="1"/>
  <c r="AC242" i="1"/>
  <c r="Y242" i="1"/>
  <c r="S242" i="1"/>
  <c r="K242" i="1"/>
  <c r="J242" i="1"/>
  <c r="EV228" i="1"/>
  <c r="EU228" i="1"/>
  <c r="ET228" i="1"/>
  <c r="EC228" i="1"/>
  <c r="DQ228" i="1"/>
  <c r="DK228" i="1"/>
  <c r="DH228" i="1"/>
  <c r="DD228" i="1"/>
  <c r="CW228" i="1"/>
  <c r="CP228" i="1"/>
  <c r="CL228" i="1"/>
  <c r="CG228" i="1"/>
  <c r="CB228" i="1"/>
  <c r="BW228" i="1"/>
  <c r="BV228" i="1"/>
  <c r="BQ228" i="1"/>
  <c r="BP228" i="1"/>
  <c r="BO228" i="1"/>
  <c r="BJ228" i="1"/>
  <c r="BI228" i="1"/>
  <c r="BH228" i="1"/>
  <c r="BC228" i="1"/>
  <c r="BB228" i="1"/>
  <c r="BA228" i="1"/>
  <c r="AV228" i="1"/>
  <c r="AU228" i="1"/>
  <c r="AT228" i="1"/>
  <c r="AO228" i="1"/>
  <c r="AN228" i="1"/>
  <c r="AC228" i="1"/>
  <c r="Y228" i="1"/>
  <c r="S228" i="1"/>
  <c r="K228" i="1"/>
  <c r="J228" i="1"/>
  <c r="EV257" i="1"/>
  <c r="EU257" i="1"/>
  <c r="ET257" i="1"/>
  <c r="EC257" i="1"/>
  <c r="DY257" i="1"/>
  <c r="DQ257" i="1"/>
  <c r="DK257" i="1"/>
  <c r="DH257" i="1"/>
  <c r="DD257" i="1"/>
  <c r="CW257" i="1"/>
  <c r="CP257" i="1"/>
  <c r="CL257" i="1"/>
  <c r="CG257" i="1"/>
  <c r="CB257" i="1"/>
  <c r="BW257" i="1"/>
  <c r="BV257" i="1"/>
  <c r="BQ257" i="1"/>
  <c r="BP257" i="1"/>
  <c r="BO257" i="1"/>
  <c r="BJ257" i="1"/>
  <c r="BI257" i="1"/>
  <c r="BH257" i="1"/>
  <c r="BC257" i="1"/>
  <c r="BB257" i="1"/>
  <c r="BA257" i="1"/>
  <c r="AV257" i="1"/>
  <c r="AU257" i="1"/>
  <c r="AT257" i="1"/>
  <c r="AO257" i="1"/>
  <c r="AN257" i="1"/>
  <c r="AJ257" i="1"/>
  <c r="AC257" i="1"/>
  <c r="Y257" i="1"/>
  <c r="S257" i="1"/>
  <c r="K257" i="1"/>
  <c r="J257" i="1"/>
  <c r="EV122" i="1"/>
  <c r="EU122" i="1"/>
  <c r="ET122" i="1"/>
  <c r="EC122" i="1"/>
  <c r="DY122" i="1"/>
  <c r="DQ122" i="1"/>
  <c r="DK122" i="1"/>
  <c r="DH122" i="1"/>
  <c r="DD122" i="1"/>
  <c r="CW122" i="1"/>
  <c r="CP122" i="1"/>
  <c r="CL122" i="1"/>
  <c r="CG122" i="1"/>
  <c r="CB122" i="1"/>
  <c r="BW122" i="1"/>
  <c r="BV122" i="1"/>
  <c r="BQ122" i="1"/>
  <c r="BP122" i="1"/>
  <c r="BO122" i="1"/>
  <c r="BJ122" i="1"/>
  <c r="BI122" i="1"/>
  <c r="BH122" i="1"/>
  <c r="BC122" i="1"/>
  <c r="BB122" i="1"/>
  <c r="BA122" i="1"/>
  <c r="AV122" i="1"/>
  <c r="AU122" i="1"/>
  <c r="AT122" i="1"/>
  <c r="AO122" i="1"/>
  <c r="AN122" i="1"/>
  <c r="AJ122" i="1"/>
  <c r="AC122" i="1"/>
  <c r="Y122" i="1"/>
  <c r="S122" i="1"/>
  <c r="K122" i="1"/>
  <c r="J122" i="1"/>
  <c r="EV229" i="1"/>
  <c r="EU229" i="1"/>
  <c r="ET229" i="1"/>
  <c r="EG229" i="1"/>
  <c r="EC229" i="1"/>
  <c r="DQ229" i="1"/>
  <c r="DK229" i="1"/>
  <c r="DH229" i="1"/>
  <c r="DD229" i="1"/>
  <c r="CW229" i="1"/>
  <c r="CP229" i="1"/>
  <c r="CL229" i="1"/>
  <c r="CG229" i="1"/>
  <c r="CB229" i="1"/>
  <c r="BW229" i="1"/>
  <c r="BV229" i="1"/>
  <c r="BQ229" i="1"/>
  <c r="BP229" i="1"/>
  <c r="BO229" i="1"/>
  <c r="BJ229" i="1"/>
  <c r="BI229" i="1"/>
  <c r="BH229" i="1"/>
  <c r="BC229" i="1"/>
  <c r="BB229" i="1"/>
  <c r="BA229" i="1"/>
  <c r="AV229" i="1"/>
  <c r="AU229" i="1"/>
  <c r="AT229" i="1"/>
  <c r="AO229" i="1"/>
  <c r="AN229" i="1"/>
  <c r="AC229" i="1"/>
  <c r="AB229" i="1"/>
  <c r="Y229" i="1"/>
  <c r="S229" i="1"/>
  <c r="K229" i="1"/>
  <c r="J229" i="1"/>
  <c r="DK1" i="1"/>
  <c r="AO1" i="1"/>
</calcChain>
</file>

<file path=xl/sharedStrings.xml><?xml version="1.0" encoding="utf-8"?>
<sst xmlns="http://schemas.openxmlformats.org/spreadsheetml/2006/main" count="14377" uniqueCount="3244">
  <si>
    <t>Seq name (Nuc)</t>
  </si>
  <si>
    <t>logFC</t>
  </si>
  <si>
    <t>logCPM</t>
  </si>
  <si>
    <t>LR</t>
  </si>
  <si>
    <t>PValue</t>
  </si>
  <si>
    <t>FDR</t>
  </si>
  <si>
    <t>Gene name</t>
  </si>
  <si>
    <t>Gene type</t>
  </si>
  <si>
    <t>Vector base</t>
  </si>
  <si>
    <t>Seq name</t>
  </si>
  <si>
    <t>First residue</t>
  </si>
  <si>
    <t>Seq size</t>
  </si>
  <si>
    <t>%X</t>
  </si>
  <si>
    <t>DP's</t>
  </si>
  <si>
    <t>Class (updated)</t>
  </si>
  <si>
    <t>DBase</t>
  </si>
  <si>
    <t>Evalue</t>
  </si>
  <si>
    <t>% Coverage</t>
  </si>
  <si>
    <t>Contig Name</t>
  </si>
  <si>
    <t>Comments</t>
  </si>
  <si>
    <t>Class</t>
  </si>
  <si>
    <t>Dbase</t>
  </si>
  <si>
    <t>% coverage</t>
  </si>
  <si>
    <t>Predicted Tyr-SO4 - Prosite rules</t>
  </si>
  <si>
    <t>SigP Result</t>
  </si>
  <si>
    <t>Cleavage Position</t>
  </si>
  <si>
    <t>MW</t>
  </si>
  <si>
    <t>pI</t>
  </si>
  <si>
    <t>Mature MW</t>
  </si>
  <si>
    <t xml:space="preserve">pI </t>
  </si>
  <si>
    <t>TMHMM result</t>
  </si>
  <si>
    <t>Predicted helices</t>
  </si>
  <si>
    <t>% membrane</t>
  </si>
  <si>
    <t>% outside</t>
  </si>
  <si>
    <t>% inside</t>
  </si>
  <si>
    <t xml:space="preserve">DGPI GPI anchor prediction </t>
  </si>
  <si>
    <t>Percent Ser+Thr</t>
  </si>
  <si>
    <t>Percent Gly</t>
  </si>
  <si>
    <t>Percent Pro</t>
  </si>
  <si>
    <t xml:space="preserve">Percent GGY </t>
  </si>
  <si>
    <t>Best match to NR-LIGHT protein database</t>
  </si>
  <si>
    <t>E value</t>
  </si>
  <si>
    <t>Match</t>
  </si>
  <si>
    <t>% identity</t>
  </si>
  <si>
    <t>% similarity</t>
  </si>
  <si>
    <t xml:space="preserve">Species of best match </t>
  </si>
  <si>
    <t>Best match to REFSEQ-INVERTEBRATE protein database</t>
  </si>
  <si>
    <t>Best match to REFSEQ-PROTOZOA protein database</t>
  </si>
  <si>
    <t>Best match to SWISSP protein database</t>
  </si>
  <si>
    <t>Best match to FLYBASE database</t>
  </si>
  <si>
    <t>E value and link to Flybase</t>
  </si>
  <si>
    <t>Length of best match</t>
  </si>
  <si>
    <t>Best match to CDD database</t>
  </si>
  <si>
    <t>Coverage</t>
  </si>
  <si>
    <t>Description</t>
  </si>
  <si>
    <t xml:space="preserve">All CDD domains </t>
  </si>
  <si>
    <t>Best match to KOG database</t>
  </si>
  <si>
    <t>Best match to PFAM database</t>
  </si>
  <si>
    <t xml:space="preserve">Description </t>
  </si>
  <si>
    <t>Best match to SMART database</t>
  </si>
  <si>
    <t>Name</t>
  </si>
  <si>
    <t>Sequence name</t>
  </si>
  <si>
    <t>Database</t>
  </si>
  <si>
    <t>Species</t>
  </si>
  <si>
    <t>Chromosome</t>
  </si>
  <si>
    <t>KEGG MAP</t>
  </si>
  <si>
    <t xml:space="preserve">ProP furin cleavage predictions </t>
  </si>
  <si>
    <t>Lenght</t>
  </si>
  <si>
    <t>DGPI GPI anchor prediction</t>
  </si>
  <si>
    <t>Sum of residues</t>
  </si>
  <si>
    <t>Increased AA</t>
  </si>
  <si>
    <t>Cys number</t>
  </si>
  <si>
    <t>R(K)GD flanked by Cys</t>
  </si>
  <si>
    <t>% Ser + Thr</t>
  </si>
  <si>
    <t>% Pro</t>
  </si>
  <si>
    <t>% Gly</t>
  </si>
  <si>
    <t>% Gly+Pro</t>
  </si>
  <si>
    <t>Number of possible HO-Pro [LPAE]-P-G</t>
  </si>
  <si>
    <t>Number of possible OH-lysines X-Lys-Gly not Lys-Gly-Pro</t>
  </si>
  <si>
    <t>Number of PG's</t>
  </si>
  <si>
    <t>WC coxy motif</t>
  </si>
  <si>
    <t>WP coxy motif</t>
  </si>
  <si>
    <t>CPC coxy motif</t>
  </si>
  <si>
    <t>P-I-I-X-G-X(7-15)-C</t>
  </si>
  <si>
    <t>Species of best match</t>
  </si>
  <si>
    <t>AGAP000132-RA</t>
  </si>
  <si>
    <t xml:space="preserve">unspecified product </t>
  </si>
  <si>
    <t xml:space="preserve">protein_coding_gene </t>
  </si>
  <si>
    <t>M</t>
  </si>
  <si>
    <t xml:space="preserve"> </t>
  </si>
  <si>
    <t>AGAP000132-PA</t>
  </si>
  <si>
    <t>uc</t>
  </si>
  <si>
    <t xml:space="preserve"> tra0a82wy96a0a82wy96 anoqn n-acetyltransfer</t>
  </si>
  <si>
    <t>ExpAA=0.00 First60=0.00 PredHel=0 Topology=o</t>
  </si>
  <si>
    <t xml:space="preserve">. </t>
  </si>
  <si>
    <t>Anopheles gambiae str. PEST</t>
  </si>
  <si>
    <t>Galdieria sulphuraria</t>
  </si>
  <si>
    <t>Xenopus tropicalis</t>
  </si>
  <si>
    <t>pfam14542, Acetyltransf_CG, GCN5-related N-acetyl-transferase. This family of GCN5-related N-acetyl-transferases bind both CoA and acetyl-CoA. They are characterized by highly conserved glycine, a cysteine residue in the acetyl-CoA binding site near the acetyl group, their small size compared with other GNATs and a lack of of an obvious substrate-binding site. It is proposed that they transfer an acetyl group from acetyl-CoA to one or more unidentified aliphatic amines via an acetyl (cysteine) enzyme intermediate. The substrate might be another macromolecule.</t>
  </si>
  <si>
    <t>Acetyltransf_CG 1e-015| COG2388 4e-008| PRK14898 | UDP-glucose_4-epimerase | PLN02603 | Acetyltransf_1 | PBP2_GlnP | Acetyltransf_10 | GalE | UDP_G4E_1_SDR_e |</t>
  </si>
  <si>
    <t>KOG4455, KOG4455, KOG4455, Uncharacterized conserved protein [Function unknown].</t>
  </si>
  <si>
    <t xml:space="preserve">Function unknown </t>
  </si>
  <si>
    <t>smart00097, WNT1, found in Wnt-1.</t>
  </si>
  <si>
    <t>Anopheles_gambiae_str._PEST</t>
  </si>
  <si>
    <t xml:space="preserve"> AgamP4_X:2083834-2084292(-) </t>
  </si>
  <si>
    <t>G</t>
  </si>
  <si>
    <t>AGAP000165-RA</t>
  </si>
  <si>
    <t xml:space="preserve">glutathione transferase microsomal 1 </t>
  </si>
  <si>
    <t>GSTMS1: glutathione transferase microsomal 1</t>
  </si>
  <si>
    <t>microsomal glutathione S-transferase 1 - 5 predicted membrane helices</t>
  </si>
  <si>
    <t>detox membrane</t>
  </si>
  <si>
    <t>AGAP000165-PA</t>
  </si>
  <si>
    <t xml:space="preserve"> microsomal glutathione s-transferase 1-like protein - 5 predicted membrane helices</t>
  </si>
  <si>
    <t>ExpAA=76.67 First60=20.35 PredHel=4 Topology=o15-34i77-94o99-121i128-150o</t>
  </si>
  <si>
    <t>Acanthamoeba castellanii str. Neff</t>
  </si>
  <si>
    <t>Homo sapiens</t>
  </si>
  <si>
    <t>pfam01124, MAPEG, MAPEG family.  This family is has been called MAPEG (Membrane Associated Proteins in Eicosanoid and Glutathione metabolism). It includes proteins such as Prostaglandin E synthase. This enzyme catalyzes the synthesis of PGE2 from PGH2 (produced by cyclooxygenase from arachidonic acid). Because of structural similarities in the active sites of FLAP, LTC4 synthase and PGE synthase, substrates for each enzyme can compete with one another and modulate synthetic activity.</t>
  </si>
  <si>
    <t>MAPEG 2e-021| motB | LUC7 | uvrC | COG3686 | StrB | Homoserine_O-acetyltransferase | MdoH | PRK04366 | PRK15131 |</t>
  </si>
  <si>
    <t>KOG1173, KOG1173, KOG1173, Anaphase-promoting complex (APC), Cdc16 subunit [Cell cycle control, cell division, chromosome partitioning, Posttranslational modification, protein turnover, chaperones].</t>
  </si>
  <si>
    <t xml:space="preserve">Cell cycle control, cell division, chromosome partitioning, Posttranslational modification, protein turnover, chaperones </t>
  </si>
  <si>
    <t>smart01035, BOP1NT, BOP1NT (NUC169) domain.  This N terminal domain is found in BOP1-like WD40 proteins.</t>
  </si>
  <si>
    <t xml:space="preserve"> AgamP4_X:2849465-2850865(-) </t>
  </si>
  <si>
    <t>T</t>
  </si>
  <si>
    <t xml:space="preserve">1 | 41    GRQRFRK|KV  0.561 *ProP*  | </t>
  </si>
  <si>
    <t>AGAP000181-RA</t>
  </si>
  <si>
    <t xml:space="preserve">riboflavin transporter 2 </t>
  </si>
  <si>
    <t>riboflavin transporter 2</t>
  </si>
  <si>
    <t>solute carrier family 52 riboflavin transporter member 3-A - 12 predicted membrane helices</t>
  </si>
  <si>
    <t>tr membrane</t>
  </si>
  <si>
    <t>AGAP000181-PA</t>
  </si>
  <si>
    <t xml:space="preserve"> riboflavin transporter 2-like protein - 12 predicted membrane helices</t>
  </si>
  <si>
    <t xml:space="preserve"> 33-34</t>
  </si>
  <si>
    <t>ExpAA=241.93 First60=28.29 PredHel=11 Topology=i17-39o54-76i85-104o119-141i148-170o203-225i279-298o313-335i342-364o374-396i409-431o</t>
  </si>
  <si>
    <t>Saprolegnia diclina VS20</t>
  </si>
  <si>
    <t>Salmo salar</t>
  </si>
  <si>
    <t>pfam06237, DUF1011, Protein of unknown function (DUF1011).  Family of uncharacterized eukaryotic proteins.</t>
  </si>
  <si>
    <t>DUF1011 2e-031| PLN00148 | COG4769 | DUF1616 | Nucleoside_tran | Equilibrative_nucleoside_transporter_2...    28   7.8   |</t>
  </si>
  <si>
    <t>KOG4255, KOG4255, KOG4255, Uncharacterized conserved protein [Function unknown].</t>
  </si>
  <si>
    <t>smart00812, Alpha_L_fucos, Alpha-L-fucosidase.  O-Glycosyl hydrolases (EC 3.2.1.-) are a widespread group of enzymes that hydrolyse the glycosidic bond between two or more carbohydrates, or between a carbohydrate and a non-carbohydrate moiety. A classification system for glycosyl hydrolases, based on sequence similarity, has led to the definition of 85 different families. This classification is available on the CAZy (CArbohydrate-Active EnZymes) web site. Because the fold of proteins is better conserved than their sequences, some of the families can be grouped in 'clans'. Family 29 encompasses alpha-L-fucosidases, which is a lysosomal enzyme responsible for hydrolyzing the alpha-1,6-linked fucose joined to the reducing-end N-acetylglucosamine of the carbohydrate moieties of glycoproteins. Deficiency of alpha-L-fucosidase results in the lysosomal storage disease fucosidosis.</t>
  </si>
  <si>
    <t xml:space="preserve"> AgamP4_X:3004280-3005691(+) </t>
  </si>
  <si>
    <t>A</t>
  </si>
  <si>
    <t>AGAP000260-RA</t>
  </si>
  <si>
    <t xml:space="preserve">mitochondrial ATP synthase epsilon chain </t>
  </si>
  <si>
    <t>ATPsynepsilon: mitochondrial ATP synthase epsilon chain</t>
  </si>
  <si>
    <t>Mitochondrial ATP synthase epsilon chain</t>
  </si>
  <si>
    <t>met/energy</t>
  </si>
  <si>
    <t>AGAP000260-PA</t>
  </si>
  <si>
    <t xml:space="preserve"> protein stunted</t>
  </si>
  <si>
    <t>st</t>
  </si>
  <si>
    <t>ExpAA=0.03 First60=0.03 PredHel=0 Topology=o</t>
  </si>
  <si>
    <t>Capsaspora owczarzaki ATCC 30864</t>
  </si>
  <si>
    <t>Drosophila melanogaster</t>
  </si>
  <si>
    <t>pfam04627, ATP-synt_Eps, Mitochondrial ATP synthase epsilon chain.  This family constitutes the mitochondrial ATP synthase epsilon subunit. This is not to be confused with the bacterial epsilon subunit, which is homologous to the mitochondrial delta subunit (pfam00401 and pfam02823) The epsilon subunit is located in the extrinsic membrane section F1, which is the catalytic site of ATP synthesis. The epsilon subunit was not well ordered in the crystal structure of bovine F1, but it is known to be located in the stalk region of F1. E subunit is thought to be involved in the regulation of ATP synthase, since a null mutation increased oligomycin sensitivity and decreased inhibition by inhibitor protein IF1.</t>
  </si>
  <si>
    <t>ATP-synt_Eps 5e-016| F1-ATPase_epsilon 2e-012| Glyceraldehyde-3-phosphate_dehydrogena...    25   7.0   |</t>
  </si>
  <si>
    <t>KOG3495, KOG3495, KOG3495, Mitochondrial F1F0-ATP synthase, subunit epsilon/ATP15 [Energy production and conversion].</t>
  </si>
  <si>
    <t xml:space="preserve">Energy production and conversion </t>
  </si>
  <si>
    <t>smart00443, G_patch, glycine rich nucleic binding domain.  A predicted glycine rich nucleic binding domain found in the splicing factor 45, SON DNA binding protein and D-type Retrovirus- polyproteins.</t>
  </si>
  <si>
    <t xml:space="preserve"> AgamP4_X:4916295-4917649(+) </t>
  </si>
  <si>
    <t>C</t>
  </si>
  <si>
    <t>W(3.58)</t>
  </si>
  <si>
    <t>AGAP000260-RD</t>
  </si>
  <si>
    <t>AGAP000260-PD</t>
  </si>
  <si>
    <t>AGAP000326-RA</t>
  </si>
  <si>
    <t>Phytoene/squalene synthetase</t>
  </si>
  <si>
    <t>met/lipd</t>
  </si>
  <si>
    <t>AGAP000326-PA</t>
  </si>
  <si>
    <t xml:space="preserve"> phytoene/squalene synthetase</t>
  </si>
  <si>
    <t>ExpAA=0.04 First60=0.00 PredHel=0 Topology=o</t>
  </si>
  <si>
    <t>Sphaeroforma arctica JP610</t>
  </si>
  <si>
    <t>pfam00494, SQS_PSY, Squalene/phytoene synthase.</t>
  </si>
  <si>
    <t>SQS_PSY 2e-040| ERG9 7e-016| HpnD 1e-006| Trans_IPPS_HH 2e-006| HpnC 9e-006| PLN02632 0.057| PHA02703 | PRK07942 | DUF1390 | DUF4041 |</t>
  </si>
  <si>
    <t>KOG4411, KOG4411, KOG4411, Phytoene/squalene synthetase [Lipid transport and metabolism].</t>
  </si>
  <si>
    <t xml:space="preserve">Lipid transport and metabolism </t>
  </si>
  <si>
    <t>smart00638, LPD_N, Lipoprotein N-terminal Domain.</t>
  </si>
  <si>
    <t xml:space="preserve"> AgamP4_X:5748669-5749661(+) </t>
  </si>
  <si>
    <t>AGAP000416-RB</t>
  </si>
  <si>
    <t xml:space="preserve">hydroxyacylglutathione hydrolase </t>
  </si>
  <si>
    <t>hydroxyacylglutathione hydrolase</t>
  </si>
  <si>
    <t>Glyoxylase</t>
  </si>
  <si>
    <t>detox</t>
  </si>
  <si>
    <t>AGAP000416-PB</t>
  </si>
  <si>
    <t xml:space="preserve"> hydroxyacylglutathione hydrolase</t>
  </si>
  <si>
    <t>Salpingoeca rosetta</t>
  </si>
  <si>
    <t>Bos taurus</t>
  </si>
  <si>
    <t>PLN02469, PLN02469, hydroxyacylglutathione hydrolase.</t>
  </si>
  <si>
    <t>PLN02469 4e-086| GSH_gloB 7e-081| hydroxyacylglutathione_hydrolase_MBL-fol...   273   7e-074 7e-074| PLN02398 2e-051| PRK10241 4e-046| BaeB-like_MBL-fold 5e-032| POD-like_MBL-fold 2e-031| metallo-hydrolase-like_MBL-fold 1e-030| HAGH_C 1e-026| GloB 7e-026|</t>
  </si>
  <si>
    <t>KOG0813, KOG0813, KOG0813, Glyoxylase [General function prediction only].</t>
  </si>
  <si>
    <t xml:space="preserve">General function prediction only </t>
  </si>
  <si>
    <t>pfam16123, HAGH_C, Hydroxyacylglutathione hydrolase C-terminus. This domain is found at the C-terminus of hydroxyacylglutathione hydrolase enzymes. Substrate binding occurs at the interface between this domain and the catalytic domain (pfam00753).</t>
  </si>
  <si>
    <t>smart00849, Lactamase_B, Metallo-beta-lactamase superfamily.  Apart from the beta-lactamases a number of other proteins contain this domain. These proteins include thiolesterases, members of the glyoxalase II family, that catalyse the hydrolysis of S-D-lactoyl-glutathione to form glutathione and D-lactic acid and a competence protein that is essential for natural transformation in Neisseria gonorrhoeae and could be a transporter involved in DNA uptake. Except for the competence protein these proteins bind two zinc ions per molecule as cofactor.</t>
  </si>
  <si>
    <t xml:space="preserve"> AgamP4_X:7437094-7438072(-) </t>
  </si>
  <si>
    <t>AGAP000479-RA</t>
  </si>
  <si>
    <t xml:space="preserve">pre-rRNA-processing protein IPI3 </t>
  </si>
  <si>
    <t>pre-rRNA-processing protein IPI3</t>
  </si>
  <si>
    <t>AGAP000479-PA</t>
  </si>
  <si>
    <t>tm</t>
  </si>
  <si>
    <t xml:space="preserve"> wd repeat-containing protein 18</t>
  </si>
  <si>
    <t>ExpAA=2.32 First60=0.00 PredHel=0 Topology=o</t>
  </si>
  <si>
    <t>Rattus norvegicus</t>
  </si>
  <si>
    <t>cd00200, WD40, 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t>
  </si>
  <si>
    <t>WD40 4e-017| COG2319 2e-016| 7WD40 7e-011| WD40 4e-005| WD40 5e-005| Lactonase | PRK10162 | WD40_alt | Nnf1 | Fez1 |</t>
  </si>
  <si>
    <t>KOG0646, KOG0646, KOG0646, WD40 repeat protein [General function prediction only].</t>
  </si>
  <si>
    <t>pfam00400, WD40, WD domain, G-beta repeat.</t>
  </si>
  <si>
    <t>smart00320, WD40, WD40 repeats.  Note that these repeats are permuted with respect to the structural repeats (blades) of the beta propeller domain.</t>
  </si>
  <si>
    <t xml:space="preserve"> AgamP4_X:8426440-8427705(+) </t>
  </si>
  <si>
    <t>AGAP000555-RA</t>
  </si>
  <si>
    <t xml:space="preserve">Molybdenum cofactor sulfurase [Source:UniProtKB/Swiss-Prot;Acc:Q7QFL7] </t>
  </si>
  <si>
    <t>mal: Molybdenum cofactor sulfurase</t>
  </si>
  <si>
    <t>Molybdenum cofactor sulfurase</t>
  </si>
  <si>
    <t>met/int</t>
  </si>
  <si>
    <t>AGAP000555-PA</t>
  </si>
  <si>
    <t xml:space="preserve"> molybdenum cofactor sulfurtransferase</t>
  </si>
  <si>
    <t>met/aa</t>
  </si>
  <si>
    <t>ExpAA=0.13 First60=0.00 PredHel=0 Topology=o</t>
  </si>
  <si>
    <t>Acytostelium subglobosum LB1</t>
  </si>
  <si>
    <t>Anopheles gambiae</t>
  </si>
  <si>
    <t>PLN02724, PLN02724, Molybdenum cofactor sulfurase.</t>
  </si>
  <si>
    <t>PLN02724 e-157| csdA 2e-035| COG3217 2e-029| Aminotran_5 8e-024| SufS_like 8e-021| Probable_cysteine_desulfurase 1e-019| MOSC_N 3e-019| am_tr_V_EF2568 8e-019| PRK09295 2e-011| MOSC 2e-009|</t>
  </si>
  <si>
    <t>KOG2142, KOG2142, KOG2142, Molybdenum cofactor sulfurase [Coenzyme transport and metabolism].</t>
  </si>
  <si>
    <t xml:space="preserve">Coenzyme transport and metabolism </t>
  </si>
  <si>
    <t>pfam00266, Aminotran_5, Aminotransferase class-V.  This domain is found in amino transferases, and other enzymes including cysteine desulphurase EC:4.4.1.-.</t>
  </si>
  <si>
    <t>smart00806, AIP3, Actin interacting protein 3.  Aip3p/Bud6p is a regulator of cell and cytoskeletal polarity in Saccharomyces cerevisiae that was previously identified as an actin-interacting protein. Actin-interacting protein 3 (Aip3p) localizes at the cell cortex where cytoskeleton assembly must be achieved to execute polarized cell growth, and deletion of AIP3 causes gross defects in cell and cytoskeletal polarity. Aip3p localization is mediated by the secretory pathway, mutations in early- or late-acting components of the secretory apparatus lead to Aip3p mislocalization.</t>
  </si>
  <si>
    <t xml:space="preserve">1 | 256    PLLRGKR|YY  0.607 *ProP*  | </t>
  </si>
  <si>
    <t>AGAP000641-RA</t>
  </si>
  <si>
    <t xml:space="preserve">odorant-binding protein 34 </t>
  </si>
  <si>
    <t>OBP34: odorant-binding protein 34</t>
  </si>
  <si>
    <t>odorant binding protein OBP</t>
  </si>
  <si>
    <t>s/OBP</t>
  </si>
  <si>
    <t>AGAP000641-PA</t>
  </si>
  <si>
    <t>proteinral odorant-binding protein 45 OBP</t>
  </si>
  <si>
    <t xml:space="preserve"> 35-36</t>
  </si>
  <si>
    <t>ExpAA=22.09 First60=22.07 PredHel=1 Topology=i20-42o</t>
  </si>
  <si>
    <t>Entamoeba invadens IP1</t>
  </si>
  <si>
    <t>Aedes aegypti</t>
  </si>
  <si>
    <t>pfam01395, PBP_GOBP, PBP/GOBP family.  The olfactory receptors of terrestrial animals exist in an aqueous environment, yet detect odorants that are primarily hydrophobic. The aqueous solubility of hydrophobic odorants is thought to be greatly enhanced via odorant binding proteins which exist in the extracellular fluid surrounding the odorant receptors. This family is composed of pheromone binding proteins (PBP), which are male-specific and associate with pheromone-sensitive neurons and general-odorant binding proteins (GOBP).</t>
  </si>
  <si>
    <t>PBP_GOBP 1e-014| PhBP 0.025| Hepatitis_core | PLN02877 | DUF4882 | eIF3_subunit | PRK12649 | cax | Corona_S1 | IIGP |</t>
  </si>
  <si>
    <t>KOG2902, KOG2902, KOG2902, Dihydroorotase [Nucleotide transport and metabolism].</t>
  </si>
  <si>
    <t xml:space="preserve">Nucleotide transport and metabolism </t>
  </si>
  <si>
    <t xml:space="preserve">smart00708, PhBP, Insect pheromone/odorant binding protein domains. </t>
  </si>
  <si>
    <t xml:space="preserve"> AgamP4_X:11419447-11420382(-) </t>
  </si>
  <si>
    <t>C(3.34)</t>
  </si>
  <si>
    <t>AGAP000759-RA</t>
  </si>
  <si>
    <t xml:space="preserve">39S ribosomal protein L32, mitochondrial </t>
  </si>
  <si>
    <t>mRpL32: 39S ribosomal protein L32, mitochondrial</t>
  </si>
  <si>
    <t>Mitochondrial ribosomal protein L32</t>
  </si>
  <si>
    <t>ps</t>
  </si>
  <si>
    <t>AGAP000759-PA</t>
  </si>
  <si>
    <t xml:space="preserve"> trq7qeaq7qea anoga 39s ribosomal protein l32</t>
  </si>
  <si>
    <t>ExpAA=0.12 First60=0.12 PredHel=0 Topology=o</t>
  </si>
  <si>
    <t>pfam04501, Baculo_VP39, Baculovirus major capsid protein VP39. This family constitutes the 39 kDa major capsid protein of the Baculoviridae.</t>
  </si>
  <si>
    <t>Baculo_VP39 | COG2509 | NifQ | AACS_like | ZnF_ZZ | Udp | PRK12349 | PRK12359 | Ribosomal_L32p | DUF3292 |</t>
  </si>
  <si>
    <t>KOG4080, KOG4080, KOG4080, Mitochondrial ribosomal protein L32 [Translation, ribosomal structure and biogenesis].</t>
  </si>
  <si>
    <t xml:space="preserve">Translation, ribosomal structure and biogenesis </t>
  </si>
  <si>
    <t>smart00291, ZnF_ZZ, Zinc-binding domain, present in Dystrophin, CREB-binding protein.  Putative zinc-binding domain present in dystrophin-like proteins, and CREB-binding protein/p300 homologues. The ZZ in dystrophin appears to bind calmodulin. A missense mutation of one of the conserved cysteines in dystrophin results in a patient with Duchenne muscular dystrophy.</t>
  </si>
  <si>
    <t xml:space="preserve"> AgamP4_X:13772003-13772775(+) </t>
  </si>
  <si>
    <t>AGAP000761-RA</t>
  </si>
  <si>
    <t xml:space="preserve">glutathione S-transferase theta class 1 </t>
  </si>
  <si>
    <t>GSTT1: glutathione S-transferase theta class 1</t>
  </si>
  <si>
    <t>glutathione S-transferase theta class 1</t>
  </si>
  <si>
    <t>AGAP000761-PA</t>
  </si>
  <si>
    <t xml:space="preserve"> glutathione s-transferase theta class os-arabiensis ox-773 pe-3 sv</t>
  </si>
  <si>
    <t>cd03183, GST_C_Theta, C-terminal, alpha helical domain of Class Theta Glutathione S-transferases.  Glutathione S-transferase (GST) C-terminal domain family, Class Theta subfamily; composed of eukaryotic class Theta GSTs and bacterial dichloromethane (DCM) dehalogenase. GSTs are cytosolic dimeric proteins involved in cellular detoxification by catalyzing the conjugation of glutathione (GSH) with a wide range of endogenous and xenobiotic alkylating agents, including carcinogens, therapeutic drugs, environmental toxins and products of oxidative stress. The GST fold contains an N-terminal thioredoxin-fold domain and a C-terminal alpha helical domain, with an active site located in a cleft between the two domains. GSH binds to the N-terminal domain while the hydrophobic substrate occupies a pocket in the C-terminal domain. Mammalian class Theta GSTs show poor GSH conjugating activity towards the standard substrates, CDNB and ethacrynic acid, differentiating them from other mammalian GSTs. GSTT1-1 shows similar cataytic activity as bacterial DCM dehalogenase, catalyzing the GSH-dependent hydrolytic dehalogenation of dihalomethanes. This is an essential process in methylotrophic bacteria to enable them to use chloromethane and DCM as sole carbon and energy sources. The presence of polymorphisms in human GSTT1-1 and its relationship to the onset of diseases including cancer is the subject of many studies. Human GSTT2-2 exhibits a highly specific sulfatase activity, catalyzing the cleavage of sulfate ions from aralkyl sufate esters, but not from the aryl or alkyl sulfate esters.</t>
  </si>
  <si>
    <t>GST_C_Theta 1e-050| GST_N_Theta 1e-033| Gst 2e-020| GST_N_family 5e-013| GST_N_GTT1_like 3e-012| GST_N_Ure2p_like 2e-010| GST_N_Delta_Epsilon 4e-010| PLN02395 4e-010| PLN02473 2e-008| GST_N_Phi 4e-008|</t>
  </si>
  <si>
    <t>KOG0867, KOG0867, KOG0867, Glutathione S-transferase [Posttranslational modification, protein turnover, chaperones].</t>
  </si>
  <si>
    <t xml:space="preserve">Posttranslational modification, protein turnover, chaperones </t>
  </si>
  <si>
    <t>pfam02798, GST_N, Glutathione S-transferase, N-terminal domain. Function: conjugation of reduced glutathione to a variety of targets. Also included in the alignment, but not GSTs: S-crystallins from squid (similarity to GST previously noted); eukaryotic elongation factors 1-gamma (not known to have GST activity and similarity not previously recognized); HSP26 family of stress-related proteins including auxin-regulated proteins in plants and stringent starvation proteins in E. coli (not known to have GST activity and similarity not previously recognized). The glutathione molecule binds in a cleft between the N- and C-terminal domains - the catalytically important residues are proposed to reside in the N-terminal domain.</t>
  </si>
  <si>
    <t>smart01087, COG6, Conserved oligomeric complex COG6.  COG6 is a component of the conserved oligomeric golgi complex, which is composed of eight different subunits and is required for normal golgi morphology and localisation.</t>
  </si>
  <si>
    <t xml:space="preserve"> AgamP4_X:13784517-13785378(-) </t>
  </si>
  <si>
    <t>AGAP000781-RA</t>
  </si>
  <si>
    <t xml:space="preserve">mitochondrial import inner membrane translocase subunit Tim9 </t>
  </si>
  <si>
    <t>mitochondrial import inner membrane translocase subunit Tim9</t>
  </si>
  <si>
    <t>AGAP000781-PA</t>
  </si>
  <si>
    <t xml:space="preserve"> mitochondrial import inner membrane translocase subunit tim9-like protein</t>
  </si>
  <si>
    <t>ExpAA=0.00 First60=0.00 PredHel=0 Topology=i</t>
  </si>
  <si>
    <t>.</t>
  </si>
  <si>
    <t>pfam02953, zf-Tim10_DDP, Tim10/DDP family zinc finger.  Putative zinc binding domain with four conserved cysteine residues. This domain is found in the human disease protein TIMM8A. Members of this family such as Tim9 and Tim10 are involved in mitochondrial protein import. Members of this family seem to be localized to the mitochondrial intermembrane space.</t>
  </si>
  <si>
    <t>zf-Tim10_DDP 4e-012| Minor_capsid_1 | PLN02608 | tRNA_guanine-N1--methyltransferase | STKc_NAK_like | Mesothelin | Hira | ascorbate_peroxidase | vlf-1 | DUF2410 |</t>
  </si>
  <si>
    <t>KOG3479, KOG3479, KOG3479, Mitochondrial import inner membrane translocase, subunit TIM9 [Intracellular trafficking, secretion, and vesicular transport].</t>
  </si>
  <si>
    <t xml:space="preserve">Intracellular trafficking, secretion, and vesicular transport </t>
  </si>
  <si>
    <t>smart00989, V4R, The V4R (vinyl 4 reductase) domain is a predicted small molecular binding domain, that may bind to hydrocarbons.</t>
  </si>
  <si>
    <t xml:space="preserve"> AgamP4_X:14239602-14240081(-) </t>
  </si>
  <si>
    <t>AGAP000810-RB</t>
  </si>
  <si>
    <t>AGAP000810-PB</t>
  </si>
  <si>
    <t xml:space="preserve"> leucine-rich repeat serine/threonine-protein kinase 1-like isoform x1</t>
  </si>
  <si>
    <t xml:space="preserve"> AgamP4_X:14841697-14864566(-) </t>
  </si>
  <si>
    <t xml:space="preserve">1 | 1085    GSARGKK|PV  0.588 *ProP*  | </t>
  </si>
  <si>
    <t>ExpAA=0.18 First60=0.00 PredHel=0 Topology=o</t>
  </si>
  <si>
    <t>AGAP000849-RA</t>
  </si>
  <si>
    <t xml:space="preserve">NADH dehydrogenase (ubiquinone) 1 beta subcomplex 1 </t>
  </si>
  <si>
    <t>NADH dehydrogenase (ubiquinone) 1 beta subcomplex 1</t>
  </si>
  <si>
    <t>AGAP000849-PA</t>
  </si>
  <si>
    <t xml:space="preserve"> mnll subunit - Membrane anchor detected</t>
  </si>
  <si>
    <t>met/energy membrAnchor</t>
  </si>
  <si>
    <t>ExpAA=16.84 First60=16.84 PredHel=1 Topology=i7-24o</t>
  </si>
  <si>
    <t>pfam08040, NADH_oxidored, MNLL subunit.  This family consists of the MNLL subunits of NADH-ubiquinone oxidoreductase complex. NADH-ubiquinone oxidoreductase is involved in the transfer of electrons from NADH to the electron transport chain. This oxidation of NADH is coupled to proton transfer across the membrane, generating a proton motive force that is utilized for the synthesis of ATP. MNLL subunit is one of the many subunits found in the complex and it contains a mitochondrial import sequence. However, the role of MNLL subunit is unclear.</t>
  </si>
  <si>
    <t>NADH_oxidored 4e-016| 7tmA_Adenosine_R_A3 | TIGR03442 |</t>
  </si>
  <si>
    <t>KOG2420, KOG2420, KOG2420, Phosphatidylserine decarboxylase [Lipid transport and metabolism].</t>
  </si>
  <si>
    <t>smart01031, BHD_2, Rad4 beta-hairpin domain 2.  This short domain is found in the Rad4 protein. This domain binds to DNA.</t>
  </si>
  <si>
    <t xml:space="preserve"> AgamP4_X:15717168-15717335(-) </t>
  </si>
  <si>
    <t>W(5.67)</t>
  </si>
  <si>
    <t>WP</t>
  </si>
  <si>
    <t>AGAP000941-RB</t>
  </si>
  <si>
    <t>heat shock protein beta-1-like isoform X3 - 14 OH-glycosylation sites -  14 NetOglyc sites</t>
  </si>
  <si>
    <t>pm</t>
  </si>
  <si>
    <t>AGAP000941-PB</t>
  </si>
  <si>
    <t xml:space="preserve"> heat shock protein beta-1 isoform x1 - 14 OH-glycosylation sites -  14 NetOglyc sites</t>
  </si>
  <si>
    <t>Plasmodium inui San Antonio 1</t>
  </si>
  <si>
    <t>Gallus gallus</t>
  </si>
  <si>
    <t>cd06526, metazoan_ACD, Alpha-crystallin domain (ACD) of metazoan alpha-crystallin-type small(s) heat shock proteins (Hsps). sHsps are small stress induced proteins with monomeric masses between 12 -43 kDa, whose common feature is the Alpha-crystallin domain  (ACD). sHsps are generally active as large oligomers consisting of multiple subunits, and are believed to be ATP-independent chaperones that prevent aggregation and are important in refolding in combination with other Hsps.</t>
  </si>
  <si>
    <t>metazoan_ACD 9e-023| ACD_HspB1_like 4e-014| HSP20 1e-013| ACD_sHsps-like 4e-013| ACD_HspB2_like 7e-012| ACD_sHsps_p23-like 8e-012| ACD_HspB4-5-6 5e-011| ACD_HspB9_like 6e-009| ACD_alphaB-crystallin_HspB5 8e-009| ACD_HspB3_Like 1e-007|</t>
  </si>
  <si>
    <t>KOG3591, KOG3591, KOG3591, Alpha crystallins [Posttranslational modification, protein turnover, chaperones].</t>
  </si>
  <si>
    <t>pfam00011, HSP20, Hsp20/alpha crystallin family.  Not only do small heat-shock-proteins occur in eukaryotes and prokaryotes but they have also now been shown to occur in cyanobacterial phages as well as their bacterial hosts.</t>
  </si>
  <si>
    <t>smart00127, IL7, Interleukin-7 and interleukin-9 family.  IL-7 is a cytokine that acts as a growth factor for early lymphoid cells of both B- and T-cell lineages. IL-9 is a multifunctional cytokine that, although originally described as a T-cell growth factor, its function in T-cell response remains unclear.</t>
  </si>
  <si>
    <t xml:space="preserve"> AgamP4_X:18244471-18250842(-) </t>
  </si>
  <si>
    <t>AGAP000952-RA</t>
  </si>
  <si>
    <t xml:space="preserve">60S ribosomal protein L37 </t>
  </si>
  <si>
    <t>RpL37: 60S ribosomal protein L37</t>
  </si>
  <si>
    <t>60S ribosomal protein L37</t>
  </si>
  <si>
    <t>AGAP000952-PA</t>
  </si>
  <si>
    <t xml:space="preserve"> 60s ribosomal protein l37</t>
  </si>
  <si>
    <t>Aphanomyces astaci</t>
  </si>
  <si>
    <t>PTZ00073, PTZ00073, 60S ribosomal protein L37; Provisional.</t>
  </si>
  <si>
    <t>PTZ00073 5e-028| Ribosomal_L37e 1e-018| RPL37A 3e-012| rpl37e 4e-009| DUF1258 0.064| PRK08579 0.067| PqiA | PLN03142 | PRK05508 | zinc_ribbon_6 |</t>
  </si>
  <si>
    <t>KOG3475, KOG3475, KOG3475, 60S ribosomal protein L37 [Translation, ribosomal structure and biogenesis].</t>
  </si>
  <si>
    <t>pfam01907, Ribosomal_L37e, Ribosomal protein L37e.  This family includes ribosomal protein L37 from eukaryotes and archaebacteria. The family contains many conserved cysteines and histidines suggesting that this protein may bind to zinc.</t>
  </si>
  <si>
    <t>smart00184, RING, Ring finger.  E3 ubiquitin-protein ligase activity is intrinsic to the RING domain of c-Cbl and is likely to be a general function of this domain; Various RING fingers exhibit binding activity towards E2 ubiquitin-conjugating enzymes (Ubc' s).</t>
  </si>
  <si>
    <t xml:space="preserve"> AgamP4_X:18333428-18335226(-) </t>
  </si>
  <si>
    <t xml:space="preserve">1 | 24    LCRRCGR|SS  0.564 *ProP*  | </t>
  </si>
  <si>
    <t>R(3.33)</t>
  </si>
  <si>
    <t>AGAP001056-RA</t>
  </si>
  <si>
    <t xml:space="preserve">ubiquitin-conjugating enzyme E2 L3 </t>
  </si>
  <si>
    <t>ubiquitin-conjugating enzyme E2 L3</t>
  </si>
  <si>
    <t>ubiquitin-conjugating enzyme E2 l</t>
  </si>
  <si>
    <t>prot</t>
  </si>
  <si>
    <t>AGAP001056-PA</t>
  </si>
  <si>
    <t xml:space="preserve"> ubiquitin-conjugating enzyme e2 l3 isoform x1</t>
  </si>
  <si>
    <t>ExpAA=0.02 First60=0.02 PredHel=0 Topology=o</t>
  </si>
  <si>
    <t>Pongo abelii</t>
  </si>
  <si>
    <t>smart00212, UBCc, Ubiquitin-conjugating enzyme E2, catalytic domain homologues.  Proteins destined for proteasome-mediated degradation may be ubiquitinated. Ubiquitination follows conjugation of ubiquitin to a conserved cysteine residue of UBC homologues. This pathway functions in regulating many fundamental processes required for cell viability.TSG101 is one of several UBC homologues that lacks this active site cysteine.</t>
  </si>
  <si>
    <t>UBCc 4e-046| UQ_con 1e-044| UBCc 7e-044| COG5078 1e-033| PLN00172 4e-025| PTZ00390 1e-020| RWD 0.088| Prok-E2_B 0.095| UEV | PLN02468 |</t>
  </si>
  <si>
    <t>KOG0422, KOG0422, KOG0422, Ubiquitin-protein ligase [Posttranslational modification, protein turnover, chaperones].</t>
  </si>
  <si>
    <t>pfam00179, UQ_con, Ubiquitin-conjugating enzyme.  Proteins destined for proteasome-mediated degradation may be ubiquitinated. Ubiquitination follows conjugation of ubiquitin to a conserved cysteine residue of UBC homologs. TSG101 is one of several UBC homologs that lacks this active site cysteine.</t>
  </si>
  <si>
    <t xml:space="preserve"> AgamP4_X:21755830-21762593(-) </t>
  </si>
  <si>
    <t>AGAP001064-RA</t>
  </si>
  <si>
    <t xml:space="preserve">Transmembrane emp24 domain-containing protein 10 precursor </t>
  </si>
  <si>
    <t>Transmembrane emp24 domain-containing protein 10 precursor</t>
  </si>
  <si>
    <t>emp24/gp25L/p24 family of membrane trafficking - signalP detected - 3 predicted membrane helices</t>
  </si>
  <si>
    <t>pe membrane</t>
  </si>
  <si>
    <t>AGAP001064-PA</t>
  </si>
  <si>
    <t xml:space="preserve"> emp24/gp25l/p24 family of membrane trafficking - signalP detected - 3 predicted membrane helices</t>
  </si>
  <si>
    <t xml:space="preserve"> 19-20</t>
  </si>
  <si>
    <t>ExpAA=41.02 First60=18.45 PredHel=2 Topology=o4-26i172-194o</t>
  </si>
  <si>
    <t>Drosophila yakuba</t>
  </si>
  <si>
    <t>pfam01105, EMP24_GP25L, emp24/gp25L/p24 family/GOLD.  Members of this family are implicated in bringing cargo forward from the ER and binding to coat proteins by their cytoplasmic domains. This domain corresponds closely to the beta-strand rich GOLD domain described in. The GOLD domain is always found combined with lipid- or membrane-association domains.</t>
  </si>
  <si>
    <t>EMP24_GP25L 2e-040| tRNA_guanine10-N2-dimethyltransferase | Tc10 | PTZ00149 | PTZ00401 | PRK13805 | lacZ | COG3346 | PTKc_Jak_rpt2 | ZntB-like_1 |</t>
  </si>
  <si>
    <t>KOG1691, KOG1691, KOG1691, emp24/gp25L/p24 family of membrane trafficking proteins [Intracellular trafficking, secretion, and vesicular transport].</t>
  </si>
  <si>
    <t xml:space="preserve"> AgamP4_X:22293237-22319207(-) </t>
  </si>
  <si>
    <t>AGAP001069-RA</t>
  </si>
  <si>
    <t>cargo transport protein ERV29 - 6 predicted membrane helices</t>
  </si>
  <si>
    <t>AGAP001069-PA</t>
  </si>
  <si>
    <t xml:space="preserve"> cargo transport protein erv29 - 6 predicted membrane helices</t>
  </si>
  <si>
    <t>ExpAA=127.57 First60=1.08 PredHel=6 Topology=i65-87o91-113i160-179o183-200i207-226o241-263i</t>
  </si>
  <si>
    <t>pfam02077, SURF4, SURF4 family.</t>
  </si>
  <si>
    <t>SURF4 e-110| COG2259 | MgtA | ubiA |</t>
  </si>
  <si>
    <t>KOG3998, KOG3998, KOG3998, Putative cargo transport protein ERV29 [Intracellular trafficking, secretion, and vesicular transport].</t>
  </si>
  <si>
    <t>smart00072, GuKc, Guanylate kinase homologues.  Active enzymes catalyze ATP-dependent phosphorylation of GMP to GDP. Structure resembles that of adenylate kinase. So-called membrane-associated guanylate kinase homologues (MAGUKs) do not possess guanylate kinase activities; instead at least some possess protein-binding functions.</t>
  </si>
  <si>
    <t xml:space="preserve"> AgamP4_X:22455323-22488001(-) </t>
  </si>
  <si>
    <t>W(3.08)</t>
  </si>
  <si>
    <t>AGAP001083-RC</t>
  </si>
  <si>
    <t>Chorion transcription factor Cf2 - probable fragment - 25 OH-glycosylation sites -  25 NetOglyc sites</t>
  </si>
  <si>
    <t>AGAP001083-PC</t>
  </si>
  <si>
    <t xml:space="preserve"> histone-lysine n-methyltransferase prdm9-like protein - 25 OH-glycosylation sites -  25 NetOglyc sites</t>
  </si>
  <si>
    <t>nr</t>
  </si>
  <si>
    <t>ExpAA=0.01 First60=0.00 PredHel=0 Topology=o</t>
  </si>
  <si>
    <t>sd00017,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</si>
  <si>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1e-015| ZF_C2H2 2e-013| zf-H2C2_2 2e-004| PAT1 0.001| ZF_C2H2 0.009| zf-C2H2 0.056| ZF_C2H2 0.064| xseA | ZnF_C2H2 | FAM222A |</t>
  </si>
  <si>
    <t>KOG2462, KOG2462, KOG2462, C2H2-type Zn-finger protein [Transcription].</t>
  </si>
  <si>
    <t xml:space="preserve">Transcription </t>
  </si>
  <si>
    <t>pfam13465, zf-H2C2_2, Zinc-finger double domain.</t>
  </si>
  <si>
    <t>smart00355, ZnF_C2H2, zinc finger.</t>
  </si>
  <si>
    <t xml:space="preserve"> AgamP4_X:23499673-23501387(+) </t>
  </si>
  <si>
    <t xml:space="preserve">1 | 339    LGKRQNR|SF  0.572 *ProP*  | </t>
  </si>
  <si>
    <t>AGAP001116-RA</t>
  </si>
  <si>
    <t xml:space="preserve">D-amino-acid oxidase </t>
  </si>
  <si>
    <t>D-amino-acid oxidase</t>
  </si>
  <si>
    <t>D-aspartate oxidase</t>
  </si>
  <si>
    <t>AGAP001116-PA</t>
  </si>
  <si>
    <t xml:space="preserve"> d-aspartate oxidase</t>
  </si>
  <si>
    <t>ExpAA=8.13 First60=7.99 PredHel=0 Topology=o</t>
  </si>
  <si>
    <t>Monosiga brevicollis MX1</t>
  </si>
  <si>
    <t>pfam01266, DAO, FAD dependent oxidoreductase.  This family includes various FAD dependent oxidoreductases: Glycerol-3-phosphate dehydrogenase EC:1.1.99.5, Sarcosine oxidase beta subunit EC:1.5.3.1, D-alanine oxidase EC:1.4.99.1, D-aspartate oxidase EC:1.4.3.1.</t>
  </si>
  <si>
    <t>DAO 2e-031| DadA 1e-018| Glycine_oxidase 1e-007| PRK12409 3e-006| SdhA 8e-005| COG0579 2e-004| Ndh 0.002| PRK06847 0.002| COG3349 0.006| NadB 0.009|</t>
  </si>
  <si>
    <t>KOG3923, KOG3923, KOG3923, D-aspartate oxidase [Amino acid transport and metabolism].</t>
  </si>
  <si>
    <t xml:space="preserve">Amino acid transport and metabolism </t>
  </si>
  <si>
    <t>smart00822, PKS_KR, This enzymatic domain is part of bacterial polyketide synthases.  It catalyses the first step in the reductive modification of the beta-carbonyl centres in the growing polyketide chain. It uses NADPH to reduce the keto group to a hydroxy group.</t>
  </si>
  <si>
    <t xml:space="preserve"> AgamP4_2R:372737-374315(-) </t>
  </si>
  <si>
    <t>AGAP001127-RA</t>
  </si>
  <si>
    <t xml:space="preserve">P37NB protein </t>
  </si>
  <si>
    <t>P37NB protein</t>
  </si>
  <si>
    <t>Conserved secreted protein precursor</t>
  </si>
  <si>
    <t>s/ucs</t>
  </si>
  <si>
    <t>AGAP001127-PA</t>
  </si>
  <si>
    <t xml:space="preserve"> leucine-rich repeat-containing g-protein coupled receptor 5 - signalP detected</t>
  </si>
  <si>
    <t xml:space="preserve">s/imm st/secreted </t>
  </si>
  <si>
    <t xml:space="preserve"> 24-25</t>
  </si>
  <si>
    <t>ExpAA=17.77 First60=17.71 PredHel=1 Topology=i7-29o</t>
  </si>
  <si>
    <t>Guillardia theta CCMP2712</t>
  </si>
  <si>
    <t>sd00033, LRR_RI, leucine-rich repeats, ribonuclease inhibitor (RI)-like subfamily.  A leucine-rich repeat (LRR) is a structural protein motif of 20-30 amino acids that is unusually rich in the hydrophobic amino acid leucine. The conserved eleven-residue sequence motif (LxxLxLxxN/CxL) within the LRRs corresponds to the beta-strand and adjacent loop regions, whereas the remaining parts of the repeats are variable. LRRs fold together to form a solenoid protein domain, termed leucine-rich repeat domain. Leucine-rich repeats are usually involved in protein-protein interactions.</t>
  </si>
  <si>
    <t>LRR_RI 2e-031| LRR_1 6e-015| COG4886 1e-007| LRR_RI 4e-005| LRR_8 4e-005| PLN00113 0.008| LRR_3 0.012| PRK15387 | PRK15370 | LRR_9 |</t>
  </si>
  <si>
    <t>KOG4194, KOG4194, KOG4194, Membrane glycoprotein LIG-1 [Signal transduction mechanisms].</t>
  </si>
  <si>
    <t xml:space="preserve">Signal transduction mechanisms </t>
  </si>
  <si>
    <t>pfam13855, LRR_8, Leucine rich repeat.</t>
  </si>
  <si>
    <t>smart00370, LRR, Leucine-rich repeats, outliers.</t>
  </si>
  <si>
    <t xml:space="preserve"> AgamP4_2R:514774-516183(+) </t>
  </si>
  <si>
    <t>AGAP001138-RA</t>
  </si>
  <si>
    <t xml:space="preserve">F-type H+-transporting ATPase subunit b </t>
  </si>
  <si>
    <t>ATPsynB: F-type H+-transporting ATPase subunit b</t>
  </si>
  <si>
    <t>Mitochondrial F1F0-ATP synthase subunit b/ATP4</t>
  </si>
  <si>
    <t>AGAP001138-PA</t>
  </si>
  <si>
    <t xml:space="preserve"> atp synthase f0 complex subunit b1</t>
  </si>
  <si>
    <t xml:space="preserve"> 27-28</t>
  </si>
  <si>
    <t>ExpAA=3.88 First60=0.92 PredHel=0 Topology=o</t>
  </si>
  <si>
    <t>pfam05405, Mt_ATP-synt_B, Mitochondrial ATP synthase B chain precursor (ATP-synt_B).  The Fo sector of the ATP synthase is a membrane bound complex which mediates proton transport. It is composed of nine different polypeptide subunits (a, b, c, d, e, f, g F6, A6L).</t>
  </si>
  <si>
    <t>Mt_ATP-synt_B 7e-051| fliH 0.012| PRK09573 0.036| chromosome_segregation_protein_related...    33   0.15  | TTKRSYEDQ | GBP_C | PLN03223 | GT1_wlbH_like | Chromosome_partition_protein_Smc | ATP-synt_B |</t>
  </si>
  <si>
    <t>KOG3976, KOG3976, KOG3976, Mitochondrial F1F0-ATP synthase, subunit b/ATP4 [Energy production and conversion].</t>
  </si>
  <si>
    <t>smart00435, TOPEUc, DNA Topoisomerase I (eukaryota).  DNA Topoisomerase I (eukaryota), DNA topoisomerase V, Vaccina virus topoisomerase, Variola virus topoisomerase, Shope fibroma virus topoisomeras.</t>
  </si>
  <si>
    <t xml:space="preserve"> AgamP4_2R:569086-570174(-) </t>
  </si>
  <si>
    <t xml:space="preserve">1 | 32    QADRPKR|AE  0.588 *ProP*  | </t>
  </si>
  <si>
    <t>AGAP001279-RA</t>
  </si>
  <si>
    <t xml:space="preserve">protein phosphatase 3, catalytic subunit </t>
  </si>
  <si>
    <t>protein phosphatase 3, catalytic subunit</t>
  </si>
  <si>
    <t>Protein phosphatase 2A homologues</t>
  </si>
  <si>
    <t>AGAP001279-PA</t>
  </si>
  <si>
    <t>protein phosphatase 3</t>
  </si>
  <si>
    <t>ExpAA=1.17 First60=0.00 PredHel=0 Topology=o</t>
  </si>
  <si>
    <t>cd07416, MPP_PP2B, PP2B, metallophosphatase domain.  PP2B (calcineurin) is a unique serine/threonine protein phosphatase in its regulation by a second messenger (calcium and calmodulin).  PP2B is involved in many biological processes including immune responses, the second messenger cAMP pathway, sodium/potassium ion transport in the nephron, cell cycle progression in lower eukaryotes, cardiac hypertrophy, and memory formation.  PP2B is highly conserved from yeast to humans, but is absent from plants.  PP2B is a heterodimer consisting of a catalytic subunit (CnA) and a regulatory subunit (CnB); CnB  contains four Ca2+ binding motifs referred to as EF hands.  The PPP (phosphoprotein phosphatase) family, to which PP2B belongs, is one of two known protein phosphatase families specific for serine and threonine.  The PPP family also includes: PP1, PP2A, PP4, PP5, PP6, PP7, Bsu1, RdgC, PrpE, PrpA/PrpB, and ApA4 hydrolase. The PPP catalytic domain is defined by three conserved motifs (-GDXHG-, -GDXVDRG- and -GNHE-).  The PPP enzyme family is ancient with members found in all eukaryotes, and in most bacterial and archeal genomes.  Dephosphorylation of phosphoserines and phosphothreonines on target proteins plays a central role in the regulation of many cellular processes.  PPPs belong to the metallophosphatase (MPP) superfamily.  MPPs are functionally diverse, but all share a conserved domain with an active site consisting of two metal ions (usually manganese, iron, or zinc) coordinated with octahedral geometry by a cage of histidine, aspartate, and asparagine residues. The MPP superfamily includes: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t>
  </si>
  <si>
    <t>MPP_PP2B | PP2Ac e-108| MPP_PP2A_PP4_PP6 4e-088| MPP_PP5_C 1e-074| MPP_PPP_family 6e-074| MPP_PP1_PPKL 2e-071| PTZ00239 3e-065| PTZ00480 5e-061| PTZ00244 2e-054| MPP_Bsu1_C 4e-051|</t>
  </si>
  <si>
    <t>KOG0375, KOG0375, KOG0375, Serine-threonine phosphatase 2B, catalytic subunit [General function prediction only].</t>
  </si>
  <si>
    <t>pfam00149, Metallophos, Calcineurin-like phosphoesterase.  This family includes a diverse range of phosphoesterases, including protein phosphoserine phosphatases, nucleotidases, sphingomyelin phosphodiesterases and 2'-3' cAMP phosphodiesterases as well as nucleases such as bacterial SbcD or yeast MRE11. The most conserved regions in this superfamily centre around the metal chelating residues.</t>
  </si>
  <si>
    <t>smart00156, PP2Ac, Protein phosphatase 2A homologues, catalytic domain.  Large family of serine/threonine phosphatases, that includes PP1, PP2A and PP2B (calcineurin) family members.</t>
  </si>
  <si>
    <t xml:space="preserve"> AgamP4_2R:2217740-2219308(-) </t>
  </si>
  <si>
    <t>AGAP001311-RA</t>
  </si>
  <si>
    <t xml:space="preserve">39S ribosomal protein L20, mitochondrial </t>
  </si>
  <si>
    <t>mRpL20: 39S ribosomal protein L20, mitochondrial</t>
  </si>
  <si>
    <t>Ribosomal protein L20</t>
  </si>
  <si>
    <t>AGAP001311-PA</t>
  </si>
  <si>
    <t xml:space="preserve"> mitochondrial/ ribosomal protein l20</t>
  </si>
  <si>
    <t>Xenopus laevis</t>
  </si>
  <si>
    <t>pfam00453, Ribosomal_L20, Ribosomal protein L20.</t>
  </si>
  <si>
    <t>Ribosomal_L20 9e-039| Ribosomal_L20 3e-034| rplT 2e-023| PTZ00030 1e-022| RplT 1e-022| 50S_ribosomal_protein_L20 8e-020| PRK14537 2e-017| rpl20 1e-013| PRK10614 | DltD_C |</t>
  </si>
  <si>
    <t>KOG4707, KOG4707, KOG4707, Mitochondrial/chloroplast ribosomal protein L20 [Translation, ribosomal structure and biogenesis].</t>
  </si>
  <si>
    <t>smart00631, Zn_pept, Zn_pept domain.</t>
  </si>
  <si>
    <t xml:space="preserve"> AgamP4_2R:2842385-2842921(+) </t>
  </si>
  <si>
    <t>AGAP001315-RD</t>
  </si>
  <si>
    <t>AGAP001315-PD</t>
  </si>
  <si>
    <t xml:space="preserve"> hyphally regulated cell wall protein 3 isoform x24</t>
  </si>
  <si>
    <t>extmat</t>
  </si>
  <si>
    <t>Trypanosoma brucei gambiense DAL972</t>
  </si>
  <si>
    <t>pfam05672, MAP7, MAP7 (E-MAP-115) family.  The organisation of microtubules varies with the cell type and is presumably controlled by tissue-specific microtubule-associated proteins (MAPs). The 115-kDa epithelial MAP (E-MAP-115/MAP7) has been identified as a microtubule-stabilizing protein predominantly expressed in cell lines of epithelial origin. The binding of this microtubule associated protein is nucleotide independent.</t>
  </si>
  <si>
    <t>MAP7 5e-021| PTZ00121 3e-017| Protein_TolA 2e-008| tolA 1e-007| Nop53 2e-007| DUF4670 3e-007| Smc 3e-007| ARGLU 4e-007| DUF3523 5e-007| TPH 5e-007|</t>
  </si>
  <si>
    <t>KOG0163, KOG0163, KOG0163, Myosin class VI heavy chain [Cytoskeleton].</t>
  </si>
  <si>
    <t xml:space="preserve">Cytoskeleton </t>
  </si>
  <si>
    <t xml:space="preserve"> AgamP4_2R:2882539-2895040(-) </t>
  </si>
  <si>
    <t xml:space="preserve">3 | 45    LGTRKAR|HV  0.506 *ProP*  | 288    PAQRKPR|PA  0.504 *ProP*  | 348    LHSAEKR|SA  0.634 *ProP*  | </t>
  </si>
  <si>
    <t>AGAP001455.R295</t>
  </si>
  <si>
    <t>unspecified product</t>
  </si>
  <si>
    <t>protein coding gene</t>
  </si>
  <si>
    <t>VectorBase: AGAP001455</t>
  </si>
  <si>
    <t>CYT</t>
  </si>
  <si>
    <t>AGAP001459-RB</t>
  </si>
  <si>
    <t xml:space="preserve">60S ribosomal protein L17 [Source:UniProtKB/Swiss-Prot;Acc:A0NGY0] </t>
  </si>
  <si>
    <t>RpL17: 60S ribosomal protein L17</t>
  </si>
  <si>
    <t>60S ribosomal protein L17</t>
  </si>
  <si>
    <t>AGAP001459-PB</t>
  </si>
  <si>
    <t xml:space="preserve"> 60s ribosomal protein l17</t>
  </si>
  <si>
    <t>PTZ00178, PTZ00178, 60S ribosomal protein L17; Provisional.</t>
  </si>
  <si>
    <t>PTZ00178 7e-075| 50S_ribosomal_protein_L22 3e-052| rpl22p 1e-035| Ribosomal_L22 4e-028| Ribosomal_L22 2e-027| RplV 2e-022| rplV 1e-008| PRK12279 6e-006| rpl22 3e-005| 50S_ribosomal_protein_L22 3e-005|</t>
  </si>
  <si>
    <t>KOG3353, KOG3353, KOG3353, 60S ribosomal protein L22 [Translation, ribosomal structure and biogenesis].</t>
  </si>
  <si>
    <t>pfam00237, Ribosomal_L22, Ribosomal protein L22p/L17e.  This family includes L22 from prokaryotes and chloroplasts and L17 from eukaryotes.</t>
  </si>
  <si>
    <t>smart00434, TOP4c, DNA Topoisomerase IV.  Bacterial DNA topoisomerase IV, GyrA, ParC.</t>
  </si>
  <si>
    <t xml:space="preserve">1 | 131    LRRRTYR|AH  0.536 *ProP*  | </t>
  </si>
  <si>
    <t>AGAP001595-RA</t>
  </si>
  <si>
    <t xml:space="preserve">40S ribosomal protein S29 </t>
  </si>
  <si>
    <t>RpS29: 40S ribosomal protein S29</t>
  </si>
  <si>
    <t>40S ribosomal protein S29</t>
  </si>
  <si>
    <t>AGAP001595-PA</t>
  </si>
  <si>
    <t xml:space="preserve"> 40s ribosomal protein s29</t>
  </si>
  <si>
    <t>Culex quinquefasciatus</t>
  </si>
  <si>
    <t>PTZ00218, PTZ00218, 40S ribosomal protein S29; Provisional.</t>
  </si>
  <si>
    <t>PTZ00218 2e-016| rps14P 9e-012| RpsN 3e-006| Ribosomal_S14 4e-005| rpsN 0.092| Respiratory_nitrate_reductase_1_alpha_...    28   0.92  | Cas10_III | PRK10740 | 5-nucleotidase | rpsN |</t>
  </si>
  <si>
    <t>KOG3506, KOG3506, KOG3506, 40S ribosomal protein S29 [Translation, ribosomal structure and biogenesis].</t>
  </si>
  <si>
    <t>pfam00253, Ribosomal_S14, Ribosomal protein S14p/S29e.  This family includes both ribosomal S14 from prokaryotes and S29 from eukaryotes.</t>
  </si>
  <si>
    <t>smart01000, Aha1_N, Activator of Hsp90 ATPase, N-terminal.  This domain is predominantly found in the protein 'Activator of Hsp90 ATPase', it adopts a secondary structure consisting of an N-terminal alpha-helix leading into a four-stranded meandering antiparallel beta-sheet, followed by a C-terminal alpha-helix. The two helices are packed together, with the beta-sheet curving around them. They bind to the molecular chaperone HSP82 and stimulate its ATPase activity.</t>
  </si>
  <si>
    <t xml:space="preserve"> AgamP4_2R:6560347-6560899(-) </t>
  </si>
  <si>
    <t>C(3.91)</t>
  </si>
  <si>
    <t>AGAP001621-RA</t>
  </si>
  <si>
    <t xml:space="preserve">proline synthetase co-transcribed homolog </t>
  </si>
  <si>
    <t>proline synthetase co-transcribed homolog</t>
  </si>
  <si>
    <t>pyridoxal phosphate homeostasis protein</t>
  </si>
  <si>
    <t>AGAP001621-PA</t>
  </si>
  <si>
    <t xml:space="preserve"> tra0a82hld4a0a82hld4 anoar pyridoxal phosphate homeostasis protein</t>
  </si>
  <si>
    <t>ExpAA=0.03 First60=0.00 PredHel=0 Topology=o</t>
  </si>
  <si>
    <t>cd06822, PLPDE_III_YBL036c_euk, Pyridoxal 5-phosphate (PLP)-binding TIM barrel domain of Type III PLP-Dependent Enzymes, Eukaryotic YBL036c-like proteins.  This subfamily contains mostly uncharacterized eukaryotic proteins with similarity to the yeast hypothetical protein YBL036c, which is homologous to a Pseudomonas aeruginosa gene that is co-transcribed with a known proline biosynthetic gene. YBL036c is a single domain monomeric protein with a typical TIM barrel fold. It binds the PLP cofactor and has been shown to exhibit amino acid racemase activity. The YBL036c structure is similar to the N-terminal domain of the fold type III PLP-dependent enzymes, bacterial alanine racemase and eukaryotic ornithine decarboxylase, which are two-domain dimeric proteins. The lack of a second domain in YBL036c may explain limited D- to L-alanine racemase or non-specific racemase activity. Some members of this subfamily are also referred to as PROSC (Proline synthetase co-transcribed bacterial homolog).</t>
  </si>
  <si>
    <t>PLPDE_III_YBL036c_euk e-100| PLPDE_III_YBL036c_like 6e-062| COG0325 8e-060| PLPDE_III_Yggs_like 3e-050| Hypothetical_UPF0001_protein_yggS. 1e-045| Ala_racemase_N 7e-013| PLPDE_III 6e-012| PLPDE_III_AR 4e-004| alr 0.004| PLPDE_III_LS_D-TA_like 0.007|</t>
  </si>
  <si>
    <t>KOG3157, KOG3157, KOG3157, Proline synthetase co-transcribed protein [General function prediction only].</t>
  </si>
  <si>
    <t>pfam01168, Ala_racemase_N, Alanine racemase, N-terminal domain.</t>
  </si>
  <si>
    <t>smart00971, SATase_N, Serine acetyltransferase, N-terminal.  The N-terminal domain of serine acetyltransferase has a sequence that is conserved in plants.and bacteria.</t>
  </si>
  <si>
    <t xml:space="preserve"> AgamP4_2R:6967883-6969403(+) </t>
  </si>
  <si>
    <t>AGAP001752-RB</t>
  </si>
  <si>
    <t xml:space="preserve">SNF related kinase </t>
  </si>
  <si>
    <t>SNF related kinase</t>
  </si>
  <si>
    <t>Catalytic domain of the Serine/Threonine Kinase</t>
  </si>
  <si>
    <t>AGAP001752-PB</t>
  </si>
  <si>
    <t xml:space="preserve"> snf-related serine/threonine-protein kinase</t>
  </si>
  <si>
    <t>cd14074, STKc_SNRK, Catalytic domain of the Serine/Threonine Kinase, SNF1-related kinase.  STKs catalyze the transfer of the gamma-phosphoryl group from ATP to serine/threonine residues on protein substrates. SNRK is a kinase highly expressed in testis and brain that is found inactive in cells that lack the LKB1 tumour suppressor protein kinase. The regulatory subunits STRAD and MO25 are required for LKB1 to activate SNRK. The SNRK mRNA is increased 3-fold when granule neurons are cultured in low potassium, and may thus play a role in the survival responses in these cells. In some vertebrates, a second SNRK gene (snrkb or snrk-1) has been sequenced and/or identified. Snrk-1 is expressed specifically in embryonic zebrafish vasculature; it plays an essential role in angioblast differentiation, maintenance, and migration. The SNRK subfamily is part of a larger superfamily that includes the catalytic domains of other STKs, protein tyrosine kinases, RIO kinases, aminoglycoside phosphotransferase, choline kinase, and phosphoinositide 3-kinase.</t>
  </si>
  <si>
    <t>STKc_SNRK e-171| STKc_AMPK-like e-110| STKc_CAMK 5e-091| S_TKc 9e-089| STKc_MARK 4e-083| STKc_SIK 3e-082| Pkinase 2e-078| STKc_AMPK_alpha 6e-077| STKc_BRSK1_2 4e-075| STKc_Aurora 1e-073|</t>
  </si>
  <si>
    <t>KOG4717, KOG4717, KOG4717, Serine/threonine protein kinase [Signal transduction mechanisms].</t>
  </si>
  <si>
    <t>pfam00069, Pkinase, Protein kinase domain.</t>
  </si>
  <si>
    <t>smart00220, S_TKc, Serine/Threonine protein kinases, catalytic domain.  Phosphotransferases. Serine or threonine-specific kinase subfamily.</t>
  </si>
  <si>
    <t xml:space="preserve"> AgamP4_2R:9412295-9417892(-) </t>
  </si>
  <si>
    <t xml:space="preserve">2 | 448    LNRRGSR|SE  0.500 *ProP*  | 744    SENRKKR|AH  0.732 *ProP*  | </t>
  </si>
  <si>
    <t>AGAP001796-RA</t>
  </si>
  <si>
    <t>peptidyl-tRNA hydrolase PTRHD1</t>
  </si>
  <si>
    <t>AGAP001796-PA</t>
  </si>
  <si>
    <t xml:space="preserve"> tra0as4gdp2a0as4gdp2 anoga aminoacyl-trna hydrolase os-ox-76 pe-4 sv</t>
  </si>
  <si>
    <t>ExpAA=0.12 First60=0.12 PredHel=0 Topology=i</t>
  </si>
  <si>
    <t>Gregarina niphandrodes</t>
  </si>
  <si>
    <t>cd02429, PTH2_like, Peptidyl-tRNA hydrolase, type 2 (PTH2)_like . Peptidyl-tRNA hydrolase activity releases tRNA from the premature translation termination product peptidyl-tRNA. Two structurally different enzymes have been reported to encode such activity, Pth present in bacteria and eukaryotes and  Pth2 present in archaea and eukaryotes. There is no functional information for this eukaryote-specific subgroup.</t>
  </si>
  <si>
    <t>PTH2_like 4e-047| PTH2_family 9e-032| PTH2 2e-019| PTH2 3e-005| PRK04322 2e-004| pth2 2e-004| Peptidyl-tRNA_hydrolase 0.032| AXO | Lact-deh-memb | stage_II_sporulation_protein_D |</t>
  </si>
  <si>
    <t>KOG3305, KOG3305, KOG3305, Uncharacterized conserved protein [Function unknown].</t>
  </si>
  <si>
    <t>pfam01981, PTH2, Peptidyl-tRNA hydrolase PTH2.  Peptidyl-tRNA hydrolases are enzymes that release tRNAs from peptidyl-tRNA during translation.</t>
  </si>
  <si>
    <t>smart01080, CHASE2, CHASE2 is an extracellular sensory domain, which is present in various classes of transmembrane receptors that are parts of signal transduction pathways in bacteria.  Specifically, CHASE2 domains are found in histidine kinases, adenylate cyclases, serine/threonine kinases and predicted diguanylate cyclases/phosphodiesterases. Environmental factors that are recognised by CHASE2 domains are not known at this time.</t>
  </si>
  <si>
    <t xml:space="preserve"> AgamP4_2R:10532162-10533227(+) </t>
  </si>
  <si>
    <t>AGAP001936-RA</t>
  </si>
  <si>
    <t xml:space="preserve">phosphatidylinositol phospholipase C, beta </t>
  </si>
  <si>
    <t>phosphatidylinositol phospholipase C, beta</t>
  </si>
  <si>
    <t>Phosphoinositide-specific phospholipase C</t>
  </si>
  <si>
    <t>AGAP001936-PA</t>
  </si>
  <si>
    <t xml:space="preserve"> phosphoinositide phospholipase c</t>
  </si>
  <si>
    <t>cd08626, PI-PLCc_beta4, Catalytic domain of metazoan phosphoinositide-specific phospholipase C-beta4.  This subfamily corresponds to the catalytic domain present in metazoan phosphoinositide-specific phospholipase C (PI-PLC, EC 3.1.4.11)-beta isozyme 4. PI-PLC is a signaling enzyme that hydrolyzes the membrane phospholipids phosphatidylinositol-4,5-bisphosphate (PIP2)  to generate two important second messengers in eukaryotic signal transduction cascades,  Inositol 1,4,5-trisphosphate (InsP3) and diacylglycerol (DAG). InsP3 triggers inflow of calcium from intracellular stores, while DAG, together with calcium, activates protein kinase C, which goes on to phosphorylate other molecules, leading to altered cellular activity. Calcium is required for the catalysis. PLC-beta represents a class of mammalian PI-PLC that has an N-terminal pleckstrin homology (PH) domain, an array of EF hands, a PLC catalytic core domain, a C2 domain, and a unique C-terminal coiled-coil (CT) domain necessary for homodimerization. The PLC catalytic core domain is a TIM barrel with two highly conserved regions (X and Y) split by a highly degenerate linker sequence. PI-PLC-beta4 is expressed in high concentrations in cerebellar Purkinje and granule cells, the median geniculate body, and the lateral geniculate nucleus. It is activated by the heterotrimeric G protein alpha q subunits through their C2 domain and long C-terminal extension.</t>
  </si>
  <si>
    <t>PI-PLCc_beta4 2e-094| PI-PLCc_beta 5e-094| PI-PLCc_eukaryota 1e-077| EFh_NorpA_like 1e-073| EFh_PI-PLCbeta4 2e-065| PI-PLC-X 4e-065| PI-PLCc_delta 5e-060| PI-PLCc_beta2 3e-058| PI-PLC1c_yeast 1e-056| PI-PLCc_gamma 2e-054|</t>
  </si>
  <si>
    <t>KOG1265, KOG1265, KOG1265, Phospholipase C [Lipid transport and metabolism].</t>
  </si>
  <si>
    <t>pfam00388, PI-PLC-X, Phosphatidylinositol-specific phospholipase C, X domain.  This associates with pfam00387 to form a single structural unit.</t>
  </si>
  <si>
    <t>smart00149, PLCYc, Phospholipase C, catalytic domain (part); domain Y.  Phosphoinositide-specific phospholipases C. These enzymes contain 2 regions (X and Y) which together form a TIM barrel-like structure containing the active site residues. Phospholipase C enzymes (PI-PLC) act as signal transducers that generate two second messengers, inositol-1,4,5-trisphosphate and diacylglycerol. The bacterial enzyme appears to be a homologue of the mammalian PLCs.</t>
  </si>
  <si>
    <t xml:space="preserve"> AgamP4_2R:12651543-12665202(+) </t>
  </si>
  <si>
    <t xml:space="preserve">1 | 664    FMRRADR|SF  0.524 *ProP*  | </t>
  </si>
  <si>
    <t>AGAP002020-RA</t>
  </si>
  <si>
    <t xml:space="preserve">NADH dehydrogenase (ubiquinone) 1 beta subcomplex 8 </t>
  </si>
  <si>
    <t>NADH dehydrogenase (ubiquinone) 1 beta subcomplex 8</t>
  </si>
  <si>
    <t>ubiquinone oxidoreductase NDUFB8/ASHI subunit</t>
  </si>
  <si>
    <t>AGAP002020-PA</t>
  </si>
  <si>
    <t xml:space="preserve"> ubiquinone oxidoreductase</t>
  </si>
  <si>
    <t>ExpAA=19.58 First60=0.00 PredHel=1 Topology=o128-147i</t>
  </si>
  <si>
    <t>pfam05821, NDUF_B8, NADH-ubiquinone oxidoreductase ASHI subunit (CI-ASHI or NDUFB8).  This family consists of several eukaryotic NADH-ubiquinone oxidoreductase ASHI subunit (CI-ASHI) proteins. NADH:ubiquinone oxidoreductase (complex I) is an extremely complicated multiprotein complex located in the inner mitochondrial membrane. Its main function is the transport of electrons from NADH to ubiquinone, which is accompanied by translocation of protons from the mitochondrial matrix to the intermembrane space. Human complex I appears to consist of 41 subunits.</t>
  </si>
  <si>
    <t>NDUF_B8 4e-023| ABC_MTABC3_MDL1_MDL2 | PRK02504 | PBP2_NikA_DppA_OppA_like_9 | ABC_transp_aux | NADH-quinone_oxidoreductase_subunit_N | PRK14325 | Tmpp129 | PRK15063 | HCII |</t>
  </si>
  <si>
    <t>KOG4040, KOG4040, KOG4040, NADH:ubiquinone oxidoreductase, NDUFB8/ASHI subunit [Energy production and conversion].</t>
  </si>
  <si>
    <t>smart00953, RES, RES domain.  This presumed protein contains 3 highly conserved polar groups that could form an active site. These are an arginine, glutamate and serine, hence the RES domain. RES is found widely distributed in bacteria, it has about 150 residues in length.</t>
  </si>
  <si>
    <t xml:space="preserve"> AgamP4_2R:14012368-14013179(-) </t>
  </si>
  <si>
    <t>Y(3.26)</t>
  </si>
  <si>
    <t>AGAP002378-RA</t>
  </si>
  <si>
    <t xml:space="preserve">Adenylosuccinate lyase [Source:UniProtKB/TrEMBL;Acc:Q7QBZ6] </t>
  </si>
  <si>
    <t>Adenylosuccinate lyase</t>
  </si>
  <si>
    <t>met/nuc</t>
  </si>
  <si>
    <t>AGAP002378-PA</t>
  </si>
  <si>
    <t xml:space="preserve"> protein</t>
  </si>
  <si>
    <t>ExpAA=0.07 First60=0.00 PredHel=0 Topology=o</t>
  </si>
  <si>
    <t>Mus musculus</t>
  </si>
  <si>
    <t>cd03302, Adenylsuccinate_lyase_2, Adenylsuccinate lyase (ASL)_subgroup 2.  This subgroup contains mainly eukaryotic proteins similar to ASL, a member of the Lyase class I family. Members of this family for the most part catalyze similar beta-elimination reactions in which a C-N or C-O bond is cleaved with the release of fumarate as one of the products. These proteins are active as tetramers. The four active sites of the homotetrameric enzyme are each formed by residues from three different subunits. ASL catalyzes two steps in the de novo purine biosynthesis: the conversion of 5-aminoimidazole-(N-succinylocarboxamide) ribotide (SAICAR) into 5-aminoimidazole-4-carboxamide ribotide (AICAR) and, the conversion of adenylsuccinate (SAMP) into adenosine monophosphate (AMP). ASL deficiency has been linked to several pathologies including psychomotor retardation with autistic features, epilepsy and muscle wasting.</t>
  </si>
  <si>
    <t>Adenylsuccinate_lyase_2 | Adenylsuccinate_lyase_like e-126| Adenylosuccinate_lyase e-109| PurB e-109| Lyase_I 5e-074| PRK08540 4e-060| Adenylsuccinate_lyase_1 3e-058| PRK08937 5e-051| pCLME 3e-044| PRK06390 5e-040|</t>
  </si>
  <si>
    <t>KOG2700, KOG2700, KOG2700, Adenylosuccinate lyase [Nucleotide transport and metabolism].</t>
  </si>
  <si>
    <t>pfam10397, ADSL_C, Adenylosuccinate lyase C-terminus.  This is the C-terminal seven alpha helices of the structure whose full length represents the enzyme adenylosuccinate lyase. This sequence lies C-terminal to the conserved motif necessary for beta-elimination reactions, Adenylosuccinate lyase catalyzes two steps in the synthesis of purine nucleotides: the conversion of succinylaminoimidazole-carboxamide ribotide into aminoimidazole-carboxamide ribotide, the eighth step of the de novo pathway, and the formation of adenosine monophosphate (AMP) from adenylosuccinate, the second step in the conversion of inosine monophosphate into AMP.</t>
  </si>
  <si>
    <t>smart00998, ADSL_C, Adenylosuccinate lyase C-terminus. Adenylosuccinate lyase catalyses two steps in the synthesis of purine nucleotides: the conversion of succinylaminoimidazole-carboxamide ribotide into aminoimidazole-carboxamide ribotide (the fifth step of de novo IMP biosynthesis); the formation of adenosine monophosphate (AMP) from adenylosuccinate (the final step in the synthesis of AMP from IMP). This entry represents the C-terminal, seven alpha-helical, domain of adenylosuccinate lyase.</t>
  </si>
  <si>
    <t>AGAP002406-RA</t>
  </si>
  <si>
    <t xml:space="preserve">COMM domain-containing protein 2 </t>
  </si>
  <si>
    <t>COMM domain-containing protein 2</t>
  </si>
  <si>
    <t>AGAP002406-PA</t>
  </si>
  <si>
    <t xml:space="preserve"> comm domain-containing protein 2</t>
  </si>
  <si>
    <t>cd04750, Commd2, COMM_Domain containing protein 2. The COMM Domain is found at the C-terminus of a variety of proteins; presumably all COMM_Domain containing proteins are located in the nucleus and the COMM domain plays a role in protein-protein interactions. Several family members have been shown to bind and inhibit NF-kappaB.</t>
  </si>
  <si>
    <t>Commd2 5e-053| COMM_domain 3e-004| Commd 0.026| minC | Glu_syn_central | acc_ester | putative_pilus_assembly_and_synthesis_...    28   4.9   | growth_hormone_like | DUF810 | Commd1_MURR1 |</t>
  </si>
  <si>
    <t>KOG2203, KOG2203, KOG2203, GTP-binding protein [General function prediction only].</t>
  </si>
  <si>
    <t>pfam07258, COMM_domain, COMM domain.  The leucine-rich, 70-85 amino acid long COMM domain is predicted to form a beta-sheet and an extreme C-terminal alpha- helix. The COMM domain containing proteins are about 200 residues in length and passed the C-terminal COMM domain.</t>
  </si>
  <si>
    <t>smart00313, PXA, Domain associated with PX domains.  unpubl. observations.</t>
  </si>
  <si>
    <t xml:space="preserve"> AgamP4_2R:20975063-20975892(+) </t>
  </si>
  <si>
    <t>AGAP002434-RB</t>
  </si>
  <si>
    <t>AGAP002434-PB</t>
  </si>
  <si>
    <t xml:space="preserve"> centrosomin</t>
  </si>
  <si>
    <t>cs</t>
  </si>
  <si>
    <t xml:space="preserve"> AgamP4_2R:21366695-21375362(+) </t>
  </si>
  <si>
    <t xml:space="preserve">3 | 660    HQQRTRR|RE  0.547 *ProP*  | 884    LQQRHRR|EL  0.630 *ProP*  | 1050    QHPRSPR|GS  0.533 *ProP*  | </t>
  </si>
  <si>
    <t>AGAP002470-RA</t>
  </si>
  <si>
    <t xml:space="preserve">39S ribosomal protein L27, mitochondrial </t>
  </si>
  <si>
    <t>mRpL27: 39S ribosomal protein L27, mitochondrial</t>
  </si>
  <si>
    <t>mitochondrial 39S ribosomal protein L27</t>
  </si>
  <si>
    <t>AGAP002470-PA</t>
  </si>
  <si>
    <t xml:space="preserve"> 39s ribosomal protein l27</t>
  </si>
  <si>
    <t>pfam01016, Ribosomal_L27, Ribosomal L27 protein.</t>
  </si>
  <si>
    <t>Ribosomal_L27 2e-020| rpmA 5e-016| RpmA 2e-015| 50S_ribosomal_protein_L27 1e-012| rpl27 2e-012| hypothetical_protein_DESPIG_00326 0.067| PRK05964 | COG1262 | PRK07495 | GabT |</t>
  </si>
  <si>
    <t>KOG4600, KOG4600, KOG4600, Mitochondrial ribosomal protein MRP7 (L2) [Translation, ribosomal structure and biogenesis].</t>
  </si>
  <si>
    <t>smart00950, Piwi, 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t>
  </si>
  <si>
    <t xml:space="preserve"> AgamP4_2R:21844846-21845399(-) </t>
  </si>
  <si>
    <t>Anopheles stephensi</t>
  </si>
  <si>
    <t>AGAP002500-RA</t>
  </si>
  <si>
    <t xml:space="preserve">monothiol glutaredoxin </t>
  </si>
  <si>
    <t>monothiol glutaredoxin</t>
  </si>
  <si>
    <t>glutaredoxin-related protein 5 mitochondrial</t>
  </si>
  <si>
    <t>AGAP002500-PA</t>
  </si>
  <si>
    <t xml:space="preserve"> glutaredoxin-related protein 5</t>
  </si>
  <si>
    <t>ExpAA=0.04 First60=0.04 PredHel=0 Topology=o</t>
  </si>
  <si>
    <t>cd03028, GRX_PICOT_like, Glutaredoxin (GRX) family, PKC-interacting cousin of TRX (PICOT)-like subfamily; composed of PICOT and GRX-PICOT-like proteins. The non-PICOT members of this family contain only the GRX-like domain, whereas PICOT contains an N-terminal TRX-like domain followed by one to three GRX-like domains. It is interesting to note that PICOT from plants contain three repeats of the GRX-like domain, metazoan proteins (except for insect) have two repeats, while fungal sequences contain only one copy of the domain. PICOT is a protein that interacts with protein kinase C (PKC) theta, a calcium independent PKC isoform selectively expressed in skeletal muscle and T lymphocytes. PICOT inhibits the activation of c-Jun N-terminal kinase and the transcription factors, AP-1 and NF-kB, induced by PKC theta or T-cell activating stimuli. Both GRX and TRX domains of PICOT are required for its activity. Characterized non-PICOT members of this family include CXIP1, a CAX-interacting protein in Arabidopsis thaliana, and PfGLP-1, a GRX-like protein from Plasmodium falciparum.</t>
  </si>
  <si>
    <t>GRX_PICOT_like 4e-045| TIGR00365 3e-041| COG0278 3e-039| PTZ00062 8e-026| GRX_family 7e-025| PRK10824 2e-022| Glutaredoxin 4e-019| GRX_GRXh_1_2_like 1e-010| Uncharacterized_monothiol_glutaredoxin...    58   1e-009 1e-009| GRX_GRX_like 1e-009|</t>
  </si>
  <si>
    <t>KOG0911, KOG0911, KOG0911, Glutaredoxin-related protein [Posttranslational modification, protein turnover, chaperones].</t>
  </si>
  <si>
    <t>pfam00462, Glutaredoxin, Glutaredoxin.</t>
  </si>
  <si>
    <t>smart00187, INB, Integrin beta subunits (N-terminal portion of extracellular region).  Portion of beta integrins that lies N-terminal to their EGF-like repeats. Integrins are cell adhesion molecules that mediate cell-extracellular matrix and cell-cell interactions. They contain both alpha and beta subunits. Beta integrins are proposed to have a von Willebrand factor type-A "insert" or "I" -like domain (although this remains to be confirmed).</t>
  </si>
  <si>
    <t xml:space="preserve"> AgamP4_2R:22049646-22050154(-) </t>
  </si>
  <si>
    <t>AGAP002630-RA</t>
  </si>
  <si>
    <t xml:space="preserve">NADH dehydrogenase (ubiquinone) 1 beta subcomplex 2 </t>
  </si>
  <si>
    <t>NADH dehydrogenase (ubiquinone) 1 beta subcomplex 2</t>
  </si>
  <si>
    <t>NADH dehydrogenase (ubiquinone) 1 beta subcomplex subunit 2 mitochondrial - signalP detected</t>
  </si>
  <si>
    <t>AGAP002630-PA</t>
  </si>
  <si>
    <t xml:space="preserve"> nadh dehydrogenase ubiquinone 1 beta subcomplex subunit 2 - signalP detected</t>
  </si>
  <si>
    <t>ExpAA=5.14 First60=2.73 PredHel=0 Topology=o</t>
  </si>
  <si>
    <t>Pongo pygmaeus</t>
  </si>
  <si>
    <t>pfam14813, NADH_B2, NADH dehydrogenase 1 beta subcomplex subunit 2. This family represents an accessory subunit of the mitochondrial membrane respiratory chain NADH dehydrogenase (Complex I), that is believed not to be involved in catalysis.</t>
  </si>
  <si>
    <t>NADH_B2 5e-026| CyoA | ATPase-IIA1_Ca | rpsC | Heme-copper_oxidase_subunit_2 | SLC6sbd_SIT1 | P-type_ATPase_SERCA | ProQ | OYE_like_3_FMN | SH2_Nterm_shark_like |</t>
  </si>
  <si>
    <t>KOG0369, KOG0369, KOG0369, Pyruvate carboxylase [Energy production and conversion].</t>
  </si>
  <si>
    <t>smart00945, ProQ, ProQ/FINO family.  This family includes ProQ, which is required for full activation of the osmoprotectant transporter, ProQ, in Escherichia coli.</t>
  </si>
  <si>
    <t xml:space="preserve"> AgamP4_2R:24620285-24620831(-) </t>
  </si>
  <si>
    <t>W(6.11)</t>
  </si>
  <si>
    <t>AGAP002638-RA</t>
  </si>
  <si>
    <t xml:space="preserve">ATP-binding cassette transporter (ABC transporter) family H member 1 </t>
  </si>
  <si>
    <t>ABCH1: ATP-binding cassette transporter (ABC transporter) family H member 1</t>
  </si>
  <si>
    <t>ABC transporter G family member 20-like - 7 predicted membrane helices</t>
  </si>
  <si>
    <t>AGAP002638-PA</t>
  </si>
  <si>
    <t xml:space="preserve"> protein - 7 predicted membrane helices</t>
  </si>
  <si>
    <t>imm membrane</t>
  </si>
  <si>
    <t>ExpAA=144.22 First60=0.00 PredHel=7 Topology=o393-415i582-604o609-626i633-655o660-682i689-711o749-771i</t>
  </si>
  <si>
    <t>Dictyostelium discoideum</t>
  </si>
  <si>
    <t>COG1131, CcmA, ABC-type multidrug transport system, ATPase component [Defense mechanisms].</t>
  </si>
  <si>
    <t>CcmA 6e-063| ABC_subfamily_A 2e-046| ABC_DrrA 1e-042| ABC_drug_resistance_like 1e-040| drrA 9e-040| ABC_Carb_Solutes_like 3e-036| PRK13537 8e-036| PRK13536 3e-035| ABC_MJ0796_LolCDE_FtsE 6e-035| FepC 9e-035|</t>
  </si>
  <si>
    <t>KOG0059, KOG0059, KOG0059, Lipid exporter ABCA1 and related proteins, ABC superfamily [Lipid transport and metabolism, General function prediction only].</t>
  </si>
  <si>
    <t xml:space="preserve">Lipid transport and metabolism, General function prediction only </t>
  </si>
  <si>
    <t>pfam00005, ABC_tran, ABC transporter.  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pfam00664. These four domains may belong to a single polypeptide as in CFTR, or belong in different polypeptide chains.</t>
  </si>
  <si>
    <t>smart00382, AAA, ATPases associated with a variety of cellular activities.  AAA - ATPases associated with a variety of cellular activities. This profile/alignment only detects a fraction of this vast family. The poorly conserved N-terminal helix is missing from the alignment.</t>
  </si>
  <si>
    <t xml:space="preserve"> AgamP4_2R:24844985-24847767(+) </t>
  </si>
  <si>
    <t>AGAP002730-RA</t>
  </si>
  <si>
    <t xml:space="preserve">iron-sulfur cluster assembly protein </t>
  </si>
  <si>
    <t>iron-sulfur cluster assembly protein</t>
  </si>
  <si>
    <t>iron-sulfur cluster assembly 1 homolog mitochondrial</t>
  </si>
  <si>
    <t>AGAP002730-PA</t>
  </si>
  <si>
    <t xml:space="preserve"> iron-sulfur cluster assembly 1</t>
  </si>
  <si>
    <t>TIGR00049, Uncharacterized_protein_in_nifU_5'region, Iron-sulfur cluster assembly accessory protein.  Proteins in this subfamily appear to be associated with the process of FeS-cluster assembly. The HesB proteins are associated with the nif gene cluster and the Rhizobium gene IscN has been shown to be required for nitrogen fixation. Nitrogenase includes multiple FeS clusters and many genes for their assembly. The E. coli SufA protein is associated with SufS, a NifS homolog and SufD which are involved in the FeS cluster assembly of the FhnF protein. The Azotobacter protein IscA (homologs of which are also found in E.coli) is associated which IscS, another NifS homolog and IscU, a nifU homolog as well as other factors consistent with a role in FeS cluster chemistry. A homolog from Geobacter contains a selenocysteine in place of an otherwise invariant cysteine, further suggesting a role in redox chemistry. [Biosynthesis of cofactors, prosthetic groups, and carriers, Other].</t>
  </si>
  <si>
    <t>Uncharacterized_protein_in_nifU_5'regi...   145   7e-036 7e-036| sufA 2e-032| Protein_SufA 1e-026| Protein_yfhF. 7e-023| iscA 4e-021| sufA 8e-021| PRK13623 4e-018| Fe-S_biosyn 2e-012| PLN03082 1e-008| YhgI_GntY 0.001|</t>
  </si>
  <si>
    <t>KOG1120, KOG1120, KOG1120, Fe-S cluster biosynthesis protein ISA1 (contains a HesB-like domain) [Inorganic ion transport and metabolism].</t>
  </si>
  <si>
    <t xml:space="preserve">Inorganic ion transport and metabolism </t>
  </si>
  <si>
    <t>pfam01521, Fe-S_biosyn, Iron-sulphur cluster biosynthesis.  This family is involved in iron-sulphur cluster biosynthesis. Its members include proteins that are involved in nitrogen fixation such as the HesB and HesB-like proteins.</t>
  </si>
  <si>
    <t xml:space="preserve"> AgamP4_2R:26297858-26298664(-) </t>
  </si>
  <si>
    <t>AGAP002788-RA</t>
  </si>
  <si>
    <t xml:space="preserve">MICOS complex subunit [Source:UniProtKB/TrEMBL;Acc:Q7QCS7] </t>
  </si>
  <si>
    <t>MICOS complex subunit</t>
  </si>
  <si>
    <t>Apolipoprotein O - signalP detected - 2 predicted membrane helices</t>
  </si>
  <si>
    <t>lipd transport</t>
  </si>
  <si>
    <t>AGAP002788-PA</t>
  </si>
  <si>
    <t xml:space="preserve"> micos complex subunit mic27outer membrane abnormal protein 1precursor - signalP detected - 2 predicted membrane helices</t>
  </si>
  <si>
    <t>met/energy membrane</t>
  </si>
  <si>
    <t>ExpAA=19.54 First60=0.14 PredHel=1 Topology=i127-146o</t>
  </si>
  <si>
    <t>Paramecium tetraurelia strain d4-2</t>
  </si>
  <si>
    <t>Caenorhabditis elegans</t>
  </si>
  <si>
    <t>pfam09769, ApoO, Apolipoprotein O.  Members of this family promote cholesterol efflux from macrophage cells. They are present in various lipoprotein complexes, including HDL, LDL and VLDL. The apoprotein is secreted by a microsomal triglyceride transfer protein (MTTP)-dependent mechanism, probably as a VLDL-associated protein that is subsequently transferred to HDL.</t>
  </si>
  <si>
    <t>ApoO 3e-022| PLN03128 | DUF554 | PRK13317 | QH-AmDH_gamma | TPP_PFOR_PNO | Sulfate_transporter | AAT | Herpes_UL17 | RuBisCO_large_I_II_III |</t>
  </si>
  <si>
    <t>KOG4798, KOG4798, KOG4798, Uncharacterized conserved protein [Function unknown].</t>
  </si>
  <si>
    <t>smart00701, PGRP, Animal peptidoglycan recognition proteins homologous to Bacteriophage T3 lysozyme.  The bacteriophage molecule, but not its moth homologue, has been shown to have N-acetylmuramoyl-L-alanine amidase activity. One member of this family, Tag7, is a cytokine.</t>
  </si>
  <si>
    <t>AGAP002858-RB</t>
  </si>
  <si>
    <t xml:space="preserve">Sodium/potassium-transporting ATPase subunit alpha [Source:UniProtKB/TrEMBL;Acc:F5HKJ1] </t>
  </si>
  <si>
    <t>Sodium/potassium-transporting ATPase subunit alpha</t>
  </si>
  <si>
    <t>sodium/potassium-transporting ATPase subunit alpha - 8 predicted membrane helices</t>
  </si>
  <si>
    <t>AGAP002858-PB</t>
  </si>
  <si>
    <t xml:space="preserve"> sodium/potassium-transporting atpase subunit alpha - 8 predicted membrane helices</t>
  </si>
  <si>
    <t>ExpAA=172.89 First60=0.00 PredHel=8 Topology=i72-94o107-126i267-289o299-321i829-851o890-909i929-951o961-978i</t>
  </si>
  <si>
    <t>TIGR01106, Potassium-transporting_ATPase_alpha_chain, sodium or proton efflux -- potassium uptake antiporter, P-type ATPase, alpha subunit.  This model describes the P-type ATPases responsible for the exchange of either protons or sodium ions for potassium ions across the plasma membranes of eukaryotes. Unlike most other P-type ATPases, members of this subfamily require a beta subunit for activity. This model encompasses eukaryotes and consists of two functional types, a Na/K antiporter found widely distributed in eukaryotes and a H/K antiporter found only in vertebrates. The Na+ or H+/K+ antiporter P-type ATPases have been characterized as Type IIC based on a published phylogenetic analysis. Sequences from Blastocladiella emersonii (GP|6636502, GP|6636502 and PIR|T43025), C. elegans (GP|2315419, GP|6671808 and PIR|T31763) and Drosophila melanogaster (GP|7291424) score below trusted cutoff, apparently due to long branch length (excessive divergence from the last common ancestor) as evidenced by a phylogenetic tree. Experimental evidence is needed to determine whether these sequences represent ATPases with conserved function. Aside from fragments, other sequences between trusted and noise appear to be bacterial ATPases of unclear lineage, but most likely calcium pumps. [Energy metabolism, ATP-proton motive force interconversion].</t>
  </si>
  <si>
    <t>Potassium-transporting_ATPase_alpha_ch...  2041   0.0   | P-type_ATPase_Na-K_like | MgtA | P-type_ATPase_cation | P-type_ATPase_Ca_prok e-179| P-type_ATPase_SERCA e-142| ATPase-IIA2_Ca e-136| P-type_ATPase_Na_ENA e-130| P-type_ATPase_SPCA e-129| ATPase-IIA1_Ca e-124|</t>
  </si>
  <si>
    <t>KOG0203, KOG0203, KOG0203, Na+/K+ ATPase, alpha subunit [Inorganic ion transport and metabolism].</t>
  </si>
  <si>
    <t>pfam00122, E1-E2_ATPase, E1-E2 ATPase.</t>
  </si>
  <si>
    <t>smart00831, Cation_ATPase_N, Cation transporter/ATPase, N-terminus.  This entry represents the conserved N-terminal region found in several classes of cation-transporting P-type ATPases, including those that transport H+, Na+, Ca2+, Na+/K+, and H+/K+. In the H+/K+- and Na+/K+-exchange P-ATPases, this domain is found in the catalytic alpha chain. In gastric H+/K+-ATPases, this domain undergoes reversible sequential phosphorylation inducing conformational changes that may be important for regulating the function of these ATPases.</t>
  </si>
  <si>
    <t>AGAP003047-RC</t>
  </si>
  <si>
    <t xml:space="preserve">ATP-dependent RNA helicase </t>
  </si>
  <si>
    <t>ATP-dependent RNA helicase</t>
  </si>
  <si>
    <t>Superfamily II DNA and RNA helicases (DNA replication - probable fragment</t>
  </si>
  <si>
    <t>AGAP003047-PC</t>
  </si>
  <si>
    <t xml:space="preserve"> dead-box helicase domain of dead box protein 3</t>
  </si>
  <si>
    <t>COG0513, SrmB, Superfamily II DNA and RNA helicases [DNA replication, recombination, and repair / Transcription / Translation, ribosomal structure and biogenesis].</t>
  </si>
  <si>
    <t>SrmB 5e-086| PTZ00110 5e-078| PRK11776 2e-062| PLN00206 9e-055| PRK10590 2e-051| PRK11192 1e-049| PRK01297 1e-049| PRK04537 7e-049| PTZ00424 9e-045| DEADc 1e-044|</t>
  </si>
  <si>
    <t>KOG0335, KOG0335, KOG0335, ATP-dependent RNA helicase [RNA processing and modification].</t>
  </si>
  <si>
    <t xml:space="preserve">RNA processing and modification </t>
  </si>
  <si>
    <t>pfam00271, Helicase_C, Helicase conserved C-terminal domain.  The Prosite family is restricted to DEAD/H helicases, whereas this domain family is found in a wide variety of helicases and helicase related proteins. It may be that this is not an autonomously folding unit, but an integral part of the helicase.</t>
  </si>
  <si>
    <t>smart00487, DEXDc, DEAD-like helicases superfamily.</t>
  </si>
  <si>
    <t xml:space="preserve"> AgamP4_2R:31427207-31433393(-) </t>
  </si>
  <si>
    <t xml:space="preserve">3 | 269    SDRRDGR|GG  0.557 *ProP*  | 714    RRGRVPR|GG  0.650 *ProP*  | 742    GGSRDHR|PM  0.516 *ProP*  | </t>
  </si>
  <si>
    <t>G(3.34)</t>
  </si>
  <si>
    <t>AGAP003088-RA</t>
  </si>
  <si>
    <t>Conserved plasma membrane protein - 4 predicted membrane helices</t>
  </si>
  <si>
    <t>uc/memb</t>
  </si>
  <si>
    <t>AGAP003088-PA</t>
  </si>
  <si>
    <t xml:space="preserve"> tmem192 family - Conserved membrane protein  - 4 predicted membrane helices</t>
  </si>
  <si>
    <t xml:space="preserve">uc/memb </t>
  </si>
  <si>
    <t>ExpAA=84.32 First60=11.14 PredHel=4 Topology=i50-72o82-104i125-147o167-189i</t>
  </si>
  <si>
    <t>pfam14802, TMEM192, TMEM192 family.  The function of this family of transmembrane proteins is unknown. In vertebrates, proteins in this family are located in the lysosomal membrane and late endosome. In Arabidopsis, a member of this family has been found to weakly interact with FRIGIDA, a determinant of flowering time.</t>
  </si>
  <si>
    <t>TMEM192 1e-072| PRK00306 | DUF3246 | Rer1 | COG2015 | Ribosomal_L29 | GntP_permease | CENP-I | PRK05354 | FeS_repair_RIC |</t>
  </si>
  <si>
    <t>KOG1319, KOG1319, KOG1319, bHLHZip transcription factor BIGMAX [Transcription].</t>
  </si>
  <si>
    <t>smart00927, MutH, DNA mismatch repair enzyme MutH.  MutS, MutL and MutH are the three essential proteins for initiation of methyl-directed DNA mismatch repair to correct mistakes made during DNA replication in Escherichia coli. MutH cleaves a newly synthesized and unmethylated daughter strand 5' to the sequence d(GATC) in a hemi-methylated duplex. Activation of MutH requires the recognition of a DNA mismatch by MutS and MutL.</t>
  </si>
  <si>
    <t xml:space="preserve"> AgamP4_2R:32381912-32383257(-) </t>
  </si>
  <si>
    <t>AGAP003112-RA</t>
  </si>
  <si>
    <t xml:space="preserve">vesicle transport through interaction with t-SNAREs 1 </t>
  </si>
  <si>
    <t>vesicle transport through interaction with t-SNAREs 1</t>
  </si>
  <si>
    <t>vesicle transport v-SNARE 12 - 2 predicted membrane helices</t>
  </si>
  <si>
    <t>AGAP003112-PA</t>
  </si>
  <si>
    <t xml:space="preserve"> vesicle transport through interaction with t-snares protein - 2 predicted membrane helices</t>
  </si>
  <si>
    <t>ExpAA=22.35 First60=0.00 PredHel=1 Topology=i84-106o</t>
  </si>
  <si>
    <t>cd15890, SNARE_Vti1b, SNARE motif of Vti1b-like.  Vti1b (vesicle transport through interaction with t-SNAREs homolog 1B) belongs to the Qb subgroup of SNAREs (soluble N-ethylmaleimide-sensitive factor attachment protein receptor). Vti1b interacts with syntaxin 7 (Qa), syntaxin 8 (Qc), and the lysosomal R-SNARE VAMP8 or VAMP7 to form the endosomal SNARE core complexes that mediate transport from the early endosomes and the MVBs (multivesicular bodies), and from the MVBs to the lysosomes, respectively. SNARE  proteins consist of coiled-coil helices (called SNARE motifs) which mediate the interactions between SNARE proteins, and a transmembrane domain. The SNARE complex mediates membrane fusion, important for trafficking of newly synthesized proteins, recycling of pre-existing proteins and organelle formation. SNARE proteins are classified into four groups, Qa-, Qb-, Qc- and R-SNAREs, depending on whether the residue in the hydrophilic center layer of the four-helical bundle is a glutamine (Q) or arginine (R). Qa-, as well as Qb- and Qc-SNAREs, are localized to target organelle membranes, while R-SNARE is localized to vesicle membranes. They form unique complexes consisting of one member of each subgroup, that mediate fusion between a specific type of vesicles and their target organelle. Their SNARE motifs form twisted and parallel heterotetrameric helix bundles. Examples for members of the Qb SNAREs are N-terminal domains of SNAP23 and SNAP25, Vti1, Sec20 and GS27.</t>
  </si>
  <si>
    <t>SNARE_Vti1b 2e-012| SNARE_Vti1 2e-007| SNARE_Vti1a 8e-007| V-SNARE_C 6e-006| SNARE_SNAP25N_23N_29N_SEC9N 2e-004| SNARE_Qb 0.044| SNARE_SNAP29N 0.094| Sec20 | flgL | SNARE_SEC9N |</t>
  </si>
  <si>
    <t>KOG1666, KOG1666, KOG1666, V-SNARE [Intracellular trafficking, secretion, and vesicular transport].</t>
  </si>
  <si>
    <t>pfam12352, V-SNARE_C, Snare region anchored in the vesicle membrane C-terminus.  Within the SNARE proteins interactions in the C-terminal half of the SNARE helix are critical to the driving of membrane fusion; whereas interactions in the N-terminal half of the SNARE domain are important for promoting priming or docking of the vesicle pfam05008.</t>
  </si>
  <si>
    <t>smart00397, t_SNARE, Helical region found in SNAREs.  All alpha-helical motifs that form twisted and parallel four-helix bundles in target soluble N-ethylmaleimide-sensitive factor (NSF) attachment protein (SNAP) receptor proteins. This motif found in "Q-SNAREs".</t>
  </si>
  <si>
    <t xml:space="preserve"> AgamP4_2R:32509167-32509584(-) </t>
  </si>
  <si>
    <t>AGAP003153-RD</t>
  </si>
  <si>
    <t xml:space="preserve">V-type proton ATPase catalytic subunit A [Source:UniProtKB/Swiss-Prot;Acc:Q5TTG1] </t>
  </si>
  <si>
    <t>VATA: V-type proton ATPase catalytic subunit A</t>
  </si>
  <si>
    <t>Vacuolar H+-ATPase V1 sector subunit A</t>
  </si>
  <si>
    <t>tr</t>
  </si>
  <si>
    <t>AGAP003153-PD</t>
  </si>
  <si>
    <t xml:space="preserve"> gnlcdd130115</t>
  </si>
  <si>
    <t>ExpAA=0.14 First60=0.13 PredHel=0 Topology=o</t>
  </si>
  <si>
    <t>TIGR01042, V-type_proton_ATPase_catalytic_subunit_A, V-type (H+)-ATPase V1, A subunit.  This models eukaryotic vacuolar (H+)-ATPase that is responsible for acidifying cellular compartments. This enzyme shares extensive sequence similarity with archaeal ATP synthase. [Transport and binding proteins, Cations and iron carrying compounds].</t>
  </si>
  <si>
    <t>V-type_proton_ATPase_catalytic_subunit...  1220   0.0   | NtpA | PRK04192 | V_A-ATPase_A | V-type_ATP_synthase_alpha_chain | PRK14698 e-106| ATP-synt_ab 5e-083| ATP-synt_ab_Xtn 4e-056| III_secr_ATP 3e-037| ATPase_flagellum-secretory_path_III 3e-036|</t>
  </si>
  <si>
    <t>KOG1352, KOG1352, KOG1352, Vacuolar H+-ATPase V1 sector, subunit A [Energy production and conversion].</t>
  </si>
  <si>
    <t>pfam00006, ATP-synt_ab, ATP synthase alpha/beta family, nucleotide-binding domain.  This entry includes the ATP synthase alpha and beta subunits, the ATP synthase associated with flagella and the termination factor Rho.</t>
  </si>
  <si>
    <t xml:space="preserve">1 | 212    WPVRQPR|PV  0.548 *ProP*  | </t>
  </si>
  <si>
    <t>AGAP003178-RA</t>
  </si>
  <si>
    <t xml:space="preserve">glutaredoxin </t>
  </si>
  <si>
    <t>GRX2: glutaredoxin</t>
  </si>
  <si>
    <t>thioredoxin domain-containing protein 17-like</t>
  </si>
  <si>
    <t>detox/ox</t>
  </si>
  <si>
    <t>AGAP003178-PA</t>
  </si>
  <si>
    <t xml:space="preserve"> trq7qbg9q7qbg9 anoga thioredoxin domain-containing protein 7 os-ox-76 gn-grx2 pe-4 sv-2</t>
  </si>
  <si>
    <t>ExpAA=0.31 First60=0.31 PredHel=0 Topology=o</t>
  </si>
  <si>
    <t>Danio rerio</t>
  </si>
  <si>
    <t>pfam06110, DUF953, Eukaryotic protein of unknown function (DUF953). This family consists of several hypothetical eukaryotic proteins of unknown function.</t>
  </si>
  <si>
    <t>DUF953 1e-037| TRP14_like 2e-035| TRX_family 0.012| TlpA_like_family 0.072| DsbA_FrnE_like 0.097| Thioredoxin_9 | TrxA | PRK07050 | SecA2_Mycobac | Redoxin |</t>
  </si>
  <si>
    <t>KOG3425, KOG3425, KOG3425, Uncharacterized conserved protein [Function unknown].</t>
  </si>
  <si>
    <t>smart00795, Agro_virD5, Agrobacterium VirD5 protein.  The virD operon in Agrobacterium encodes a site-specific endonuclease, and a number of other poorly characterised products. This family represents the VirD5 protein.</t>
  </si>
  <si>
    <t xml:space="preserve"> AgamP4_2R:33578378-33578915(-) </t>
  </si>
  <si>
    <t>AGAP003248-RA</t>
  </si>
  <si>
    <t>Trypsin - signalP detected</t>
  </si>
  <si>
    <t>met/aa/secreted Trypsin</t>
  </si>
  <si>
    <t>AGAP003248-PA</t>
  </si>
  <si>
    <t xml:space="preserve"> easter peptidase - signalP detected</t>
  </si>
  <si>
    <t>s/protease</t>
  </si>
  <si>
    <t>ExpAA=12.89 First60=12.74 PredHel=1 Topology=i7-29o</t>
  </si>
  <si>
    <t>Emiliania huxleyi CCMP1516</t>
  </si>
  <si>
    <t>cd00190, Tryp_SPc, Trypsin-like serine protease; Many of these are synthesized as inactive precursor zymogens that are cleaved during limited proteolysis to generate their active forms. Alignment contains also inactive enzymes that have substitutions of the catalytic triad residues.</t>
  </si>
  <si>
    <t>Tryp_SPc 4e-042| Tryp_SPc 3e-041| Trypsin 4e-027| COG5640 4e-015| COG3591 0.002| McrC | DUF316 | PCC | COG5316 | PrpD |</t>
  </si>
  <si>
    <t>KOG3627, KOG3627, KOG3627, Trypsin [Amino acid transport and metabolism].</t>
  </si>
  <si>
    <t>pfam00089, Trypsin, Trypsin.</t>
  </si>
  <si>
    <t>smart00020, Tryp_SPc, Trypsin-like serine protease.  Many of these are synthesised as inactive precursor zymogens that are cleaved during limited proteolysis to generate their active forms. A few, however, are active as single chain molecules, and others are inactive due to substitutions of the catalytic triad residues.</t>
  </si>
  <si>
    <t xml:space="preserve"> AgamP4_2R:34459982-34460948(-) </t>
  </si>
  <si>
    <t>W(3.16)</t>
  </si>
  <si>
    <t>AGAP003367-RA</t>
  </si>
  <si>
    <t xml:space="preserve">NADH dehydrogenase (ubiquinone) 1 alpha subcomplex 2 </t>
  </si>
  <si>
    <t>NADH dehydrogenase (ubiquinone) 1 alpha subcomplex 2</t>
  </si>
  <si>
    <t>Mitochondrial ribosomal protein L51 / S25 / CI-B8 domain</t>
  </si>
  <si>
    <t>AGAP003367-PA</t>
  </si>
  <si>
    <t xml:space="preserve"> ubiquinone oxidoreductase ndufa2/b8 subunit</t>
  </si>
  <si>
    <t>smart00916, L51_S25_CI-B8, Mitochondrial ribosomal protein L51 / S25 / CI-B8 domain.  Proteins containing this domain are located in the mitochondrion and include ribosomal protein L51, and S25. This domain is also found in mitochondrial NADH-ubiquinone oxidoreductase B8 subunit (CI-B8) . It is not known whether all members of this family form part of the NADH-ubiquinone oxidoreductase and whether they are also all ribosomal proteins.</t>
  </si>
  <si>
    <t>L51_S25_CI-B8 1e-019| L51_S25_CI-B8 4e-014| PRK15313 | XR_like_SDR_c | TPP_PFOR_PNO | D-AAT_like | PRK10874 |</t>
  </si>
  <si>
    <t>KOG3446, KOG3446, KOG3446, NADH:ubiquinone oxidoreductase NDUFA2/B8 subunit [Energy production and conversion].</t>
  </si>
  <si>
    <t>pfam05047, L51_S25_CI-B8, Mitochondrial ribosomal protein L51 / S25 / CI-B8 domain.  The proteins in this family are located in the mitochondrion. The family includes ribosomal protein L51, and S25. This family also includes mitochondrial NADH-ubiquinone oxidoreductase B8 subunit (CI-B8) EC:1.6.5.3. It is not known whether all members of this family form part of the NADH-ubiquinone oxidoreductase and whether they are also all ribosomal proteins. Structurally related to thioredoxin-fold.</t>
  </si>
  <si>
    <t xml:space="preserve"> AgamP4_2R:36893208-36893713(+) </t>
  </si>
  <si>
    <t>AGAP003372-RB</t>
  </si>
  <si>
    <t xml:space="preserve">Haloacid dehalogenase-like hydrolase domain-containing protein 1A </t>
  </si>
  <si>
    <t>Haloacid dehalogenase-like hydrolase domain-containing protein 1A</t>
  </si>
  <si>
    <t>AGAP003372-PB</t>
  </si>
  <si>
    <t xml:space="preserve"> subfamily protein of beta-phosphoglucomutase-like family</t>
  </si>
  <si>
    <t>cd07529, HAD_AtGPP-like, subfamily of beta-phosphoglucomutase-like family, similar to Arabidopsis thaliana Gpp1 and Gpp2. This subfamily includes Arabidopsis thaliana AtGpp1 and AtGpp2, and Drosophila GS1-like protein (Dmel\Gs1l) of unknown function. AtGpp1 and AtGpp2 are constitutively expressed in all the Arabidopsis tissues and unaffected under abiotic stress. Overexpression of AtGpp2 in transgenic Arabidopsis plants increases the specific DL-glycerol-3-phosphatase activity and improves the plants tolerance to salt, osmotic and oxidative stress. It belongs to the beta-phosphoglucomutase-like family whose other members include Lactococcus lactis beta-PGM, a mutase which catalyzes the interconversion of beta-D-glucose 1-phosphate (G1P) and D-glucose 6-phosphate (G6P), Saccharomyces cerevisiae phosphatases GPP1 and GPP2 that dephosphorylate DL-glycerol-3-phosphate and DOG1 and DOG2 that dephosphorylate 2-deoxyglucose-6-phosphate, and Escherichia coli 6-phosphogluconate phosphatase YieH. This family belongs to the haloacid dehalogenase-like (HAD) hydrolases, a large superfamily of diverse enzymes that catalyze carbon or phosphoryl group transfer reactions on a range of substrates, using an active site aspartate in nucleophilic catalysis. Members of this superfamily include 2-L-haloalkanoic acid dehalogenase, azetidine hydrolase, phosphonoacetaldehyde hydrolase, phosphoserine phosphatase, phosphomannomutase, P-type ATPases and many others. HAD hydrolases are found in all three kingdoms of life, and most genomes are predicted to contain multiple HAD-like proteins. Members possess a highly conserved alpha/beta core domain, and many also possess a small cap domain, the fold and function of which is variable. HAD hydrolases are sometimes referred to as belonging to the DDDD superfamily of phosphohydrolases.</t>
  </si>
  <si>
    <t>HAD_AtGPP-like 5e-066| PLN02811 3e-063| PLN02940 1e-040| COG0637 1e-035| HAD_BPGM-like 8e-031| HAD_BPGM-like 8e-027| HAD-SF-IA-v3 6e-023| Hypothetical_protein_Rv3400/MT3508/Mb3...    98   3e-021 3e-021| HAD_2 6e-018| HAD_CbbY-like 9e-015|</t>
  </si>
  <si>
    <t>KOG2914, KOG2914, KOG2914, Predicted haloacid-halidohydrolase and related hydrolases [General function prediction only].</t>
  </si>
  <si>
    <t>pfam13419, HAD_2, Haloacid dehalogenase-like hydrolase.</t>
  </si>
  <si>
    <t>smart00887, EB_dh, Ethylbenzene dehydrogenase.  Eythylbenzene dehydrogenase is a heterotrimer of three subunits that catalyses the anaerobic degradation of hydrocarbons. The alpha subunit contains the catalytic centre as a Molybdenum cofactor-complex. This removes an electron-pair from the hydrocarbon and passes it along an electron transport system involving iron-sulphur complexes held in the beta subunit and a Haem b molecule contained in the gamma subunit. The electron-pair is then subsequently passed to an as yet unknown receiver. The enzyme is found in a variety of different bacteria.</t>
  </si>
  <si>
    <t xml:space="preserve"> AgamP4_2R:36925858-36928846(+) </t>
  </si>
  <si>
    <t>AGAP003428-RB</t>
  </si>
  <si>
    <t xml:space="preserve">speckle-type POZ protein </t>
  </si>
  <si>
    <t>speckle-type POZ protein</t>
  </si>
  <si>
    <t>Speckle-type POZ protein SPOP - 21 OH-glycosylation sites -  21 NetOglyc sites</t>
  </si>
  <si>
    <t>AGAP003428-PB</t>
  </si>
  <si>
    <t xml:space="preserve"> speckle poz protein - 21 OH-glycosylation sites -  21 NetOglyc sites</t>
  </si>
  <si>
    <t>ExpAA=0.85 First60=0.04 PredHel=0 Topology=o</t>
  </si>
  <si>
    <t>cd03774, MATH_SPOP, Speckle-type POZ protein (SPOP) family, MATH domain; composed of proteins with similarity to human SPOP. SPOP was isolated as a novel antigen recognized by serum from a scleroderma patient, whose overexpression in COS cells results in a discrete speckled pattern in the nuclei. It contains an N-terminal MATH domain and a C-terminal BTB (also called POZ) domain. Together with Cul3, SPOP constitutes an ubiquitin E3 ligase which is able to ubiquitinate the PcG protein BMI1, the variant histone macroH2A1 and the death domain-associated protein Daxx. Therefore, SPOP may be involved in the regulation of these proteins and may play a role in transcriptional regulation, apoptosis and X-chromosome inactivation. Cul3 binds to the BTB domain of SPOP whereas Daxx and the macroH2A1 nonhistone region have been shown to bind to the MATH domain. Both MATH and BTB domains are necessary for the nuclear speckled accumulation of SPOP. There are many proteins, mostly uncharacterized, containing both MATH and BTB domains from C. elegans and plants which are excluded from this family.</t>
  </si>
  <si>
    <t>MATH_SPOP 1e-082| BTB 9e-033| BTB 7e-027| MATH 4e-025| SPOP_C 1e-021| MATH 6e-012| BACK_like 2e-011| SPOP_C_like 7e-009| PHA03098 1e-008| SPOP_C_like_plant 2e-008|</t>
  </si>
  <si>
    <t>KOG1987, KOG1987, KOG1987, Speckle-type POZ protein SPOP and related proteins with TRAF, MATH and BTB/POZ domains [Cell cycle control, cell division, chromosome partitioning, General function prediction only].</t>
  </si>
  <si>
    <t xml:space="preserve">Cell cycle control, cell division, chromosome partitioning, General function prediction only </t>
  </si>
  <si>
    <t>pfam00651, BTB, 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dimerisation and in some instances heteromeric dimerisation. The structure of the dimerized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t>
  </si>
  <si>
    <t>smart00225, BTB, Broad-Complex, Tramtrack and Bric a brac.  Domain in Broad-Complex, Tramtrack and Bric a brac. Also known as POZ (poxvirus and zinc finger) domain. Known to be a protein-protein interaction motif found at the N-termini of several C2H2-type transcription factors as well as Shaw-type potassium channels. Known structure reveals a tightly intertwined dimer formed via interactions between N-terminal strand and helix structures. However in a subset of BTB/POZ domains, these two secondary structures appear to be missing. Be aware SMART predicts BTB/POZ domains without the beta1- and alpha1-secondary structures.</t>
  </si>
  <si>
    <t xml:space="preserve"> AgamP4_2R:37650098-37672910(+) </t>
  </si>
  <si>
    <t xml:space="preserve">1 | 168    ESQRAYR|FV  0.555 *ProP*  | </t>
  </si>
  <si>
    <t>AGAP003473-RA</t>
  </si>
  <si>
    <t>AGAP003473-PA</t>
  </si>
  <si>
    <t xml:space="preserve"> 22-23</t>
  </si>
  <si>
    <t>ExpAA=22.32 First60=22.32 PredHel=1 Topology=i5-27o</t>
  </si>
  <si>
    <t>Hildenbrandia rivularis</t>
  </si>
  <si>
    <t>Synechococcus sp. (strain CC9902)</t>
  </si>
  <si>
    <t>PHA03290, PHA03290, envelope glycoprotein I; Provisional.</t>
  </si>
  <si>
    <t>PHA03290 | DUF2031 |</t>
  </si>
  <si>
    <t>KOG2194, KOG2194, KOG2194, Aminopeptidases of the M20 family [Posttranslational modification, protein turnover, chaperones, General function prediction only].</t>
  </si>
  <si>
    <t xml:space="preserve">Posttranslational modification, protein turnover, chaperones, General function prediction only </t>
  </si>
  <si>
    <t>pfam09592, DUF2031, Protein of unknown function (DUF2031).  This protein is expressed in Plasmodium; its function is unknown. It may be the product of gene family pyst-b.</t>
  </si>
  <si>
    <t>smart00665, B561, Cytochrome b-561 / ferric reductase transmembrane domain.  Cytochrome b-561 recycles ascorbate for the generation of norepinephrine by dopamine-beta-hydroxylase in the chromaffin vesicles of the adrenal gland. It is a transmembrane heme protein with the two heme groups being bound to conserved histidine residues. A cytochrome b-561 homologue, termed Dcytb, is an iron-regulated ferric reductase in the duodenal mucosa. Other homologues of these are also likely to be ferric reductases. SDR2 is proposed to be important in regulating the metabolism of iron in the onset of neurodegenerative disorders.</t>
  </si>
  <si>
    <t xml:space="preserve"> AgamP4_2R:38106433-38106700(+) </t>
  </si>
  <si>
    <t xml:space="preserve">1 | 36    EENPVKR|SI  0.594 *ProP*  | </t>
  </si>
  <si>
    <t>AGAP003474-RA</t>
  </si>
  <si>
    <t>AGAP003474-PA</t>
  </si>
  <si>
    <t>ExpAA=19.85 First60=19.85 PredHel=1 Topology=o4-26i</t>
  </si>
  <si>
    <t>Helicobacter acinonychis (strain Sheeba)</t>
  </si>
  <si>
    <t>pfam12899, Glyco_hydro_100, Alkaline and neutral invertase.  This is a family of bacterial and plant alkaline and neutral invertases, EC:3.2.1.26, previously known as Invertase_neut pfam04853.</t>
  </si>
  <si>
    <t>Glyco_hydro_100 |</t>
  </si>
  <si>
    <t>KOG1869, KOG1869, KOG1869, Splicing coactivator SRm160/300, subunit SRm300 [RNA processing and modification].</t>
  </si>
  <si>
    <t>smart00414, H2A, Histone 2A.</t>
  </si>
  <si>
    <t xml:space="preserve"> AgamP4_2R:38108297-38108539(+) </t>
  </si>
  <si>
    <t>AGAP003483-RA</t>
  </si>
  <si>
    <t>Acyl-CoA synthetase</t>
  </si>
  <si>
    <t>AGAP003483-PA</t>
  </si>
  <si>
    <t>ExpAA=24.43 First60=0.05 PredHel=0 Topology=o</t>
  </si>
  <si>
    <t>Dictyostelium discoideum AX4</t>
  </si>
  <si>
    <t>Luciola cruciata</t>
  </si>
  <si>
    <t>cd05911, Firefly_Luc_like, Firefly luciferase of light emitting insects and 4-Coumarate-CoA Ligase (4CL).  This family contains two functionally unique groups of proteins; one group is insect firefly luciferases and the other is plant 4-coumarate:coenzyme A ligases. However, they share significant sequence similarity in spite of their functional diversity. Luciferase catalyzes the production of light in the presence of MgATP, molecular oxygen, and luciferin. In the first step, luciferin is activated by acylation of its carboxylate group with ATP, resulting in an enzyme-bound luciferyl adenylate. In the second step, luciferyl adenylate reacts with molecular oxygen, producing an enzyme-bound excited state product (Luc=O*) and releasing AMP. This excited-state product then decays to the ground state (Luc=O), emitting a quantum of visible light. 4-coumarate:coenzyme A ligase is a key enzyme in the phenylpropanoid metabolic pathway for monolignol and flavonoid biosynthesis. It catalyzes the synthesis of hydroxycinnamate-CoA thioesters in a two-step reaction, involving the formation of hydroxycinnamate-AMP anhydride and then the nucleophilic substitution of AMP by CoA. The phenylpropanoid pathway is one of the most important secondary metabolism pathways in plants and hydroxycinnamate-CoA thioesters are the precursors of lignin and other important phenylpropanoids.</t>
  </si>
  <si>
    <t>Firefly_Luc_like e-147| 4CL e-136| PLN02246 e-117| CaiC e-110| FC-FACS_FadD_like e-101| PRK06187 3e-090| LC_FACS_like 2e-089| BACL_like 2e-089| FACL_like_2 4e-085| PLN02330 9e-085|</t>
  </si>
  <si>
    <t>KOG1176, KOG1176, KOG1176, Acyl-CoA synthetase [Lipid transport and metabolism].</t>
  </si>
  <si>
    <t>pfam00501, AMP-binding, AMP-binding enzyme.</t>
  </si>
  <si>
    <t xml:space="preserve"> AgamP4_2R:38516474-38518168(+) </t>
  </si>
  <si>
    <t>AGAP003533-RA</t>
  </si>
  <si>
    <t xml:space="preserve">DnaJ homolog subfamily C member 19 </t>
  </si>
  <si>
    <t>DnaJ homolog subfamily C member 19</t>
  </si>
  <si>
    <t>mitochondrial import inner membrane translocase subunit TIM14 - signalP detected</t>
  </si>
  <si>
    <t>AGAP003533-PA</t>
  </si>
  <si>
    <t xml:space="preserve"> mitochondrial import inner membrane translocase subunit tim14 - signalP detected</t>
  </si>
  <si>
    <t xml:space="preserve"> 21-22</t>
  </si>
  <si>
    <t>ExpAA=18.51 First60=18.51 PredHel=1 Topology=o4-23i</t>
  </si>
  <si>
    <t>PTZ00100, PTZ00100, DnaJ chaperone protein; Provisional.</t>
  </si>
  <si>
    <t>PTZ00100 6e-020| DnaJ 8e-006| DnaJ 9e-006| DnaJ-like_protein_MG200_homolog 3e-005| PRK14301 2e-004| PRK14292 2e-004| DnaJ 3e-004| PRK14280 3e-004| Chaperone_protein_DnaJ 3e-004| PTZ00037 6e-004|</t>
  </si>
  <si>
    <t>KOG0723, KOG0723, KOG0723, Molecular chaperone (DnaJ superfamily) [Posttranslational modification, protein turnover, chaperones].</t>
  </si>
  <si>
    <t>pfam00226, DnaJ, DnaJ domain.  DnaJ domains (J-domains) are associated with hsp70 heat-shock system and it is thought that this domain mediates the interaction. DnaJ-domain is therefore part of a chaperone (protein folding) system. The T-antigens, although not in Prosite are confirmed as DnaJ containing domains from literature.</t>
  </si>
  <si>
    <t>smart00271, DnaJ, DnaJ molecular chaperone homology domain.</t>
  </si>
  <si>
    <t xml:space="preserve"> AgamP4_2R:39215113-39215618(+) </t>
  </si>
  <si>
    <t>M(3.74)</t>
  </si>
  <si>
    <t>AGAP003542-RA</t>
  </si>
  <si>
    <t xml:space="preserve">Epoxide hydrolase 2, cytoplasmic </t>
  </si>
  <si>
    <t>Epoxide hydrolase 2, cytoplasmic</t>
  </si>
  <si>
    <t>Soluble epoxide hydrolase</t>
  </si>
  <si>
    <t>AGAP003542-PA</t>
  </si>
  <si>
    <t xml:space="preserve"> epoxide hydrolase 4</t>
  </si>
  <si>
    <t>ExpAA=1.11 First60=0.54 PredHel=0 Topology=o</t>
  </si>
  <si>
    <t>Thecamonas trahens ATCC 50062</t>
  </si>
  <si>
    <t>COG0596, MhpC, Predicted hydrolases or acyltransferases (alpha/beta hydrolase superfamily) [General function prediction only].</t>
  </si>
  <si>
    <t>MhpC 2e-025| Abhydrolase_1 3e-023| PRK05855 2e-016| PLN03084 5e-016| PLN02578 1e-012| PRK00870 1e-011| PRK03592 8e-011| bchO_mg_che_rel 1e-008| Abhydrolase_6 2e-008| menH_SHCHC 2e-007|</t>
  </si>
  <si>
    <t>KOG4178, KOG4178, KOG4178, Soluble epoxide hydrolase [Lipid transport and metabolism].</t>
  </si>
  <si>
    <t>pfam00561, Abhydrolase_1, alpha/beta hydrolase fold.  This catalytic domain is found in a very wide range of enzymes.</t>
  </si>
  <si>
    <t>smart00682, G2F, G2 nidogen domain and fibulin.</t>
  </si>
  <si>
    <t xml:space="preserve"> AgamP4_2R:39355007-39356653(+) </t>
  </si>
  <si>
    <t>AGAP003553-RA</t>
  </si>
  <si>
    <t xml:space="preserve">Transmembrane emp24 protein transport domain containing 9 </t>
  </si>
  <si>
    <t>Transmembrane emp24 protein transport domain containing 9</t>
  </si>
  <si>
    <t>AGAP003553-PA</t>
  </si>
  <si>
    <t>ExpAA=41.78 First60=21.78 PredHel=2 Topology=o5-27i185-204o</t>
  </si>
  <si>
    <t>Drosophila willistoni</t>
  </si>
  <si>
    <t>EMP24_GP25L 2e-048| Fungal_lectin | VPS13 | Smc | DegS | PRK10130 | SdrD_B | PRK10929 | DUF4038 | STKc_IKK |</t>
  </si>
  <si>
    <t>KOG1690, KOG1690, KOG1690, emp24/gp25L/p24 family of membrane trafficking proteins [Intracellular trafficking, secretion, and vesicular transport].</t>
  </si>
  <si>
    <t>smart00110, C1Q, Complement component C1q domain.  Globular domain found in many collagens and eponymously in complement C1q. When part of full length proteins these domains form a 'bouquet' due to the multimerization of heterotrimers. The C1q fold is similar to that of tumour necrosis factor.</t>
  </si>
  <si>
    <t xml:space="preserve"> AgamP4_2R:39452128-39453046(+) </t>
  </si>
  <si>
    <t>AGAP003557-RA</t>
  </si>
  <si>
    <t>AGAP003557-PA</t>
  </si>
  <si>
    <t xml:space="preserve"> 18-19</t>
  </si>
  <si>
    <t>ExpAA=19.15 First60=19.13 PredHel=1 Topology=o5-24i</t>
  </si>
  <si>
    <t>Trichomonas vaginalis G3</t>
  </si>
  <si>
    <t>COG5243, HRD1, HRD ubiquitin ligase complex, ER membrane component [Posttranslational modification, protein turnover, chaperones].</t>
  </si>
  <si>
    <t>HRD1 8e-004| RING-H2 0.002| zf-RING_9 | RING-H2_AMFR | F420_MSMEG_2906 | RING-H2_RNF181 | RING-H2_Vps41 | RING-H2_Pep3p_like | PHD2_NSD | zf-RING_2 |</t>
  </si>
  <si>
    <t>KOG2034, KOG2034, KOG2034, Vacuolar sorting protein PEP3/VPS18 [Intracellular trafficking, secretion, and vesicular transport].</t>
  </si>
  <si>
    <t>pfam13901, zf-RING_9, Putative zinc-RING and/or ribbon.  This is a family of cysteine-rich proteins. Many members also carry a pleckstrin-homology domain, pfam00169.</t>
  </si>
  <si>
    <t xml:space="preserve"> AgamP4_2R:39461294-39461811(+) </t>
  </si>
  <si>
    <t>C(3.54)</t>
  </si>
  <si>
    <t>AGAP003558-RA</t>
  </si>
  <si>
    <t>E3 ubiquitin-protein ligase XERICO</t>
  </si>
  <si>
    <t>AGAP003558-PA</t>
  </si>
  <si>
    <t xml:space="preserve"> e3 ubiquitin-protein ligase atl44</t>
  </si>
  <si>
    <t>ExpAA=22.76 First60=22.76 PredHel=1 Topology=o5-27i</t>
  </si>
  <si>
    <t>Arabidopsis thaliana</t>
  </si>
  <si>
    <t>pfam13639, zf-RING_2, Ring finger domain.</t>
  </si>
  <si>
    <t>zf-RING_2 1e-008| RING-H2_synoviolin 6e-008| COG5540 1e-007| RING-H2 1e-007| RING-H2_TTC3 5e-007| RING-H2_RNF24_like 1e-006| RING-H2_RNF111_like 3e-006| RING-H2_RNF215 3e-006| RING-H2_GRAIL 3e-006| RING-H2_DZIP3 5e-006|</t>
  </si>
  <si>
    <t>KOG4628, KOG4628, KOG4628, Predicted E3 ubiquitin ligase [Posttranslational modification, protein turnover, chaperones].</t>
  </si>
  <si>
    <t xml:space="preserve"> AgamP4_2R:39462852-39463260(-) </t>
  </si>
  <si>
    <t>C(3.04)</t>
  </si>
  <si>
    <t>AGAP003567-RA</t>
  </si>
  <si>
    <t xml:space="preserve">hepatitis B virus X-interacting protein </t>
  </si>
  <si>
    <t>hepatitis B virus X-interacting protein</t>
  </si>
  <si>
    <t>AGAP003567-PA</t>
  </si>
  <si>
    <t xml:space="preserve"> tra0a82wvu3a0a82wvu3 anoqn late endosomal/lysosomal adaptor</t>
  </si>
  <si>
    <t>pe</t>
  </si>
  <si>
    <t>ExpAA=0.06 First60=0.06 PredHel=0 Topology=o</t>
  </si>
  <si>
    <t>Sus scrofa</t>
  </si>
  <si>
    <t>pfam16672, LAMTOR5, Ragulator complex protein LAMTOR5.</t>
  </si>
  <si>
    <t>LAMTOR5 3e-025| HMG_CoA_synt_C | 4CL | AAA_assoc | RLP_NonPhot | TIGR02587 | UDPGlcNAc_PPase | Robl_LC7 |</t>
  </si>
  <si>
    <t>KOG4230, KOG4230, KOG4230, C1-tetrahydrofolate synthase [Coenzyme transport and metabolism].</t>
  </si>
  <si>
    <t>smart00960, Robl_LC7, Roadblock/LC7 domain.  This family includes proteins that are about 100 amino acids long and have been shown to be related. Members of this family of proteins are associated with both flagellar outer arm dynein and Drosophila and rat brain cytoplasmic dynein. It is proposed that roadblock/LC7 family members may modulate specific dynein functions. This family also includes Golgi-associated MP1 adapter protein and MglB from Myxococcus xanthus, a protein involved in gliding motility. However the family also includes members from non-motile bacteria such as Streptomyces coelicolor, suggesting that the protein may play a structural or regulatory role.</t>
  </si>
  <si>
    <t xml:space="preserve"> AgamP4_2R:39543252-39543746(-) </t>
  </si>
  <si>
    <t>AGAP003636-RA</t>
  </si>
  <si>
    <t xml:space="preserve">inositol oxygenase </t>
  </si>
  <si>
    <t>inositol oxygenase</t>
  </si>
  <si>
    <t>AGAP003636-PA</t>
  </si>
  <si>
    <t xml:space="preserve"> myo-inositol oxygenase</t>
  </si>
  <si>
    <t>pfam05153, MIOX, Myo-inositol oxygenase.  MIOX is the enzyme myo-inositol oxygenase. It catalyzes the first committed step in the glucuronate-xylulose pathway, It is a di-iron oxygenase with a key role in inositol metabolism. The structure reveals a monomeric, single-domain protein with a mostly helical fold that is distantly related to the diverse HD domain superfamily. The structural core is of five alpha-helices that contribute six ligands, four His and two Asp, to the di-iron centre where the two iron atoms are bridged by a putative hydroxide ion and one of the Asp ligands. The substrate is myo-inositol is bound in a terminal substrate-binding mode to a di-iron cluster. Within the structure are two additional proteinous lids that cover and shield the enzyme's active site.</t>
  </si>
  <si>
    <t>MIOX e-129| HDOD 0.028| Sulfite_reductase | PLN02195 | ISG65-75 | HDc | STKc_Mnk2 | FeS_CyaY | DUF4755 | Cas3''_I |</t>
  </si>
  <si>
    <t>KOG1573, KOG1573, KOG1573, Aldehyde reductase [General function prediction only].</t>
  </si>
  <si>
    <t>smart00471, HDc, Metal dependent phosphohydrolases with conserved 'HD' motif.  Includes eukaryotic cyclic nucleotide phosphodiesterases (PDEc). This profile/HMM does not detect HD homologues in bacterial glycine aminoacyl-tRNA synthetases (beta subunit).</t>
  </si>
  <si>
    <t xml:space="preserve"> AgamP4_2R:40803768-40805571(+) </t>
  </si>
  <si>
    <t>AGAP003662-RA</t>
  </si>
  <si>
    <t xml:space="preserve">Prenylated Rab acceptor protein 1 </t>
  </si>
  <si>
    <t>Prenylated Rab acceptor protein 1</t>
  </si>
  <si>
    <t>Prenylated rab acceptor 1 - Membrane anchor detected - 2 predicted membrane helices</t>
  </si>
  <si>
    <t>pe membrAnchor membrane</t>
  </si>
  <si>
    <t>AGAP003662-PA</t>
  </si>
  <si>
    <t xml:space="preserve"> prenylated rab acceptor protein 1 - Membrane anchor detected - 2 predicted membrane helices</t>
  </si>
  <si>
    <t>ExpAA=48.81 First60=0.01 PredHel=2 Topology=i86-108o149-171i</t>
  </si>
  <si>
    <t>pfam03208, PRA1, PRA1 family protein.  This family includes the PRA1 (Prenylated rab acceptor) protein which is a Rab guanine dissociation inhibitor (GDI) displacement factor. This family also includes the glutamate transporter EAAC1 interacting protein GTRAP3-18.</t>
  </si>
  <si>
    <t>PRA1 8e-033| YIP3 1e-010| UPF0182 | ND5 | 7tm_TAS2R16 | ubiA | DUF4395 |</t>
  </si>
  <si>
    <t>KOG3142, KOG3142, KOG3142, Prenylated rab acceptor 1 [Intracellular trafficking, secretion, and vesicular transport].</t>
  </si>
  <si>
    <t>smart00807, AKAP_110, A-kinase anchor protein 110 kDa.  This family consists of several mammalian protein kinase A anchoring protein 3 (PRKA3) or A-kinase anchor protein 110 kDa (AKAP 110) sequences. Agents that increase intracellular cAMP are potent stimulators of sperm motility. Anchoring inhibitor peptides, designed to disrupt the interaction of the cAMP-dependent protein kinase A (PKA) with A kinase-anchoring proteins (AKAPs), are potent inhibitors of sperm motility. PKA anchoring is a key biochemical mechanism controlling motility. AKAP110 shares compartments with both RI and RII isoforms of PKA and may function as a regulator of both motility- and head-associated functions such as capacitation and the acrosome reaction.</t>
  </si>
  <si>
    <t xml:space="preserve"> AgamP4_2R:41320902-41321661(-) </t>
  </si>
  <si>
    <t>AGAP003701-RA</t>
  </si>
  <si>
    <t xml:space="preserve">zinc finger protein 593 homolog </t>
  </si>
  <si>
    <t>zinc finger protein 593 homolog</t>
  </si>
  <si>
    <t>U1-like Zn-finger-containing protein probabl erole in RNA processing/splicing</t>
  </si>
  <si>
    <t>AGAP003701-PA</t>
  </si>
  <si>
    <t xml:space="preserve"> u1-like zn-finger-containing protein</t>
  </si>
  <si>
    <t>ExpAA=0.02 First60=0.01 PredHel=0 Topology=o</t>
  </si>
  <si>
    <t>COG5112, UFD2, U1-like Zn-finger-containing protein [General function prediction only].</t>
  </si>
  <si>
    <t>UFD2 1e-016| zf-C2H2_jaz 3e-005| ZnF_U1 3e-004| SLC5sbd_SGLT1 0.019| PRP11 | COG5236 | PRK10954 | cas_csf4 | PRK11893 | PRP9 |</t>
  </si>
  <si>
    <t>KOG3408, KOG3408, KOG3408, U1-like Zn-finger-containing protein, probabl erole in RNA processing/splicing [RNA processing and modification].</t>
  </si>
  <si>
    <t>pfam12171, zf-C2H2_jaz, Zinc-finger double-stranded RNA-binding. This domain family is found in archaea and eukaryotes, and is approximately 30 amino acids in length. The mammalian members of this group occur multiple times along the protein, joined by flexible linkers, and are referred to as JAZ - dsRNA-binding ZF protein - zinc-fingers. The JAZ proteins are expressed in all tissues tested and localize in the nucleus, particularly the nucleolus. JAZ preferentially binds to double-stranded (ds) RNA or RNA/DNA hybrids rather than DNA. In addition to binding double-stranded RNA, these zinc-fingers are required for nucleolar localization.</t>
  </si>
  <si>
    <t>smart00451, ZnF_U1, U1-like zinc finger.  Family of C2H2-type zinc fingers, present in matrin, U1 small nuclear ribonucleoprotein C and other RNA-binding proteins.</t>
  </si>
  <si>
    <t xml:space="preserve"> AgamP4_2R:42134464-42134952(-) </t>
  </si>
  <si>
    <t>AGAP003770-RA</t>
  </si>
  <si>
    <t xml:space="preserve">39S ribosomal protein L51, mitochondrial </t>
  </si>
  <si>
    <t>mRpL51: 39S ribosomal protein L51, mitochondrial</t>
  </si>
  <si>
    <t>39S ribosomal protein L51 mitochondrial</t>
  </si>
  <si>
    <t>AGAP003770-PA</t>
  </si>
  <si>
    <t xml:space="preserve"> tra0a82i8wa0a82i8w anoar 39s ribosomal protein l</t>
  </si>
  <si>
    <t>Plasmodium berghei ANKA</t>
  </si>
  <si>
    <t>Drosophila pseudoobscura pseudoobscura</t>
  </si>
  <si>
    <t>pfam10244, MRP-L51, Mitochondrial ribosomal subunit.  MRP-L51 is a family of small proteins from the intact 55 S mitochondrial ribosome. It has otherwise been referred to as bMRP-64. The exact function of this family is not known.</t>
  </si>
  <si>
    <t>MRP-L51 2e-040| diphthamide_biosynthesis_protein_predi...    29   0.79  | DUF3525 | PRK10349 | PPAT_CoAS | MutL_C | PT_UbiA_2 | HSPA12A_like_NBD | PLN02991 |</t>
  </si>
  <si>
    <t>KOG4045, KOG4045, KOG4045, Uncharacterized conserved protein [Function unknown].</t>
  </si>
  <si>
    <t>smart00940, PepX_N, X-Prolyl dipeptidyl aminopeptidase PepX, N-terminal.  This N-terminal domain adopts a secondary structure consisting of a helical bundle of eight alpha helices and three beta strands, with the last alpha helix connecting to the first strand of the catalytic domain. The first strand of the N-terminus also forms a small parallel beta sheet with strand five of the catalytic domain. This domain mediates dimerisation of the protein, with two proline residues present in the domain being critical for interaction.</t>
  </si>
  <si>
    <t xml:space="preserve"> AgamP4_2R:43134680-43135243(+) </t>
  </si>
  <si>
    <t>AGAP003789-RC</t>
  </si>
  <si>
    <t xml:space="preserve">flotillin </t>
  </si>
  <si>
    <t>flotillin</t>
  </si>
  <si>
    <t>Flotillins - probable fragment</t>
  </si>
  <si>
    <t>AGAP003789-PC</t>
  </si>
  <si>
    <t xml:space="preserve"> flotillin</t>
  </si>
  <si>
    <t>COG2268, COG2268, Uncharacterized protein conserved in bacteria [Function unknown].</t>
  </si>
  <si>
    <t>COG2268 4e-009| SPFH_flotillin 3e-007| PHB 6e-005| Flot 3e-004| SPFH_HflK 0.003| PTZ00121 0.010| Band_7 0.080| HAUS5 | SPFH_HflC | PRK12704 |</t>
  </si>
  <si>
    <t>KOG2668, KOG2668, KOG2668, Flotillins [Intracellular trafficking, secretion, and vesicular transport, Cytoskeleton].</t>
  </si>
  <si>
    <t xml:space="preserve">Intracellular trafficking, secretion, and vesicular transport, Cytoskeleton </t>
  </si>
  <si>
    <t>pfam15975, Flot, Flotillin.  Flotillin is a family of lipid-membrane-associated proteins found in bacteria, archaea and eukaryotes. The family is found in association with pfam01145, another integral membrane-associated domain. Flotillins in vertebrates are associated with sphingolipids and cholesterol-enriched membrane microdomains known as lipid-rafts. These rafts along with other membrane components are important in cell-signalling. Flotillins in other organisms have roles in viral pathogenesis, endocytosis, and membrane shaping.</t>
  </si>
  <si>
    <t>smart00244, PHB, prohibitin homologues.  prohibitin homologues.</t>
  </si>
  <si>
    <t xml:space="preserve"> AgamP4_2R:43322141-43324005(+) </t>
  </si>
  <si>
    <t xml:space="preserve">1 | 33    QTASVKR|DA  0.530 *ProP*  | </t>
  </si>
  <si>
    <t>AGAP003816-RA</t>
  </si>
  <si>
    <t xml:space="preserve">60S ribosomal protein L30 </t>
  </si>
  <si>
    <t>RpL30: 60S ribosomal protein L30</t>
  </si>
  <si>
    <t>60S ribosomal protein L30</t>
  </si>
  <si>
    <t>AGAP003816-PA</t>
  </si>
  <si>
    <t>Spodoptera frugiperda</t>
  </si>
  <si>
    <t>PTZ00106, PTZ00106, 60S ribosomal protein L30; Provisional.</t>
  </si>
  <si>
    <t>PTZ00106 5e-050| RPL30 6e-033| PRK01018 3e-021| Ribosomal_L7Ae 1e-019| RPL8A 1e-006| PRK07283 0.004| eL8_ribo 0.008| PRK07714 0.081| PRK13602 | Hydrolase_6 |</t>
  </si>
  <si>
    <t>KOG2988, KOG2988, KOG2988, 60S ribosomal protein L30 [Translation, ribosomal structure and biogenesis].</t>
  </si>
  <si>
    <t>pfam01248, Ribosomal_L7Ae, Ribosomal protein L7Ae/L30e/S12e/Gadd45 family.  This family includes: Ribosomal L7A from metazoa, Ribosomal L8-A and L8-B from fungi, 30S ribosomal protein HS6 from archaebacteria, 40S ribosomal protein S12 from eukaryotes, Ribosomal protein L30 from eukaryotes and archaebacteria. Gadd45 and MyD118.</t>
  </si>
  <si>
    <t xml:space="preserve"> AgamP4_2R:43729787-43730558(-) </t>
  </si>
  <si>
    <t>AGAP003851-RA</t>
  </si>
  <si>
    <t xml:space="preserve">26 proteasome complex subunit DSS1 </t>
  </si>
  <si>
    <t>26 proteasome complex subunit DSS1</t>
  </si>
  <si>
    <t>26S proteasome complex subunit DSS1</t>
  </si>
  <si>
    <t>AGAP003851-PA</t>
  </si>
  <si>
    <t xml:space="preserve"> trq7ps6q7ps6 anoga 26 proteasome complex subunit dss os-ox-76 pe-4 sv-3</t>
  </si>
  <si>
    <t>pfam05160, DSS1_SEM1, DSS1/SEM1 family.  This family contains the breast cancer tumor suppressor BRCA2-interacting protein DSS1 and its homolog SEM1, both of which are short acidic proteins. DSS1 has been shown to be a conserved component of the Rae1 mediated mRNA export pathway in Schizosaccharomyces pombe.</t>
  </si>
  <si>
    <t>DSS1_SEM1 1e-008| DSS1_Sem1 3e-004| PTZ00482 | PRK05901 |</t>
  </si>
  <si>
    <t>KOG4764, KOG4764, KOG4764, Uncharacterized conserved protein [Function unknown].</t>
  </si>
  <si>
    <t>smart00766, DnaG_DnaB_bind, DNA primase DnaG DnaB-binding. DnaG_DnaB_bind defines a domain of primase required for functional interaction with DnaB that attracts primase to the replication fork. DnaG_DnaB_bind is responsible for the interaction between DnaG and DnaB.</t>
  </si>
  <si>
    <t xml:space="preserve"> AgamP4_2R:44556134-44556465(+) </t>
  </si>
  <si>
    <t>D(3.56)E(3.17)W(4.52)</t>
  </si>
  <si>
    <t>AGAP003861-RA</t>
  </si>
  <si>
    <t xml:space="preserve">Peptide deformylase [Source:UniProtKB/TrEMBL;Acc:Q7QFS8] </t>
  </si>
  <si>
    <t>Peptide deformylase</t>
  </si>
  <si>
    <t>AGAP003861-PA</t>
  </si>
  <si>
    <t xml:space="preserve"> peptide deformylase</t>
  </si>
  <si>
    <t>ExpAA=0.67 First60=0.00 PredHel=0 Topology=o</t>
  </si>
  <si>
    <t>cd00487, Pep_deformylase, Polypeptide or peptide deformylase; a family of metalloenzymes that catalyzes the removal of the N-terminal formyl group in a growing polypeptide chain following translation initiation during protein synthesis in prokaryotes. These enzymes utilize Fe(II) as the catalytic metal ion, which can be replaced with a nickel or cobalt ion with no loss of activity. There are two types of peptide deformylases, types I and II, which differ in structure only in the outer surface of the domain. Because these enzymes are essential only in prokaryotes (although eukaryotic gene sequences have been found), they are a target for a new class of antibacterial agents.</t>
  </si>
  <si>
    <t>Pep_deformylase 1e-043| Pep_deformylase 4e-040| Def 2e-035| def 7e-034| PRK12846 2e-032| PRK14597 9e-024| Peptide_deformylase 5e-019| PRK14596 1e-017| PRK14598 1e-013| PRK09218 2e-012|</t>
  </si>
  <si>
    <t>KOG3137, KOG3137, KOG3137, Peptide deformylase [Translation, ribosomal structure and biogenesis].</t>
  </si>
  <si>
    <t>pfam01327, Pep_deformylase, Polypeptide deformylase.</t>
  </si>
  <si>
    <t>smart00206, NTR, Tissue inhibitor of metalloproteinase family. Form complexes with metalloproteinases, such as collagenases, and irreversibly inactivate them.</t>
  </si>
  <si>
    <t xml:space="preserve">1 | 84    KVMRAYR|CV  0.515 *ProP*  | </t>
  </si>
  <si>
    <t>AGAP003864-RA</t>
  </si>
  <si>
    <t>agap003864-pa - Membrane anchor detected</t>
  </si>
  <si>
    <t>uc/memb membrAnchor</t>
  </si>
  <si>
    <t>AGAP003864-PA</t>
  </si>
  <si>
    <t xml:space="preserve"> protein - Membrane anchor detected</t>
  </si>
  <si>
    <t>ExpAA=22.71 First60=22.71 PredHel=1 Topology=o25-47i</t>
  </si>
  <si>
    <t>Eimeria necatrix</t>
  </si>
  <si>
    <t>Methylobacterium extorquens (strain PA1)</t>
  </si>
  <si>
    <t>TIGR03173, pbuX, xanthine permease.  All the seed members of this model are observed adjacent to genes for either xanthine phosphoribosyltransferase (for the conversion of xanthine to guanine, GenProp0696) or genes for the conversion of xanthine to urate and its concomitant catabolism (GenProp0640, GenProp0688, GenProp0686 and GenProp0687). A number of sequences scoring higher than trusted to this model are found in different genomic contexts, and the possibility exist that these transport related compounds in addition to or instead of xanthine itself. The outgroup to this family are sequences which are characterized as uracil permeases or are adjacent to established uracil phosphoribosyltransferases.</t>
  </si>
  <si>
    <t>pbuX | Uric_acid_permease | UraA | Keratin_assoc | Cytochrome_bo3_ubiquinol_oxidase_subun...    27   2.6   | Endomucin | Dicty_REP | ECM27 | CD20 | Cellulase-like |</t>
  </si>
  <si>
    <t>KOG2710, KOG2710, KOG2710, Rho GTPase-activating protein [Signal transduction mechanisms, Cytoskeleton].</t>
  </si>
  <si>
    <t xml:space="preserve">Signal transduction mechanisms, Cytoskeleton </t>
  </si>
  <si>
    <t>pfam09775, Keratin_assoc, Keratinocyte-associated protein 2. Members of this family comprise various keratinocyte-associated proteins. Their exact function has not, as yet, been determined.</t>
  </si>
  <si>
    <t>smart00350, MCM, minichromosome maintenance proteins.</t>
  </si>
  <si>
    <t xml:space="preserve"> AgamP4_2R:44693602-44693832(-) </t>
  </si>
  <si>
    <t>AGAP003919-RA</t>
  </si>
  <si>
    <t>AGAP003919-PA</t>
  </si>
  <si>
    <t xml:space="preserve"> tra0a82xgza0a82xgz anoqn os-quadriannulatus ox-3469 pe-3 sv</t>
  </si>
  <si>
    <t>pfam05907, DUF866, Eukaryotic protein of unknown function (DUF866). This family consists of a number of hypothetical eukaryotic proteins of unknown function with an average length of around 165 residues.</t>
  </si>
  <si>
    <t>DUF866 5e-050| FAM20_C | ThiF | Pes-10 | GT1_wcfI_like | PRK13026 | Gsp | PRK11823 | PRK08166 | Sms |</t>
  </si>
  <si>
    <t>KOG1296, KOG1296, KOG1296, Uncharacterized conserved protein [Function unknown].</t>
  </si>
  <si>
    <t>smart00242, MYSc, Myosin. Large ATPases.  ATPase; molecular motor. Muscle contraction consists of a cyclical interaction between myosin and actin. The core of the myosin structure is similar in fold to that of kinesin.</t>
  </si>
  <si>
    <t xml:space="preserve"> AgamP4_2R:46265559-46266118(-) </t>
  </si>
  <si>
    <t>AGAP003960-RA</t>
  </si>
  <si>
    <t>Trypsin-like serine protease - signalP detected</t>
  </si>
  <si>
    <t>AGAP003960-PA</t>
  </si>
  <si>
    <t xml:space="preserve"> subfamily protein s1a unassigned peptidase - signalP detected</t>
  </si>
  <si>
    <t xml:space="preserve"> 26-27</t>
  </si>
  <si>
    <t>ExpAA=16.65 First60=16.61 PredHel=1 Topology=i7-26o</t>
  </si>
  <si>
    <t>Naegleria gruberi strain NEG-M</t>
  </si>
  <si>
    <t>Tryp_SPc 4e-056| Tryp_SPc 2e-052| Trypsin 1e-045| COG5640 5e-015| DUF1986 0.067| Trypsin_2 | Pnp | COG3894 | CetZ_tubulin-like | COG5387 |</t>
  </si>
  <si>
    <t xml:space="preserve"> AgamP4_2R:47008878-47010785(+) </t>
  </si>
  <si>
    <t xml:space="preserve">1 | 348    TGSREKK|TI  0.559 *ProP*  | </t>
  </si>
  <si>
    <t>AGAP003987-RA</t>
  </si>
  <si>
    <t xml:space="preserve">complement component 1 Q subcomponent-binding protein, mitochondrial </t>
  </si>
  <si>
    <t>complement component 1 Q subcomponent-binding protein, mitochondrial</t>
  </si>
  <si>
    <t>Complement component 1 - probable fragment</t>
  </si>
  <si>
    <t>imm</t>
  </si>
  <si>
    <t>AGAP003987-PA</t>
  </si>
  <si>
    <t xml:space="preserve"> complement component 1</t>
  </si>
  <si>
    <t>pfam02330, MAM33, Mitochondrial glycoprotein.  This mitochondrial matrix protein family contains members of the MAM33 family which bind to the globular 'heads' of C1Q. It is thought to be involved in mitochondrial oxidative phosphorylation and in nucleus-mitochondrion interactions.</t>
  </si>
  <si>
    <t>MAM33 9e-023| Serpin | Tox-HDC | SERPIN | PRK01305 | HYOU1-like_NBD | COG3972 | FlhF | SLC6sbd_SIT1 | C2A_Synaptotagmin-13 |</t>
  </si>
  <si>
    <t>KOG4024, KOG4024, KOG4024, Complement component 1, Q subcomponent binding protein/mRNA splicing factor SF2, subunit P32 [Defense mechanisms].</t>
  </si>
  <si>
    <t xml:space="preserve">Defense mechanisms </t>
  </si>
  <si>
    <t>smart00686, DM13, Domain present in fly proteins (CG14681, CG12492, CG6217), worm H06A10.1 and Arabidopsis thaliana MBG8.9.</t>
  </si>
  <si>
    <t xml:space="preserve"> AgamP4_2R:47546646-47547782(+) </t>
  </si>
  <si>
    <t>AGAP004196-RA</t>
  </si>
  <si>
    <t>AGAP004196-PA</t>
  </si>
  <si>
    <t xml:space="preserve"> lyr motif-containing protein 4</t>
  </si>
  <si>
    <t>Tetrahymena thermophila SB210</t>
  </si>
  <si>
    <t>Taeniopygia guttata</t>
  </si>
  <si>
    <t>pfam05347, Complex1_LYR, Complex 1 protein (LYR family). Proteins in this family include an accessory subunit of the higher eukaryotic NADH dehydrogenase complex. In Saccharomyces cerevisiae, the Isd11 protein has been shown to play a role in Fe/S cluster biogenesis in mitochondria. We have named this family LYR after a highly conserved tripeptide motif close to the N-terminus of these proteins.</t>
  </si>
  <si>
    <t>Complex1_LYR 3e-013| Complex1_LYR_2 0.002| MPP_ASMase | PTZ00468 | ALDH_YwdH-P39616 | Complex1_LYR_1 | DUF5112 | MCM3AP_GANP | BET4 |</t>
  </si>
  <si>
    <t>KOG3801, KOG3801, KOG3801, Uncharacterized conserved protein BCN92 [RNA processing and modification].</t>
  </si>
  <si>
    <t>smart00829, PKS_ER, Enoylreductase.  Enoylreductase in Polyketide synthases.</t>
  </si>
  <si>
    <t xml:space="preserve"> AgamP4_2R:51675220-51675783(-) </t>
  </si>
  <si>
    <t>AGAP004251-RA</t>
  </si>
  <si>
    <t xml:space="preserve">solute carrier family 20 (sodium-dependent phosphate transporter) </t>
  </si>
  <si>
    <t>solute carrier family 20 (sodium-dependent phosphate transporter)</t>
  </si>
  <si>
    <t>phosphate transporter - signalP detected - 10 predicted membrane helices</t>
  </si>
  <si>
    <t>AGAP004251-PA</t>
  </si>
  <si>
    <t xml:space="preserve"> sodium-dependent phosphate transporter 1 - signalP detected - 10 predicted membrane helices</t>
  </si>
  <si>
    <t xml:space="preserve"> 23-24</t>
  </si>
  <si>
    <t>ExpAA=207.23 First60=38.59 PredHel=9 Topology=i7-29o44-66i87-109o145-167i179-201o216-238i551-573o588-610i657-679o</t>
  </si>
  <si>
    <t>Fonticula alba</t>
  </si>
  <si>
    <t>pfam01384, PHO4, Phosphate transporter family.  This family includes PHO-4 from Neurospora crassa which is a is a Na(+)-phosphate symporter. This family also contains the leukaemia virus receptor.</t>
  </si>
  <si>
    <t>PHO4 2e-055| PitA 8e-043| COG1615 | COX1 | DUF2062 | Sulfate_transport_system_permease_prot...    30   4.2   | Endosomal/prevacuolar_sodium/hydrogen_...    30   4.2   | COG4485 | ubiA | Glucos_trans_II |</t>
  </si>
  <si>
    <t>KOG2493, KOG2493, KOG2493, Na+/Pi symporter [Inorganic ion transport and metabolism].</t>
  </si>
  <si>
    <t>smart00786, SHR3_chaperone, ER membrane protein SH3.  This family of proteins are membrane localised chaperones that are required for correct plasma membrane localisation of amino acid permeases (AAPs). Shr3 prevents AAPs proteins from aggregating and assists in their correct folding. In the absence of Shr3, AAPs are retained in the ER.</t>
  </si>
  <si>
    <t xml:space="preserve"> AgamP4_2R:53276268-53278810(-) </t>
  </si>
  <si>
    <t xml:space="preserve">1 | 273    SPRRAKR|PL  0.711 *ProP*  | </t>
  </si>
  <si>
    <t>AGAP004296-RA</t>
  </si>
  <si>
    <t xml:space="preserve">signal peptidase complex subunit 1 </t>
  </si>
  <si>
    <t>signal peptidase complex subunit 1</t>
  </si>
  <si>
    <t>signal peptidase complex subunit 1 - Membrane anchor detected - 2 predicted membrane helices</t>
  </si>
  <si>
    <t>AGAP004296-PA</t>
  </si>
  <si>
    <t xml:space="preserve"> tra0a82vlu2a0a82vlu2 anome microsomal signal peptid - Membrane anchor detected - 2 predicted membrane helices</t>
  </si>
  <si>
    <t>ExpAA=42.10 First60=36.54 PredHel=2 Topology=i19-38o43-65i</t>
  </si>
  <si>
    <t>pfam06645, SPC12, Microsomal signal peptidase 12 kDa subunit (SPC12).  This family consists of several microsomal signal peptidase 12 kDa subunit proteins. Translocation of polypeptide chains across the endoplasmic reticulum (ER) membrane is triggered by signal sequences. Subsequently, signal recognition particle interacts with its membrane receptor and the ribosome-bound nascent chain is targeted to the ER where it is transferred into a protein-conducting channel. At some point, a second signal sequence recognition event takes place in the membrane and translocation of the nascent chain through the membrane occurs. The signal sequence of most secretory and membrane proteins is cleaved off at this stage. Cleavage occurs by the signal peptidase complex (SPC) as soon as the lumenal domain of the translocating polypeptide is large enough to expose its cleavage site to the enzyme. The signal peptidase complex is possibly also involved in proteolytic events in the ER membrane other than the processing of the signal sequence, for example the further digestion of the cleaved signal peptide or the degradation of membrane proteins. Mammalian signal peptidase is as a complex of five different polypeptide chains. This family represents the 12 kDa subunit (SPC12).</t>
  </si>
  <si>
    <t>SPC12 1e-025| PssA | SLC6sbd_PROT | COG3639 | ZntA | ulaA | COG1289 | DUF4293 | 7tmA_V1bR | SLC6sbd_NTT5 |</t>
  </si>
  <si>
    <t>KOG4112, KOG4112, KOG4112, Signal peptidase subunit [Intracellular trafficking, secretion, and vesicular transport].</t>
  </si>
  <si>
    <t>smart00498, FH2, Formin Homology 2 Domain.  FH proteins control rearrangements of the actin cytoskeleton, especially in the context of cytokinesis and cell polarisation. Members of this family have been found to interact with Rho-GTPases, profilin and other actin-assoziated proteins. These interactions are mediated by the proline-rich FH1 domain, usually located in front of FH2 (but not listed in SMART). Despite this cytosolic function, vertebrate formins have been assigned functions within the nucleus. A set of Formin-Binding Proteins (FBPs) has been shown to bind FH1 with their WW domain.</t>
  </si>
  <si>
    <t xml:space="preserve"> AgamP4_2R:54159195-54159626(-) </t>
  </si>
  <si>
    <t>W(3.25)</t>
  </si>
  <si>
    <t>AGAP004329-RA</t>
  </si>
  <si>
    <t>agap004330-pa - Membrane anchor detected - 3 predicted membrane helices - GPI anchored</t>
  </si>
  <si>
    <t>uc/memb membrAnchor/gpi</t>
  </si>
  <si>
    <t>AGAP004329-PA</t>
  </si>
  <si>
    <t xml:space="preserve"> er membrane protein complex subunit 6 - Membrane anchor detected - 3 predicted membrane helices - GPI anchored</t>
  </si>
  <si>
    <t>pm membrAnchor membrane/gpi</t>
  </si>
  <si>
    <t>ExpAA=45.96 First60=15.05 PredHel=2 Topology=o46-68i89-111o</t>
  </si>
  <si>
    <t>pfam07019, Rab5ip, Rab5-interacting protein (Rab5ip).  This family consists of several Rab5-interacting protein (RIP5 or Rab5ip ) sequences. The ras-related GTPase rab5 is rate-limiting for homotypic early endosome fusion. Rab5ip represents a novel rab5 interacting protein that may function on endocytic vesicles as a receptor for rab5-GDP and participate in the activation of rab5.</t>
  </si>
  <si>
    <t>Rab5ip 1e-015| fabG | Glutathione_reductase_cytosolic | PRK10459 | Fuseless | Na_H_antiport_1 | Chlor_Arch_YYY |</t>
  </si>
  <si>
    <t>smart00268, ACTIN, Actin.  ACTIN subfamily of ACTIN/mreB/sugarkinase/Hsp70 superfamily.</t>
  </si>
  <si>
    <t xml:space="preserve"> AgamP4_2R:54653810-54654219(+) </t>
  </si>
  <si>
    <t>AGAP004404-RA</t>
  </si>
  <si>
    <t xml:space="preserve">28S ribosomal protein S24, mitochondrial [Source:UniProtKB/TrEMBL;Acc:F5HLM9] </t>
  </si>
  <si>
    <t>mRpS24: 28S ribosomal protein S24, mitochondrial</t>
  </si>
  <si>
    <t>28S ribosomal protein S24 mitochondrial</t>
  </si>
  <si>
    <t>AGAP004404-PA</t>
  </si>
  <si>
    <t xml:space="preserve"> trfhlm9fhlm9 anoga 28s ribosomal protein s24</t>
  </si>
  <si>
    <t>ExpAA=0.21 First60=0.00 PredHel=0 Topology=o</t>
  </si>
  <si>
    <t>Pyropia perforata</t>
  </si>
  <si>
    <t>pfam14955, MRP-S24, Mitochondrial ribosome subunit S24.  This family of proteins corresponds to mitochondrial ribosomal subunit S24 in eukaryotes.</t>
  </si>
  <si>
    <t>MRP-S24 4e-072| rpsC | 30S_S3_KH | PRK08298 | PflD | PRK07179 |</t>
  </si>
  <si>
    <t>KOG4724, KOG4724, KOG4724, Predicted Rho GTPase-activating protein [Signal transduction mechanisms].</t>
  </si>
  <si>
    <t>smart00654, eIF6, translation initiation factor 6.</t>
  </si>
  <si>
    <t>AGAP004435-RA</t>
  </si>
  <si>
    <t>AGAP004435-PA</t>
  </si>
  <si>
    <t xml:space="preserve"> lipid droplet-associated hydrolase</t>
  </si>
  <si>
    <t>ExpAA=19.24 First60=0.00 PredHel=0 Topology=o</t>
  </si>
  <si>
    <t>pfam10230, LIDHydrolase, Lipid-droplet associated hydrolase.  This family of proteins is conserved from plants to humans. The function is as a lipid-droplet hydrolase in the yeast members.</t>
  </si>
  <si>
    <t>LIDHydrolase 2e-085| MhpC 0.003| Abhydrolase_6 0.025| fbiC | DUF900 | PLN02454 | Abhydrolase_1 | PTZ00333 | COG4782 | Nitrogenase_vanadium-iron_protein_beta...    30   1.5   |</t>
  </si>
  <si>
    <t>KOG3975, KOG3975, KOG3975, Uncharacterized conserved protein [Function unknown].</t>
  </si>
  <si>
    <t>smart00811, Alpha_kinase, Alpha-kinase family.  This family is a novel family of eukaryotic protein kinase catalytic domains, which have no detectable similarity to conventional kinases. The family contains myosin heavy chain kinases and Elongation Factor-2 kinase and a bifunctional ion channel. This family is known as the alpha-kinase family. The structure of the kinase domain revealed unexpected similarity to eukaryotic protein kinases in the catalytic core as well as to metabolic enzymes with ATP-grasp domains.</t>
  </si>
  <si>
    <t xml:space="preserve"> AgamP4_2R:55995073-55996181(+) </t>
  </si>
  <si>
    <t>W(3.02)</t>
  </si>
  <si>
    <t>AGAP004528-RA</t>
  </si>
  <si>
    <t>AGAP004528-PA</t>
  </si>
  <si>
    <t xml:space="preserve"> tra0a82xif9a0a82xif9 anoqn n-acetyltransfer</t>
  </si>
  <si>
    <t>COG3981, COG3981, Predicted acetyltransferase [General function prediction only].</t>
  </si>
  <si>
    <t>COG3981 0.002| Acetyltransf_1 0.015| RimL 0.024| NAT_SF | Acetyltransf_7 | Acetyltransf_9 | Adeno_E1B_55K | Acetyltransf_10 | Acetyltransf_3 | tig |</t>
  </si>
  <si>
    <t>KOG3139, KOG3139, KOG3139, N-acetyltransferase [General function prediction only].</t>
  </si>
  <si>
    <t>pfam00583, Acetyltransf_1, Acetyltransferase (GNAT) family.  This family contains proteins with N-acetyltransferase functions such as Elp3-related proteins.</t>
  </si>
  <si>
    <t>smart00475, 53EXOc, 5'-3' exonuclease.</t>
  </si>
  <si>
    <t xml:space="preserve"> AgamP4_2R:57393018-57393901(-) </t>
  </si>
  <si>
    <t>AGAP004550-RA</t>
  </si>
  <si>
    <t xml:space="preserve">dolichol-phosphate mannosyltransferase subunit 3 </t>
  </si>
  <si>
    <t>dolichol-phosphate mannosyltransferase subunit 3</t>
  </si>
  <si>
    <t>dolichol-phosphate mannosyltransferase subunit 3 - Membrane anchor detected - 2 predicted membrane helices</t>
  </si>
  <si>
    <t>met/carb membrAnchor membrane</t>
  </si>
  <si>
    <t>AGAP004550-PA</t>
  </si>
  <si>
    <t xml:space="preserve"> tra0a82hyt6a0a82hyt6 anoar dolichol-phosphate mannosyltransfer - Membrane anchor detected - 2 predicted membrane helices</t>
  </si>
  <si>
    <t>ExpAA=41.14 First60=40.22 PredHel=2 Topology=i7-26o36-58i</t>
  </si>
  <si>
    <t>Dictyostelium purpureum</t>
  </si>
  <si>
    <t>pfam08285, DPM3, Dolichol-phosphate mannosyltransferase subunit 3 (DPM3).  This family corresponds to subunit 3 of dolichol-phosphate mannosyltransferase, an enzyme which generates mannosyl donors for glycosylphosphatidylinositols, N-glycan and protein O- and C-mannosylation. DPM3 is an integral membrane protein and plays a role in stabilizing the dolichol-phosphate mannosyl transferase complex.</t>
  </si>
  <si>
    <t>DPM3 1e-019| Glyco_hydro_56 | UshA | PRK03910 | PH_TFIIH | STKc_CaMKI | TadG | thrA | hypothetical_protein | Herpes_BMRF2 |</t>
  </si>
  <si>
    <t>KOG4841, KOG4841, KOG4841, Dolichol-phosphate mannosyltransferase, subunit 3 [Posttranslational modification, protein turnover, chaperones, Signal transduction mechanisms].</t>
  </si>
  <si>
    <t xml:space="preserve">Posttranslational modification, protein turnover, chaperones, Signal transduction mechanisms </t>
  </si>
  <si>
    <t>smart00729, Elp3, Elongator protein 3, MiaB family, Radical SAM. This superfamily contains MoaA, NifB, PqqE, coproporphyrinogen III oxidase, biotin synthase and MiaB families, and includes a representative in the eukaryotic elongator subunit, Elp-3. Some members of the family are methyltransferases.</t>
  </si>
  <si>
    <t xml:space="preserve"> AgamP4_2R:57537446-57537809(+) </t>
  </si>
  <si>
    <t>F(3.1)</t>
  </si>
  <si>
    <t>AGAP004592-RG</t>
  </si>
  <si>
    <t xml:space="preserve">splicing factor, arginine/serine-rich 4/5/6 </t>
  </si>
  <si>
    <t>splicing factor, arginine/serine-rich 4/5/6</t>
  </si>
  <si>
    <t>RNA recognition motif 1 in serine/arginine-rich splicing factor 4</t>
  </si>
  <si>
    <t>AGAP004592-PG</t>
  </si>
  <si>
    <t xml:space="preserve"> serine/arginine-rich splicing factor 4-like protein</t>
  </si>
  <si>
    <t>cd12337, RRM1_SRSF4_like, RNA recognition motif 1 in serine/arginine-rich splicing factor 4 (SRSF4) and similar proteins.  This subfamily corresponds to the RRM1 in three serine/arginine (SR) proteins: serine/arginine-rich splicing factor 4 (SRSF4 or SRp75 or SFRS4), serine/arginine-rich splicing factor 5 (SRSF5 or SRp40 or SFRS5 or HRS), serine/arginine-rich splicing factor 6 (SRSF6 or SRp55). SRSF4 plays an important role in both, constitutive  and alternative, splicing of many pre-mRNAs. It can shuttle between the nucleus and cytoplasm. SRSF5 regulates both alternative splicing and basal splicing. It is the only SR protein efficiently selected from nuclear extracts (NE) by the splicing enhancer (ESE) and essential for enhancer activation. SRSF6 preferentially interacts with a number of purine-rich splicing enhancers (ESEs) to activate splicing of the ESE-containing exon. It is the only protein from HeLa nuclear extract or purified SR proteins that specifically binds B element RNA after UV irradiation. SRSF6 may also recognize different types of RNA sites. Members in this family contain two N-terminal RNA recognition motifs (RRMs), also termed RBDs (RNA binding domains) or RNPs (ribonucleoprotein domains), followed by a C-terminal RS domains rich in serine-arginine dipeptides. .</t>
  </si>
  <si>
    <t>RRM1_SRSF4_like 4e-029| RRM1_SRSF6 2e-022| RRM1_SRSF4 2e-019| RRM1_SRSF5 1e-018| RRM_SRSF3_like 1e-015| RRM_1 9e-015| RRM 4e-014| RRM_RBMX_like 9e-013| RRM_SF 1e-012| RRM1_SRSF1_like 1e-012|</t>
  </si>
  <si>
    <t>KOG0106, KOG0106, KOG0106, Alternative splicing factor SRp55/B52/SRp75 (RRM superfamily) [RNA processing and modification].</t>
  </si>
  <si>
    <t>pfam00076, RRM_1, RNA recognition motif. (a.k.a. RRM, RBD, or RNP domain).  The RRM motif is probably diagnostic of an RNA binding protein. RRMs are found in a variety of RNA binding proteins, including various hnRNP proteins, proteins implicated in regulation of alternative splicing, and protein components of snRNPs. The motif also appears in a few single stranded DNA binding proteins. The RRM structure consists of four strands and two helices arranged in an alpha/beta sandwich, with a third helix present during RNA binding in some cases The C-terminal beta strand (4th strand) and final helix are hard to align and have been omitted in the SEED alignment The LA proteins have an N terminal rrm which is included in the seed. There is a second region towards the C terminus that has some features characteristic of a rrm but does not appear to have the important structural core of a rrm. The LA proteins are one of the main autoantigens in Systemic lupus erythematosus (SLE), an autoimmune disease.</t>
  </si>
  <si>
    <t>smart00360, RRM, RNA recognition motif.</t>
  </si>
  <si>
    <t xml:space="preserve"> AgamP4_2R:58139691-58141795(-) </t>
  </si>
  <si>
    <t>AGAP004598-RA</t>
  </si>
  <si>
    <t xml:space="preserve">Phosphoserine aminotransferase [Source:UniProtKB/TrEMBL;Acc:Q5TRW7] </t>
  </si>
  <si>
    <t>Phosphoserine aminotransferase</t>
  </si>
  <si>
    <t>AGAP004598-PA</t>
  </si>
  <si>
    <t>ExpAA=8.64 First60=0.00 PredHel=0 Topology=o</t>
  </si>
  <si>
    <t>PRK05355, PRK05355, 3-phosphoserine/phosphohydroxythreonine aminotransferase; Provisional.</t>
  </si>
  <si>
    <t>PRK05355 e-157| PSAT_like e-155| Phosphoserine_aminotransferase e-144| PLN02452 e-135| SerC e-118| PRK12462 3e-083| Aminotran_5 4e-040| Putative_phosphoserine_aminotransferas...    66   2e-011 2e-011| PRK03080 4e-011| Phosphoserine_aminotransferase 7e-011|</t>
  </si>
  <si>
    <t>KOG2790, KOG2790, KOG2790, Phosphoserine aminotransferase [Coenzyme transport and metabolism, Amino acid transport and metabolism].</t>
  </si>
  <si>
    <t xml:space="preserve">Coenzyme transport and metabolism, Amino acid transport and metabolism </t>
  </si>
  <si>
    <t>smart00102, ADF, Actin depolymerisation factor/cofilin -like domains.  Severs actin filaments and binds to actin monomers.</t>
  </si>
  <si>
    <t>AGAP004606-RA</t>
  </si>
  <si>
    <t xml:space="preserve">HYPK </t>
  </si>
  <si>
    <t>HYPK</t>
  </si>
  <si>
    <t>AGAP004606-PA</t>
  </si>
  <si>
    <t xml:space="preserve"> huntingtin-interacting protein k</t>
  </si>
  <si>
    <t>cd14361, UBA_HYPK, UBA-like domain found in Huntingtin-interacting protein K (HYPK) and similar proteins.  HYPK, also called Huntingtin yeast partner K or Huntingtin yeast two-hybrid protein K, is an intrinsically unstructured Huntingtin (HTT)-interacting protein with chaperone-like activity. It is involved in regulating cell growth, cell cycle, unfolded protein response, and cell death. All members in this subfamily contain an N-terminal ubiquitin-associated (UBA) that shows high sequence similarity with that of eukaryotic nascent polypeptide-associated complex proteins (NAC) which is one of the cytosolic chaperones that contact the nascent polypeptide chains as they emerge from the ribosome and assist in post-translational processes.</t>
  </si>
  <si>
    <t>UBA_HYPK 6e-010| UBA_NAC_like 0.008| PRKCSH-like | UBA_NAC_euk | Chromosome_partition_protein_Smc | UBA_RUP1p | EGD2 | uvrC | PRK14562 |</t>
  </si>
  <si>
    <t>KOG3450, KOG3450, KOG3450, Huntingtin interacting protein HYPK [General function prediction only].</t>
  </si>
  <si>
    <t>pfam12999, PRKCSH-like, Glucosidase II beta subunit-like.  The sequences found in this family are similar to a region found in the beta-subunit of glucosidase II, which is also known as protein kinase C substrate 80K-H (PRKCSH). The enzyme catalyzes the sequential removal of two alpha-1,3-linked glucose residues in the second step of N-linked oligosaccharide processing. The beta subunit is required for the solubility and stability of the heterodimeric enzyme, and is involved in retaining the enzyme within the endoplasmic reticulum.</t>
  </si>
  <si>
    <t>smart00194, PTPc, Protein tyrosine phosphatase, catalytic domain.</t>
  </si>
  <si>
    <t xml:space="preserve"> AgamP4_2R:58338843-58339354(+) </t>
  </si>
  <si>
    <t>AGAP004616-RA</t>
  </si>
  <si>
    <t xml:space="preserve">F-type H+-transporting ATPase subunit 6 </t>
  </si>
  <si>
    <t>ATPsynCF6: F-type H+-transporting ATPase subunit 6</t>
  </si>
  <si>
    <t>mitochondrial ATP synthase coupling factor 6</t>
  </si>
  <si>
    <t>AGAP004616-PA</t>
  </si>
  <si>
    <t xml:space="preserve"> tra0a82lnn7a0a82lnn7 9dipt atp synthase-coupling factor 6</t>
  </si>
  <si>
    <t>ExpAA=0.08 First60=0.08 PredHel=0 Topology=o</t>
  </si>
  <si>
    <t>Perkinsus marinus ATCC 50983</t>
  </si>
  <si>
    <t>pfam05511, ATP-synt_F6, Mitochondrial ATP synthase coupling factor 6.  Coupling factor 6 (F6) is a component of mitochondrial ATP synthase which is required for the interactions of the catalytic and proton-translocating segments.</t>
  </si>
  <si>
    <t>ATP-synt_F6 3e-033| Gluconate_2-dh3 | DUF4976 | COG4805 | PBP2_TRAP_Tp0957_like | DUF2837 | vWA_VGCC_like | Peptidase_C1B | PRK08142 | hypothetical_protein_L8106_25395 |</t>
  </si>
  <si>
    <t>KOG4634, KOG4634, KOG4634, Mitochondrial F1F0-ATP synthase, subunit Cf6 (coupling factor 6) [Energy production and conversion].</t>
  </si>
  <si>
    <t>smart00935, OmpH, Outer membrane protein (OmpH-like).  This family includes outer membrane proteins such as OmpH among others. Skp (OmpH) has been characterized as a molecular chaperone that interacts with unfolded proteins as they emerge in the periplasm from the Sec translocation machinery.</t>
  </si>
  <si>
    <t xml:space="preserve"> AgamP4_2R:58515049-58515445(-) </t>
  </si>
  <si>
    <t>AGAP004627-RA</t>
  </si>
  <si>
    <t>Conserved plasma membrane protein - 2 predicted membrane helices</t>
  </si>
  <si>
    <t>AGAP004627-PA</t>
  </si>
  <si>
    <t>hypothetical protein - Membrane anchor detected - 2 predicted membrane helices</t>
  </si>
  <si>
    <t>ExpAA=22.02 First60=22.02 PredHel=1 Topology=i33-55o</t>
  </si>
  <si>
    <t>Phytophthora sojae</t>
  </si>
  <si>
    <t>Secale cereale</t>
  </si>
  <si>
    <t>pfam04257, Exonuc_V_gamma, Exodeoxyribonuclease V, gamma subunit. The Exodeoxyribonuclease V enzyme is a multi-subunit enzyme comprised of the proteins RecB, RecC (this family) and RecD. This enzyme plays an important role in homologous genetic recombination, repair of double strand DNA breaks resistance to UV irradiation and chemical DNA-damage. The enzyme (EC:3.1.11.5) catalyzes ssDNA or dsDNA-dependent ATP hydrolysis, hydrolysis of ssDNA or dsDNA and unwinding of dsDNA. This family consists of two AAA domains.</t>
  </si>
  <si>
    <t>Exonuc_V_gamma | ribB | PRK00451 | Zot | LPG_synthase_TM | PRK13536 | GT2_BcE_like | ExoD | GT1_WbnK_like | DHBP_synthase |</t>
  </si>
  <si>
    <t>KOG4518, KOG4518, KOG4518, Hydroxypyruvate isomerase [Carbohydrate transport and metabolism].</t>
  </si>
  <si>
    <t xml:space="preserve">Carbohydrate transport and metabolism </t>
  </si>
  <si>
    <t>smart00034, CLECT, C-type lectin (CTL) or carbohydrate-recognition domain (CRD).  Many of these domains function as calcium-dependent carbohydrate binding modules.</t>
  </si>
  <si>
    <t xml:space="preserve"> AgamP4_2R:58635691-58636062(+) </t>
  </si>
  <si>
    <t>W(4.22)</t>
  </si>
  <si>
    <t>AGAP004631.R602</t>
  </si>
  <si>
    <t>VectorBase: AGAP004631</t>
  </si>
  <si>
    <t>MKHSVLITLAILMQLASLAIC</t>
  </si>
  <si>
    <t>AGAP004632-RA</t>
  </si>
  <si>
    <t xml:space="preserve">INVERT_DEFENSINS domain-containing protein [Source:UniProtKB/TrEMBL;Acc:F7IVT4] </t>
  </si>
  <si>
    <t>DEF2: defensin anti-microbial peptide</t>
  </si>
  <si>
    <t>defensin 2 - signalP detected</t>
  </si>
  <si>
    <t>imm/secreted defensin</t>
  </si>
  <si>
    <t>AGAP004632-PA</t>
  </si>
  <si>
    <t xml:space="preserve"> trf7ivt4f7ivt4 anoga defensin 2 os-ox-76 pe-2 sv - signalP detected</t>
  </si>
  <si>
    <t xml:space="preserve">imm/secreted </t>
  </si>
  <si>
    <t>ExpAA=23.17 First60=23.14 PredHel=1 Topology=o10-32i</t>
  </si>
  <si>
    <t>Formica aquilonia</t>
  </si>
  <si>
    <t>pfam15351, JCAD, Junctional protein associated with coronary artery disease.  JCAD is a component of VE-cadherin-based cell-cell junctions in endothelial cells. The cell-cell or adherens junction is an adhesion complex that plays a crucial role in the organisation and function of epithelial and endothelial cellular sheets. These junctions join the actin cytoskeleton to the plasma membrane to form adhesive contacts between cells or between cells and extracellular matrix. The junctions also mediate both cell adhesion and cell-signalling. JCAD localizes close to the apical membrane in epithelial cells. This family is found in eukaryotes.</t>
  </si>
  <si>
    <t>JCAD 0.029| Defensin_2 0.051| V-type_ATP_synthase_alpha_chain | PRK05346 | PRK03641 | Sodium/glucose_cotransporter_1 | PH_rhotekin2 | SLC5sbd_SGLT4 | SLC5sbd_SGLT5 | PRK00068 |</t>
  </si>
  <si>
    <t>KOG1935, KOG1935, KOG1935, Membrane protein Patched/PTCH [Signal transduction mechanisms].</t>
  </si>
  <si>
    <t>smart00505, Knot1, Knottins.  Knottins, representing plant lectins/antimicrobial peptides, plant proteinase/amylase inhibitors, plant gamma-thionins and arthropod defensins.</t>
  </si>
  <si>
    <t xml:space="preserve"> 20-21</t>
  </si>
  <si>
    <t>ExpAA=21.24 First60=21.24 PredHel=1 Topology=o4-23i</t>
  </si>
  <si>
    <t>C(4.78)</t>
  </si>
  <si>
    <t>AGAP004639-RA</t>
  </si>
  <si>
    <t>clip-domain serine protease - signalP detected</t>
  </si>
  <si>
    <t>AGAP004639-PA</t>
  </si>
  <si>
    <t xml:space="preserve"> tra0a2c9gsa8a0a2c9gsa8 anoar peptid - signalP detected</t>
  </si>
  <si>
    <t>ExpAA=19.22 First60=19.07 PredHel=1 Topology=i7-29o</t>
  </si>
  <si>
    <t>Thalassiosira pseudonana CCMP1335</t>
  </si>
  <si>
    <t>Tryp_SPc 4e-026| Tryp_SPc 5e-026| Trypsin 1e-018| DUF4603 | COG5640 | DUF316 | DUF2715 | PLN02900 | VI_FHA | COG4135 |</t>
  </si>
  <si>
    <t xml:space="preserve"> AgamP4_2R:58805069-58806226(+) </t>
  </si>
  <si>
    <t>AGAP004653-RA</t>
  </si>
  <si>
    <t xml:space="preserve">electron transfer flavoprotein subunit beta, mitochondrial </t>
  </si>
  <si>
    <t>electron transfer flavoprotein subunit beta, mitochondrial</t>
  </si>
  <si>
    <t>Electron transfer flavoprotein beta subunit</t>
  </si>
  <si>
    <t>AGAP004653-PA</t>
  </si>
  <si>
    <t>cd01714, ETF_beta, The electron transfer flavoprotein (ETF) serves as a specific electron acceptor for various mitochondrial dehydrogenases. ETF transfers electrons to the main respiratory chain via ETF-ubiquinone oxidoreductase. ETF is an heterodimer that consists of an alpha and a beta subunit which binds one molecule of FAD per dimer . A similar system also exists in some bacteria.  The homologous pair of proteins (FixA/FixB) are essential for nitrogen fixation. The beta subunit protein is distantly related to and forms a heterodimer with the alpha subunit.</t>
  </si>
  <si>
    <t>ETF_beta 1e-073| FixA 1e-072| ETF 1e-038| ETF 2e-038| ETF 1e-030| PRK03359 1e-013| PRK12342 3e-012| mft_etfB 4e-012| FixB 3e-004| PLN02382 |</t>
  </si>
  <si>
    <t>KOG3180, KOG3180, KOG3180, Electron transfer flavoprotein, beta subunit [Energy production and conversion].</t>
  </si>
  <si>
    <t>pfam01012, ETF, Electron transfer flavoprotein domain.  This family includes the homologous domain shared between the alpha and beta subunits of the electron transfer flavoprotein.</t>
  </si>
  <si>
    <t>smart00893, ETF, Electron transfer flavoprotein domain.  Electron transfer flavoproteins (ETFs) serve as specific electron acceptors for primary dehydrogenases, transferring the electrons to terminal respiratory systems. They can be functionally classified into constitutive, "housekeeping" ETFs, mainly involved in the oxidation of fatty acids (Group I), and ETFs produced by some prokaryotes under specific growth conditions, receiving electrons only from the oxidation of specific substrates (Group II). ETFs are heterodimeric proteins composed of an alpha and beta subunit, and contain an FAD cofactor and AMP. ETF consists of three domains: domains I and II are formed by the N- and C-terminal portions of the alpha subunit, respectively, while domain III is formed by the beta subunit. Domains I and III share an almost identical alpha-beta-alpha sandwich fold, while domain II forms an alpha-beta-alpha sandwich similar to that of bacterial flavodoxins. FAD is bound in a cleft between domains II and III, while domain III binds the AMP molecule. Interactions between domains I and III stabilise the protein, forming a shallow bowl where domain II resides. This entry represents the N-terminal domain of both the alpha and beta subunits from Group I and Group II ETFs.</t>
  </si>
  <si>
    <t xml:space="preserve"> AgamP4_2R:59553215-59554222(-) </t>
  </si>
  <si>
    <t>AGAP004657-RA</t>
  </si>
  <si>
    <t xml:space="preserve">mitochondrial inner membrane translocase subunit (TIM17) </t>
  </si>
  <si>
    <t>mitochondrial inner membrane translocase subunit (TIM17)</t>
  </si>
  <si>
    <t>Mitochondrial import inner membrane translocase subunit TIM17 - 2 predicted membrane helices</t>
  </si>
  <si>
    <t>AGAP004657-PA</t>
  </si>
  <si>
    <t xml:space="preserve"> mitochondrial import inner membrane translocase subunit tim17-b-like protein - 2 predicted membrane helices</t>
  </si>
  <si>
    <t>ExpAA=54.56 First60=12.90 PredHel=2 Topology=i61-83o111-133i</t>
  </si>
  <si>
    <t>TIGR00980, 3a0801so1tim17, mitochondrial import inner membrane translocase subunit tim17.  [Transport and binding proteins, Amino acids, peptides and amines].</t>
  </si>
  <si>
    <t>3a0801so1tim17 6e-058| PTZ00236 1e-046| Tim17 8e-027| TIM22 4e-016| 3a0801s02tim23 4e-006| PRK05429 | gapA | AAK_G5K_ProB | ProB | OAD_beta |</t>
  </si>
  <si>
    <t>KOG1652, KOG1652, KOG1652, Mitochondrial import inner membrane translocase, subunit TIM17 [Intracellular trafficking, secretion, and vesicular transport].</t>
  </si>
  <si>
    <t>pfam02466, Tim17, Tim17/Tim22/Tim23/Pmp24 family.  The pre-protein translocase of the mitochondrial outer membrane (Tom) allows the import of pre-proteins from the cytoplasm. Tom forms a complex with a number of proteins, including Tim17. Tim17 and Tim23 are thought to form the translocation channel of the inner membrane. This family includes Tim17, Tim22 and Tim23. This family also includes Pmp24 a peroxisomal protein. The involvement of this domain in the targeting of PMP24 remains to be proved. PMP24 was known as Pmp27 in.</t>
  </si>
  <si>
    <t>smart00870, Asparaginase, Asparaginase, found in various plant, animal and bacterial cells.  Asparaginase catalyses the deamination of asparagine to yield aspartic acid and an ammonium ion, resulting in a depletion of free circulatory asparagine in plasma. The enzyme is effective in the treatment of human malignant lymphomas, which have a diminished capacity to produce asparagine synthetase: in order to survive, such cells absorb asparagine from blood plasma..- if Asn levels have been depleted by injection of asparaginase, the lymphoma cells die.</t>
  </si>
  <si>
    <t xml:space="preserve"> AgamP4_2R:59570835-59571446(+) </t>
  </si>
  <si>
    <t>AGAP004677.R162</t>
  </si>
  <si>
    <t>methylenetetrahydrofolate dehydrogenase(NAD+) / 5,10-methenyltetrahydrofolate</t>
  </si>
  <si>
    <t>VectorBase: AGAP004677</t>
  </si>
  <si>
    <t>AGAP004679-RA</t>
  </si>
  <si>
    <t xml:space="preserve">Folylpolyglutamate synthase [Source:UniProtKB/TrEMBL;Acc:Q5TSB4] </t>
  </si>
  <si>
    <t>Folylpolyglutamate synthase</t>
  </si>
  <si>
    <t>AGAP004679-PA</t>
  </si>
  <si>
    <t>ExpAA=8.38 First60=0.02 PredHel=0 Topology=o</t>
  </si>
  <si>
    <t>PLN02881, PLN02881, tetrahydrofolylpolyglutamate synthase.</t>
  </si>
  <si>
    <t>PLN02881 6e-087| Folylpolyglutamate_synthase 1e-082| FolC 2e-078| PLN02913 6e-037| PRK10846 4e-032| UDP-N-acetylmuramyl-tripeptide_synthet...    48   1e-005 1e-005| poly_gGlu_PgsB 3e-004| MurE 4e-004| murE 0.001| PRK14016 0.002|</t>
  </si>
  <si>
    <t>KOG2525, KOG2525, KOG2525, Folylpolyglutamate synthase [Coenzyme transport and metabolism].</t>
  </si>
  <si>
    <t>pfam02875, Mur_ligase_C, Mur ligase family, glutamate ligase domain.  This family contains a number of related ligase enzymes which have EC numbers 6.3.2.*. This family includes: MurC, MurD, MurE, MurF, Mpl, and FolC. MurC, MurD, Mure and MurF catalyze consecutive steps in the synthesis of peptidoglycan. Peptidoglycan consists of a sheet of two sugar derivatives, with one of these N-acetylmuramic acid attaching to a small pentapeptide. The pentapeptide is is made of L-alanine, D-glutamic acid, Meso-diaminopimelic acid and D-alanyl alanine. The peptide moiety is synthesized by successively adding these amino acids to UDP-N-acetylmuramic acid. MurC transfers the L-alanine, MurD transfers the D-glutamate, MurE transfers the diaminopimelic acid, and MurF transfers the D-alanyl alanine. This family also includes Folylpolyglutamate synthase that transfers glutamate to folylpolyglutamate.</t>
  </si>
  <si>
    <t>smart00053, DYNc, Dynamin, GTPase.  Large GTPases that mediate vesicle trafficking. Dynamin participates in the endocytic uptake of receptors, associated ligands, and plasma membrane following an exocytic event.</t>
  </si>
  <si>
    <t>AGAP004684-RA</t>
  </si>
  <si>
    <t xml:space="preserve">rRNA-processing protein CGR1 </t>
  </si>
  <si>
    <t>rRNA-processing protein CGR1</t>
  </si>
  <si>
    <t>chromatin assembly factor-I p150 subunit - probable fragment</t>
  </si>
  <si>
    <t>AGAP004684-PA</t>
  </si>
  <si>
    <t xml:space="preserve"> coiled-coil domain-containing protein 86 os-coluzzii ox-834 pe-4 sv</t>
  </si>
  <si>
    <t>Phytophthora parasitica INRA-310</t>
  </si>
  <si>
    <t>pfam03879, Cgr1, Cgr1 family.  Members of this family are coiled-coil proteins that are involved in pre-rRNA processing.</t>
  </si>
  <si>
    <t>Cgr1 5e-008| COG4717 | 60S_ribosomal_protein_L7-A | Ax_dynein_light |</t>
  </si>
  <si>
    <t>KOG4538, KOG4538, KOG4538, Predicted coiled-coil protein [General function prediction only].</t>
  </si>
  <si>
    <t xml:space="preserve"> AgamP4_2L:493039-493543(+) </t>
  </si>
  <si>
    <t>AGAP004710-RA</t>
  </si>
  <si>
    <t xml:space="preserve">ubiquinol-cytochrome c reductase subunit 9 </t>
  </si>
  <si>
    <t>ubiquinol-cytochrome c reductase subunit 9</t>
  </si>
  <si>
    <t>cytochrome b-c1 complex subunit 9 - Membrane anchor detected</t>
  </si>
  <si>
    <t>AGAP004710-PA</t>
  </si>
  <si>
    <t xml:space="preserve"> cytochrome b-c1 complex subunit 9-like protein - Membrane anchor detected</t>
  </si>
  <si>
    <t>ExpAA=16.07 First60=16.07 PredHel=1 Topology=i7-26o</t>
  </si>
  <si>
    <t>pfam05365, UCR_UQCRX_QCR9, Ubiquinol-cytochrome C reductase, UQCRX/QCR9 like.  The UQCRX/QCR9 protein is the 9/10 subunit of complex III, encoding a protein of about 7-kDa. Deletion of QCR9 results in the inability of cells to grow on grow on-fermentable carbon source n yeast.</t>
  </si>
  <si>
    <t>UCR_UQCRX_QCR9 1e-016| DUF543 | COG1649 |</t>
  </si>
  <si>
    <t>KOG3494, KOG3494, KOG3494, Ubiquinol cytochrome c oxidoreductase, subunit QCR9 [Energy production and conversion].</t>
  </si>
  <si>
    <t>smart00934, OMPdecase, Orotidine 5'-phosphate decarboxylase / HUMPS family.  Orotidine 5'-phosphate decarboxylase (OMPdecase) catalyzes the last step in the de novo biosynthesis of pyrimidines, the decarboxylation of OMP into UMP. In higher eukaryotes OMPdecase is part, with orotate phosphoribosyltransferase, of a bifunctional enzyme, while the prokaryotic and fungal OMPdecases are monofunctional protein.</t>
  </si>
  <si>
    <t xml:space="preserve"> AgamP4_2L:2483299-2483553(-) </t>
  </si>
  <si>
    <t>AGAP004748-RA</t>
  </si>
  <si>
    <t>AGAP004748-PA</t>
  </si>
  <si>
    <t xml:space="preserve"> tra0a82igc7a0a82igc7 anoar os-arabiensis ox-773 pe-4 sv</t>
  </si>
  <si>
    <t>ExpAA=15.54 First60=15.54 PredHel=1 Topology=i27-44o</t>
  </si>
  <si>
    <t>pfam15178, TOM_sub5, Mitochondrial import receptor subunit TOM5 homolog.  This is a family of transmembrane proteins thought to form part of the pre-protein translocase complex of the outer mitochondrial membrane (TOM complex). This family of proteins is found in eukaryotes. Proteins in this family are approximately 50 amino acids in length.</t>
  </si>
  <si>
    <t>TOM_sub5 | PHA02755 |</t>
  </si>
  <si>
    <t>KOG0468, KOG0468, KOG0468, U5 snRNP-specific protein [Translation, ribosomal structure and biogenesis].</t>
  </si>
  <si>
    <t>smart00961, RuBisCO_small, Ribulose bisphosphate carboxylase, small chain.  RuBisCO (ribulose-1,5-bisphosphate carboxylase/oxygenase) is a bifunctional enzyme that catalyses both the carboxylation and oxygenation of ribulose-1,5-bisphosphate (RuBP), thus fixing carbon dioxide as the first step of the Calvin cycle. RuBisCO is the major protein in the stroma of chloroplasts, and in higher plants exists as a complex of 8 large and 8 small subunits. The function of the small subunit is unknown. While the large subunit is coded for by a single gene, the small subunit is coded for by several different genes, which are distributed in a tissue specific manner. They are transcriptionally regulated by light receptor phytochrome. which results in RuBisCO being more abundant during the day when it is required.</t>
  </si>
  <si>
    <t xml:space="preserve"> AgamP4_2L:3038051-3038283(-) </t>
  </si>
  <si>
    <t>AGAP004759-RA</t>
  </si>
  <si>
    <t xml:space="preserve">oligoribonuclease </t>
  </si>
  <si>
    <t>oligoribonuclease</t>
  </si>
  <si>
    <t>DEDDh 3'-5' exonuclease domain of oligoribonuclease and similar protein</t>
  </si>
  <si>
    <t>AGAP004759-PA</t>
  </si>
  <si>
    <t>cd06135, Orn, DEDDh 3'-5' exonuclease domain of oligoribonuclease and similar proteins.  Oligoribonuclease (Orn) is a DEDDh-type DnaQ-like 3'-5' exoribonuclease that is responsible for degrading small oligoribonucleotides to mononucleotides. It contains three conserved sequence motifs termed ExoI, ExoII and ExoIII, with a specific Hx(4)D conserved pattern at ExoIII. These motifs are clustered around the active site and contain four conserved acidic residues that serve as ligands for the two metal ions required for catalysis. Orn is essential for Escherichia coli survival. The human homolog, also called Sfn (small fragment nuclease), is able to hydrolyze short single-stranded RNA and DNA oligomers. It plays a role in cellular nucleotide recycling.</t>
  </si>
  <si>
    <t>Orn 5e-089| PRK05359 3e-084| Orn 3e-073| RNase_T 4e-033| EXOIII 9e-021| DEDDh 9e-011| ExoI_N 2e-005| PRK06310 2e-005| SbcB 4e-005| sbcB 0.003|</t>
  </si>
  <si>
    <t>KOG3242, KOG3242, KOG3242, Oligoribonuclease (3'-==&gt; 5' exoribonuclease) [RNA processing and modification].</t>
  </si>
  <si>
    <t>pfam00929, RNase_T, Exonuclease.  This family includes a variety of exonuclease proteins, such as ribonuclease T and the epsilon subunit of DNA polymerase III.;.</t>
  </si>
  <si>
    <t>smart00479, EXOIII, exonuclease domain in DNA-polymerase alpha and epsilon chain, ribonuclease T and other exonucleases.</t>
  </si>
  <si>
    <t xml:space="preserve"> AgamP4_2L:3075389-3076075(+) </t>
  </si>
  <si>
    <t>AGAP004778-RA</t>
  </si>
  <si>
    <t>BolA (bacterial stress-induced morphogen)-related protein</t>
  </si>
  <si>
    <t>AGAP004778-PA</t>
  </si>
  <si>
    <t xml:space="preserve"> bola-like protein 3</t>
  </si>
  <si>
    <t>ExpAA=0.01 First60=0.01 PredHel=0 Topology=o</t>
  </si>
  <si>
    <t>Phytophthora infestans T30-4</t>
  </si>
  <si>
    <t>COG0271, BolA, Stress-induced morphogen (activity unknown) [Signal transduction mechanisms].</t>
  </si>
  <si>
    <t>BolA 1e-010| BolA 8e-007| COG5007 0.002| PLN02786 | PRK13018 | INPP5c_Synj2 | PRK11628 | WAC_Acf1_DNA_bd | PRK06130 | PTZ00462 |</t>
  </si>
  <si>
    <t>KOG3348, KOG3348, KOG3348, BolA (bacterial stress-induced morphogen)-related protein [Signal transduction mechanisms].</t>
  </si>
  <si>
    <t>pfam01722, BolA, BolA-like protein.  This family consist of the morphoprotein BolA from E. coli and its various homologs. In E. coli over expression of this protein causes round morphology and may be involved in switching the cell between elongation and septation systems during cell division. The expression of BolA is growth rate regulated and is induced during the transition into the the stationary phase. BolA is also induced by stress during early stages of growth and may have a general role in stress response. It has also been suggested that BolA can induce the transcription of penicillin binding proteins 6 and 5.</t>
  </si>
  <si>
    <t>smart00912, Haemagg_act, haemagglutination activity domain.  This domain is suggested to be a carbohydrate- dependent haemagglutination activity site. It is found in a range of haemagglutinins and haemolysins.</t>
  </si>
  <si>
    <t xml:space="preserve"> AgamP4_2L:3446229-3446944(+) </t>
  </si>
  <si>
    <t>AGAP004790-RA</t>
  </si>
  <si>
    <t xml:space="preserve">Up-regulated during skeletal muscle growth 5 homolog </t>
  </si>
  <si>
    <t>Up-regulated during skeletal muscle growth 5 homolog</t>
  </si>
  <si>
    <t>AGAP004790-PA</t>
  </si>
  <si>
    <t xml:space="preserve"> atp synthase membrane subunit dapit</t>
  </si>
  <si>
    <t>ExpAA=15.49 First60=15.49 PredHel=0 Topology=o</t>
  </si>
  <si>
    <t>pfam14960, ATP_synth_reg, ATP synthase regulation.  Members of this family are subunits of mitochondrial ATP synthase (F-ATPase) and vacuolar ATPase (V-ATPase). In F-ATPase, this subunit regulates mitochondrial ATP synthase population.</t>
  </si>
  <si>
    <t>ATP_synth_reg 9e-015| type_IV_pilus_biogenesis_protein |</t>
  </si>
  <si>
    <t>KOG0902, KOG0902, KOG0902, Phosphatidylinositol 4-kinase [Signal transduction mechanisms].</t>
  </si>
  <si>
    <t>smart00130, KR, Kringle domain.  Named after a Danish pastry. Found in several serine proteases and in ROR-like receptors. Can occur in up to 38 copies (in apolipoprotein(a)). Plasminogen-like kringles possess affinity for free lysine and lysine- containing peptides.</t>
  </si>
  <si>
    <t xml:space="preserve"> AgamP4_2L:3576757-3577007(+) </t>
  </si>
  <si>
    <t>AGAP004794-RA</t>
  </si>
  <si>
    <t xml:space="preserve">pancreatic triacylglycerol lipase </t>
  </si>
  <si>
    <t>pancreatic triacylglycerol lipase</t>
  </si>
  <si>
    <t>lipase - signalP detected - GPI anchored</t>
  </si>
  <si>
    <t>met/lipd lipase/gpi/gpi</t>
  </si>
  <si>
    <t>AGAP004794-PA</t>
  </si>
  <si>
    <t xml:space="preserve"> tra0a82ulg7a0a82ulg7 9dipt lipase domain-containing protein os-melas pe-3 sv - signalP detected - GPI anchored</t>
  </si>
  <si>
    <t>s/met/lipd /gpi</t>
  </si>
  <si>
    <t>ExpAA=0.86 First60=0.09 PredHel=0 Topology=o</t>
  </si>
  <si>
    <t>Aphanomyces invadans</t>
  </si>
  <si>
    <t>cd00707, Pancreat_lipase_like, Pancreatic lipase-like enzymes. Lipases are esterases that can hydrolyze long-chain acyl-triglycerides into di- and monoglycerides, glycerol, and free fatty acids at a water/lipid interface.  A typical feature of lipases is "interfacial activation," the process of becoming active at the lipid/water interface, although several examples of lipases have been identified that do not undergo interfacial activation .  The active site of a lipase contains a catalytic triad consisting of Ser - His - Asp/Glu, but unlike most serine proteases, the active site is buried inside the structure.  A "lid" or "flap" covers the active site, making it inaccessible to solvent and substrates. The lid opens during the process of interfacial activation, allowing the lipid substrate access to the active site.</t>
  </si>
  <si>
    <t>Pancreat_lipase_like 5e-086| Lipase 1e-038| Lipoprotein_lipase 2e-029| Lipase 5e-018| MhpC 3e-004| Aes 3e-004| Abhydrolase_6 4e-004| Abhydrolase_1 4e-004| PRK14875 0.002| menH_SHCHC 0.006|</t>
  </si>
  <si>
    <t>KOG2564, KOG2564, KOG2564, Predicted acetyltransferases and hydrolases with the alpha/beta hydrolase fold [General function prediction only].</t>
  </si>
  <si>
    <t>pfam00151, Lipase, Lipase.</t>
  </si>
  <si>
    <t>smart00827, PKS_AT, Acyl transferase domain in polyketide synthase (PKS) enzymes.</t>
  </si>
  <si>
    <t xml:space="preserve"> AgamP4_2L:3597065-3598346(+) </t>
  </si>
  <si>
    <t>AGAP004885-RA</t>
  </si>
  <si>
    <t xml:space="preserve">CDGSH iron sulfur domain-containing protein 3, mitochondrial </t>
  </si>
  <si>
    <t>CDGSH iron sulfur domain-containing protein 3, mitochondrial</t>
  </si>
  <si>
    <t>CDGSH iron-sulfur domain-containing protein 3 mitochondrial</t>
  </si>
  <si>
    <t>AGAP004885-PA</t>
  </si>
  <si>
    <t xml:space="preserve"> cdgsh iron-sulfur domain-containing protein 3</t>
  </si>
  <si>
    <t>smart00704, ZnF_CDGSH, CDGSH-type zinc finger. Function unknown.</t>
  </si>
  <si>
    <t>ZnF_CDGSH 1e-008| COG3369 3e-004| zf-CDGSH 0.001| unnamed_protein_product | DUF4935 | CuRO_1_tcLCC2_insect_like | L-ascorbate_oxidase | CuRO_1_2dMco_1 | PRK09859 | CuRO_D1_2dMcoN_like |</t>
  </si>
  <si>
    <t>KOG4605, KOG4605, KOG4605, Uncharacterized conserved protein containing CDGSH-type Zn-finger [Function unknown].</t>
  </si>
  <si>
    <t>pfam09360, zf-CDGSH, Iron-binding zinc finger CDGSH type.  The CDGSH-type zinc finger domain binds iron rather than zinc as a redox-active pH-labile 2Fe-2S cluster. The conserved sequence C-X-C-X2-(S/T)-X3-P-X-C-D-G-(S/A/T)-H is a defining feature of this family. The domain is oriented towards the cytoplasm and is tethered to the mitochondrial membrane by a more N-terminal domain found in higher vertebrates, MitoNEET_N, pfam10660. The domain forms a uniquely folded homo-dimer and spans the outer mitochondrial membrane, orienting the iron-binding residues towards the cytoplasm.</t>
  </si>
  <si>
    <t xml:space="preserve"> AgamP4_2L:4953606-4954285(+) </t>
  </si>
  <si>
    <t>C(3.47)</t>
  </si>
  <si>
    <t>AGAP004887-RA</t>
  </si>
  <si>
    <t xml:space="preserve">40S ribosomal protein S17 [Source:UniProtKB/Swiss-Prot;Acc:Q9U9L1] </t>
  </si>
  <si>
    <t>RpS17: 40S ribosomal protein S17</t>
  </si>
  <si>
    <t>Ribosomal S17</t>
  </si>
  <si>
    <t>AGAP004887-PA</t>
  </si>
  <si>
    <t xml:space="preserve"> 40s ribosomal protein s17</t>
  </si>
  <si>
    <t>pfam00833, Ribosomal_S17e, Ribosomal S17.</t>
  </si>
  <si>
    <t>Ribosomal_S17e 2e-056| PTZ00154 5e-048| RPS17A 2e-019| rps17E 1e-013| Glyco_18 | PRK15109 | Phage_portal_2 | Orbi_VP1 | Coatomer_WDAD | DUF3393 |</t>
  </si>
  <si>
    <t>KOG0187, KOG0187, KOG0187, 40S ribosomal protein S17 [Translation, ribosomal structure and biogenesis].</t>
  </si>
  <si>
    <t>smart00636, Glyco_18, Glyco_18 domain.</t>
  </si>
  <si>
    <t>AGAP004903-RA</t>
  </si>
  <si>
    <t>transmembrane protein 70 homolog mitochondrial - 2 predicted membrane helices</t>
  </si>
  <si>
    <t>AGAP004903-PA</t>
  </si>
  <si>
    <t xml:space="preserve"> transmembrane protein 70 - 2 predicted membrane helices</t>
  </si>
  <si>
    <t xml:space="preserve"> 14-15</t>
  </si>
  <si>
    <t>ExpAA=41.66 First60=0.05 PredHel=2 Topology=i84-106o116-138i</t>
  </si>
  <si>
    <t>pfam06979, TMEM70, Assembly, mitochondrial proton-transport ATP synth complex.  TMEM70 is a family of proteins essential for assembly of the mitochondrial proton-transporting ATP synthase complex within the inner mitochondrial membrane.</t>
  </si>
  <si>
    <t>TMEM70 6e-046| Uncharacterized_MFS-type_transporter_Y...    31   0.49  | PLN02385 | 7tm_TAS2R16 | DMB-PRT_CobT | am_tr_V_VC1184 | LrgB | CARD_BIRC2_BIRC3 | PRK10711 | RNB |</t>
  </si>
  <si>
    <t>KOG4478, KOG4478, KOG4478, Uncharacterized membrane protein [Function unknown].</t>
  </si>
  <si>
    <t>smart00955, RNB, This domain is the catalytic domain of ribonuclease II.</t>
  </si>
  <si>
    <t xml:space="preserve"> AgamP4_2L:5769012-5769799(-) </t>
  </si>
  <si>
    <t>AGAP004929-RA</t>
  </si>
  <si>
    <t xml:space="preserve">aminoacyl tRNA synthase complex-interacting multifunctional protein 3 </t>
  </si>
  <si>
    <t>AIMP3: aminoacyl tRNA synthase complex-interacting multifunctional protein 3</t>
  </si>
  <si>
    <t>eukaryotic translation elongation factor 1 epsilon-1</t>
  </si>
  <si>
    <t>AGAP004929-PA</t>
  </si>
  <si>
    <t xml:space="preserve"> eukaryotic translation elongation factor 1 epsilon-1-like protein</t>
  </si>
  <si>
    <t>Babesia bovis T2Bo</t>
  </si>
  <si>
    <t>cd10305, GST_C_AIMP3, Glutathione S-transferase C-terminal-like, alpha helical domain of Aminoacyl tRNA synthetase complex-Interacting Multifunctional Protein 3. Glutathione S-transferase (GST) C-terminal domain family, Aminoacyl tRNA synthetase complex-Interacting Multifunctional Protein (AIMP) 3 subfamily; AIMPs are non-enzymatic cofactors that play critical roles in the assembly and formation of a macromolecular multi-tRNA synthetase protein complex that functions as a molecular hub to coordinate protein synthesis. There are three AIMPs, named AIMP1-3, which play diverse regulatory roles. AIMP3, also called p18 or eukaryotic translation elongation factor 1 epsilon-1 (EEF1E1), contains a C-terminal domain with similarity to the C-terminal alpha helical domain of GSTs. It specifically interacts with methionyl-tRNA synthetase (MetRS) and is translocated to the nucleus during DNA synthesis or in response to DNA damage and oncogenic stress. In the nucleus, it interacts with ATM and ATR, which are upstream kinase regulators of p53. It appears to work against DNA damage in cooperation with AIMP2, and similar to AIMP2, AIMP3 is also a haploinsufficient tumor suppressor. AIMP3 transgenic mice have shorter lifespans than wild-type mice and they show characteristics of progeria, suggesting that AIMP3 may also be involved in cellular and organismal aging.</t>
  </si>
  <si>
    <t>GST_C_AIMP3 4e-035| GST_C_AaRS_like 4e-015| PLN02907 1e-009| GST_C_EF1Bgamma_like 1e-007| GST_C_GluProRS_N 5e-007| GST_C_GluRS_N 7e-007| GST_C_Delta_Epsilon 4e-006| GST_C_Arc1p_N_like 7e-006| GST_C_eEF1b_like 9e-005| GST_C_ValRS_N 7e-004|</t>
  </si>
  <si>
    <t>KOG1147, KOG1147, KOG1147, Glutamyl-tRNA synthetase [Translation, ribosomal structure and biogenesis].</t>
  </si>
  <si>
    <t>pfam14497, GST_C_3, Glutathione S-transferase, C-terminal domain. This domain is closely related to pfam00043.</t>
  </si>
  <si>
    <t>smart00850, LytTR, LytTr DNA-binding domain.  This domain is found in a variety of bacterial transcriptional regulators. The domain binds to a specific DNA sequence pattern.</t>
  </si>
  <si>
    <t xml:space="preserve"> AgamP4_2L:6114489-6115455(+) </t>
  </si>
  <si>
    <t>AGAP004954-RA</t>
  </si>
  <si>
    <t xml:space="preserve">rhythmically expressed gene 2 protein </t>
  </si>
  <si>
    <t>rhythmically expressed gene 2 protein</t>
  </si>
  <si>
    <t>REG-2-like</t>
  </si>
  <si>
    <t>AGAP004954-PA</t>
  </si>
  <si>
    <t xml:space="preserve"> gnlcdd274056</t>
  </si>
  <si>
    <t>TIGR02252, Rhythmically_expressed_gene_2_protein, REG-2-like, HAD superfamily (subfamily IA) hydrolase.  This family of proteins includes uncharacterized sequences from eukaryotes, cyanobacteria and Leptospira as well as the DREG-2 protein from Drosophila melanogaster which has been identified as a rhythmically (diurnally) regulated gene. This family is a member of the Haloacid Dehalogenase (HAD) superfamily of aspartate-nucleophile hydrolases. The superfamily is defined by the presence of three short catalytic motifs. The subfamilies are defined based on the location and the observed or predicted fold of a so-called 'capping domain', or the absence of such a domain. This family is a member of subfamily 1A in which the cap domain consists of a predicted alpha helical bundle found in between the first and second catalytic motifs. A distinctive feature of this family is a conserved tandem pair of tryptophan residues in the cap domain. The most divergent sequences included within the scope of this model are from plants and have "FW" at this position instead. Most likely, these sequences, like the vast majority of HAD sequences, represent phosphatase enzymes.</t>
  </si>
  <si>
    <t>Rhythmically_expressed_gene_2_protein 1e-055| HAD_dREG-2_like 1e-029| COG1011 2e-019| HAD_Neu5Ac-Pase_like 8e-013| Gph 4e-012| HAD_2 2e-011| Hydrolase 8e-011| Uncharacterized_HAD-hydrolase_PYRAB051...    62   3e-010 3e-010| hydrolase_haloacid_dehalogenase-like_f...    61   7e-010 7e-010| HAD-SF-IA-v1 9e-010|</t>
  </si>
  <si>
    <t>KOG3085, KOG3085, KOG3085, Predicted hydrolase (HAD superfamily) [General function prediction only].</t>
  </si>
  <si>
    <t xml:space="preserve"> AgamP4_2L:7178011-7180366(-) </t>
  </si>
  <si>
    <t>AGAP005009-RA</t>
  </si>
  <si>
    <t xml:space="preserve">Pyrroline-5-carboxylate reductase [Source:UniProtKB/TrEMBL;Acc:Q7PPH9] </t>
  </si>
  <si>
    <t>Pyrroline-5-carboxylate reductase</t>
  </si>
  <si>
    <t>AGAP005009-PA</t>
  </si>
  <si>
    <t>ExpAA=0.57 First60=0.43 PredHel=0 Topology=o</t>
  </si>
  <si>
    <t>Actinidia chinensis</t>
  </si>
  <si>
    <t>PLN02688, PLN02688, pyrroline-5-carboxylate reductase.</t>
  </si>
  <si>
    <t>PLN02688 1e-079| PRK11880 7e-075| ProC 5e-073| Pyrroline-5-carboxylate_reductase 3e-064| PTZ00431 2e-047| PRK12491 5e-045| PRK07679 1e-040| P5CR_dimer 3e-037| PRK07634 5e-027| PRK07680 1e-018|</t>
  </si>
  <si>
    <t>KOG3124, KOG3124, KOG3124, Pyrroline-5-carboxylate reductase [Amino acid transport and metabolism].</t>
  </si>
  <si>
    <t>pfam14748, P5CR_dimer, Pyrroline-5-carboxylate reductase dimerisation.  Pyrroline-5-carboxylate reductase consists of two domains, an N-terminal catalytic domain (pfam03807) and a C-terminal dimerisation domain. This is the dimerisation domain.</t>
  </si>
  <si>
    <t>smart00799, DENN, Domain found in a variety of signalling proteins, always encircled by uDENN and dDENN.  The DENN domain is found in a variety of signalling proteins involved in Rab-mediated processes or regulation of MAPKs signalling pathways. The DENN domain is always encircled on both sides by more divergent domains, called uDENN (for upstream DENN) and dDENN (for downstream DENN). The function of the DENN domain remains to date unclear, although it appears to represent a good candidate for a GTP/GDP exchange activity.</t>
  </si>
  <si>
    <t>AGAP005030-RA</t>
  </si>
  <si>
    <t>sorting nexin - 33 OH-glycosylation sites -  33 NetOglyc sites</t>
  </si>
  <si>
    <t>AGAP005030-PA</t>
  </si>
  <si>
    <t xml:space="preserve"> protein - 33 OH-glycosylation sites -  33 NetOglyc sites</t>
  </si>
  <si>
    <t>ExpAA=0.31 First60=0.00 PredHel=0 Topology=o</t>
  </si>
  <si>
    <t>Leishmania major strain Friedlin</t>
  </si>
  <si>
    <t>PHA03247, PHA03247, large tegument protein UL36; Provisional.</t>
  </si>
  <si>
    <t>PHA03247 4e-010| Macoilin 4e-008| SelP_N 2e-007| PHA03307 4e-006| COG5651 0.003| Hia 0.009| FhaB 0.024| COG4625 0.027| Med15 0.040| Atrophin-1 0.052|</t>
  </si>
  <si>
    <t>KOG1984, KOG1984, KOG1984, Vesicle coat complex COPII, subunit SFB3 [Intracellular trafficking, secretion, and vesicular transport].</t>
  </si>
  <si>
    <t>pfam09726, Macoilin, Transmembrane protein.  This entry is a highly conserved protein present in eukaryotes.</t>
  </si>
  <si>
    <t>smart01098, CPSF73-100_C, This is the C-terminal conserved region of the pre-mRNA 3'-end-processing of the polyadenylation factor CPSF-73/CPSF-100 proteins.  The exact function of this domain is not known.</t>
  </si>
  <si>
    <t xml:space="preserve"> AgamP4_2L:8588003-8599233(-) </t>
  </si>
  <si>
    <t xml:space="preserve">1 | 1118    PKGRGKR|GR  0.562 *ProP*  | </t>
  </si>
  <si>
    <t>AGAP005109-RA</t>
  </si>
  <si>
    <t xml:space="preserve">MICOS complex subunit MIC13 [Source:UniProtKB/TrEMBL;Acc:Q7Q9Q1] </t>
  </si>
  <si>
    <t>MICOS complex subunit MIC13</t>
  </si>
  <si>
    <t>AGAP005109-PA</t>
  </si>
  <si>
    <t xml:space="preserve"> micos complex subunit mic13 protein qil1</t>
  </si>
  <si>
    <t>Theileria parva strain Muguga</t>
  </si>
  <si>
    <t>pfam15884, QIL1, Protein QIL1.  This family of proteins is functionally uncharacterized. This family of proteins is found in eukaryotes. Proteins in this family are typically between 111 and 169 amino acids in length.</t>
  </si>
  <si>
    <t>QIL1 3e-030| PRK11440 | CDC27 | AvrD | AbfA | MopB_3 | PLP-dependent_aminotransferase | PRK09956 | PEP_integral | Flagellar_biosynthesis_protein_FlhA |</t>
  </si>
  <si>
    <t>KOG1922, KOG1922, KOG1922, Rho GTPase effector BNI1 and related formins [Signal transduction mechanisms, Cytoskeleton].</t>
  </si>
  <si>
    <t>smart00164, TBC, Domain in Tre-2, BUB2p, and Cdc16p. Probable Rab-GAPs.  Widespread domain present in Gyp6 and Gyp7, thereby giving rise to the notion that it performs a GTP-activator activity on Rab-like GTPases.</t>
  </si>
  <si>
    <t>AGAP005118-RA</t>
  </si>
  <si>
    <t xml:space="preserve">28S ribosomal protein S17, mitochondrial [Source:UniProtKB/TrEMBL;Acc:Q7Q9P8] </t>
  </si>
  <si>
    <t>mRpS17: 28S ribosomal protein S17, mitochondrial</t>
  </si>
  <si>
    <t>Mitochondrial/chloroplast ribosomal S17-like protein</t>
  </si>
  <si>
    <t>AGAP005118-PA</t>
  </si>
  <si>
    <t xml:space="preserve"> 28s ribosomal protein s7</t>
  </si>
  <si>
    <t>pfam00366, Ribosomal_S17, Ribosomal protein S17.</t>
  </si>
  <si>
    <t>Ribosomal_S17 7e-004| uS17_bact 0.011| rpsQ 0.015| rps17 0.041| RpsQ | DUF5098 | Aspartate--tRNA_ligase | PBP1_CcpA_like | DUF1729 | PHA03398 |</t>
  </si>
  <si>
    <t>KOG3447, KOG3447, KOG3447, Mitochondrial/chloroplast ribosomal S17-like protein [Translation, ribosomal structure and biogenesis].</t>
  </si>
  <si>
    <t>smart01041, BRO1, BRO1-like domain.  This domain is found in a number proteins including Rhophilin and BRO1. It is known to have a role in endosomal targeting. ESCRT-III subunit Snf7 binds to a conserved hydrophobic patch in the BRO1 domain that is required for protein complex formation and for the protein-sorting function of BRO1.</t>
  </si>
  <si>
    <t>AGAP005124-RE</t>
  </si>
  <si>
    <t xml:space="preserve">aldehyde dehydrogenase </t>
  </si>
  <si>
    <t>aldehyde dehydrogenase</t>
  </si>
  <si>
    <t>Aldehyde dehydrogenase</t>
  </si>
  <si>
    <t>AGAP005124-PE</t>
  </si>
  <si>
    <t>ExpAA=23.45 First60=0.00 PredHel=1 Topology=o583-605i</t>
  </si>
  <si>
    <t>cd07132, ALDH_F3AB, Aldehyde dehydrogenase family 3 members A1, A2, and B1 and related proteins.  NAD(P)+-dependent, aldehyde dehydrogenase, family 3 members A1 and B1 (ALDH3A1, ALDH3B1,  EC=1.2.1.5) and fatty aldehyde dehydrogenase, family 3 member A2 (ALDH3A2, EC=1.2.1.3), and similar sequences are included in this CD. Human ALDH3A1 is a homodimer with a critical role in cellular defense against oxidative stress; it catalyzes the oxidation of various cellular membrane lipid-derived aldehydes. Corneal crystalline ALDH3A1 protects the cornea and underlying lens against UV-induced oxidative stress. Human ALDH3A2, a microsomal homodimer, catalyzes the oxidation of long-chain aliphatic aldehydes to fatty acids. Human ALDH3B1 is highly expressed in the kidney and liver and catalyzes the oxidation of various medium- and long-chain saturated and unsaturated aliphatic aldehydes.</t>
  </si>
  <si>
    <t>ALDH_F3AB | ALDH_F3-13-14_CALDH-like | ALDH_YwdH-P39616 e-180| PTZ00381 e-175| ALDH_F14-YMR110C e-164| ALDH_AlkH-like e-134| ALDH_F3FHI e-134| ALDH_CALDH_CalB e-131| PLN02203 e-127| PLN02174 e-108|</t>
  </si>
  <si>
    <t>KOG2456, KOG2456, KOG2456, Aldehyde dehydrogenase [Energy production and conversion].</t>
  </si>
  <si>
    <t>pfam00171, Aldedh, Aldehyde dehydrogenase family.  This family of dehydrogenases act on aldehyde substrates. Members use NADP as a cofactor. The family includes the following members: The prototypical members are the aldehyde dehydrogenases EC:1.2.1.3. Succinate-semialdehyde dehydrogenase EC:1.2.1.16. Lactaldehyde dehydrogenase EC:1.2.1.22. Benzaldehyde dehydrogenase EC:1.2.1.28. Methylmalonate-semialdehyde dehydrogenase EC:1.2.1.27. Glyceraldehyde-3-phosphate dehydrogenase EC:1.2.1.9. Delta-1-pyrroline-5-carboxylate dehydrogenase EC: 1.5.1.12. Acetaldehyde dehydrogenase EC:1.2.1.10. Glutamate-5-semialdehyde dehydrogenase EC:1.2.1.41. This family also includes omega crystallin, an eye lens protein from squid and octopus that has little aldehyde dehydrogenase activity.</t>
  </si>
  <si>
    <t>smart00314, RA, Ras association (RalGDS/AF-6) domain.  RasGTP effectors (in cases of AF6, canoe and RalGDS); putative RasGTP effectors in other cases. Kalhammer et al. have shown that not all RA domains bind RasGTP. Predicted structure similar to that determined, and that of the RasGTP-binding domain of Raf kinase. Predicted RA domains in PLC210 and nore1 found to bind RasGTP. Included outliers (Grb7, Grb14, adenylyl cyclases etc.).</t>
  </si>
  <si>
    <t xml:space="preserve"> AgamP4_2L:10258127-10272445(-) </t>
  </si>
  <si>
    <t>AGAP005149-RA</t>
  </si>
  <si>
    <t xml:space="preserve">H/ACA ribonucleoprotein complex subunit 3 </t>
  </si>
  <si>
    <t>H/ACA ribonucleoprotein complex subunit 3</t>
  </si>
  <si>
    <t>Nucleolar RNA-binding protein</t>
  </si>
  <si>
    <t>AGAP005149-PA</t>
  </si>
  <si>
    <t xml:space="preserve"> tra0a82lbga0a82lbg 9dipt nucleolar protein 0 os-coluzzii ox-834 pe-3 sv</t>
  </si>
  <si>
    <t>pfam04135, Nop10p, Nucleolar RNA-binding protein, Nop10p family. Nop10p is a nucleolar protein that is specifically associated with H/ACA snoRNAs. It is essential for normal 18S rRNA production and rRNA pseudouridylation by the ribonucleoprotein particles containing H/ACA snoRNAs (H/ACA snoRNPs). Nop10p is probably necessary for the stability of these RNPs.</t>
  </si>
  <si>
    <t>Nop10p 2e-015| COG2260 3e-009| PRK13130 1e-006| Cytidine_deaminase | AFOR_C |</t>
  </si>
  <si>
    <t>KOG3503, KOG3503, KOG3503, H/ACA snoRNP complex, subunit NOP10 [RNA processing and modification].</t>
  </si>
  <si>
    <t>smart00210, TSPN, Thrombospondin N-terminal -like domains. Heparin-binding and cell adhesion domain of thrombospondin.</t>
  </si>
  <si>
    <t xml:space="preserve"> AgamP4_2L:10577719-10577972(-) </t>
  </si>
  <si>
    <t>Y(3.12)</t>
  </si>
  <si>
    <t>AGAP005155.R461</t>
  </si>
  <si>
    <t>VectorBase: AGAP005155</t>
  </si>
  <si>
    <t>AGAP005170-RA</t>
  </si>
  <si>
    <t>DOMON domain of stromal cell-derived receptor 2 - 10 OH-glycosylation sites - signalP detected - 7 predicted membrane helices</t>
  </si>
  <si>
    <t>AGAP005170-PA</t>
  </si>
  <si>
    <t xml:space="preserve"> ferric-chelate reductase 1 - 10 OH-glycosylation sites - signalP detected - 7 predicted membrane helices</t>
  </si>
  <si>
    <t>ExpAA=133.08 First60=0.28 PredHel=6 Topology=o389-411i432-454o464-482i494-516o531-553i596-618o</t>
  </si>
  <si>
    <t>cd09628, DOMON_SDR_2_like, DOMON domain of stromal cell-derived receptor 2 (ferric chelate reductase 1) and related proteins.  Stromal cell-derived receptor 2 (or ferric chelate reductase 1) reduces Fe(3+) to Fe(2+) ahead of iron transport from the endosome to the cytoplasm. This transmembrane protein is a member of the cytochrome b561 family and contains a DOMON domain which may bind to heme or another ligand. DOMON-like domains can be found in all three kindgoms of life and are a diverse group of ligand binding domains that have been shown to interact with sugars and hemes. DOMON domains were initially thought to confer protein-protein interactions. They were subsequently found as a heme-binding motif in cellobiose dehydrogenase, an extracellular fungal oxidoreductase that degrades both lignin and cellulose, and in ethylbenzene dehydrogenase, an enzyme that aids in the anaerobic degradation of hydrocarbons. The domain interacts with sugars in the type 9 carbohydrate binding modules (CBM9), which are present in a variety of glycosyl hydrolases, and it can also be found at the N-terminus of sensor histidine kinases.</t>
  </si>
  <si>
    <t>DOMON_SDR_2_like 2e-046| Cyt_b561_FRRS1_like 3e-043| Reeler 2e-035| Reeler 9e-033| B561 1e-025| DOMON 1e-017| DoH 2e-012| Cyt_b561 1e-011| Cyt_b561_CYB561D2_like 4e-006| Cytochrom_B561 1e-004|</t>
  </si>
  <si>
    <t>KOG4293, KOG4293, KOG4293, Predicted membrane protein, contains DoH and Cytochrome b-561/ferric reductase transmembrane domains [Signal transduction mechanisms].</t>
  </si>
  <si>
    <t>pfam02014, Reeler, Reeler domain.</t>
  </si>
  <si>
    <t xml:space="preserve"> AgamP4_2L:11284851-11287489(-) </t>
  </si>
  <si>
    <t>AGAP005422-RA</t>
  </si>
  <si>
    <t>AGAP005422-PA</t>
  </si>
  <si>
    <t xml:space="preserve"> cytosolic iron-sulfur assembly component 2b</t>
  </si>
  <si>
    <t>ExpAA=3.50 First60=0.00 PredHel=0 Topology=o</t>
  </si>
  <si>
    <t>COG5133, COG5133, Uncharacterized conserved protein [Function unknown].</t>
  </si>
  <si>
    <t>COG5133 5e-035| DUF59 8e-007| FeS_long_SufT 4e-004| PaaD 0.037| Putative_12-phenylacetyl-CoA_epoxidase...    29   0.98  | COG2985 | GTPBP1 | unnamed_protein_product_partial_mitoch...    29   1.3   | SUF_assoc | 7tmA_OXR |</t>
  </si>
  <si>
    <t>KOG3381, KOG3381, KOG3381, Uncharacterized conserved protein [Function unknown].</t>
  </si>
  <si>
    <t>pfam01883, DUF59, Domain of unknown function DUF59.  This family has an alpha/beta topology, with 13 conserved hydrophobic residues at its core and a putative active site containing a highly conserved cysteine. Members of this family are involved in a range of physiological functions. The family includes PaaJ (PhaH) from Pseudomonas putida. PaaJ forms a complex with PaaG (PhaF), PaaI (PhaG) and PaaK (PhaI), which hydroxylates phenylacetic acid to 2-hydroxyphenylacetic acid. It also includes PaaD from Escherichia coli, a member of a multicomponent oxygenase involved in phenylacetyl-CoA hydroxylation. It is found near the N-terminus of the chloroplast scaffold protein HCF101, involved in the assembly of [4Fe-4S] clusters and their transfer to apoproteins.</t>
  </si>
  <si>
    <t>smart00358, DSRM, Double-stranded RNA binding motif.</t>
  </si>
  <si>
    <t xml:space="preserve"> AgamP4_2L:15374749-15375296(-) </t>
  </si>
  <si>
    <t>AGAP005618-RA</t>
  </si>
  <si>
    <t xml:space="preserve">1,2-dihydroxy-3-keto-5-methylthiopentene dioxygenase [Source:UniProtKB/TrEMBL;Acc:Q7Q6X6] </t>
  </si>
  <si>
    <t>1,2-dihydroxy-3-keto-5-methylthiopentene dioxygenase</t>
  </si>
  <si>
    <t>AGAP005618-PA</t>
  </si>
  <si>
    <t xml:space="preserve"> 2-dihydroxy-3-keto--methylthiopentene dioxygenase os-coluzzii ox-834 pe-3 sv</t>
  </si>
  <si>
    <t>ExpAA=1.16 First60=0.00 PredHel=0 Topology=o</t>
  </si>
  <si>
    <t>pfam03079, ARD, ARD/ARD' family.  The two acireductone dioxygenase enzymes (ARD and ARD', previously known as E-2 and E-2') from Klebsiella pneumoniae share the same amino acid sequence, but bind different metal ions: ARD binds Ni2+, ARD' binds Fe2+. ARD and ARD' can be experimentally interconverted by removal of the bound metal ion and reconstitution with the appropriate metal ion. The two enzymes share the same substrate, 1,2-dihydroxy-3-keto-5-(methylthio)pentene, but yield different products. ARD' yields the alpha-keto precursor of methionine (and formate), thus forming part of the ubiquitous methionine salvage pathway that converts 5'-methylthioadenosine (MTA) to methionine. This pathway is responsible for the tight control of the concentration of MTA, which is a powerful inhibitor of polyamine biosynthesis and transmethylation reactions. ARD yields methylthiopropanoate, carbon monoxide and formate, and thus prevents the conversion of MTA to methionine. The role of the ARD catalyzed reaction is unclear: methylthiopropanoate is cytotoxic, and carbon monoxide can activate guanylyl cyclase, leading to increased intracellular cGMP levels. This family also contains other members, whose functions are not well characterized.</t>
  </si>
  <si>
    <t>ARD 4e-040| COG1791 7e-030| Cupin_2 7e-007| AraC_binding 3e-004| COG3435 0.002| {ManC} 0.007| COG1917 0.009| gentisate_12-dioxygenase | Cupin_1 | Cupin_6 |</t>
  </si>
  <si>
    <t>KOG2107, KOG2107, KOG2107, Uncharacterized conserved protein, contains double-stranded beta-helix domain [Function unknown].</t>
  </si>
  <si>
    <t>smart00835, Cupin_1, Cupin.  This family represents the conserved barrel domain of the 'cupin' superfamily ('cupa' is the Latin term for a small barrel). This family contains 11S and 7S plant seed storage proteins, and germins. Plant seed storage proteins provide the major nitrogen source for the developing plant.</t>
  </si>
  <si>
    <t>AGAP005621-RA</t>
  </si>
  <si>
    <t xml:space="preserve">NADH dehydrogenase (ubiquinone) 1 alpha subcomplex 5 </t>
  </si>
  <si>
    <t>NADH dehydrogenase (ubiquinone) 1 alpha subcomplex 5</t>
  </si>
  <si>
    <t>AGAP005621-PA</t>
  </si>
  <si>
    <t>pfam04716, ETC_C1_NDUFA5, ETC complex I subunit conserved region. Family of eukaryotic NADH-ubiquinone oxidoreductase subunits (EC:1.6.5.3) (EC:1.6.99.3) from complex I of the electron transport chain initially identified in Neurospora crassa as a 29.9 kDa protein. The conserved region is found at the N-terminus of the member proteins.</t>
  </si>
  <si>
    <t>ETC_C1_NDUFA5 2e-023| CitC | FATC | Alpha_E2_glycop | -lyase]_ligase | PRK10241 | PLN02206 | MIS13 | PRK09804 | PTZ00130 |</t>
  </si>
  <si>
    <t>KOG3365, KOG3365, KOG3365, NADH:ubiquinone oxidoreductase, NDUFA5/B13 subunit [Energy production and conversion].</t>
  </si>
  <si>
    <t>smart00764, Citrate_ly_lig, Citrate lyase ligase C-terminal domain. Proteins of this family contain the C-terminal domain of citrate lyase ligase EC:6.2.1.22.</t>
  </si>
  <si>
    <t xml:space="preserve"> AgamP4_2L:17933861-17934448(-) </t>
  </si>
  <si>
    <t>W(3.38)</t>
  </si>
  <si>
    <t>AGAP005635-RA</t>
  </si>
  <si>
    <t>Ki-ras-induced actin-interacting protein-IP3R-interacting domain</t>
  </si>
  <si>
    <t>AGAP005635-PA</t>
  </si>
  <si>
    <t xml:space="preserve"> ki-ras-induced actin-interacting protein-ip3r-interacting</t>
  </si>
  <si>
    <t>pfam14722, KRAP_IP3R_bind, Ki-ras-induced actin-interacting protein-IP3R-interacting domain.  This family includes the N-terminus of the actin-interacting protein sperm-specific antigen 2, or KRAP (Ki-ras-induced actin-interacting protein). This region is found to be the residues that interact with inositol 1,4,5-trisphosphate receptor (IP3R). KRAP was first localized as a membrane-bound form with extracellular regions suggesting it might be involved in the regulation of filamentous actin and signals from the outside of the cells. It has now been shown to be critical for the proper subcellular localization and function of IP3R. Inositol 1,4,5-trisphosphate receptor functions as the Ca2+ release channel on specialized endoplasmic reticulum membranes, so the subcellular localization of IP3R is crucial for its proper function.</t>
  </si>
  <si>
    <t>KRAP_IP3R_bind 3e-008| MSP7_C | conserved_hypothetical_protein | COG3565 | PLN03029 | CiPC |</t>
  </si>
  <si>
    <t>KOG4222, KOG4222, KOG4222, Axon guidance receptor Dscam [Signal transduction mechanisms].</t>
  </si>
  <si>
    <t>smart00818, Amelogenin, Amelogenins, cell adhesion proteins, play a role in the biomineralisation of teeth.  They seem to regulate formation of crystallites during the secretory stage of tooth enamel development and are thought to play a major role in the structural organisation and mineralisation of developing enamel. The extracellular matrix of the developing enamel comprises two major classes of protein: the hydrophobic amelogenins and the acidic enamelins. Circular dichroism studies of porcine amelogenin have shown that the protein consists of 3 discrete folding units: the N-terminal region appears to contain beta-strand structures, while the C-terminal region displays characteristics of a random coil conformation. Subsequent studies on the bovine protein have indicated the amelogenin structure to contain a repetitive beta-turn segment and a "beta-spiral" between Gln112 and Leu138, which sequester a (Pro, Leu, Gln) rich region. The beta-spiral offers a probable site for interactions with Ca2+ ions. Muatations in the human amelogenin gene (AMGX) cause X-linked hypoplastic amelogenesis imperfecta, a disease characterised by defective enamel. A 9bp deletion in exon 2 of AMGX results in the loss of codons for Ile5, Leu6, Phe7 and Ala8, and replacement by a new threonine codon, disrupting the 16-residue (Met1-Ala16) amelogenin signal peptide.</t>
  </si>
  <si>
    <t xml:space="preserve"> AgamP4_2L:18060479-18063751(-) </t>
  </si>
  <si>
    <t xml:space="preserve">1 | 401    GIGRIGR|SS  0.544 *ProP*  | </t>
  </si>
  <si>
    <t>AGAP005834-RA</t>
  </si>
  <si>
    <t xml:space="preserve">carboxylesterase </t>
  </si>
  <si>
    <t>COEJHE2E: carboxylesterase</t>
  </si>
  <si>
    <t>Esterases and lipases</t>
  </si>
  <si>
    <t>AGAP005834-PA</t>
  </si>
  <si>
    <t>ExpAA=16.22 First60=10.19 PredHel=0 Topology=o</t>
  </si>
  <si>
    <t>Apis mellifera</t>
  </si>
  <si>
    <t>pfam00135, COesterase, Carboxylesterase family.</t>
  </si>
  <si>
    <t>COesterase e-111| Esterase_lipase e-105| PnbA 1e-056| Aes 3e-007| Abhydrolase_3 5e-005| PRK08059 | PRK00087 | Esterase | alt_bact_glmU | VacB |</t>
  </si>
  <si>
    <t>KOG1516, KOG1516, KOG1516, Carboxylesterase and related proteins [General function prediction only].</t>
  </si>
  <si>
    <t>smart00035, CLa, CLUSTERIN alpha chain.</t>
  </si>
  <si>
    <t xml:space="preserve"> AgamP4_2L:22299368-22304167(-) </t>
  </si>
  <si>
    <t>AGAP005852-RA</t>
  </si>
  <si>
    <t xml:space="preserve">39S ribosomal protein L42, mitochondrial </t>
  </si>
  <si>
    <t>mRpL42: 39S ribosomal protein L42, mitochondrial</t>
  </si>
  <si>
    <t>mitochondrial ribosomal protein L42</t>
  </si>
  <si>
    <t>AGAP005852-PA</t>
  </si>
  <si>
    <t xml:space="preserve"> tra7utx0a7utx0 anoga 39s ribosomal protein l42</t>
  </si>
  <si>
    <t>pfam10210, MRP-S32, Mitochondrial 28S ribosomal protein S32.  This entry is of a family of short, approximately 100 amino acid residues, proteins which are mitochondrial 28S ribosomal proteins named as MRP-S32. Their exact function could not be confirmed.</t>
  </si>
  <si>
    <t>MRP-S32 5e-031| Dual-specificity_RNA_methyltransferase...    27   2.4   | PLN00136 | PRK07238 | SGT1 | MDH |</t>
  </si>
  <si>
    <t>KOG4106, KOG4106, KOG4106, Uncharacterized conserved protein [Function unknown].</t>
  </si>
  <si>
    <t xml:space="preserve"> AgamP4_2L:22610273-22610662(-) </t>
  </si>
  <si>
    <t xml:space="preserve">1 | 118    PRARDKR|AK  0.653 *ProP*  | </t>
  </si>
  <si>
    <t>AGAP005888-RA</t>
  </si>
  <si>
    <t>AGAP005888-PA</t>
  </si>
  <si>
    <t>ExpAA=17.04 First60=17.04 PredHel=1 Topology=i5-22o</t>
  </si>
  <si>
    <t>Canis lupus familiaris</t>
  </si>
  <si>
    <t>COG4531, ZnuA, ABC-type Zn2+ transport system, periplasmic component/surface adhesin [Inorganic ion transport and metabolism].</t>
  </si>
  <si>
    <t>ZnuA 0.012| PRK10019 0.030| Zip 0.040| PRK09565 | ureE | ZnuA | znuA | ureE | Endonuclease_7 | SelP_N |</t>
  </si>
  <si>
    <t>KOG1484, KOG1484, KOG1484, Putative Zn2+ transporter MSC2 (cation diffusion facilitator superfamily) [Inorganic ion transport and metabolism].</t>
  </si>
  <si>
    <t>pfam02535, Zip, ZIP Zinc transporter.  The ZIP family consists of zinc transport proteins and many putative metal transporters. The main contribution to this family is from the Arabidopsis thaliana ZIP protein family these proteins are responsible for zinc uptake in the plant. Also found within this family are C. elegans proteins of unknown function which are annotated as being similar to human growth arrest inducible gene product, although this protein in not found within this family.</t>
  </si>
  <si>
    <t>smart00730, PSN, Presenilin, signal peptide peptidase, family. Presenilin 1 and presenilin 2 are polytopic membrane proteins, whose genes are mutated in some individuals with Alzheimer's disease. Distant homologues, present in eukaryotes and archaea, also contain conserved aspartic acid residues which are predicted to contribute to catalysis. At least one member of this family has been shown to possess signal peptide peptidase activity.</t>
  </si>
  <si>
    <t xml:space="preserve"> AgamP4_2L:23177312-23177697(+) </t>
  </si>
  <si>
    <t>H(9.63)</t>
  </si>
  <si>
    <t>AGAP005927-RA</t>
  </si>
  <si>
    <t xml:space="preserve">39S ribosomal protein L36, mitochondrial </t>
  </si>
  <si>
    <t>mRpL36: 39S ribosomal protein L36, mitochondrial</t>
  </si>
  <si>
    <t>mitochondrial ribosomal protein L36</t>
  </si>
  <si>
    <t>AGAP005927-PA</t>
  </si>
  <si>
    <t xml:space="preserve"> ribosomal protein os-coluzzii ox-834 pe-3 sv</t>
  </si>
  <si>
    <t>ExpAA=0.22 First60=0.03 PredHel=0 Topology=o</t>
  </si>
  <si>
    <t>Nannochloropsis gaditana CCMP526</t>
  </si>
  <si>
    <t>Schizosaccharomyces pombe (strain 972 / ATCC 24843)</t>
  </si>
  <si>
    <t>pfam00444, Ribosomal_L36, Ribosomal protein L36.</t>
  </si>
  <si>
    <t>Ribosomal_L36 1e-012| RpmJ 3e-008| rpmJ 2e-004| rpmJ 5e-004| 50S_ribosomal_protein_L36 0.001| Crust_neurohorm | PLN00181 | RanBD_RanBP1 | RanBD_family | CATSPERD |</t>
  </si>
  <si>
    <t>KOG4122, KOG4122, KOG4122, Mitochondrial/chloroplast ribosomal protein L36 [Translation, ribosomal structure and biogenesis].</t>
  </si>
  <si>
    <t>smart00864, Tubulin, Tubulin/FtsZ family, GTPase domain.  This domain is found in all tubulin chains, as well as the bacterial FtsZ family of proteins. These proteins are involved in polymer formation. Tubulin is the major component of microtubules, while FtsZ is the polymer-forming protein of bacterial cell division, it is part of a ring in the middle of the dividing cell that is required for constriction of cell membrane and cell envelope to yield two daughter cells. FtsZ and tubulin are GTPases, this entry is the GTPase domain. FtsZ can polymerise into tubes, sheets, and rings in vitro and is ubiquitous in bacteria and archaea.</t>
  </si>
  <si>
    <t xml:space="preserve"> AgamP4_2L:23805388-23805798(+) </t>
  </si>
  <si>
    <t xml:space="preserve">1 | 86    VKGRLKR|RC  0.555 *ProP*  | </t>
  </si>
  <si>
    <t>AGAP005935-RA</t>
  </si>
  <si>
    <t>signal anchor-containing conserved peptide - Membrane anchor detected - 3 predicted membrane helices - GPI anchored</t>
  </si>
  <si>
    <t>pe membrAnchor membrane/gpi</t>
  </si>
  <si>
    <t>AGAP005935-PA</t>
  </si>
  <si>
    <t xml:space="preserve"> transmembrane protein - Membrane anchor detected - 3 predicted membrane helices - GPI anchored</t>
  </si>
  <si>
    <t>met/carb membrAnchor membrane/gpi</t>
  </si>
  <si>
    <t>ExpAA=45.66 First60=27.07 PredHel=2 Topology=o15-37i57-79o</t>
  </si>
  <si>
    <t>pfam05251, UPF0197, Uncharacterized protein family (UPF0197). This family of proteins is functionally uncharacterized.</t>
  </si>
  <si>
    <t>UPF0197 1e-018| DUF2269 | PRK02935 |</t>
  </si>
  <si>
    <t>KOG4452, KOG4452, KOG4452, Predicted membrane protein [Function unknown].</t>
  </si>
  <si>
    <t>smart01010, AMPKBI, 5'-AMP-activated protein kinase beta subunit, interation domain.  This region is found in the beta subunit of the 5'-AMP-activated protein kinase complex, and its yeast homologues Sip1, Sip2 and Gal83, which are found in the SNF1 kinase complex. This region is sufficient for interaction of this subunit with the kinase complex, but is not solely responsible for the interaction, and the interaction partner is not known. The isoamylase N-terminal domain is sometimes found in proteins belonging to this family.</t>
  </si>
  <si>
    <t xml:space="preserve"> AgamP4_2L:23856539-23856781(+) </t>
  </si>
  <si>
    <t>F(4.38)</t>
  </si>
  <si>
    <t>AGAP005979-RA</t>
  </si>
  <si>
    <t>AGAP005979-PA</t>
  </si>
  <si>
    <t xml:space="preserve"> os-arabiensis ox-773 pe-3 sv</t>
  </si>
  <si>
    <t>pfam05811, DUF842, Eukaryotic protein of unknown function (DUF842). This family consists of a number of conserved eukaryotic proteins of unknown function. The sequences carry three sets of CxxxC motifs, which might suggest a type of zinc-finger formation.</t>
  </si>
  <si>
    <t>DUF842 2e-041| probable_RNA_polymerase_sigma_subunit | phageshock_pspE | PRK10287 | LbH_M1P_guanylylT_C | PRK13529 | PTZ00374 | CPDase | MDN1 | PRK12757 |</t>
  </si>
  <si>
    <t>KOG3377, KOG3377, KOG3377, Uncharacterized conserved protein [Function unknown].</t>
  </si>
  <si>
    <t>smart00709, Zpr1, Duplicated domain in the epidermal growth factor- and elongation factor-1alpha-binding protein Zpr1. Also present in archaeal proteins.</t>
  </si>
  <si>
    <t xml:space="preserve"> AgamP4_2L:24444985-24445613(+) </t>
  </si>
  <si>
    <t xml:space="preserve">1 | 81    FNSRLQR|CV  0.600 *ProP*  | </t>
  </si>
  <si>
    <t>AGAP006096-RA</t>
  </si>
  <si>
    <t xml:space="preserve">succinyl-CoA transferase </t>
  </si>
  <si>
    <t>SCOT: succinyl-CoA transferase</t>
  </si>
  <si>
    <t>alpha-ketoacid-CoA transferase</t>
  </si>
  <si>
    <t>AGAP006096-PA</t>
  </si>
  <si>
    <t xml:space="preserve"> acetate/3-ketoacid coa transferase</t>
  </si>
  <si>
    <t>ExpAA=0.60 First60=0.02 PredHel=0 Topology=o</t>
  </si>
  <si>
    <t>TIGR02428, 3-oxoadipate_CoA-transferase_subunit_B, 3-oxoacid CoA-transferase, B subunit.  Various members of this family are characterized as the B subunits of succinyl-CoA:3-ketoacid-CoA transferase (EC 2.8.3.5), beta-ketoadipate:succinyl-CoA transferase (EC 2.8.3.6), acetyl-CoA:acetoacetate CoA transferase (EC 2.8.3.8), and butyrate-acetoacetate CoA-transferase (EC 2.8.3.9). This represents a very distinct clade with strong sequence conservation within the larger family defined by pfam01144. The A subunit represents a different clade in pfam01144.</t>
  </si>
  <si>
    <t>3-oxoadipate_CoA-transferase_subunit_B...   320   1e-087 1e-087| AtoA 6e-082| AtoD 6e-081| 3-oxoadipate_CoA-transferase_subunit_A...   262   2e-070 2e-070| CoA_trans 2e-063| CoA_trans 8e-061| PRK09920 4e-050| COG4670 3e-035| AcetylCoA_hyd_C 2e-004| XylA |</t>
  </si>
  <si>
    <t>KOG3822, KOG3822, KOG3822, Succinyl-CoA:alpha-ketoacid-CoA transferase [Energy production and conversion].</t>
  </si>
  <si>
    <t>pfam01144, CoA_trans, Coenzyme A transferase.</t>
  </si>
  <si>
    <t>smart00882, CoA_trans, Coenzyme A transferase.  Coenzyme A (CoA) transferases belong to an evolutionary conserved family of enzymes catalyzing the reversible transfer of CoA from one carboxylic acid to another. They have been identified in many prokaryotes and in mammalian tissues. The bacterial enzymes are heterodimer of two subunits (A and B) of about 25 Kd each while eukaryotic SCOT consist of a single chain which is colinear with the two bacterial subunits.</t>
  </si>
  <si>
    <t xml:space="preserve"> AgamP4_2L:26620119-26624653(-) </t>
  </si>
  <si>
    <t>AGAP006275-RA</t>
  </si>
  <si>
    <t>AGAP006275-PA</t>
  </si>
  <si>
    <t>ExpAA=3.87 First60=3.72 PredHel=0 Topology=o</t>
  </si>
  <si>
    <t>Bombyx mori</t>
  </si>
  <si>
    <t>pfam07165, DUF1397, Protein of unknown function (DUF1397).  This family consists of several insect specific proteins. A member from Manduca sexta is annotated as being a haemolymph glycoprotein precursor. The function of this family is unknown.</t>
  </si>
  <si>
    <t>DUF1397 5e-060| PRK11131 | MMTV_SAg | CDC6 | COG1323 | tufA | HTH-type_transcriptional_regulator_Tre...    28   5.2   | PRK13697 | Pex24p |</t>
  </si>
  <si>
    <t>KOG2284, KOG2284, KOG2284, E3 ubiquitin ligase, Cullin 2 component [Posttranslational modification, protein turnover, chaperones].</t>
  </si>
  <si>
    <t>smart00190, IL4_13, Interleukins 4 and 13.  Interleukins-4 and -13 are cytokines involved in inflammatory and immune responses. IL-4 stimulates B and T cells.</t>
  </si>
  <si>
    <t xml:space="preserve"> AgamP4_2L:29082599-29083773(+) </t>
  </si>
  <si>
    <t xml:space="preserve">1 | 26    ASPRFAR|DA  0.588 *ProP*  | </t>
  </si>
  <si>
    <t>AGAP006353-RA</t>
  </si>
  <si>
    <t xml:space="preserve">Histidine triad nucleotide binding protein 1 </t>
  </si>
  <si>
    <t>Histidine triad nucleotide binding protein 1</t>
  </si>
  <si>
    <t>Zinc-binding protein of the histidine triad (HIT) family</t>
  </si>
  <si>
    <t>AGAP006353-PA</t>
  </si>
  <si>
    <t xml:space="preserve"> histidine triad nucleotide-binding protein 1</t>
  </si>
  <si>
    <t>cd01276, PKCI_related, Protein Kinase C Interacting protein related (PKCI): PKCI and related proteins belong to the ubiquitous HIT family of hydrolases that act on alpha-phosphates of ribonucleotides. The members of this subgroup have a conserved HxHxHxx motif (x is a hydrophobic residue) that is a signature for this family. No enzymatic activity has been reported however, for PKCI and its related members.</t>
  </si>
  <si>
    <t>PKCI_related 4e-044| PRK10687 9e-029| HIT 6e-028| Hit 4e-027| DcpS_C 1e-025| HINT_subgroup 1e-019| HIT_like 6e-016| FHIT 5e-010| aprataxin_related 1e-009| PRK15207 |</t>
  </si>
  <si>
    <t>KOG3275, KOG3275, KOG3275, Zinc-binding protein of the histidine triad (HIT) family [Signal transduction mechanisms].</t>
  </si>
  <si>
    <t>pfam01230, HIT, HIT domain.</t>
  </si>
  <si>
    <t>smart00148, PLCXc, Phospholipase C, catalytic domain (part); domain X.  Phosphoinositide-specific phospholipases C. These enzymes contain 2 regions (X and Y) which together form a TIM barrel-like structure containing the active site residues. Phospholipase C enzymes (PI-PLC) act as signal transducers that generate two second messengers, inositol-1,4,5-trisphosphate and diacylglycerol. The bacterial enzyme appears to be a homologue of the mammalian PLCs.</t>
  </si>
  <si>
    <t xml:space="preserve"> AgamP4_2L:30441742-30442211(+) </t>
  </si>
  <si>
    <t>AGAP006369-RA</t>
  </si>
  <si>
    <t xml:space="preserve">cuticular protein RR-2 family 144 </t>
  </si>
  <si>
    <t>CPR144: cuticular protein RR-2 family 144</t>
  </si>
  <si>
    <t>hypothetical conserved secreted protein precursor</t>
  </si>
  <si>
    <t>s/mucin</t>
  </si>
  <si>
    <t>AGAP006369-PA</t>
  </si>
  <si>
    <t xml:space="preserve"> tra0as4grya0as4gry anoga cuticular protein rr-2 family 44 os-ox-76 pe-4 sv - 26 OH-glycosylation sites - signalP detected</t>
  </si>
  <si>
    <t>ExpAA=1.01 First60=1.00 PredHel=0 Topology=o</t>
  </si>
  <si>
    <t>Oncorhynchus mykiss</t>
  </si>
  <si>
    <t>PRK14086, dnaA, chromosomal replication initiation protein; Provisional.</t>
  </si>
  <si>
    <t>dnaA 5e-005| PHA03247 7e-004| PHA03307 0.002| Chitin_bind_4 0.002| PRK07764 0.007| PTZ00449 0.008| PHA02777 0.012| PTZ00395 0.039| PHA03264 | PRK12323 |</t>
  </si>
  <si>
    <t>KOG0307, KOG0307, KOG0307, Vesicle coat complex COPII, subunit SEC31 [Intracellular trafficking, secretion, and vesicular transport].</t>
  </si>
  <si>
    <t>pfam00379, Chitin_bind_4, Insect cuticle protein.  Many insect cuticular proteins include a 35-36 amino acid motif known as the R&amp;R consensus. The extensive conservation of this region led to the suggestion that it functions to bind chitin. Provocatively, it has no sequence similarity to the well-known cysteine-containing chitin-binding domain found in chitinases and some peritrophic membrane proteins. Chitin binding has been shown experimentally for this region. Thus arthropods have two distinct classes of chitin binding proteins, those with the chitin-binding domain found in lectins, chitinases and peritrophic membranes (cysCBD) and those with the cuticular protein chitin-binding domain (non-cysCBD).</t>
  </si>
  <si>
    <t>smart00520, BASIC, Basic domain in HLH proteins of MYOD family.</t>
  </si>
  <si>
    <t xml:space="preserve"> AgamP4_2L:30553324-30556554(+) </t>
  </si>
  <si>
    <t>AGAP006409-RA</t>
  </si>
  <si>
    <t>AGAP006409-PA</t>
  </si>
  <si>
    <t xml:space="preserve"> 28-29</t>
  </si>
  <si>
    <t>ExpAA=18.86 First60=18.86 PredHel=1 Topology=i13-35o</t>
  </si>
  <si>
    <t>pfam15990, UPF0767, UPF0767 family.  This family of proteins is functionally uncharacterized. This family of proteins is found in eukaryotes. Proteins in this family are typically between and 92 amino acids in length. There are two conserved sequence motifs: IGYN and SPSL.</t>
  </si>
  <si>
    <t>UPF0767 2e-030| PRK09821 | PRK08324 | DUF885 | Dephospho-CoA_kinase | PRK14707 | fliI |</t>
  </si>
  <si>
    <t>KOG4596, KOG4596, KOG4596, Uncharacterized conserved protein [Function unknown].</t>
  </si>
  <si>
    <t>smart00104, ANATO, Anaphylatoxin homologous domain.  C3a, C4a and C5a anaphylatoxins are protein fragments generated enzymatically in serum during activation of complement molecules C3, C4, and C5. They induce smooth muscle contraction. These fragments are homologous to a three-fold repeat in fibulins.</t>
  </si>
  <si>
    <t xml:space="preserve"> AgamP4_2L:31569083-31569433(+) </t>
  </si>
  <si>
    <t>AGAP006416-RA</t>
  </si>
  <si>
    <t xml:space="preserve">serine protease (non-digestive) </t>
  </si>
  <si>
    <t>SP24D: serine protease (non-digestive)</t>
  </si>
  <si>
    <t>Trypsin-like serine protease - signalP detected - 2 predicted membrane helices</t>
  </si>
  <si>
    <t>pm membrane</t>
  </si>
  <si>
    <t>AGAP006416-PA</t>
  </si>
  <si>
    <t xml:space="preserve"> subfamily protein s1a unassigned peptidase - signalP detected - Conserved membrane protein  - 2 predicted membrane helices</t>
  </si>
  <si>
    <t>ExpAA=38.16 First60=18.49 PredHel=2 Topology=i7-26o92-114i</t>
  </si>
  <si>
    <t>Tryp_SPc 7e-053| Tryp_SPc 5e-051| Trypsin 5e-044| COG5640 1e-021| Trypsin_2 0.007| COG3591 0.061| PRK12842 | DUF1986 | PTZ00241 | PseudoU_synth_ScPUS7 |</t>
  </si>
  <si>
    <t xml:space="preserve"> AgamP4_2L:31633722-31634698(+) </t>
  </si>
  <si>
    <t>AGAP006459-RA</t>
  </si>
  <si>
    <t xml:space="preserve">protein translation factor SUI1 </t>
  </si>
  <si>
    <t>SUI1: protein translation factor SUI1</t>
  </si>
  <si>
    <t>Translation initiation factor 1 (eIF-1/SUI1)</t>
  </si>
  <si>
    <t>AGAP006459-PA</t>
  </si>
  <si>
    <t xml:space="preserve"> eukaryotic translation initiation factor 1</t>
  </si>
  <si>
    <t>TIGR01160, Eukaryotic_translation_initiation_factor_1, translation initiation factor SUI1, eukaryotic.  Alternate name: MOF2. A similar protein family (see TIGRFAMs model TIGR01158) is found in prokaryotes. The human proteins complements a yeast SUI1 mutatation. [Protein synthesis, Translation factors].</t>
  </si>
  <si>
    <t>Eukaryotic_translation_initiation_fact...   163   2e-041 2e-041| eIF1_SUI1 4e-040| SUI1 1e-022| SUI1 7e-017| eIF1_SUI1_like 4e-012| DENR_C 1e-008| YciH_like 7e-008| eIF2D_C 9e-007| Protein_translation_factor_SUI1_homolo...    47   2e-006 2e-006| PRK00939 9e-006|</t>
  </si>
  <si>
    <t>KOG1770, KOG1770, KOG1770, Translation initiation factor 1 (eIF-1/SUI1) [Translation, ribosomal structure and biogenesis].</t>
  </si>
  <si>
    <t>pfam01253, SUI1, Translation initiation factor SUI1.</t>
  </si>
  <si>
    <t>smart00437, TOP1Ac, Bacterial DNA topoisomerase I DNA-binding domain.  Bacterial DNA topoisomerase I and III, Eukaryotic DNA topoisomeraes III, reverse gyrase alpha subunit.</t>
  </si>
  <si>
    <t xml:space="preserve"> AgamP4_2L:32371317-32374323(+) </t>
  </si>
  <si>
    <t>AGAP006630-RA</t>
  </si>
  <si>
    <t xml:space="preserve">NADH dehydrogenase (ubiquinone) 1 alpha subcomplex 1 </t>
  </si>
  <si>
    <t>NADH dehydrogenase (ubiquinone) 1 alpha subcomplex 1</t>
  </si>
  <si>
    <t>AGAP006630-PA</t>
  </si>
  <si>
    <t xml:space="preserve"> nadh-ubiquinone oxidoreductase mwfe subunit - signalP detected</t>
  </si>
  <si>
    <t xml:space="preserve"> 17-18</t>
  </si>
  <si>
    <t>ExpAA=22.58 First60=22.58 PredHel=1 Topology=o5-27i</t>
  </si>
  <si>
    <t>Cyanidioschyzon merolae strain 10D</t>
  </si>
  <si>
    <t>Cricetulus griseus</t>
  </si>
  <si>
    <t>pfam15879, MWFE, NADH-ubiquinone oxidoreductase MWFE subunit. MWFE is a short subunit of NADH-ubiquinone oxidoreductase found in eukaryotes. It is necessary for the activity of NADH-ubiquinone oxidoreductase complex I in mitochondria. This subunit is essential for the assembly and function of the enzyme. MWFE is found to be phosphorylated, eg in rat heart mitochondria. The short family includes much of a signal peptide.</t>
  </si>
  <si>
    <t>MWFE 2e-016| AppB | COG4091 | MATE_MJ0709_like | fabG | Release_factor_glutamine_methyltransfe...    25   6.2   | PRK09110 | PHA03173 | MotA1 |</t>
  </si>
  <si>
    <t>KOG3768, KOG3768, KOG3768, DEAD box RNA helicase [General function prediction only].</t>
  </si>
  <si>
    <t xml:space="preserve"> AgamP4_2L:34792931-34793369(+) </t>
  </si>
  <si>
    <t>AGAP006683-RB</t>
  </si>
  <si>
    <t>AGAP006683-PC</t>
  </si>
  <si>
    <t>AGAP006683-PB</t>
  </si>
  <si>
    <t xml:space="preserve"> tra0a82x4ra0a82x4r anoqn late endosomal/lysosomal adaptor</t>
  </si>
  <si>
    <t>COG0770, MurF, UDP-N-acetylmuramyl pentapeptide synthase [Cell envelope biogenesis, outer membrane].</t>
  </si>
  <si>
    <t>MurF | PRK07907 | murF | PRK05952 | FAT-like_BCAR1_C | ALDH_SaliADH | ALDH_F8_HMSADH | DUF4298 | PLN00207 |</t>
  </si>
  <si>
    <t>KOG0437, KOG0437, KOG0437, Leucyl-tRNA synthetase [Translation, ribosomal structure and biogenesis].</t>
  </si>
  <si>
    <t>pfam14131, DUF4298, Domain of unknown function (DUF4298).  This family of proteins is functionally uncharacterized. This family of proteins is found in bacteria and eukaryotes. Proteins in this family are typically between 94 and 105 amino acids in length. There are two completely conserved residues (Y and D) that may be functionally important.</t>
  </si>
  <si>
    <t xml:space="preserve"> AgamP4_2L:36680634-36681035(+) </t>
  </si>
  <si>
    <t xml:space="preserve">1 | 62    FSARSCR|KV  0.658 *ProP*  | </t>
  </si>
  <si>
    <t>AGAP006768-RA</t>
  </si>
  <si>
    <t xml:space="preserve">diacylglycerol kinase (ATP dependent) </t>
  </si>
  <si>
    <t>diacylglycerol kinase (ATP dependent)</t>
  </si>
  <si>
    <t>diacylglycerol kinase - probable fragment</t>
  </si>
  <si>
    <t>AGAP006768-PA</t>
  </si>
  <si>
    <t xml:space="preserve"> diacylglycerol kinase atp</t>
  </si>
  <si>
    <t>ExpAA=22.64 First60=22.53 PredHel=1 Topology=i13-35o</t>
  </si>
  <si>
    <t>pfam00609, DAGK_acc, Diacylglycerol kinase accessory domain. Diacylglycerol (DAG) is a second messenger that acts as a protein kinase C activator. This domain is assumed to be an accessory domain: its function is unknown.</t>
  </si>
  <si>
    <t>DAGK_acc 2e-054| DAGKa 3e-043| DAGKc 7e-025| DAGK_cat 2e-023| LCB5 1e-015| PRK13057 3e-009| PRK13055 3e-008| PRK13054 6e-008| Putative_lipid_kinase_BmrU 7e-007| PRK13059 7e-006|</t>
  </si>
  <si>
    <t>KOG1169, KOG1169, KOG1169, Diacylglycerol kinase [Lipid transport and metabolism, Signal transduction mechanisms].</t>
  </si>
  <si>
    <t xml:space="preserve">Lipid transport and metabolism, Signal transduction mechanisms </t>
  </si>
  <si>
    <t>smart00045, DAGKa, Diacylglycerol kinase accessory domain (presumed).  Diacylglycerol (DAG) is a second messenger that acts as a protein kinase C activator. DAG can be produced from the hydrolysis of phosphatidylinositol 4,5-bisphosphate (PIP2) by a phosphoinositide-specific phospholipase C and by the degradation of phosphatidylcholine (PC) by a phospholipase C or the concerted actions of phospholipase D and phosphatidate phosphohydrolase. This domain might either be an accessory domain or else contribute to the catalytic domain. Bacterial homologues are known.</t>
  </si>
  <si>
    <t xml:space="preserve"> AgamP4_2L:38046156-38048972(-) </t>
  </si>
  <si>
    <t>AGAP006788-RA</t>
  </si>
  <si>
    <t>AGAP006788-PA</t>
  </si>
  <si>
    <t xml:space="preserve"> tra0a82i6b8a0a82i6b8 anoar n-acetyltransfer</t>
  </si>
  <si>
    <t>COG0456, RimI, Acetyltransferases [General function prediction only].</t>
  </si>
  <si>
    <t>RimI 0.002| Acetyltransf_7 0.094| NAT_SF | Acetyltransf_1 | Acetyltransf_10 | COG3153 | PRK03624 | hypothetical_protein | DUF1839 | mycothiol_MshD |</t>
  </si>
  <si>
    <t>KOG3235, KOG3235, KOG3235, Subunit of the major N alpha-acetyltransferase [General function prediction only].</t>
  </si>
  <si>
    <t>pfam13508, Acetyltransf_7, Acetyltransferase (GNAT) domain.  This domain catalyzes N-acetyltransferase reactions.</t>
  </si>
  <si>
    <t>smart00900, FMN_bind, This conserved region includes the FMN-binding site of the NqrC protein as well as the NosR and NirI regulatory proteins.</t>
  </si>
  <si>
    <t xml:space="preserve"> AgamP4_2L:38278596-38279264(+) </t>
  </si>
  <si>
    <t xml:space="preserve">1 | 130    GRFRSRR|SY  0.745 *ProP*  | </t>
  </si>
  <si>
    <t>AGAP006946-RA</t>
  </si>
  <si>
    <t xml:space="preserve">Prefoldin subunit 4 [Source:UniProtKB/TrEMBL;Acc:Q7QIM0] </t>
  </si>
  <si>
    <t>Prefoldin subunit 4</t>
  </si>
  <si>
    <t>Molecular chaperone Prefoldin subunit 4</t>
  </si>
  <si>
    <t>AGAP006946-PA</t>
  </si>
  <si>
    <t xml:space="preserve"> prefoldin subunit 4</t>
  </si>
  <si>
    <t>pfam01920, Prefoldin_2, Prefoldin subunit.  This family includes prefoldin subunits that are not detected by pfam02996.</t>
  </si>
  <si>
    <t>Prefoldin_2 5e-014| GimC 2e-005| PRK09343 0.053| DUF342 | HEC1 | Prefoldin_beta | zf-C4H2 | rpsA | Chromosome_partition_protein_Smc | Prefoldin_subunit_beta |</t>
  </si>
  <si>
    <t>KOG1760, KOG1760, KOG1760, Molecular chaperone Prefoldin, subunit 4 [Posttranslational modification, protein turnover, chaperones].</t>
  </si>
  <si>
    <t>smart00531, TFIIE, Transcription initiation factor IIE.</t>
  </si>
  <si>
    <t>AGAP006953-RA</t>
  </si>
  <si>
    <t xml:space="preserve">28S ribosomal protein S34, mitochondrial </t>
  </si>
  <si>
    <t>mRpS34: 28S ribosomal protein S34, mitochondrial</t>
  </si>
  <si>
    <t>Mitochondrial 28S ribosomal protein S34</t>
  </si>
  <si>
    <t>AGAP006953-PA</t>
  </si>
  <si>
    <t xml:space="preserve"> trq7qim6q7qim6 anoga 28s ribosomal protein s34</t>
  </si>
  <si>
    <t>ExpAA=0.07 First60=0.07 PredHel=0 Topology=o</t>
  </si>
  <si>
    <t>pfam16053, MRP-S34, Mitochondrial 28S ribosomal protein S34.</t>
  </si>
  <si>
    <t>MRP-S34 2e-032| Carotenoid_isomerase | ALDH_SGSD_AstD | peptidase_C19C | fkp | GyrB | ppnK | PRK12316 | astD | Bchl_like |</t>
  </si>
  <si>
    <t>KOG1695, KOG1695, KOG1695, Glutathione S-transferase [Posttranslational modification, protein turnover, chaperones].</t>
  </si>
  <si>
    <t>smart00602, VPS10, VPS10 domain.</t>
  </si>
  <si>
    <t xml:space="preserve"> AgamP4_2L:40217412-40218034(-) </t>
  </si>
  <si>
    <t>AGAP006970-RA</t>
  </si>
  <si>
    <t>Glycine-rich cell wall structural protein - probable fragment - signalP detected</t>
  </si>
  <si>
    <t>AGAP006970-PA</t>
  </si>
  <si>
    <t>PTZ00473, PTZ00473, Plasmodium Vir superfamily; Provisional.</t>
  </si>
  <si>
    <t>PTZ00473 8e-006| PTZ00146 0.008| COG1512 0.023| SARAF | PRK07772 | SPT5 | COG4371 | PRP | III | PRK06958 |</t>
  </si>
  <si>
    <t>KOG0921, KOG0921, KOG0921, Dosage compensation complex, subunit MLE [Transcription].</t>
  </si>
  <si>
    <t>pfam05633, DUF793, Protein of unknown function (DUF793).  This family consists of several plant proteins of unknown function.</t>
  </si>
  <si>
    <t>smart00157, PRP, Major prion protein.  The prion protein is a major component of scrapie-associated fibrils in Creutzfeldt-Jakob disease, kuru, Gerstmann-Straussler syndrome and bovine spongiform encephalopathy.</t>
  </si>
  <si>
    <t xml:space="preserve"> AgamP4_2L:40421820-40423814(+) </t>
  </si>
  <si>
    <t>G(6.73)W(7.58)</t>
  </si>
  <si>
    <t>AGAP007000-RA</t>
  </si>
  <si>
    <t>Conserved plasma membrane protein - 3 predicted membrane helices</t>
  </si>
  <si>
    <t>AGAP007000-PA</t>
  </si>
  <si>
    <t>ExpAA=34.79 First60=19.01 PredHel=2 Topology=o39-61i80-97o</t>
  </si>
  <si>
    <t>pfam03669, UPF0139, Uncharacterized protein family (UPF0139).</t>
  </si>
  <si>
    <t>UPF0139 1e-039| PRK15054 | PLN02753 | PRK10535 | BFIT_BACH | PRK13912 | PRK12476 |</t>
  </si>
  <si>
    <t>KOG3462, KOG3462, KOG3462, Predicted membrane protein [Function unknown].</t>
  </si>
  <si>
    <t xml:space="preserve"> AgamP4_2L:40588430-40588839(-) </t>
  </si>
  <si>
    <t>M(4.45)</t>
  </si>
  <si>
    <t>AGAP007020-RA</t>
  </si>
  <si>
    <t xml:space="preserve">thioredoxin peroxidase 5 </t>
  </si>
  <si>
    <t>TPX5: thioredoxin peroxidase 5</t>
  </si>
  <si>
    <t>thioredoxin-dependent peroxidase</t>
  </si>
  <si>
    <t>AGAP007020-PA</t>
  </si>
  <si>
    <t xml:space="preserve"> tra0a82wwp6a0a82wwp6 anoqn thioredoxin peroxidase os-quadriannulatus ox-3469 pe-3 sv</t>
  </si>
  <si>
    <t>cd03016, PRX_1cys, Peroxiredoxin (PRX) family, 1-cys PRX subfamily; composed of PRXs containing only one conserved cysteine, which serves as the peroxidatic cysteine. They are homodimeric thiol-specific antioxidant (TSA) proteins that confer a protective role in cells by reducing and detoxifying hydrogen peroxide, peroxynitrite, and organic hydroperoxides. As with all other PRXs, a cysteine sulfenic acid intermediate is formed upon reaction of 1-cys PRX with its substrates. Having no resolving cysteine, the oxidized enzyme is resolved by an external small-molecule or protein reductant such as thioredoxin or glutaredoxin. Similar to typical 2-cys PRX, 1-cys PRX forms a functional dimeric unit with a B-type interface, as well as a decameric structure which is stabilized in the reduced form of the enzyme. Other oligomeric forms, tetramers and hexamers, have also been reported. Mammalian 1-cys PRX is localized cellularly in the cytosol and is expressed at high levels in brain, eye, testes and lung. The seed-specific plant 1-cys PRXs protect tissues from reactive oxygen species during desiccation and are also called rehydrins.</t>
  </si>
  <si>
    <t>PRX_1cys 3e-091| AhpC 1e-055| PRK13189 3e-050| PRK13190 2e-041| PRX_family 7e-035| PRK13191 1e-033| PRX_Typ2cys 1e-030| PRK13599 2e-026| AhpC-TSA 2e-024| PTZ00137 2e-021|</t>
  </si>
  <si>
    <t>KOG0854, KOG0854, KOG0854, Alkyl hydroperoxide reductase, thiol specific antioxidant and related enzymes [Posttranslational modification, protein turnover, chaperones].</t>
  </si>
  <si>
    <t>pfam00578, AhpC-TSA, AhpC/TSA family.  This family contains proteins related to alkyl hydroperoxide reductase (AhpC) and thiol specific antioxidant (TSA).</t>
  </si>
  <si>
    <t>smart00233, PH, Pleckstrin homology domain.  Domain commonly found in eukaryotic signalling proteins. The domain family possesses multiple functions including the abilities to bind inositol phosphates, and various proteins. PH domains have been found to possess inserted domains (such as in PLC gamma, syntrophins) and to be inserted within other domains. Mutations in Brutons tyrosine kinase (Btk) within its PH domain cause X-linked agammaglobulinaemia (XLA) in patients. Point mutations cluster into the positively charged end of the molecule around the predicted binding site for phosphatidylinositol lipids.</t>
  </si>
  <si>
    <t xml:space="preserve"> AgamP4_2L:40999562-41000233(-) </t>
  </si>
  <si>
    <t>AGAP007043-RA</t>
  </si>
  <si>
    <t>Trypsin-like serine protease</t>
  </si>
  <si>
    <t>AGAP007043-PA</t>
  </si>
  <si>
    <t xml:space="preserve"> subfamily protein s1a unassigned peptidase</t>
  </si>
  <si>
    <t>pm/protease</t>
  </si>
  <si>
    <t>ExpAA=0.41 First60=0.00 PredHel=0 Topology=o</t>
  </si>
  <si>
    <t>Tryp_SPc 3e-043| Tryp_SPc 2e-042| Trypsin 4e-031| COG5640 3e-012| COG3591 | FixA | hypothetical_protein_Nmul_A0241 | PTKc_FGFR2 | BatB | PTKc_FGFR3 |</t>
  </si>
  <si>
    <t xml:space="preserve"> AgamP4_2L:41561354-41563095(-) </t>
  </si>
  <si>
    <t>AGAP007045-RA</t>
  </si>
  <si>
    <t xml:space="preserve">leucine-rich immune protein (TM) </t>
  </si>
  <si>
    <t>LRIM15: leucine-rich immune protein (TM)</t>
  </si>
  <si>
    <t>carboxypeptidase N subunit 2 - signalP detected</t>
  </si>
  <si>
    <t>AGAP007045-PA</t>
  </si>
  <si>
    <t xml:space="preserve"> insulin-like growth factor-binding protein complex acid labile subunit - signalP detected</t>
  </si>
  <si>
    <t>ExpAA=41.80 First60=8.24 PredHel=1 Topology=o517-539i</t>
  </si>
  <si>
    <t>LRR_RI 3e-034| LRR_1 9e-022| COG4886 8e-012| LRR_8 3e-009| PLN00113 2e-007| PRK15370 5e-007| LRR_5 5e-004| PLN03150 0.007| LRR_9 0.023| LRR_RI 0.082|</t>
  </si>
  <si>
    <t xml:space="preserve"> AgamP4_2L:41607334-41609127(+) </t>
  </si>
  <si>
    <t>AGAP007064-RB</t>
  </si>
  <si>
    <t>Conserved plasma membrane protein</t>
  </si>
  <si>
    <t>AGAP007064-PB</t>
  </si>
  <si>
    <t>ExpAA=22.56 First60=0.00 PredHel=1 Topology=o84-106i</t>
  </si>
  <si>
    <t>Plasmodium fragile</t>
  </si>
  <si>
    <t>pfam03907, Spo7, Spo7-like protein.  S. cerevisiae Spo7 has an unknown function, but has a role in formation of a spherical nucleus and meiotic division.</t>
  </si>
  <si>
    <t>Spo7 0.014| SLC5sbd_NIS-SMVT 0.074| PutP | PLN02316 | Peptidase_S49_N | PHA03231 | PRK12667 | ABC_export | PRK11778 | TMEMspv1-c74-12 |</t>
  </si>
  <si>
    <t>KOG3599, KOG3599, KOG3599, Ca2+-modulated nonselective cation channel polycystin [Inorganic ion transport and metabolism, Signal transduction mechanisms].</t>
  </si>
  <si>
    <t xml:space="preserve">Inorganic ion transport and metabolism, Signal transduction mechanisms </t>
  </si>
  <si>
    <t>smart00222, Sec7, Sec7 domain.  Domain named after the S. cerevisiae SEC7 gene product, which is required for proper protein transport through the Golgi. The domain facilitates guanine nucleotide exchange on the small GTPases, ARFs (ADP ribosylation factors).</t>
  </si>
  <si>
    <t xml:space="preserve"> AgamP4_2L:42130685-42132809(+) </t>
  </si>
  <si>
    <t>M(3.37)</t>
  </si>
  <si>
    <t>AGAP007087-RA</t>
  </si>
  <si>
    <t xml:space="preserve">60s ribosomal protein L41 [Source:UniProtKB/TrEMBL;Acc:Q52P89] </t>
  </si>
  <si>
    <t>RpL41: 60s ribosomal protein L41</t>
  </si>
  <si>
    <t>60S ribosomal protein L41</t>
  </si>
  <si>
    <t>AGAP007087-PA</t>
  </si>
  <si>
    <t xml:space="preserve"> ribosomal protein l41</t>
  </si>
  <si>
    <t>KOG2302, KOG2302, KOG2302, T-type voltage-gated Ca2+ channel, pore-forming alpha1I subunit [Inorganic ion transport and metabolism, Signal transduction mechanisms].</t>
  </si>
  <si>
    <t>pfam10317, 7TM_GPCR_Srd, Serpentine type 7TM GPCR chemoreceptor Srd.  Chemoreception is mediated in Caenorhabditis elegans by members of the seven-transmembrane G-protein-coupled receptor class (7TM GPCRs) of proteins which are of the serpentine type. Srd is part of the larger Str superfamily of chemoreceptors. Chemoperception is one of the central senses of soil nematodes like C. elegans which are otherwise 'blind' and 'deaf'.</t>
  </si>
  <si>
    <t xml:space="preserve">3 | 9    AKWRKKR|MR  0.563 *ProP*  | 15    RMRRLKR|KR  0.560 *ProP*  | 21    RKRRKMR|AR  0.516 *ProP*  | </t>
  </si>
  <si>
    <t>K(5.29)M(5.29)R(7.13)W(4.15)</t>
  </si>
  <si>
    <t>AGAP007208-RA</t>
  </si>
  <si>
    <t xml:space="preserve">NADH dehydrogenase (ubiquinone) 1 alpha subcomplex 11 </t>
  </si>
  <si>
    <t>NADH dehydrogenase (ubiquinone) 1 alpha subcomplex 11</t>
  </si>
  <si>
    <t>ubiquinone oxidoreductase B14.7 subunit - 2 predicted membrane helices</t>
  </si>
  <si>
    <t>AGAP007208-PA</t>
  </si>
  <si>
    <t>ExpAA=49.32 First60=16.85 PredHel=2 Topology=i53-75o85-102i</t>
  </si>
  <si>
    <t>Tim17 3e-004| PTZ00236 0.015| Transgly_assoc | COG2261 | 3a0801s02tim23 | PRK12821 | PRK06416 | Na_H_antiport_3 | COG5548 | EIIC-GAT |</t>
  </si>
  <si>
    <t>KOG3324, KOG3324, KOG3324, Mitochondrial import inner membrane translocase, subunit TIM23 [Intracellular trafficking, secretion, and vesicular transport].</t>
  </si>
  <si>
    <t>smart00174, RHO, Rho (Ras homology) subfamily of Ras-like small GTPases.  Members of this subfamily of Ras-like small GTPases include Cdc42 and Rac, as well as Rho isoforms.</t>
  </si>
  <si>
    <t xml:space="preserve"> AgamP4_2L:44327895-44328395(-) </t>
  </si>
  <si>
    <t>W(3.13)</t>
  </si>
  <si>
    <t>AGAP007257-RA</t>
  </si>
  <si>
    <t>agap007257-pa - 15 OH-glycosylation sites -  15 NetOglyc sites</t>
  </si>
  <si>
    <t>AGAP007257-PA</t>
  </si>
  <si>
    <t xml:space="preserve"> serine/threonine-protein kinase tsua isoform x2 - 15 OH-glycosylation sites -  15 NetOglyc sites</t>
  </si>
  <si>
    <t>Eimeria maxima</t>
  </si>
  <si>
    <t>smart00980, THAP, The THAP domain is a putative DNA-binding domain (DBD) and probably also binds a zinc ion.  It features the conserved C2CH architecture (consensus sequence: Cys - 2-4 residues - Cys - 35-50 residues - Cys - 2 residues - His). Other universal features include the location of the domain at the N-termini of proteins, its size of about 90 residues, a C-terminal AVPTIF box and several other conserved residues. Orthologues of the human THAP domain have been identified in other vertebrates and probably worms and flies, but not in other eukaryotes or any prokaryotes.</t>
  </si>
  <si>
    <t>THAP 4e-018| THAP 2e-017| DM3 2e-010| PRK07003 0.003| PRK13914 0.029| PRK13875 0.029| III 0.031| COG1512 0.037| PRK12323 0.062| PLN03138 0.067|</t>
  </si>
  <si>
    <t>KOG0339, KOG0339, KOG0339, ATP-dependent RNA helicase [RNA processing and modification].</t>
  </si>
  <si>
    <t>pfam05485, THAP, THAP domain.  The THAP domain is a putative DNA-binding domain (DBD) and probably also binds a zinc ion. It features the conserved C2CH architecture (consensus sequence: Cys - 2-4 residues - Cys - 35-50 residues - Cys - 2 residues - His). Other universal features include the location of the domain at the N-termini of proteins, its size of about 90 residues, a C-terminal AVPTIF box and several other conserved residues. Orthologues of the human THAP domain have been identified in other vertebrates and probably worms and flies, but not in other eukaryotes or any prokaryotes.</t>
  </si>
  <si>
    <t xml:space="preserve"> AgamP4_2L:44728875-44750351(-) </t>
  </si>
  <si>
    <t>AGAP007380-RA</t>
  </si>
  <si>
    <t xml:space="preserve">NADH dehydrogenase (ubiquinone) 1 beta subcomplex 11 </t>
  </si>
  <si>
    <t>NADH dehydrogenase (ubiquinone) 1 beta subcomplex 11</t>
  </si>
  <si>
    <t>ubiquinone oxidoreductase ESSS subunit - 2 predicted membrane helices</t>
  </si>
  <si>
    <t>AGAP007380-PA</t>
  </si>
  <si>
    <t xml:space="preserve"> nadh dehydrogenase ubiquinone 1 beta subcomplex subunit 11 - 2 predicted membrane helices</t>
  </si>
  <si>
    <t>ExpAA=21.93 First60=0.08 PredHel=1 Topology=i80-102o</t>
  </si>
  <si>
    <t>pfam10183, ESSS, ESSS subunit of NADH:ubiquinone oxidoreductase (complex I).  This subunit is part of the mitochondrial NADH:ubiquinone oxidoreductase (complex I). It carries mitochondrial import sequences.</t>
  </si>
  <si>
    <t>ESSS 5e-029| FancD2 | SPX_PHO81_NUC-2_like | mutL | PRK00943 | DUF3090 | PTZ00045 | Porin_4 | PRK15204 | DUF3413 |</t>
  </si>
  <si>
    <t>KOG4808, KOG4808, KOG4808, Uncharacterized conserved protein [Function unknown].</t>
  </si>
  <si>
    <t>smart00823, PKS_PP, Phosphopantetheine attachment site. Phosphopantetheine (or pantetheine 4' phosphate) is the prosthetic group of acyl carrier proteins (ACP) in some multienzyme complexes where it serves as a 'swinging arm' for the attachment of activated fatty acid and amino-acid groups.</t>
  </si>
  <si>
    <t xml:space="preserve"> AgamP4_2L:46200501-46200968(-) </t>
  </si>
  <si>
    <t>AGAP007412-RA</t>
  </si>
  <si>
    <t xml:space="preserve">C-type lectin (CTL) - mannose binding </t>
  </si>
  <si>
    <t>CTLMA3: C-type lectin (CTL) - mannose binding</t>
  </si>
  <si>
    <t>C-type lectin 37Da - probable fragment - signalP detected</t>
  </si>
  <si>
    <t>AGAP007412-PA</t>
  </si>
  <si>
    <t xml:space="preserve"> tra0a82tue2a0a82tue2 9dipt c lectin domain-containing protein os-melas pe-4 sv - signalP detected</t>
  </si>
  <si>
    <t>ExpAA=18.20 First60=18.20 PredHel=1 Topology=i7-24o</t>
  </si>
  <si>
    <t>cd00037, CLECT, C-type lectin (CTL)/C-type lectin-like (CTLD) domain.  CLECT: C-type lectin (CTL)/C-type lectin-like (CTLD) domain; protein domains homologous to the carbohydrate-recognition domains (CRDs) of the C-type lectins.  This group is chiefly comprised of eukaryotic CTLDs, but contains some, as yet functionally uncharacterized, bacterial CTLDs.  Many CTLDs are calcium-dependent carbohydrate binding modules; other CTLDs bind protein ligands, lipids, and inorganic surfaces, including CaCO3 and ice.  Animal C-type lectins are involved in such functions as extracellular matrix organization, endocytosis, complement activation, pathogen recognition, and cell-cell interactions. For example: mannose-binding lectin and lung surfactant proteins A and D bind carbohydrates on surfaces (e.g. pathogens, allergens, necrotic, and apoptotic cells) and mediate functions associated with killing and phagocytosis;  P (platlet)-, E (endothelial)-, and L (leukocyte)- selectins (sels) mediate the initial attachment, tethering, and rolling of lymphocytes on inflamed vascular walls enabling subsequent lymphocyte adhesion and transmigration.  CTLDs may bind a variety of carbohydrate ligands including mannose, N-acetylglucosamine, galactose, N-acetylgalactosamine, and fucose.  Several CTLDs bind to protein ligands, and only some of these binding interactions are Ca2+-dependent; including the CTLDs of Coagulation Factors IX/X (IX/X) and Von Willebrand Factor (VWF) binding proteins, and natural killer cell receptors. C-type lectins, such as lithostathine, and some type II antifreeze glycoproteins function in a Ca2+-independent manner to bind inorganic surfaces.  Many proteins in this group contain a single CTLD; these CTLDs associate with each other through several different surfaces to form dimers, trimers, or tetramers, from which ligand-binding sites project in different orientations. Various vertebrate type 1 transmembrane proteins including macrophage mannose receptor, endo180, phospholipase A2 receptor, and dendritic and epithelial cell receptor (DEC205) have extracellular domains containing 8 or more CTLDs; these CTLDs remain in the parent model.  In some members (IX/X and VWF binding proteins), a loop extends to the adjoining domain to form a loop-swapped dimer.  A similar conformation is seen in the macrophage mannose receptor CRD4's putative non-sugar bound form of the domain in the acid environment of the endosome.  Lineage specific expansions of CTLDs have occurred in several animal lineages including Drosophila melanogaster and Caenorhabditis elegans; these CTLDs also remain in the parent model.</t>
  </si>
  <si>
    <t>CLECT 9e-015| CLECT_DC-SIGN_like 9e-012| CLECT_collectin_like 2e-009| CLECT 3e-009| CLECT_selectins_like 7e-008| CLECT_TC14_like 3e-005| Lectin_C 0.001| CLECT_thrombomodulin_like 0.003| CLECT_CEL-1_like 0.007| CLECT_chondrolectin_like 0.010|</t>
  </si>
  <si>
    <t>KOG3266, KOG3266, KOG3266, Predicted glycine cleavage system H protein [Amino acid transport and metabolism].</t>
  </si>
  <si>
    <t>pfam00059, Lectin_C, Lectin C-type domain.  This family includes both long and short form C-type.</t>
  </si>
  <si>
    <t xml:space="preserve"> AgamP4_2L:46355209-46355803(+) </t>
  </si>
  <si>
    <t>AGAP007460-RA</t>
  </si>
  <si>
    <t xml:space="preserve">acyl-CoA-binding protein 2 </t>
  </si>
  <si>
    <t>acyl-CoA-binding protein 2</t>
  </si>
  <si>
    <t>acyl-CoA-binding protein homolog</t>
  </si>
  <si>
    <t>AGAP007460-PA</t>
  </si>
  <si>
    <t xml:space="preserve"> acyl-coa-binding protein</t>
  </si>
  <si>
    <t>pfam00887, ACBP, Acyl CoA binding protein.</t>
  </si>
  <si>
    <t>ACBP 4e-024| ACBP 8e-024| ACB 4e-021| PTZ00458 3e-006| FERM_B-lobe | PRK00979 | PotA | Topoisomer_IB_N_1 | TPR_21 |</t>
  </si>
  <si>
    <t>KOG0817, KOG0817, KOG0817, Acyl-CoA-binding protein [Lipid transport and metabolism].</t>
  </si>
  <si>
    <t>smart00295, B41, Band 4.1 homologues.  Also known as ezrin/radixin/moesin (ERM) protein domains. Present in myosins, ezrin, radixin, moesin, protein tyrosine phosphatases. Plasma membrane-binding domain. These proteins play structural and regulatory roles in the assembly and stabilization of specialized plasmamembrane domains. Some PDZ domain containing proteins bind one or more of this family. Now includes JAKs.</t>
  </si>
  <si>
    <t xml:space="preserve"> AgamP4_2L:46712300-46712766(+) </t>
  </si>
  <si>
    <t>AGAP007565-RB</t>
  </si>
  <si>
    <t xml:space="preserve">chaperone DnaJ protein </t>
  </si>
  <si>
    <t>chaperone DnaJ protein</t>
  </si>
  <si>
    <t>protein tumorous imaginal discs mitochondrial-like isoform X2 - 13 OH-glycosylation sites -  13 NetOglyc sites</t>
  </si>
  <si>
    <t>AGAP007565-PB</t>
  </si>
  <si>
    <t xml:space="preserve"> dnaj protein - 13 OH-glycosylation sites -  13 NetOglyc sites</t>
  </si>
  <si>
    <t>ExpAA=0.27 First60=0.26 PredHel=0 Topology=o</t>
  </si>
  <si>
    <t>Drosophila virilis</t>
  </si>
  <si>
    <t>COG0484, DnaJ, DnaJ-class molecular chaperone with C-terminal Zn finger domain [Posttranslational modification, protein turnover, chaperones].</t>
  </si>
  <si>
    <t>DnaJ 3e-093| Chaperone_protein_DnaJ 8e-091| PRK14280 4e-080| PRK10767 7e-079| PRK14276 6e-078| PRK14294 1e-074| PRK14283 4e-071| PRK14277 6e-071| PRK14297 8e-065| PRK14301 8e-065|</t>
  </si>
  <si>
    <t>KOG0715, KOG0715, KOG0715, Molecular chaperone (DnaJ superfamily) [Posttranslational modification, protein turnover, chaperones].</t>
  </si>
  <si>
    <t>pfam01556, DnaJ_C, DnaJ C terminal domain.  This family consists of the C terminal region of the DnaJ protein. It is always found associated with pfam00226 and pfam00684. DnaJ is a chaperone associated with the Hsp70 heat-shock system involved in protein folding and renaturation after stress. The two C-terminal domains CTDI and CTDII, both incorporated in this family are necessary for maintaining the J-domains in their specific relative positions. Structural analysis of Structure 1nlt shows that PF00684 is nested within this DnaJ C-terminal region.</t>
  </si>
  <si>
    <t xml:space="preserve"> AgamP4_2L:47724214-47726816(+) </t>
  </si>
  <si>
    <t>AGAP007580-RA</t>
  </si>
  <si>
    <t xml:space="preserve">60S ribosomal protein L18 [Source:UniProtKB/Swiss-Prot;Acc:Q7QJM5] </t>
  </si>
  <si>
    <t>RpL18: 60S ribosomal protein L18</t>
  </si>
  <si>
    <t>Ribosomal protein 60S L18 and 50S L18e</t>
  </si>
  <si>
    <t>AGAP007580-PA</t>
  </si>
  <si>
    <t xml:space="preserve"> 60s ribosomal protein l18</t>
  </si>
  <si>
    <t>ExpAA=4.17 First60=4.17 PredHel=0 Topology=o</t>
  </si>
  <si>
    <t>pfam17135, Ribosomal_L18, Ribosomal protein 60S L18 and 50S L18e. This is a family of ribosomal proteins, 60S L18 from eukaryotes and 50S L18e from Archaea.</t>
  </si>
  <si>
    <t>Ribosomal_L18 2e-086| PTZ00469 3e-040| PTZ00195 2e-037| RPL18A 3e-019| PRK04005 0.011| Ribosomal_L27A | AR_SDR_e | PRK14061 | PLN00145 | INT_RitA_C_like |</t>
  </si>
  <si>
    <t>KOG1714, KOG1714, KOG1714, 60s ribosomal protein L18 [Translation, ribosomal structure and biogenesis].</t>
  </si>
  <si>
    <t xml:space="preserve">1 | 182    EKARGRR|SS  0.652 *ProP*  | </t>
  </si>
  <si>
    <t>AGAP007711-RA</t>
  </si>
  <si>
    <t>Conserved plasma membrane protein - 2 predicted membrane helices - GPI anchored</t>
  </si>
  <si>
    <t>uc/memb/gpi</t>
  </si>
  <si>
    <t>AGAP007711-PA</t>
  </si>
  <si>
    <t>ExpAA=56.12 First60=2.35 PredHel=2 Topology=i139-161o166-188i</t>
  </si>
  <si>
    <t>pfam02705, K_trans, K+ potassium transporter.  This is a family of K+ potassium transporters that are conserved across phyla, having both bacterial (KUP), yeast (HAK), and plant (AtKT) sequences as members.</t>
  </si>
  <si>
    <t>K_trans | Chitin_synth_2 | Mononeg_RNA_pol |</t>
  </si>
  <si>
    <t>KOG3249, KOG3249, KOG3249, Uncharacterized conserved protein [Function unknown].</t>
  </si>
  <si>
    <t>pfam01431, Peptidase_M13, Peptidase family M13.  Mammalian enzymes are typically type-II membrane anchored enzymes which are known, or believed to activate or inactivate oligopeptide (pro)-hormones such as opioid peptides. The family also contains a bacterial member believed to be involved with milk protein cleavage.</t>
  </si>
  <si>
    <t>smart00633, Glyco_10, Glycosyl hydrolase family 10.</t>
  </si>
  <si>
    <t xml:space="preserve"> AgamP4_2L:49178325-49179120(-) </t>
  </si>
  <si>
    <t>AGAP007713-RD</t>
  </si>
  <si>
    <t xml:space="preserve">solute carrier family 39 (zinc transporter), member 11 </t>
  </si>
  <si>
    <t>solute carrier family 39 (zinc transporter), member 11</t>
  </si>
  <si>
    <t>Zinc transporter - 5 predicted membrane helices - GPI anchored</t>
  </si>
  <si>
    <t>tr membrane/gpi</t>
  </si>
  <si>
    <t>AGAP007713-PD</t>
  </si>
  <si>
    <t xml:space="preserve"> protein - 5 predicted membrane helices - GPI anchored</t>
  </si>
  <si>
    <t>ExpAA=136.78 First60=39.95 PredHel=5 Topology=o10-32i45-64o79-98i289-320o335-355i</t>
  </si>
  <si>
    <t>Saprolegnia parasitica CBS 223.65</t>
  </si>
  <si>
    <t>COG0428, COG0428, Predicted divalent heavy-metal cations transporter [Inorganic ion transport and metabolism].</t>
  </si>
  <si>
    <t>COG0428 2e-032| Zip 8e-020| PRK04201 5e-019| PRK11917 | aroFGH | PRK08156 | PRK11146 | MATE_SpoVB_like | ADOP |</t>
  </si>
  <si>
    <t>KOG2474, KOG2474, KOG2474, Zinc transporter and related ZIP domain-containing proteins [Inorganic ion transport and metabolism].</t>
  </si>
  <si>
    <t xml:space="preserve"> AgamP4_2L:49196817-49198128(+) </t>
  </si>
  <si>
    <t xml:space="preserve">1 | 176    SVSRKRR|KG  0.688 *ProP*  | </t>
  </si>
  <si>
    <t>AGAP007721-RC</t>
  </si>
  <si>
    <t xml:space="preserve">synaptobrevin </t>
  </si>
  <si>
    <t>Syb: synaptobrevin</t>
  </si>
  <si>
    <t>Synaptobrevin/VAMP-like protein - 2 predicted membrane helices</t>
  </si>
  <si>
    <t>AGAP007721-PC</t>
  </si>
  <si>
    <t xml:space="preserve"> synaptobrevin - 2 predicted membrane helices</t>
  </si>
  <si>
    <t>ExpAA=20.97 First60=0.00 PredHel=1 Topology=i92-111o</t>
  </si>
  <si>
    <t>cd15870, R-SNARE_VAMP2, SNARE motif of VAMP2.  The VAMP-2 (vesicle-associated membrane protein 2, also called synaptobrevin-2) protein belongs to the R-SNARE subgroup of SNAREs and interacts with Syntaxin-1 (Qa) and SNAP-25(Qb/Qc), as well as syntaxin 12 (Qa) and SNAP23 (Qb/Qc). The complexes play a role in transport of secretory granule from trans-Golgi network to the plasma membrane, and in the transport from early endosomes to and from the plasma membrane, respectively. SNARE (soluble N-ethylmaleimide-sensitive factor attachment protein receptor) proteins contain coiled-coil helices (called SNARE motifs) which mediate the interactions between SNARE proteins, and a transmembrane domain. The SNARE complex mediates membrane fusion, important for trafficking of newly synthesized proteins, recycling of pre-existing proteins and organelle formation. SNARE proteins are classified into four groups, Qa-, Qb-, Qc- and R-SNAREs, depending on whether the residue in the hydrophilic center layer of the four-helical bundle is a glutamine (Q) or arginine (R). Qa-, as well as Qb- and Qc-SNAREs, are localized to target organelle membranes, while R-SNARE is localized to vesicle membranes. They form unique complexes consisting of one member of each subgroup, that mediate fusion between a specific type of vesicles and their target organelle. Their SNARE motifs form twisted and parallel heterotetrameric helix bundles.</t>
  </si>
  <si>
    <t>R-SNARE_VAMP2 3e-026| Synaptobrevin 3e-026| R-SNARE_VAMP5 5e-014| R-SNARE_VAMP4 2e-013| R-SNARE 4e-013| R-SNARE_VAMP8 4e-012| R-SNARE_VAMP7 7e-007| R-SNARE_Snc1 9e-007| SNARE 6e-006| SNC1 6e-005|</t>
  </si>
  <si>
    <t>KOG0860, KOG0860, KOG0860, Synaptobrevin/VAMP-like protein [Intracellular trafficking, secretion, and vesicular transport].</t>
  </si>
  <si>
    <t>pfam00957, Synaptobrevin, Synaptobrevin.</t>
  </si>
  <si>
    <t>smart00258, SAND, SAND domain.</t>
  </si>
  <si>
    <t xml:space="preserve"> AgamP4_2L:49272258-49273580(+) </t>
  </si>
  <si>
    <t>AGAP007722-RA</t>
  </si>
  <si>
    <t xml:space="preserve">adenylate kinase 2, mitochondrial </t>
  </si>
  <si>
    <t>Adk2: adenylate kinase 2, mitochondrial</t>
  </si>
  <si>
    <t>Uridylate kinase/adenylate kinase</t>
  </si>
  <si>
    <t>AGAP007722-PA</t>
  </si>
  <si>
    <t xml:space="preserve"> adk</t>
  </si>
  <si>
    <t>PRK00279, adk, adenylate kinase; Reviewed.</t>
  </si>
  <si>
    <t>adk 2e-083| ADK 2e-079| Adenylate_kinase 2e-075| PLN02674 2e-074| ADK 3e-070| PRK14532 1e-045| Adk 2e-044| PRK13808 7e-044| adk 4e-038| PLN02842 1e-037|</t>
  </si>
  <si>
    <t>KOG3078, KOG3078, KOG3078, Adenylate kinase [Nucleotide transport and metabolism].</t>
  </si>
  <si>
    <t>pfam00406, ADK, Adenylate kinase.</t>
  </si>
  <si>
    <t xml:space="preserve"> AgamP4_2L:49277177-49278459(+) </t>
  </si>
  <si>
    <t>AGAP007768-RA</t>
  </si>
  <si>
    <t xml:space="preserve">mitochondrial cytochrome c oxidase subunit VIC </t>
  </si>
  <si>
    <t>mitochondrial cytochrome c oxidase subunit VIC</t>
  </si>
  <si>
    <t>mitochondrial cytochrome c oxidase subunit VIC - Membrane anchor detected</t>
  </si>
  <si>
    <t>AGAP007768-PA</t>
  </si>
  <si>
    <t xml:space="preserve"> cytochrome c oxidase subunit 6c-like protein - Membrane anchor detected</t>
  </si>
  <si>
    <t>ExpAA=16.47 First60=16.47 PredHel=0 Topology=o</t>
  </si>
  <si>
    <t>Thunnus obesus</t>
  </si>
  <si>
    <t>cd00927, Cyt_c_Oxidase_VIc, Cytochrome c oxidase subunit VIc. Cytochrome c oxidase (CcO), the terminal oxidase in the respiratory chains of eukaryotes and most bacteria, is a multi-chain transmembrane protein located in the inner membrane of mitochondria and the cell membrane of prokaryotes. It catalyzes the reduction of O2 and simultaneously pumps protons across the membrane. The number of subunits varies from three to five in bacteria and up to 13 in mammalian mitochondria. Subunits I, II, and III of mammalian CcO are encoded within the mitochondrial genome and the remaining 10 subunits are encoded within the nuclear genome. The VIc subunit is found only in eukaryotes and its specific function remains unclear. It has been reported that the relative concentrations of some nuclear encoded CcO subunits, including subunit VIc, compared to those of the mitochondrial encoded subunits, are altered significantly during the progression of prostate cancer.</t>
  </si>
  <si>
    <t>Cyt_c_Oxidase_VIc 3e-024| COX6C 3e-022| PBP2_NikA_DppA_OppA_like_19 | PBP2_Ylib_like | PPR_long | CyoC | Yos9_DD | PBP2_NikA_DppA_OppA_like_8 | MFS_MOT1 | 7tmC_mGluRs_group2_3 |</t>
  </si>
  <si>
    <t>KOG1368, KOG1368, KOG1368, Threonine aldolase [Amino acid transport and metabolism].</t>
  </si>
  <si>
    <t>pfam02937, COX6C, Cytochrome c oxidase subunit VIc.  Cytochrome c oxidase, a 13 sub-unit complex, EC:1.9.3.1 is the terminal oxidase in the mitochondrial electron transport chain. This family is composed of cytochrome c oxidase subunit VIc.</t>
  </si>
  <si>
    <t>smart00860, SMI1_KNR4, SMI1 / KNR4 family.  Proteins in this family are involved in the regulation of 1,3-beta-glucan synthase activity and cell-wall formation.</t>
  </si>
  <si>
    <t xml:space="preserve"> AgamP4_3R:508390-508712(+) </t>
  </si>
  <si>
    <t>AGAP007879-RA</t>
  </si>
  <si>
    <t xml:space="preserve">Steroid dehydrogenase </t>
  </si>
  <si>
    <t>Steroid dehydrogenase</t>
  </si>
  <si>
    <t>17-beta-hydroxysteroid dehydrogenases</t>
  </si>
  <si>
    <t>AGAP007879-PA</t>
  </si>
  <si>
    <t xml:space="preserve"> inactive hydroxysteroid dehydrogenase-like protein 1</t>
  </si>
  <si>
    <t>ExpAA=52.53 First60=13.24 PredHel=0 Topology=o</t>
  </si>
  <si>
    <t>cd05356, 17beta-HSD1_like_SDR_c, 17-beta-hydroxysteroid dehydrogenases (17beta-HSDs) types -1, -3, and -12, -like, classical (c) SDRs.  This subgroup includes various 17-beta-hydroxysteroid dehydrogenases and 3-ketoacyl-CoA reductase, these are members of the SDR family, and contain the canonical active site tetrad and glycine-rich NAD-binding motif of the classical SDRs. 3-ketoacyl-CoA reductase (KAR, aka 17beta-HSD type 12, encoded by HSD17B12) acts in fatty acid elongation; 17beta- hydroxysteroid dehydrogenases are isozymes that catalyze activation and inactivation of estrogen and androgens, and include members of the SDR family. 17beta-estradiol dehydrogenase (aka 17beta-HSD type 1, encoded by HSD17B1) converts estrone to estradiol. Estradiol is the predominant female sex hormone. 17beta-HSD type 3 (aka testosterone 17-beta-dehydrogenase 3, encoded by HSD17B3) catalyses the reduction of androstenedione to testosterone, it also accepts estrogens as substrates. This subgroup also contains a putative steroid dehydrogenase let-767 from Caenorhabditis elegans, mutation in which results in hypersensitivity to cholesterol limitation.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have a 3-glycine N-terminal NAD(P)(H)-binding pattern (typically, TGxxxGxG in classical SDRs and TGxxGxxG in extended SDRs), while substrate binding is in the C-terminal region. A critical catalytic Tyr residue (Tyr-151, human 15-hydroxyprostaglandin dehydrogenase (15-PGDH) numbering), is often found in a conserved YXXXK pattern. In addition to the Tyr and Lys, there is often an upstream Ser (Ser-138, 15-PGDH numbering) and/or an Asn (Asn-107, 15-PGDH numbering) or additional Ser, contributing to the active site. Substrates for these enzymes include sugars, steroids, alcohols, and aromatic compounds. The standard reaction mechanism is a proton relay involving the conserved Tyr and Lys, as well as Asn (or Ser). Some SDR family members, including 17 beta-hydroxysteroid dehydrogenase contain an additional helix-turn-helix motif that is not generally found among SDRs.</t>
  </si>
  <si>
    <t>17beta-HSD1_like_SDR_c 1e-077| DltE 2e-046| PLN02780 2e-042| adh_short 2e-038| SDR_c 2e-036| fabG 8e-031| PRK07454 1e-030| FabG 6e-030| 11beta-HSD1_like_SDR_c 2e-029| 17beta-HSD-like_SDR_c 2e-028|</t>
  </si>
  <si>
    <t>KOG1014, KOG1014, KOG1014, 17 beta-hydroxysteroid dehydrogenase type 3, HSD17B3 [Lipid transport and metabolism].</t>
  </si>
  <si>
    <t>pfam00106, adh_short, short chain dehydrogenase.  This family contains a wide variety of dehydrogenases.</t>
  </si>
  <si>
    <t xml:space="preserve"> AgamP4_3R:2459677-2460769(+) </t>
  </si>
  <si>
    <t>AGAP007888-RA</t>
  </si>
  <si>
    <t>E3 ubiquitin ligase involved in syntaxin degradation</t>
  </si>
  <si>
    <t>AGAP007888-PA</t>
  </si>
  <si>
    <t xml:space="preserve"> ninein-like protein</t>
  </si>
  <si>
    <t>Anopheles sinensis</t>
  </si>
  <si>
    <t>COG0419, SbcC, ATPase involved in DNA repair [DNA replication, recombination, and repair].</t>
  </si>
  <si>
    <t>SbcC 1e-012| chromosome_segregation_protein_related...    64   5e-010 5e-010| Smc 1e-009| PRK03918 1e-008| Chromosome_partition_protein_Smc 1e-007| PRK02224 6e-007| COG1579 3e-005| hypothetical_protein 3e-005| conserved_hypothetical_protein 1e-004| HOOK 2e-004|</t>
  </si>
  <si>
    <t>KOG0161, KOG0161, KOG0161, Myosin class II heavy chain [Cytoskeleton].</t>
  </si>
  <si>
    <t>pfam05622, HOOK, HOOK protein.  This family consists of several HOOK1, 2 and 3 proteins from different eukaryotic organisms. The different members of the human gene family are HOOK1, HOOK2 and HOOK3. Different domains have been identified in the three human HOOK proteins, and it was demonstrated that the highly conserved NH2-domain mediates attachment to microtubules, whereas the central coiled-coil motif mediates homodimerisation and the more divergent C-terminal domains are involved in binding to specific organelles (organelle-binding domains). It has been demonstrated that endogenous HOOK3 binds to Golgi membranes, whereas both HOOK1 and HOOK2 are localized to discrete but unidentified cellular structures. In mice the Hook1 gene is predominantly expressed in the testis. Hook1 function is necessary for the correct positioning of microtubular structures within the haploid germ cell. Disruption of Hook1 function in mice causes abnormal sperm head shape and fragile attachment of the flagellum to the sperm head.</t>
  </si>
  <si>
    <t>smart00787, Spc7, Spc7 kinetochore protein.  This domain is found in cell division proteins which are required for kinetochore-spindle association.</t>
  </si>
  <si>
    <t xml:space="preserve"> AgamP4_3R:2514846-2526866(-) </t>
  </si>
  <si>
    <t xml:space="preserve">2 | 311    HGSKRRR|PV  0.503 *ProP*  | 325    GVNRLKR|CA  0.644 *ProP*  | </t>
  </si>
  <si>
    <t>AGAP007888-RB</t>
  </si>
  <si>
    <t>AGAP007888-PB</t>
  </si>
  <si>
    <t>SbcC 2e-012| chromosome_segregation_protein_related...    64   6e-010 6e-010| Smc 1e-009| PRK03918 2e-008| Chromosome_partition_protein_Smc 1e-007| PRK02224 6e-007| hypothetical_protein 3e-005| COG1579 3e-005| HOOK 2e-004| conserved_hypothetical_protein 2e-004|</t>
  </si>
  <si>
    <t xml:space="preserve"> AgamP4_3R:2514846-2520402(-) </t>
  </si>
  <si>
    <t xml:space="preserve">2 | 293    HGSKRRR|PV  0.503 *ProP*  | 307    GVNRLKR|CA  0.644 *ProP*  | </t>
  </si>
  <si>
    <t>AGAP007913-RA</t>
  </si>
  <si>
    <t xml:space="preserve">ubiquitin-like protein Nedd8 </t>
  </si>
  <si>
    <t>ubiquitin-like protein Nedd8</t>
  </si>
  <si>
    <t>Nebb8-like ubiquitin protein</t>
  </si>
  <si>
    <t>AGAP007913-PA</t>
  </si>
  <si>
    <t xml:space="preserve"> nedd8</t>
  </si>
  <si>
    <t>ExpAA=0.18 First60=0.01 PredHel=0 Topology=o</t>
  </si>
  <si>
    <t>cd01806, Nedd8, Nebb8-like  ubiquitin protein.  Nedd8 (also known as Rub1) has a single conserved ubiquitin-like domain that is part of a protein modification pathway similar to that of ubiquitin.  Nedd8 modifies a family of molecular scaffold proteins called cullins that are responsible for assembling the ROC1/Rbx1 RING-based E3 ubiquitin ligases, of which several play a direct role in tumorigenesis.</t>
  </si>
  <si>
    <t>Nedd8 3e-033| Ubiquitin 2e-021| ubiquitin 2e-018| PTZ00044 5e-018| UBQ 1e-016| UBL 2e-016| UBI4 7e-015| Scythe_N 2e-012| AN1_N 2e-011| Rad60-SLD 2e-010|</t>
  </si>
  <si>
    <t>KOG0005, KOG0005, KOG0005, Ubiquitin-like protein [Cell cycle control, cell division, chromosome partitioning, Posttranslational modification, protein turnover, chaperones].</t>
  </si>
  <si>
    <t>pfam00240, ubiquitin, Ubiquitin family.  This family contains a number of ubiquitin-like proteins: SUMO (smt3 homolog), Nedd8, Elongin B, Rub1, and Parkin. A number of them are thought to carry a distinctive five-residue motif termed the proteasome-interacting motif (PIM), which may have a biologically significant role in protein delivery to proteasomes and recruitment of proteasomes to transcription sites.</t>
  </si>
  <si>
    <t>smart00213, UBQ, Ubiquitin homologues.  Ubiquitin-mediated proteolysis is involved in the regulated turnover of proteins required for controlling cell cycle progression.</t>
  </si>
  <si>
    <t xml:space="preserve"> AgamP4_3R:2721623-2722079(+) </t>
  </si>
  <si>
    <t>AGAP007947-RA</t>
  </si>
  <si>
    <t>Ecdysteroid kinase</t>
  </si>
  <si>
    <t>AGAP007947-PA</t>
  </si>
  <si>
    <t xml:space="preserve"> ecdysteroid kinase</t>
  </si>
  <si>
    <t>Aedes albopictus</t>
  </si>
  <si>
    <t>pfam02958, EcKinase, Ecdysteroid kinase.  This family includes ecdysteroid 22-kinase, an enzyme responsible for the phosphorylation of ecdysteroids (insect growth and moulting hormones) at C-22, to form physiologically inactive ecdysteroid 22-phosphates.</t>
  </si>
  <si>
    <t>EcKinase 3e-035| CHK 9e-030| DUF1679 5e-010| APH 2e-005| COG2334 4e-004| ycfN 0.038| COG3178 0.043| APH_ChoK_like 0.058| COG4857 | ETNK_euk |</t>
  </si>
  <si>
    <t>KOG3087, KOG3087, KOG3087, Serine/threonine protein kinase [General function prediction only].</t>
  </si>
  <si>
    <t>smart00587, CHK, ZnF_C4 abd HLH domain containing kinases domain. subfamily of choline kinases.</t>
  </si>
  <si>
    <t xml:space="preserve"> AgamP4_3R:3262736-3264037(-) </t>
  </si>
  <si>
    <t>AGAP008008-RA</t>
  </si>
  <si>
    <t xml:space="preserve">coiled-coil domain-containing protein 72 homolog </t>
  </si>
  <si>
    <t>coiled-coil domain-containing protein 72 homolog</t>
  </si>
  <si>
    <t>Translation machinery-associated protein 7 homolog</t>
  </si>
  <si>
    <t>AGAP008008-PA</t>
  </si>
  <si>
    <t xml:space="preserve"> translation machinery-associated protein 7</t>
  </si>
  <si>
    <t>pfam09072, TMA7, Translation machinery associated TMA7.  TMA7 plays a role in protein translation. Deletions of the TMA7 gene results in altered protein synthesis rates.</t>
  </si>
  <si>
    <t>TMA7 7e-004| alaS | PLN02381 | SART-1 | KOW_RPL6 |</t>
  </si>
  <si>
    <t>KOG4766, KOG4766, KOG4766, Uncharacterized conserved protein [Function unknown].</t>
  </si>
  <si>
    <t>smart01088, Col_cuticle_N, Nematode cuticle collagen N-terminal domain.  The function of this domain is unknown. It is found in the N-terminal region of nematode cuticle collagens. Cuticle is a tough elastic structure secreted by hypodermal cells and is primarily composed of collagen proteins.</t>
  </si>
  <si>
    <t xml:space="preserve"> AgamP4_3R:4021300-4021494(+) </t>
  </si>
  <si>
    <t>K(5.01)</t>
  </si>
  <si>
    <t>AGAP008011-RA</t>
  </si>
  <si>
    <t>agap008011-pa - signalP detected - 2 predicted membrane helices</t>
  </si>
  <si>
    <t>AGAP008011-PA</t>
  </si>
  <si>
    <t xml:space="preserve"> protein - signalP detected - 2 predicted membrane helices</t>
  </si>
  <si>
    <t>ExpAA=36.57 First60=35.78 PredHel=2 Topology=i7-29o39-61i</t>
  </si>
  <si>
    <t>Eimeria mitis</t>
  </si>
  <si>
    <t>pfam13069, DUF3933, Protein of unknown function (DUF3933).  This family of proteins is functionally uncharacterized. This family of proteins is found in bacteria. Proteins in this family are approximately 60 amino acids in length.</t>
  </si>
  <si>
    <t>DUF3933 | MAST_ArtA_sort | DcuC | DUF4757 | 32 | SgaT | flgH | COG4291 | hypothetical_protein |</t>
  </si>
  <si>
    <t>KOG3792, KOG3792, KOG3792, Transcription factor NFAT, subunit NF90 [General function prediction only].</t>
  </si>
  <si>
    <t>smart00824, PKS_TE, Thioesterase.  Peptide synthetases are involved in the non-ribosomal synthesis of peptide antibiotics. Next to the operons encoding these enzymes, in almost all cases, are genes that encode proteins that have similarity to the type II fatty acid thioesterases of vertebrates. There are also modules within the peptide synthetases that also share this similarity. With respect to antibiotic production, thioesterases are required for the addition of the last amino acid to the peptide antibiotic, thereby forming a cyclic antibiotic. Thioesterases (non-integrated) have molecular masses of 25-29 kDa.</t>
  </si>
  <si>
    <t xml:space="preserve"> AgamP4_3R:4172908-4173270(+) </t>
  </si>
  <si>
    <t>AGAP008073-RA</t>
  </si>
  <si>
    <t>AGAP008073-PA</t>
  </si>
  <si>
    <t xml:space="preserve"> coiled-coil-helix-coiled-coil-helix domain-containing protein 1</t>
  </si>
  <si>
    <t>pfam06747, CHCH, CHCH domain.  we have identified a conserved motif in the LOC118487 protein that we have called the CHCH motif. Alignment of this protein with related members showed the presence of three subgroups of proteins, which are called the S (Small), N (N-terminal extended) and C (C-terminal extended) subgroups. All three sub-groups of proteins have in common that they contain a predicted conserved [coiled coil 1]-[helix 1]-[coiled coil 2]-[helix 2] domain (CHCH domain). Within each helix of the CHCH domain, there are two cysteines present in a C-X9-C motif. The N-group contains an additional double helix domain, and each helix contains the C-X9-C motif. This family contains a number of characterized proteins: Cox19 protein - a nuclear gene of Saccharomyces cerevisiae, codes for an 11-kDa protein (Cox19p) required for expression of cytochrome oxidase. Because cox19 mutants are able to synthesize the mitochondrial and nuclear gene products of cytochrome oxidase, Cox19p probably functions post-translationally during assembly of the enzyme. Cox19p is present in the cytoplasm and mitochondria, where it exists as a soluble intermembrane protein. This dual location is similar to what was previously reported for Cox17p, a low molecular weight copper protein thought to be required for maturation of the CuA centre of subunit 2 of cytochrome oxidase. Cox19p have four conserved potential metal ligands, these are three cysteines and one histidine. Mrp10 - belongs to the class of yeast mitochondrial ribosomal proteins that are essential for translation. Eukaryotic NADH-ubiquinone oxidoreductase 19 kDa (NDUFA8) subunit. The CHCH domain was previously called DUF657.</t>
  </si>
  <si>
    <t>CHCH 6e-005| MTCP1 | PRK10870 | PLN02929 | Glyoxal_oxid_N | COG1572 | 7tmA_PAR1 | Npc2_like |</t>
  </si>
  <si>
    <t>KOG4695, KOG4695, KOG4695, Uncharacterized conserved protein [Function unknown].</t>
  </si>
  <si>
    <t>smart00776, NPCBM, This novel putative carbohydrate binding module (NPCBM) domain is found at the N-terminus of glycosyl hydrolase family 98 proteins.</t>
  </si>
  <si>
    <t xml:space="preserve"> AgamP4_3R:5085992-5086354(-) </t>
  </si>
  <si>
    <t>AGAP008208-RA</t>
  </si>
  <si>
    <t xml:space="preserve">cytochrome P450 </t>
  </si>
  <si>
    <t>CYP6Y1: cytochrome P450</t>
  </si>
  <si>
    <t>Cytochrome P450 - signalP detected - 3 predicted membrane helices</t>
  </si>
  <si>
    <t>detox/ox membrane</t>
  </si>
  <si>
    <t>AGAP008208-PA</t>
  </si>
  <si>
    <t xml:space="preserve"> cytochrome p450 - signalP detected - 3 predicted membrane helices</t>
  </si>
  <si>
    <t>ExpAA=34.73 First60=18.49 PredHel=2 Topology=o4-21i68-85o</t>
  </si>
  <si>
    <t>pfam00067, p450, Cytochrome P450.  Cytochrome P450s are haem-thiolate proteins involved in the oxidative degradation of various compounds. They are particularly well known for their role in the degradation of environmental toxins and mutagens. They can be divided into 4 classes, according to the method by which electrons from NAD(P)H are delivered to the catalytic site. Sequence conservation is relatively low within the family - there are only 3 absolutely conserved residues - but their general topography and structural fold are highly conserved. The conserved core is composed of a coil termed the 'meander', a four-helix bundle, helices J and K, and two sets of beta-sheets. These constitute the haem-binding loop (with an absolutely conserved cysteine that serves as the 5th ligand for the haem iron), the proton-transfer groove and the absolutely conserved EXXR motif in helix K. While prokaryotic P450s are soluble proteins, most eukaryotic P450s are associated with microsomal membranes. their general enzymatic function is to catalyze regiospecific and stereospecific oxidation of non-activated hydrocarbons at physiological temperatures.</t>
  </si>
  <si>
    <t>p450 4e-083| CypX 8e-048| PLN02290 5e-036| PLN03195 4e-028| PLN02936 2e-027| PTZ00404 8e-024| PLN00110 1e-023| PLN02687 1e-023| PLN02655 1e-021| PLN02738 2e-021|</t>
  </si>
  <si>
    <t>KOG0158, KOG0158, KOG0158, Cytochrome P450 CYP3/CYP5/CYP6/CYP9 subfamilies [Secondary metabolites biosynthesis, transport and catabolism].</t>
  </si>
  <si>
    <t xml:space="preserve">Secondary metabolites biosynthesis, transport and catabolism </t>
  </si>
  <si>
    <t xml:space="preserve"> AgamP4_3R:6913769-6915359(-) </t>
  </si>
  <si>
    <t>AGAP008209-RA</t>
  </si>
  <si>
    <t>CYP6M1: cytochrome P450</t>
  </si>
  <si>
    <t>AGAP008209-PA</t>
  </si>
  <si>
    <t>ExpAA=38.98 First60=19.94 PredHel=2 Topology=o5-24i73-92o</t>
  </si>
  <si>
    <t>p450 3e-086| CypX 2e-043| PLN02290 3e-034| PLN03195 5e-024| PLN00110 5e-024| PLN02738 2e-023| PLN02936 3e-023| PTZ00404 1e-022| PLN02687 4e-021| PLN02655 4e-021|</t>
  </si>
  <si>
    <t>smart00562, NDK, Enzymes that catalyze nonsubstrate specific conversions of nucleoside diphosphates to nucleoside triphosphates.  These enzymes play important roles in bacterial growth, signal transduction and pathogenicity.</t>
  </si>
  <si>
    <t xml:space="preserve"> AgamP4_3R:6915946-6917528(+) </t>
  </si>
  <si>
    <t>AGAP008502-RA</t>
  </si>
  <si>
    <t xml:space="preserve">L-xylulose reductase </t>
  </si>
  <si>
    <t>L-xylulose reductase</t>
  </si>
  <si>
    <t>Mitochondrial/plastidial beta-ketoacyl-ACP reductase</t>
  </si>
  <si>
    <t>AGAP008502-PA</t>
  </si>
  <si>
    <t>Mesocricetus auratus</t>
  </si>
  <si>
    <t>cd05351, XR_like_SDR_c, xylulose reductase-like, classical (c) SDRs.  Members of this subgroup include proteins identified as L-xylulose reductase (XR) and carbonyl reductase; they are members of the SDR family. XR, catalyzes the NADP-dependent reduction of L-xyulose and other sugars. Tetrameric mouse carbonyl reductase is involved in the metabolism of biogenic and xenobiotic carbonyl compounds. This subgroup also includes tetrameric chicken liver D-erythrulose reductase, which catalyzes the reduction of D-erythrulose to D-threitol. SDRs are a functionally diverse family of oxidoreductases that have a single domain with a structurally conserved Rossmann fold (alpha/beta folding pattern with a central beta-sheet), an NAD(P)(H)-binding region, and a structurally diverse C-terminal region. Classical SDRs are typically about 250 residues long, while extended SDRS are approximately 350 residues. Sequence identity between different SDR enzymes are typically in the 15-30% range, but the enzymes share the Rossmann fold NAD-binding motif and characteristic NAD-binding and catalytic sequence patterns. These enzymes have a 3-glycine N-terminal NAD(P)(H)-binding pattern (typically, TGxxxGxG in classical SDRs and TGxxGxxG in extended SDRs), while substrate binding is in the C-terminal region. A critical catalytic Tyr residue (Tyr-151, human 15-hydroxyprostaglandin dehydrogenase (15-PGDH) numbering), is often found in a conserved YXXXK pattern. In addition to the Tyr and Lys, there is often an upstream Ser (Ser-138, 15-PGDH numbering) and/or an Asn (Asn-107, 15-PGDH numbering) or additional Ser, contributing to the active site. Substrates for these enzymes include sugars, steroids, alcohols, and aromatic compounds. The standard reaction mechanism is a proton relay involving the conserved Tyr and Lys, as well as Asn (or Ser).</t>
  </si>
  <si>
    <t>XR_like_SDR_c 7e-091| PRK07060 7e-064| SDR_c 4e-057| adh_short_C2 7e-052| FabG 1e-051| fabG 7e-051| fabG 3e-050| adh_short 4e-050| fabG 1e-049| PRK06841 1e-047|</t>
  </si>
  <si>
    <t>KOG1207, KOG1207, KOG1207, Diacetyl reductase/L-xylulose reductase [Secondary metabolites biosynthesis, transport and catabolism].</t>
  </si>
  <si>
    <t>pfam13561, adh_short_C2, Enoyl-(Acyl carrier protein) reductase.</t>
  </si>
  <si>
    <t xml:space="preserve"> AgamP4_3R:11346538-11347407(+) </t>
  </si>
  <si>
    <t>AGAP008537-RA</t>
  </si>
  <si>
    <t xml:space="preserve">homocysteine S-methyltransferase </t>
  </si>
  <si>
    <t>homocysteine S-methyltransferase</t>
  </si>
  <si>
    <t>Homocysteine S-methyltransferase</t>
  </si>
  <si>
    <t>AGAP008537-PA</t>
  </si>
  <si>
    <t>ExpAA=0.02 First60=0.00 PredHel=0 Topology=o</t>
  </si>
  <si>
    <t>Leishmania mexicana MHOM/GT/2001/U1103</t>
  </si>
  <si>
    <t>Brassica oleracea var. italica</t>
  </si>
  <si>
    <t>PRK09485, mmuM, homocysteine methyltransferase; Provisional.</t>
  </si>
  <si>
    <t>mmuM 7e-085| S-methyl_trans 8e-070| PLN02489 6e-068| MHT1 5e-064| MetH 6e-017| PRK08645 4e-016| Methionine_synthase 2e-009| PRK07534 2e-005| metH 0.004| COG1501 |</t>
  </si>
  <si>
    <t>KOG1579, KOG1579, KOG1579, Homocysteine S-methyltransferase [Amino acid transport and metabolism].</t>
  </si>
  <si>
    <t>pfam02574, S-methyl_trans, Homocysteine S-methyltransferase.  This is a family of related homocysteine S-methyltransferases enzymes: 5-methyltetrahydrofolate--homocysteine S-methyltransferases also known EC:2.1.1.13; Betaine--homocysteine S-methyltransferase (vitamin B12 dependent), EC:2.1.1.5; and Homocysteine S-methyltransferase, EC:2.1.1.10,.</t>
  </si>
  <si>
    <t>smart01003, AlaDh_PNT_N, Alanine dehydrogenase/PNT, N-terminal domain.  Alanine dehydrogenase catalyzes the NAD-dependent reversible reductive amination of pyruvate into alanine.</t>
  </si>
  <si>
    <t xml:space="preserve"> AgamP4_3R:12145972-12147108(+) </t>
  </si>
  <si>
    <t>AGAP008653-RA</t>
  </si>
  <si>
    <t xml:space="preserve">NADH dehydrogenase (ubiquinone) 1 alpha subcomplex 12 </t>
  </si>
  <si>
    <t>NADH dehydrogenase (ubiquinone) 1 alpha subcomplex 12</t>
  </si>
  <si>
    <t>ubiquinone oxidoreductase B17.2 subunit</t>
  </si>
  <si>
    <t>AGAP008653-PA</t>
  </si>
  <si>
    <t>pfam05071, NDUFA12, NADH ubiquinone oxidoreductase subunit NDUFA12. This family contains the 17.2 kD subunit of complex I (NDUFA12) and its homologs. The family also contains a second related eukaryotic protein of unknown function.</t>
  </si>
  <si>
    <t>NDUFA12 5e-028| PRK08183 4e-016| PLN03095 8e-016| PLN02732 1e-012| COG3761 7e-010| PRK06630 0.041| DUF3051 | PHA02688 | Pox_P35 | uS7_Mitochondria_Fungi |</t>
  </si>
  <si>
    <t>KOG3382, KOG3382, KOG3382, NADH:ubiquinone oxidoreductase, B17.2 subunit [Energy production and conversion].</t>
  </si>
  <si>
    <t>smart00630, Sema, semaphorin domain.</t>
  </si>
  <si>
    <t xml:space="preserve"> AgamP4_3R:14061917-14062620(+) </t>
  </si>
  <si>
    <t>W(4.36)Y(3.03)</t>
  </si>
  <si>
    <t>AGAP008783-RA</t>
  </si>
  <si>
    <t xml:space="preserve">Arginase [Source:UniProtKB/TrEMBL;Acc:A0A1S4H002] </t>
  </si>
  <si>
    <t>Arginase</t>
  </si>
  <si>
    <t>AGAP008783-PA</t>
  </si>
  <si>
    <t xml:space="preserve"> speb</t>
  </si>
  <si>
    <t>Lithobates catesbeiana</t>
  </si>
  <si>
    <t>cd09989, Arginase, Arginase family.  This family includes arginase, also known as arginase-like amidino hydrolase family, and related proteins. Arginase is a binuclear Mn-dependent metalloenzyme and catalyzes hydrolysis of L-arginine to L-ornithine and urea (Arg, EC 3.5.3.1), the reaction being the fifth and final step in the urea cycle, providing the path for the disposal of nitrogenous compounds. Arginase controls cellular levels of arginine and ornithine which are involved in protein biosynthesis, and in production of creatine, polyamines, proline and nitric acid. In vertebrates, at least two isozymes have been identified: type I (ARG1) cytoplasmic or hepatic liver-type arginase and type II (ARG2) mitochondrial or non-hepatic arginase. Point mutations in human arginase ARG1 gene lead to hyperargininemia with consequent mental disorders, retarded development and early death. Hyperargininemia is associated with a several-fold increase in the activity of the mitochondrial arginase (ARG2), causing persistent ureagenesis in patients. ARG2 overexpression plays a critical role in the pathophysiology of cholesterol mediated endothelial dysfunction. Thus, arginase is a therapeutic target to treat asthma, erectile dysfunction, atherosclerosis and cancer.</t>
  </si>
  <si>
    <t>Arginase e-102| rocF_arginase 6e-081| Arginase-like 4e-070| Arginase 7e-068| SpeB 2e-052| Ureohydrolase 1e-040| Agmatinase-like 1e-035| Arginase_HDAC 4e-032| Agmatinase-like_2 2e-027| Agmatinase_PAH 2e-025|</t>
  </si>
  <si>
    <t>KOG2965, KOG2965, KOG2965, Arginase [Amino acid transport and metabolism].</t>
  </si>
  <si>
    <t>pfam00491, Arginase, Arginase family.</t>
  </si>
  <si>
    <t>smart00205, THN, Thaumatin family.  The thaumatin family gathers proteins related to plant pathogenesis. The thaumatin family includes very basic members with extracellular and vacuolar localization. Thaumatin itsel is a potent sweet-tasting protein. Several members of this family display significant in vitro activity of inhibiting hyphal growth or spore germination of various fungi probably by a membrane permeabilizing mechanism.</t>
  </si>
  <si>
    <t>AGAP008900-RA</t>
  </si>
  <si>
    <t xml:space="preserve">facilitated trehalose transporter Tret1-2 homolog </t>
  </si>
  <si>
    <t>facilitated trehalose transporter Tret1-2 homolog</t>
  </si>
  <si>
    <t>Permease of the major facilitator superfamily - 12 predicted membrane helices</t>
  </si>
  <si>
    <t>AGAP008900-PA</t>
  </si>
  <si>
    <t xml:space="preserve"> glucose transporter - 12 predicted membrane helices</t>
  </si>
  <si>
    <t>ExpAA=265.15 First60=23.37 PredHel=12 Topology=i21-43o68-90i97-119o123-145i152-174o184-201i276-298o313-332i339-361o376-398i410-432o436-458i</t>
  </si>
  <si>
    <t>pfam00083, Sugar_tr, Sugar (and other) transporter.</t>
  </si>
  <si>
    <t>Sugar_tr 3e-053| Membrane_transporter 3e-050| xylE 9e-033| organic_anion_transporter 4e-015| transport_protein 5e-012| MFS 4e-011| MFS_1 1e-008| synaptic_vesicle_protein_2C 9e-008| Carboxylic_acid_transporter_protein_ho...    51   1e-006 1e-006| Putative_metabolite_transport_protein 9e-006|</t>
  </si>
  <si>
    <t>KOG0254, KOG0254, KOG0254, Predicted transporter (major facilitator superfamily) [General function prediction only].</t>
  </si>
  <si>
    <t>smart00891, ERCC4, ERCC4 domain.  This entry represents a structural motif found in several DNA repair nucleases, such as Rad1/Mus81/XPF endonucleases, and in ATP-dependent helicases. The XPF/Rad1/Mus81-dependent nuclease family specifically cleaves branched structures generated during DNA repair, replication, and recombination, and is essential for maintaining genome stability. The nuclease domain architecture exhibits remarkable similarity to those of restriction endonucleases.</t>
  </si>
  <si>
    <t xml:space="preserve"> AgamP4_3R:20575019-20581247(+) </t>
  </si>
  <si>
    <t>AGAP009016-RA</t>
  </si>
  <si>
    <t xml:space="preserve">LIX1-like protein </t>
  </si>
  <si>
    <t>LIX1-like protein</t>
  </si>
  <si>
    <t>protein limb expression 1 homolog isoform X1</t>
  </si>
  <si>
    <t>AGAP009016-PA</t>
  </si>
  <si>
    <t>protein limb expression 1</t>
  </si>
  <si>
    <t>pfam14954, LIX1, Limb expression 1.  This entry represents the limb expression 1 (LIX1) family.</t>
  </si>
  <si>
    <t>LIX1 e-133| Neisseria_TspB | PRK09483 | FAP | DnaA | DSRM | Dicer_dimer | UvrC | uvrC | secA |</t>
  </si>
  <si>
    <t>KOG0344, KOG0344, KOG0344, ATP-dependent RNA helicase [RNA processing and modification].</t>
  </si>
  <si>
    <t>smart00915, Jacalin, Jacalin-like lectin domain.  This entry represents a mannose-binding lectin domain with a beta-prism fold consisting of three 4-stranded beta-sheets, with an internal pseudo 3-fold symmetry. Some lectins in this group stimulate distinct T- and B- cell functions, such as Jacalin, which binds to the T-antigen and acts as an agglutinin. This domain is found in 1 to 6 copies in lectins. The domain is also found in the salt-stress induced protein from rice and an animal prostatic spermine-binding protein.</t>
  </si>
  <si>
    <t xml:space="preserve"> AgamP4_3R:23582770-23611749(+) </t>
  </si>
  <si>
    <t>AGAP009019-RA</t>
  </si>
  <si>
    <t xml:space="preserve">ATP-dependent Clp protease, protease subunit </t>
  </si>
  <si>
    <t>ATP-dependent Clp protease, protease subunit</t>
  </si>
  <si>
    <t>ATP-dependent Clp protease proteolytic subunit mitochondrial</t>
  </si>
  <si>
    <t>AGAP009019-PA</t>
  </si>
  <si>
    <t xml:space="preserve"> atp-dependent clp protease proteolytic subunit</t>
  </si>
  <si>
    <t>ExpAA=0.96 First60=0.02 PredHel=0 Topology=o</t>
  </si>
  <si>
    <t>PRK00277, clpP, ATP-dependent Clp protease proteolytic subunit; Reviewed.</t>
  </si>
  <si>
    <t>clpP e-102| CLP_protease 7e-088| S14_ClpP_2 3e-084| ClpP 8e-083| ATP-dependent_Clp_protease_proteolytic...   287   2e-078 2e-078| PRK12553 7e-069| clpP 1e-065| PRK12551 3e-065| PRK14513 2e-064| PRK12552 1e-051|</t>
  </si>
  <si>
    <t>KOG0840, KOG0840, KOG0840, ATP-dependent Clp protease, proteolytic subunit [Posttranslational modification, protein turnover, chaperones].</t>
  </si>
  <si>
    <t>pfam00574, CLP_protease, Clp protease.  The Clp protease has an active site catalytic triad. In E. coli Clp protease, ser-111, his-136 and asp-185 form the catalytic triad. Some members have lost active site residues and are therefore inactive, some contain one or two large insertions.</t>
  </si>
  <si>
    <t xml:space="preserve"> AgamP4_3R:23735860-23736607(-) </t>
  </si>
  <si>
    <t>AGAP009072-RA</t>
  </si>
  <si>
    <t xml:space="preserve">NADH dehydrogenase (ubiquinone) Fe-S protein 6 </t>
  </si>
  <si>
    <t>NADH dehydrogenase (ubiquinone) Fe-S protein 6</t>
  </si>
  <si>
    <t>ubiquinone oxidoreductase NDUFS6/13 kDa subunit - signalP detected</t>
  </si>
  <si>
    <t>AGAP009072-PA</t>
  </si>
  <si>
    <t xml:space="preserve"> ubiquinone oxidoreductase - signalP detected</t>
  </si>
  <si>
    <t>pfam10276, zf-CHCC, Zinc-finger domain.  This is a short zinc-finger domain conserved from fungi to humans. It is Cx8Hx14Cx2C.</t>
  </si>
  <si>
    <t>zf-CHCC 3e-014| COG4391 5e-004| ectoine_eutD | PRK08862 | PLN02294 | COX1 | NPDC1 | Cyt_c_Oxidase_I | Tmem26 | COX1 |</t>
  </si>
  <si>
    <t>KOG3456, KOG3456, KOG3456, NADH:ubiquinone oxidoreductase, NDUFS6/13 kDa subunit [Energy production and conversion].</t>
  </si>
  <si>
    <t>smart00304, HAMP, HAMP (Histidine kinases, Adenylyl cyclases, Methyl binding proteins, Phosphatases) domain.</t>
  </si>
  <si>
    <t xml:space="preserve"> AgamP4_3R:25418897-25419488(+) </t>
  </si>
  <si>
    <t>AGAP009077-RA</t>
  </si>
  <si>
    <t xml:space="preserve">28S ribosomal protein S14, mitochondrial </t>
  </si>
  <si>
    <t>mRpS14: 28S ribosomal protein S14, mitochondrial</t>
  </si>
  <si>
    <t>mitochondrial 28S ribosomal protein S14 (s14mt)</t>
  </si>
  <si>
    <t>AGAP009077-PA</t>
  </si>
  <si>
    <t xml:space="preserve"> trq7pw63q7pw63 anoga 28s ribosomal protein s4</t>
  </si>
  <si>
    <t>Reclinomonas americana</t>
  </si>
  <si>
    <t>Ribosomal_S14 1e-012| rpsN 1e-010| rps14 2e-005| RpsN 4e-005| rpsN | pabB | SPFH_eoslipins_u2 | SpecificRecomb | PRK15133 | PRK09799 |</t>
  </si>
  <si>
    <t>KOG1741, KOG1741, KOG1741, Mitochondrial/chloroplast ribosomal protein S14/S29 [Translation, ribosomal structure and biogenesis].</t>
  </si>
  <si>
    <t>smart00439, BAH, Bromo adjacent homology domain.</t>
  </si>
  <si>
    <t xml:space="preserve"> AgamP4_3R:25443396-25443851(-) </t>
  </si>
  <si>
    <t xml:space="preserve">1 | 108    HRWRVSR|IV  0.546 *ProP*  | </t>
  </si>
  <si>
    <t>W(4.06)</t>
  </si>
  <si>
    <t>AGAP009152.R778</t>
  </si>
  <si>
    <t>28S ribosomal protein S21, mitochondrial</t>
  </si>
  <si>
    <t>VectorBase: AGAP009152</t>
  </si>
  <si>
    <t>AGAP009159-RA</t>
  </si>
  <si>
    <t xml:space="preserve">AMP dependent ligase </t>
  </si>
  <si>
    <t>AMP dependent ligase</t>
  </si>
  <si>
    <t>Acyl-CoA synthetases</t>
  </si>
  <si>
    <t>AGAP009159-PA</t>
  </si>
  <si>
    <t>ExpAA=23.94 First60=0.35 PredHel=0 Topology=o</t>
  </si>
  <si>
    <t>Firefly_Luc_like e-129| CaiC 3e-083| 4CL 8e-077| FACL_like_2 2e-067| PRK08316 4e-067| FC-FACS_FadD_like 3e-066| BACL_like 3e-064| AMP-binding 8e-063| AFD_class_I 1e-062| LC_FACS_like 7e-059|</t>
  </si>
  <si>
    <t>smart00359, PUA, Putative RNA-binding Domain in PseudoUridine synthase and Archaeosine transglycosylase.</t>
  </si>
  <si>
    <t xml:space="preserve"> AgamP4_3R:27777734-27779492(-) </t>
  </si>
  <si>
    <t>AGAP009184-RA</t>
  </si>
  <si>
    <t>Ficolin - signalP detected</t>
  </si>
  <si>
    <t>imm/secreted Ficolin</t>
  </si>
  <si>
    <t>AGAP009184-PA</t>
  </si>
  <si>
    <t xml:space="preserve"> fibrinogen c domain-containing protein 1 - signalP detected</t>
  </si>
  <si>
    <t xml:space="preserve">st/secreted </t>
  </si>
  <si>
    <t>ExpAA=0.60 First60=0.59 PredHel=0 Topology=o</t>
  </si>
  <si>
    <t>cd00087, FReD, Fibrinogen-related domains (FReDs); C terminal globular domain of fibrinogen. Fibrinogen is involved in blood clotting, being activated by thrombin to assemble into fibrin clots. The N-termini of 2 times 3 chains come together to form a globular arrangement called the disulfide knot. The C termini of fibrinogen chains end in globular domains, which are not completely equivalent. C terminal globular domains of the gamma chains (C-gamma) dimerize and bind to the GPR motif of the N-terminal domain of the alpha chain, while the GHR motif of N-terminal domain of the beta chain binds to the C terminal globular domains of another beta chain (C-beta), which leads to lattice formation.</t>
  </si>
  <si>
    <t>FReD 3e-066| FBG 2e-059| Fibrinogen_C 5e-045| PRK13729 | DUF4201 | DUF342 | ZnMc_MMP_like | IFT57 | NTR2 | hypothetical_protein |</t>
  </si>
  <si>
    <t>KOG2579, KOG2579, KOG2579, Ficolin and related extracellular proteins [General function prediction only].</t>
  </si>
  <si>
    <t>pfam00147, Fibrinogen_C, Fibrinogen beta and gamma chains, C-terminal globular domain.</t>
  </si>
  <si>
    <t>smart00186, FBG, Fibrinogen-related domains (FReDs).  Domain present at the C-termini of fibrinogen beta and gamma chains, and a variety of fibrinogen-related proteins, including tenascin and Drosophila scabrous.</t>
  </si>
  <si>
    <t xml:space="preserve"> AgamP4_3R:28493656-28494600(+) </t>
  </si>
  <si>
    <t>AGAP009276-RC</t>
  </si>
  <si>
    <t xml:space="preserve">Piezo-type mechanosensitive ion channel component [Source:UniProtKB/TrEMBL;Acc:A0A1S4H0N7] </t>
  </si>
  <si>
    <t>Piezo-type mechanosensitive ion channel component</t>
  </si>
  <si>
    <t>piezo-type mechanosensitive ion channel component isoform X13 - signalP detected - 30 predicted membrane helices</t>
  </si>
  <si>
    <t>AGAP009276-PC</t>
  </si>
  <si>
    <t xml:space="preserve"> piezo mechanosensitive ion channel component 2 isoform x2 - signalP detected - 30 predicted membrane helices</t>
  </si>
  <si>
    <t xml:space="preserve"> 31-32</t>
  </si>
  <si>
    <t>ExpAA=732.13 First60=32.53 PredHel=30 Topology=i13-47o62-84i97-119o123-145i193-215o219-236i243-265o315-337i499-521o531-553i662-681o686-703i715-737o925-947i968-990o1034-1053i1091-1113o1142-1164i1271-1288o1293-1315i1327-1349o1744-1766i1860-1882o1897-1914i2096-2118o2138-2160i2167-2189o2199-2221i2309-2331o2578-2600i</t>
  </si>
  <si>
    <t>Drosophila elegans</t>
  </si>
  <si>
    <t>pfam12166, Piezo_RRas_bdg, Piezo non-specific cation channel, R-Ras-binding domain.  This is an extracellular domain at the C-terminus of Piezo, or FAM38 mechanosensitive non-specific cation channel proteins. It seems likely that this region of the Piezo proteins may be responsible for R-Ras recruitment because this region is capable of relocalising R-Ras to the ER in eukaryotes.</t>
  </si>
  <si>
    <t>Piezo_RRas_bdg e-134| PIEZO 6e-061| PHA03247 8e-005| MAGI_u5 0.004| PRK02224 0.009| FLO_LFY 0.022| dnaA 0.025| COG1151 0.046| MFAP1 0.072| ND4 |</t>
  </si>
  <si>
    <t>KOG1893, KOG1893, KOG1893, Uncharacterized conserved protein [Function unknown].</t>
  </si>
  <si>
    <t>smart00017, OSTEO, Osteopontin.  Osteopontin is an acidic phosphorylated glycoprotein of about 40 Kd which is abundant in the mineral matrix of bones and which binds tightly to hydroxyapatite. It is suggested that osteopontin might function as a cell attachment factor and could play a key role in the adhesion of osteoclasts to the mineral matrix of bone.</t>
  </si>
  <si>
    <t xml:space="preserve">4 | 150    VPRRRRR|RR  0.568 *ProP*  | 151    PRRRRRR|RG  0.573 *ProP*  | 152    RRRRRRR|GA  0.810 *ProP*  | 1773    RASRNYR|YV  0.688 *ProP*  | </t>
  </si>
  <si>
    <t>AGAP009311-RC</t>
  </si>
  <si>
    <t xml:space="preserve">Tocopherol (alpha) transfer protein-like </t>
  </si>
  <si>
    <t>Tocopherol (alpha) transfer protein-like</t>
  </si>
  <si>
    <t>Phosphatidylinositol transfer protein SEC14</t>
  </si>
  <si>
    <t>AGAP009311-PC</t>
  </si>
  <si>
    <t xml:space="preserve"> phosphatidylinositol transfer protein sec14</t>
  </si>
  <si>
    <t>cd00170, SEC14, Sec14p-like lipid-binding domain. Found in secretory proteins, such as S. cerevisiae phosphatidylinositol transfer protein (Sec14p), and in lipid regulated proteins such as RhoGAPs, RhoGEFs and neurofibromin (NF1). SEC14 domain of Dbl is known to associate with G protein beta/gamma subunits.</t>
  </si>
  <si>
    <t>SEC14 2e-031| CRAL_TRIO 5e-029| SEC14 2e-022| CRAL_TRIO_N 1e-008| COG1293 | Vsr | CRAL_TRIO_2 | CRAL_TRIO_N | PHA03016 | COG3519 |</t>
  </si>
  <si>
    <t>KOG1471, KOG1471, KOG1471, Phosphatidylinositol transfer protein SEC14 and related proteins [Lipid transport and metabolism].</t>
  </si>
  <si>
    <t>pfam00650, CRAL_TRIO, CRAL/TRIO domain.</t>
  </si>
  <si>
    <t>smart00516, SEC14, Domain in homologues of a S. cerevisiae phosphatidylinositol transfer protein (Sec14p).  Domain in homologues of a S. cerevisiae phosphatidylinositol transfer protein (Sec14p) and in RhoGAPs, RhoGEFs and the RasGAP, neurofibromin (NF1). Lipid-binding domain. The SEC14 domain of Dbl is known to associate with G protein beta/gamma subunits.</t>
  </si>
  <si>
    <t xml:space="preserve"> AgamP4_3R:31175108-31176068(+) </t>
  </si>
  <si>
    <t>AGAP009464-RA</t>
  </si>
  <si>
    <t xml:space="preserve">ATP-binding cassette transporter (ABC transporter) family G member 10 </t>
  </si>
  <si>
    <t>ABCG10: ATP-binding cassette transporter (ABC transporter) family G member 10</t>
  </si>
  <si>
    <t>The Eye Pigment Precursor Transporter - 6 predicted membrane helices</t>
  </si>
  <si>
    <t>AGAP009464-PA</t>
  </si>
  <si>
    <t xml:space="preserve"> gnlcdd273361 protein white - 6 predicted membrane helices</t>
  </si>
  <si>
    <t>ExpAA=139.82 First60=0.35 PredHel=6 Topology=i455-477o490-512i533-555o570-592i599-621o684-706i</t>
  </si>
  <si>
    <t>TIGR00955, Protein_white, The Eye Pigment Precursor Transporter (EPP) Family protein.  [Transport and binding proteins, Other].</t>
  </si>
  <si>
    <t>Protein_white e-111| ABCG_EPDR 1e-065| Multidrug_resistance_protein 1e-056| PLN03211 2e-048| CcmA 2e-047| ABCG_White 4e-045| PLN03140 9e-039| ZnuC 7e-035| ABC_MJ0796_LolCDE_FtsE 2e-034| ABC_cobalt_CbiO_domain1 6e-033|</t>
  </si>
  <si>
    <t>KOG0061, KOG0061, KOG0061, Transporter, ABC superfamily (Breast cancer resistance protein) [Secondary metabolites biosynthesis, transport and catabolism].</t>
  </si>
  <si>
    <t xml:space="preserve"> AgamP4_3R:33962210-33974786(+) </t>
  </si>
  <si>
    <t>AGAP009466-RF</t>
  </si>
  <si>
    <t xml:space="preserve">ATP-binding cassette transporter (ABC transporter) family G member 8 </t>
  </si>
  <si>
    <t>ABCG8: ATP-binding cassette transporter (ABC transporter) family G member 8</t>
  </si>
  <si>
    <t>The Eye Pigment Precursor Transporter - 7 predicted membrane helices</t>
  </si>
  <si>
    <t>AGAP009466-PF</t>
  </si>
  <si>
    <t xml:space="preserve"> abc2 type transporter superfamily protein - 7 predicted membrane helices</t>
  </si>
  <si>
    <t xml:space="preserve"> 507-508</t>
  </si>
  <si>
    <t>ExpAA=154.93 First60=0.00 PredHel=7 Topology=o453-475i488-510o530-552i565-587o597-616i623-645o677-699i</t>
  </si>
  <si>
    <t>Anopheles darlingi</t>
  </si>
  <si>
    <t>Protein_white e-129| ABCG_EPDR 6e-069| PLN03211 1e-060| PLN03140 1e-056| ABCG_White 1e-055| Multidrug_resistance_protein 1e-055| ABCG_PDR_domain2 2e-052| CcmA 7e-047| ABC_MJ0796_LolCDE_FtsE 3e-040| SalX 4e-040|</t>
  </si>
  <si>
    <t>pfam01061, ABC2_membrane, ABC-2 type transporter.</t>
  </si>
  <si>
    <t xml:space="preserve"> AgamP4_3R:33978414-34000438(+) </t>
  </si>
  <si>
    <t xml:space="preserve">1 | 154    DLKRFRR|MS  0.504 *ProP*  | </t>
  </si>
  <si>
    <t>AGAP009472-RA</t>
  </si>
  <si>
    <t xml:space="preserve">ATP-binding cassette transporter (ABC transporter) family G member 20 [Source:UniProtKB/TrEMBL;Acc:A0A1S4H231] </t>
  </si>
  <si>
    <t>ABCG20: ATP-binding cassette transporter (ABC transporter) family G member 20</t>
  </si>
  <si>
    <t>AGAP009472-PA</t>
  </si>
  <si>
    <t xml:space="preserve"> 390-391</t>
  </si>
  <si>
    <t>ExpAA=132.95 First60=0.06 PredHel=6 Topology=i343-365o375-397i417-439o454-476i483-505o566-588i</t>
  </si>
  <si>
    <t>Protein_white e-123| Multidrug_resistance_protein 3e-061| ABCG_EPDR 1e-059| PLN03211 1e-058| ABCG_White 1e-049| CcmA 7e-048| PLN03140 1e-047| ABC_subfamily_A 2e-034| ABCG_PDR_domain1 1e-033| ABC_cobalt_CbiO_domain1 1e-031|</t>
  </si>
  <si>
    <t xml:space="preserve">1 | 208    DLARQGR|CV  0.557 *ProP*  | </t>
  </si>
  <si>
    <t>AGAP009486-RB</t>
  </si>
  <si>
    <t xml:space="preserve">V-type H+-transporting ATPase 54 kD subunit </t>
  </si>
  <si>
    <t>V-type H+-transporting ATPase 54 kD subunit</t>
  </si>
  <si>
    <t>VATPase_H - probable fragment</t>
  </si>
  <si>
    <t>AGAP009486-PB</t>
  </si>
  <si>
    <t xml:space="preserve"> vatpase h</t>
  </si>
  <si>
    <t>ExpAA=1.07 First60=0.00 PredHel=0 Topology=o</t>
  </si>
  <si>
    <t>cd00256, VATPase_H, VATPase_H, regulatory vacuolar ATP synthase subunit H (Vma13p); activation component of the peripheral V1 complex of V-ATPase, a heteromultimeric enzyme which uses  ATP to actively transport protons into organelles and extracellular compartments. The topology is that of a superhelical spiral, in part the geometry is similar to superhelices composed of armadillo repeat motifs, as found in importins for example.</t>
  </si>
  <si>
    <t>VATPase_H e-125| V-ATPase_H_C 1e-054| VMA13 7e-049| V-ATPase_H_N 2e-047| SelP_N 0.001| ureE 0.020| DUF2796 0.020| Arm_2 0.041| PRK10019 | PcoB |</t>
  </si>
  <si>
    <t>KOG2759, KOG2759, KOG2759, Vacuolar H+-ATPase V1 sector, subunit H [Energy production and conversion].</t>
  </si>
  <si>
    <t>pfam11698, V-ATPase_H_C, V-ATPase subunit H.  The yeast Saccharomyces cerevisiae vacuolar H+-ATPase (V-ATPase) is a multisubunit complex responsible for acidifying organelles. It functions as an ATP dependent proton pump that transports protons across a lipid bilayer. This domain corresponds to the C terminal domain of the H subunit of V-ATPase. The N-terminal domain is required for the activation of the complex whereas the C-terminal domain is required for coupling ATP hydrolysis to proton translocation.</t>
  </si>
  <si>
    <t>smart00185, ARM, Armadillo/beta-catenin-like repeats.  Approx. 40 amino acid repeat. Tandem repeats form superhelix of helices that is proposed to mediate interaction of beta-catenin with its ligands. Involved in transducing the Wingless/Wnt signal. In plakoglobin arm repeats bind alpha-catenin and N-cadherin.</t>
  </si>
  <si>
    <t xml:space="preserve"> AgamP4_3R:34693281-34696586(+) </t>
  </si>
  <si>
    <t>AGAP009527-RA</t>
  </si>
  <si>
    <t>kazal domain-containing peptide - signalP detected</t>
  </si>
  <si>
    <t>s/protinh Kazal</t>
  </si>
  <si>
    <t>AGAP009527-PA</t>
  </si>
  <si>
    <t xml:space="preserve"> tra0a82ie23a0a82ie23 anoar kazal-like domain-containing protein - signalP detected</t>
  </si>
  <si>
    <t>ExpAA=20.91 First60=20.91 PredHel=1 Topology=o5-27i</t>
  </si>
  <si>
    <t>Neospora caninum Liverpool</t>
  </si>
  <si>
    <t>Dromaius novaehollandiae</t>
  </si>
  <si>
    <t>pfam00050, Kazal_1, Kazal-type serine protease inhibitor domain. Usually indicative of serine protease inhibitors. However, kazal-like domains are also seen in the extracellular part of agrins, which are not known to be protease inhibitors. Kazal domains often occur in tandem arrays. Small alpha+beta fold containing three disulphides. Alignment also includes a single domain from transporters in the OATP/PGT family.</t>
  </si>
  <si>
    <t>Kazal_1 2e-006| KAZAL_FS 2e-006| KAZAL_PSTI 3e-006| KAZAL 5e-006| Kazal_2 0.002| oat 0.079| OATP | KAZAL_SLC21 | Aspartate_carbamoyltransferase_regulat...    27   2.4   | conserved_hypothetical_protein |</t>
  </si>
  <si>
    <t>KOG3626, KOG3626, KOG3626, Organic anion transporter [Secondary metabolites biosynthesis, transport and catabolism].</t>
  </si>
  <si>
    <t>smart00280, KAZAL, Kazal type serine protease inhibitors.  Kazal type serine protease inhibitors and follistatin-like domains.</t>
  </si>
  <si>
    <t xml:space="preserve"> AgamP4_3R:35369054-35369338(+) </t>
  </si>
  <si>
    <t>C(4.07)</t>
  </si>
  <si>
    <t>AGAP009564-RA</t>
  </si>
  <si>
    <t xml:space="preserve">ATP synthase epsilon chain, mitochondrial [Source:UniProtKB/TrEMBL;Acc:A0A1S4H1H8] </t>
  </si>
  <si>
    <t>ATP synthase epsilon chain, mitochondrial</t>
  </si>
  <si>
    <t>AGAP009564-PA</t>
  </si>
  <si>
    <t xml:space="preserve"> tra0as4hh8a0as4hh8 anoga atp synthase epsilon chain</t>
  </si>
  <si>
    <t>ATP-synt_Eps 3e-015| F1-ATPase_epsilon 1e-012| Dimethylsulfide_dehydrogenase_subunit_...    27   2.1   | 2-Hacid_dh_15 |</t>
  </si>
  <si>
    <t>smart00553, SEP, Domain present in Saccharomyces cerevisiae Shp1, Drosophila melanogaster eyes closed gene (eyc), and vertebrate p47.</t>
  </si>
  <si>
    <t>AGAP009603.R420</t>
  </si>
  <si>
    <t>mitochondrial uncoupling protein (solute carrier family 25)</t>
  </si>
  <si>
    <t>VectorBase: AGAP009603</t>
  </si>
  <si>
    <t>AGAP009614-RA</t>
  </si>
  <si>
    <t>AGAP009614-PA</t>
  </si>
  <si>
    <t>ExpAA=41.49 First60=0.00 PredHel=2 Topology=i96-115o130-152i</t>
  </si>
  <si>
    <t>Plasmodium reichenowi</t>
  </si>
  <si>
    <t>PLN02554, PLN02554, UDP-glycosyltransferase family protein.</t>
  </si>
  <si>
    <t>PLN02554 | PRK15292 | DUF2518 | PRK06438 | TnrB3 | DUF2362 | PRK11469 | PHA03262 |</t>
  </si>
  <si>
    <t>KOG1910, KOG1910, KOG1910, Uncharacterized conserved protein [Function unknown].</t>
  </si>
  <si>
    <t>pfam10726, DUF2518, Protein of function (DUF2518).  This family is conserved in Cyanobacteria. Several members are annotated as the protein Ycf51. The function is not known.</t>
  </si>
  <si>
    <t>smart01019, B3, B3 DNA binding domain.  Two DNA binding proteins, RAV1 and RAV2 from Arabidopsis thaliana contain two distinct amino acid sequence domains found only in higher plant species. The N-terminal regions of RAV1 and RAV2 are homologous to the AP2 DNA-binding domain (see ) present in a family of transcription factors, while the C-terminal region exhibits homology to the highly conserved C-terminal domain, designated B3, of VP1/ABI3 transcription factors. The AP2 and B3-like domains of RAV1 bind autonomously to the CAACA and CACCTG motifs, respectively, and together achieve a high affinity and specificity of binding. It has been suggested that the AP2 and B3-like domains of RAV1 are connected by a highly flexible structure enabling the two domains to bind to the CAACA and CACCTG motifs in various spacings and orientations.</t>
  </si>
  <si>
    <t xml:space="preserve"> AgamP4_3R:37008630-37009402(-) </t>
  </si>
  <si>
    <t>THR</t>
  </si>
  <si>
    <t>AGAP009619-RA</t>
  </si>
  <si>
    <t xml:space="preserve">S-adenosylmethionine decarboxylase </t>
  </si>
  <si>
    <t>S-adenosylmethionine decarboxylase</t>
  </si>
  <si>
    <t>AGAP009619-PA</t>
  </si>
  <si>
    <t xml:space="preserve"> s-adenosylmethionine decarboxylase proenzyme-like isoform x1</t>
  </si>
  <si>
    <t>pfam01536, SAM_decarbox, Adenosylmethionine decarboxylase.  This is a family of S-adenosylmethionine decarboxylase (SAMDC) proenzymes. In the biosynthesis of polyamines SAMDC produces decarboxylated S-adenosylmethionine, which serves as the aminopropyl moiety necessary for spermidine and spermine biosynthesis from putrescine. The Pfam alignment contains both the alpha and beta chains that are cleaved to form the active enzyme.</t>
  </si>
  <si>
    <t>SAM_decarbox e-139| SAM_DCase 9e-080| PLN02524 6e-074| COG1747 | Homocitrate_dehydratase_mitochondrial | PLN02204 | Q | AcnA_Mitochondrial | MscS_porin | LAMTOR |</t>
  </si>
  <si>
    <t>KOG0788, KOG0788, KOG0788, S-adenosylmethionine decarboxylase [Signal transduction mechanisms].</t>
  </si>
  <si>
    <t xml:space="preserve"> AgamP4_3R:37052722-37063499(+) </t>
  </si>
  <si>
    <t>AGAP009652-RA</t>
  </si>
  <si>
    <t xml:space="preserve">NADH dehydrogenase (ubiquinone) 1 alpha subcomplex 13 </t>
  </si>
  <si>
    <t>I</t>
  </si>
  <si>
    <t>NADH dehydrogenase (ubiquinone) 1 alpha subcomplex 13</t>
  </si>
  <si>
    <t>ubiquinone oxidoreductase B16.6 subunit/cell death-regulatory protein</t>
  </si>
  <si>
    <t>AGAP009652-PA</t>
  </si>
  <si>
    <t xml:space="preserve"> grim-19 protein</t>
  </si>
  <si>
    <t>ExpAA=21.62 First60=21.62 PredHel=1 Topology=o35-57i</t>
  </si>
  <si>
    <t>pfam06212, GRIM-19, GRIM-19 protein.  This family consists of several eukaryotic gene associated with retinoic-interferon-induced mortality 19 (GRIM-19) proteins. GRIM-19, was reported to encode a small protein primarily distributed in the nucleus and was able to promote cell death induced by IFN-# and RA. A bovine homolog of GRIM-19 was co-purified with mitochondrial NADH:ubiquinone oxidoreductase (complex I) in bovine heart. Therefore, its exact cellular localization and function are unclear. It has now been discovered that GRIM-19 is a specific interacting protein which negatively regulates Stat3 activity.</t>
  </si>
  <si>
    <t>GRIM-19 4e-055| PRK14278 | hypothetical_protein_LEP1GSC019_1649 | PLN02986 | P-type_ATPase_SERCA | COG4402 | CDC45 | CENP-Q | DUF2398 | rimM |</t>
  </si>
  <si>
    <t>KOG3300, KOG3300, KOG3300, NADH:ubiquinone oxidoreductase, B16.6 subunit/cell death-regulatory protein [Energy production and conversion, Cell cycle control, cell division, chromosome partitioning].</t>
  </si>
  <si>
    <t xml:space="preserve">Energy production and conversion, Cell cycle control, cell division, chromosome partitioning </t>
  </si>
  <si>
    <t>smart00775, LNS2, This domain is found in Saccharomyces cerevisiae protein SMP2, proteins with an N-terminal lipin domain and phosphatidylinositol transfer proteins.  SMP2 is involved in plasmid maintenance and respiration. Lipin proteins are involved in adipose tissue development and insulin resistance.</t>
  </si>
  <si>
    <t xml:space="preserve"> AgamP4_3R:37625238-37625878(-) </t>
  </si>
  <si>
    <t>AGAP009738-RA</t>
  </si>
  <si>
    <t>GRX3: glutaredoxin</t>
  </si>
  <si>
    <t>thioredoxin domain-containing protein 17</t>
  </si>
  <si>
    <t>AGAP009738-PA</t>
  </si>
  <si>
    <t xml:space="preserve"> tra0a82ku46a0a82ku46 9dipt thioredoxin domain-containing protein</t>
  </si>
  <si>
    <t>DUF953 1e-041| TRP14_like 1e-038| TrxA 0.087| TRX_family | TxlA | DsbA_Com1_like | Cysteine_desulfurase_NifS | TlpA_like_family | Thioredoxin_9 | MIT_C |</t>
  </si>
  <si>
    <t xml:space="preserve"> AgamP4_3R:42055397-42056108(+) </t>
  </si>
  <si>
    <t>AGAP009865-RA</t>
  </si>
  <si>
    <t xml:space="preserve">NADH dehydrogenase (ubiquinone) 1 beta subcomplex 9 </t>
  </si>
  <si>
    <t>NADH dehydrogenase (ubiquinone) 1 beta subcomplex 9</t>
  </si>
  <si>
    <t>ubiquinone oxidoreductase NDUFB9/B22 subunit</t>
  </si>
  <si>
    <t>AGAP009865-PA</t>
  </si>
  <si>
    <t>Complex1_LYR 3e-005| PRK11147 | PLN02309 | PRK10342 | PRK10935 | APS_reductase | rrmA | G6S | PLN03180 | Cas8c_I-C |</t>
  </si>
  <si>
    <t>KOG3466, KOG3466, KOG3466, NADH:ubiquinone oxidoreductase, NDUFB9/B22 subunit [Energy production and conversion].</t>
  </si>
  <si>
    <t>smart00580, PUG, domain in protein kinases, N-glycanases and other nuclear proteins.</t>
  </si>
  <si>
    <t xml:space="preserve"> AgamP4_3R:44586368-44587032(+) </t>
  </si>
  <si>
    <t xml:space="preserve">1 | 122    FARREKR|KE  0.600 *ProP*  | </t>
  </si>
  <si>
    <t>W(3.56)</t>
  </si>
  <si>
    <t>AGAP009896-RA</t>
  </si>
  <si>
    <t xml:space="preserve">proton-coupled amino acid transporter </t>
  </si>
  <si>
    <t>proton-coupled amino acid transporter</t>
  </si>
  <si>
    <t>Amino acid transporters - 11 predicted membrane helices</t>
  </si>
  <si>
    <t>AGAP009896-PA</t>
  </si>
  <si>
    <t xml:space="preserve"> amino acid transporter - 11 predicted membrane helices</t>
  </si>
  <si>
    <t>ExpAA=221.78 First60=0.00 PredHel=10 Topology=o91-113i153-175o193-210i217-239o254-276i297-319o334-356i377-399o403-425i446-468o</t>
  </si>
  <si>
    <t>pfam01490, Aa_trans, Transmembrane amino acid transporter protein. This transmembrane region is found in many amino acid transporters including UNC-47 and MTR. UNC-47 encodes a vesicular amino butyric acid (GABA) transporter, (VGAT). UNC-47 is predicted to have 10 transmembrane domains. MTR is a N system amino acid transporter system protein involved in methyltryptophan resistance. Other members of this family include proline transporters and amino acid permeases.</t>
  </si>
  <si>
    <t>Aa_trans 7e-053| SdaC 3e-018| PTZ00206 2e-008| PLN00151 0.063| PLN03074 | PotE | AA_permease_2 | COG4713 |</t>
  </si>
  <si>
    <t>KOG1304, KOG1304, KOG1304, Amino acid transporters [Amino acid transport and metabolism].</t>
  </si>
  <si>
    <t>smart00609, VIT, Vault protein Inter-alpha-Trypsin domain.</t>
  </si>
  <si>
    <t xml:space="preserve"> AgamP4_3R:44916834-44918764(-) </t>
  </si>
  <si>
    <t>AGAP009920-RA</t>
  </si>
  <si>
    <t xml:space="preserve">60S ribosomal protein L37a </t>
  </si>
  <si>
    <t>RpL37a: 60S ribosomal protein L37a</t>
  </si>
  <si>
    <t>AGAP009920-PA</t>
  </si>
  <si>
    <t xml:space="preserve"> 60s ribosomal protein l37a</t>
  </si>
  <si>
    <t>ExpAA=1.67 First60=0.01 PredHel=0 Topology=i</t>
  </si>
  <si>
    <t>PTZ00255, PTZ00255, 60S ribosomal protein L37a; Provisional.</t>
  </si>
  <si>
    <t>PTZ00255 3e-032| Ribosomal_L37ae 1e-031| 50S_ribosomal_protein_L37Ae 9e-020| RPL43A 1e-018| rpl37ae 2e-018| PRK11788 | COG2956 | PulE | AcnA_IRP | B12_rSAM_oligo |</t>
  </si>
  <si>
    <t>KOG0402, KOG0402, KOG0402, 60S ribosomal protein L37 [Translation, ribosomal structure and biogenesis].</t>
  </si>
  <si>
    <t>pfam01780, Ribosomal_L37ae, Ribosomal L37ae protein family.  This ribosomal protein is found in archaebacteria and eukaryotes. It contains four conserved cysteine residues that may bind to zinc.</t>
  </si>
  <si>
    <t>smart00108, B_lectin, Bulb-type mannose-specific lectin.</t>
  </si>
  <si>
    <t xml:space="preserve"> AgamP4_3R:45307303-45307956(+) </t>
  </si>
  <si>
    <t>C(3.07)</t>
  </si>
  <si>
    <t>AGAP009998-RA</t>
  </si>
  <si>
    <t xml:space="preserve">40S ribosomal protein S11 [Source:UniProtKB/Swiss-Prot;Acc:P52812] </t>
  </si>
  <si>
    <t>RpS11: 40S ribosomal protein S11</t>
  </si>
  <si>
    <t>40S ribosomal protein S11</t>
  </si>
  <si>
    <t>AGAP009998-PA</t>
  </si>
  <si>
    <t xml:space="preserve"> 40s ribosomal protein s11</t>
  </si>
  <si>
    <t>PTZ00241, PTZ00241, 40S ribosomal protein S11; Provisional.</t>
  </si>
  <si>
    <t>PTZ00241 1e-060| rps17p 2e-030| 30S_ribosomal_protein_S17P 2e-029| Ribosomal_S17_N 1e-025| Ribosomal_S17 8e-020| RpsQ 3e-019| uS17_bact 1e-005| rpsQ 2e-005| rps17 0.024| PRF |</t>
  </si>
  <si>
    <t>KOG1728, KOG1728, KOG1728, 40S ribosomal protein S11 [Translation, ribosomal structure and biogenesis].</t>
  </si>
  <si>
    <t>pfam16205, Ribosomal_S17_N, Ribosomal_S17 N-terminal.  This short N-terminal region is found in a number of higher eukaryotic ribosomal subunit 17 proteins.</t>
  </si>
  <si>
    <t>AGAP010046-RA</t>
  </si>
  <si>
    <t>Single domain von Willebrand factor type C - signalP detected</t>
  </si>
  <si>
    <t>AGAP010046-PA</t>
  </si>
  <si>
    <t xml:space="preserve"> single domain von willebrand factor type c - signalP detected</t>
  </si>
  <si>
    <t>ExpAA=33.69 First60=22.08 PredHel=1 Topology=o10-32i</t>
  </si>
  <si>
    <t>Heterostelium album PN500</t>
  </si>
  <si>
    <t>Heterometrus spinifer</t>
  </si>
  <si>
    <t>pfam15430, SVWC, Single domain von Willebrand factor type C.  SVWC is a family of single-domain von Willebrand factor type C proteins from lower eukaryotes. The canonical pattern of most von Willebrand factor type C (VWC) domains is of ten cysteines, however this family, largely but not exclusively of arthropod proteins, contains only eight. SVWC family proteins respond to environmental challenges, such as bacterial infection and nutritional status. They also are involved in anti-viral immunity, and all of these functions seem linked to SVWC expression being induced by Dicer2.</t>
  </si>
  <si>
    <t>SVWC 8e-013| DUF368 | DUF4656 | treF | PRK13024 |</t>
  </si>
  <si>
    <t>KOG3760, KOG3760, KOG3760, Heparan sulfate-glucuronic acid C5-epimerase [Carbohydrate transport and metabolism].</t>
  </si>
  <si>
    <t>=hyperlink(".\links\SMART\AGAP010046-PA-SMART.txt","A1pp, Appr-1"-p processing enzyme")</t>
  </si>
  <si>
    <t>smart00506, A1pp, Appr-1"-p processing enzyme.  Function determined by Martzen et al. Extended family detected by reciprocal PSI-BLAST searches (unpublished results, and Pehrson &amp; Fuji).</t>
  </si>
  <si>
    <t xml:space="preserve"> AgamP4_3R:48208413-48208914(-) </t>
  </si>
  <si>
    <t>AGAP010047-RA</t>
  </si>
  <si>
    <t>AGAP010047-PA</t>
  </si>
  <si>
    <t>ExpAA=27.84 First60=21.84 PredHel=1 Topology=o10-32i</t>
  </si>
  <si>
    <t>Urodacus yaschenkoi</t>
  </si>
  <si>
    <t>SVWC 4e-013| TRP | PRK10177 | QueC | TRIC | thiP | Serpulina_VSP | C2A_Synaptotagmin-15-17 | PLN02869 | AI-2E_transport |</t>
  </si>
  <si>
    <t>KOG2900, KOG2900, KOG2900, Biotin synthase [Coenzyme transport and metabolism].</t>
  </si>
  <si>
    <t>smart00892, Endonuclease_NS, DNA/RNA non-specific endonuclease.  A family of bacterial and eukaryotic endonucleases share the following characteristics: they act on both DNA and RNA, cleave double-stranded and single-stranded nucleic acids and require a divalent ion such as magnesium for their activity. An histidine has been shown to be essential for the activity of the Serratia marcescens nuclease. This residue is located in a conserved region which also contains an aspartic acid residue that could be implicated in the binding of the divalent ion.</t>
  </si>
  <si>
    <t xml:space="preserve"> AgamP4_3R:48227188-48227678(-) </t>
  </si>
  <si>
    <t>AGAP010072-RA</t>
  </si>
  <si>
    <t xml:space="preserve">Iron--sulfur cluster insertion protein erpA 1 </t>
  </si>
  <si>
    <t>Iron--sulfur cluster insertion protein erpA 1</t>
  </si>
  <si>
    <t>Mitochondrial Fe-S cluster biosynthesis protein ISA2 (contains a HesB-like domain) - probable fragment - signalP detected</t>
  </si>
  <si>
    <t>AGAP010072-PA</t>
  </si>
  <si>
    <t xml:space="preserve"> iron-sulfur cluster assembly 2 - signalP detected</t>
  </si>
  <si>
    <t xml:space="preserve"> 32-33</t>
  </si>
  <si>
    <t>Chondrus crispus</t>
  </si>
  <si>
    <t>Uncharacterized_protein_in_nifU_5'regi...   126   2e-030 2e-030| PLN03082 7e-028| sufA 2e-027| PRK13623 1e-023| Protein_SufA 1e-014| Protein_yfhF. 3e-013| iscA 1e-011| sufA 8e-010| Fe-S_biosyn 3e-008| YhgI_GntY 0.033|</t>
  </si>
  <si>
    <t>KOG1119, KOG1119, KOG1119, Mitochondrial Fe-S cluster biosynthesis protein ISA2 (contains a HesB-like domain) [Energy production and conversion, Intracellular trafficking, secretion, and vesicular transport].</t>
  </si>
  <si>
    <t xml:space="preserve">Energy production and conversion, Intracellular trafficking, secretion, and vesicular transport </t>
  </si>
  <si>
    <t>smart00119, HECTc, Domain Homologous to E6-AP Carboxyl Terminus with.  E3 ubiquitin-protein ligases. Can bind to E2 enzymes.</t>
  </si>
  <si>
    <t xml:space="preserve"> AgamP4_3R:48617799-48618302(+) </t>
  </si>
  <si>
    <t>AGAP010131-RA</t>
  </si>
  <si>
    <t xml:space="preserve">ornithine decarboxylase antizyme 1 </t>
  </si>
  <si>
    <t>ornithine decarboxylase antizyme 1</t>
  </si>
  <si>
    <t>ornithine decarboxylase antizyme-like</t>
  </si>
  <si>
    <t>AGAP010131-PA</t>
  </si>
  <si>
    <t xml:space="preserve"> tra0ay9gh6a0ay9gh6 anoar ornithine decarboxylase antizyme os-arabiensis ox-773 pe-3 sv</t>
  </si>
  <si>
    <t>pfam02100, ODC_AZ, Ornithine decarboxylase antizyme.  This family consists of ornithine decarboxylase antizyme proteins. The polyamine biosynthetic enzyme ornithine decarboxylase (ODC) is degraded by the 26 S proteasome via a ubiquitin-independent pathway. Its degradation is greatly accelerated by association with the polyamine-induced regulatory protein antizyme 1 (AZ1).</t>
  </si>
  <si>
    <t>ODC_AZ 4e-027| DUF4614 | PTZ00486 | SR-25 | WbmH_like_SDR_e | Uncharacterized_protein_MJ0107 |</t>
  </si>
  <si>
    <t>KOG4387, KOG4387, KOG4387, Ornithine decarboxylase antizyme [Amino acid transport and metabolism].</t>
  </si>
  <si>
    <t>smart00947, Pro_CA, Carbonic anhydrase.  Carbonic anhydrases (CA) are zinc metalloenzymes which catalyze the reversible hydration of carbon dioxide. In Escherichia coli, CA (gene cynT) is involved in recycling carbon dioxide formed in the bicarbonate-dependent decomposition of cyanate by cyanase (gene cynS). By this action, it prevents the depletion of cellular bicarbonate. In photosynthetic bacteria and plant chloroplast, CA is essential to inorganic carbon fixation. Prokaryotic and plant chloroplast CA are structurally and evolutionary related and form a family distinct from the one which groups the many different forms of eukaryotic CA's.</t>
  </si>
  <si>
    <t xml:space="preserve"> AgamP4_3R:49268926-49275185(+) </t>
  </si>
  <si>
    <t>AGAP010133-RA</t>
  </si>
  <si>
    <t xml:space="preserve">Class B Scavenger Receptor (CD36 domain). </t>
  </si>
  <si>
    <t>SCRPQ2: Class B Scavenger Receptor (CD36 domain).</t>
  </si>
  <si>
    <t>Plasma membrane glycoprotein CD36 - 2 predicted membrane helices</t>
  </si>
  <si>
    <t>st membrane</t>
  </si>
  <si>
    <t>AGAP010133-PA</t>
  </si>
  <si>
    <t xml:space="preserve"> cd36 family - 2 predicted membrane helices</t>
  </si>
  <si>
    <t xml:space="preserve"> 36-37</t>
  </si>
  <si>
    <t>ExpAA=45.16 First60=22.49 PredHel=2 Topology=i12-34o451-473i</t>
  </si>
  <si>
    <t>pfam01130, CD36, CD36 family.  The CD36 family is thought to be a novel class of scavenger receptors. There is also evidence suggesting a possible role in signal transduction. CD36 is involved in cell adhesion.</t>
  </si>
  <si>
    <t>CD36 e-148| 7tmA_GPR55-like | SecF | JTB | PTZ00121 | GH25_CH-type | MotA1 | PRK12446 | sensor_histidine_kinase |</t>
  </si>
  <si>
    <t>KOG3776, KOG3776, KOG3776, Plasma membrane glycoprotein CD36 and related membrane receptors [Signal transduction mechanisms].</t>
  </si>
  <si>
    <t>smart00641, Glyco_25, Glycosyl hydrolases family 25.</t>
  </si>
  <si>
    <t xml:space="preserve"> AgamP4_3R:49293356-49295161(+) </t>
  </si>
  <si>
    <t>AGAP010171-RB</t>
  </si>
  <si>
    <t xml:space="preserve">TUDOR-domain protein </t>
  </si>
  <si>
    <t>papi: TUDOR-domain protein</t>
  </si>
  <si>
    <t>Kinase anchor protein AKAP149 contains KH and Tudor RNA-binding - signalP detected</t>
  </si>
  <si>
    <t>st/secreted Kinase</t>
  </si>
  <si>
    <t>AGAP010171-PB</t>
  </si>
  <si>
    <t xml:space="preserve"> tudor and kh domain-containing-containing protein - signalP detected</t>
  </si>
  <si>
    <t>te</t>
  </si>
  <si>
    <t>ExpAA=22.29 First60=21.65 PredHel=1 Topology=i5-27o</t>
  </si>
  <si>
    <t>pfam00567, TUDOR, Tudor domain.</t>
  </si>
  <si>
    <t>TUDOR 1e-022| KH_1 5e-011| KH-I 3e-010| KH 6e-010| vigilin_like_KH 3e-007| TUDOR 3e-007| TUDOR 4e-006| PCBP_like_KH 8e-005| PNPase_KH 5e-004| PRK11824 8e-004|</t>
  </si>
  <si>
    <t>KOG2279, KOG2279, KOG2279, Kinase anchor protein AKAP149, contains KH and Tudor RNA-binding domains [Signal transduction mechanisms].</t>
  </si>
  <si>
    <t>smart00322, KH, K homology RNA-binding domain.</t>
  </si>
  <si>
    <t xml:space="preserve"> AgamP4_3R:49892245-49894025(+) </t>
  </si>
  <si>
    <t>AGAP010178-RA</t>
  </si>
  <si>
    <t>AGAP010178-PA</t>
  </si>
  <si>
    <t>ExpAA=64.04 First60=23.29 PredHel=1 Topology=i13-35o</t>
  </si>
  <si>
    <t>Enterococcus faecalis (strain ATCC 700802 / V583)</t>
  </si>
  <si>
    <t>COG5494, COG5494, Predicted thioredoxin/glutaredoxin [Posttranslational modification, protein turnover, chaperones].</t>
  </si>
  <si>
    <t>COG5494 | PRK06404 | PLN02905 | predicted_protein | DUF4256 | PBP1_iGluR_AMPA | PTZ00331 | PelA | PBP1_iGluR_AMPA_GluR1 | Ku78 |</t>
  </si>
  <si>
    <t>KOG1054, KOG1054, KOG1054, Glutamate-gated AMPA-type ion channel receptor subunit GluR2 and related subunits [Inorganic ion transport and metabolism, Amino acid transport and metabolism, Signal transduction mechanisms].</t>
  </si>
  <si>
    <t xml:space="preserve">Inorganic ion transport and metabolism, Amino acid transport and metabolism, Signal transduction mechanisms </t>
  </si>
  <si>
    <t>pfam14066, DUF4256, Protein of unknown function (DUF4256).  This family of proteins is functionally uncharacterized. This family of proteins is found in bacteria. Proteins in this family are approximately 190 amino acids in length.</t>
  </si>
  <si>
    <t>smart00559, Ku78, Ku70 and Ku80 are 70kDa and 80kDa subunits of the Lupus Ku autoantigen.  This is a single stranded DNA- and ATP-depedent helicase that has a role in chromosome translocation. This is a domain of unknown function C-terminal to its von Willebrand factor A domain, that also occurs in bacterial hypothetical proteins.</t>
  </si>
  <si>
    <t xml:space="preserve"> AgamP4_3R:49946262-49947811(-) </t>
  </si>
  <si>
    <t>W(3.59)</t>
  </si>
  <si>
    <t>AGAP010212-RA</t>
  </si>
  <si>
    <t xml:space="preserve">prefoldin subunit 1 </t>
  </si>
  <si>
    <t>prefoldin subunit 1</t>
  </si>
  <si>
    <t>Molecular chaperone Prefoldin subunit 1</t>
  </si>
  <si>
    <t>AGAP010212-PA</t>
  </si>
  <si>
    <t xml:space="preserve"> prefoldin subunit 1</t>
  </si>
  <si>
    <t>Prefoldin_2 6e-011| Ferritin | gltX | GimC | Bap31 | CDC37_N |</t>
  </si>
  <si>
    <t>KOG3501, KOG3501, KOG3501, Molecular chaperone Prefoldin, subunit 1 [Posttranslational modification, protein turnover, chaperones].</t>
  </si>
  <si>
    <t xml:space="preserve"> AgamP4_3R:50839391-50839854(+) </t>
  </si>
  <si>
    <t>AGAP010225-RA</t>
  </si>
  <si>
    <t xml:space="preserve">ER lumen protein retaining receptor </t>
  </si>
  <si>
    <t>ER lumen protein retaining receptor</t>
  </si>
  <si>
    <t>ER lumen protein retaining receptor - signalP detected - 6 predicted membrane helices</t>
  </si>
  <si>
    <t>AGAP010225-PA</t>
  </si>
  <si>
    <t xml:space="preserve"> protein - signalP detected - 6 predicted membrane helices</t>
  </si>
  <si>
    <t xml:space="preserve"> 30-31</t>
  </si>
  <si>
    <t>ExpAA=113.11 First60=31.51 PredHel=6 Topology=i7-24o39-61i68-85o95-112i119-141o182-204i</t>
  </si>
  <si>
    <t>Caenorhabditis briggsae</t>
  </si>
  <si>
    <t>pfam00810, ER_lumen_recept, ER lumen protein retaining receptor.</t>
  </si>
  <si>
    <t>ER_lumen_recept 8e-042| ERD2 4e-032| FepG | GT1_like_4 |</t>
  </si>
  <si>
    <t>KOG3106, KOG3106, KOG3106, ER lumen protein retaining receptor [Intracellular trafficking, secretion, and vesicular transport].</t>
  </si>
  <si>
    <t>smart00230, CysPc, Calpain-like thiol protease family. Calpain-like thiol protease family (peptidase family C2). Calcium activated neutral protease (large subunit).</t>
  </si>
  <si>
    <t xml:space="preserve"> AgamP4_3R:51271438-51272169(-) </t>
  </si>
  <si>
    <t>AGAP010226-RA</t>
  </si>
  <si>
    <t>AGAP010226-PA</t>
  </si>
  <si>
    <t xml:space="preserve"> os-coluzzii ox-834 pe-4 sv</t>
  </si>
  <si>
    <t>ExpAA=12.58 First60=12.58 PredHel=0 Topology=i</t>
  </si>
  <si>
    <t>Entamoeba nuttalli P19</t>
  </si>
  <si>
    <t>Arcobacter butzleri (strain RM4018)</t>
  </si>
  <si>
    <t>PRK09249, PRK09249, coproporphyrinogen III oxidase; Provisional.</t>
  </si>
  <si>
    <t>PRK09249 | FGGY_XK_like_2 | ppnK | PRK13295 | PRK06178 |</t>
  </si>
  <si>
    <t>KOG2504, KOG2504, KOG2504, Monocarboxylate transporter [Carbohydrate transport and metabolism].</t>
  </si>
  <si>
    <t>pfam02450, LCAT, Lecithin:cholesterol acyltransferase. Lecithin:cholesterol acyltransferase (LCAT) is involved in extracellular metabolism of plasma lipoproteins, including cholesterol.</t>
  </si>
  <si>
    <t>smart00788, Adenylsucc_synt, Adenylosuccinate synthetase. Adenylosuccinate synthetase plays an important role in purine biosynthesis, by catalyzing the GTP-dependent conversion of IMP and aspartic acid to AMP. Adenylosuccinate synthetase has been characterized from various sources ranging from Escherichia coli (gene purA) to vertebrate tissues. In vertebrates, two isozymes are present - one involved in purine biosynthesis and the other in the purine nucleotide cycle. The crystal structure of adenylosuccinate synthetase from E. coli reveals that the dominant structural element of each monomer of the homodimer is a central beta-sheet of 10 strands. The first nine strands of the sheet are mutually parallel with right-handed crossover connections between the strands. The 10th strand is antiparallel with respect to the first nine strands. In addition, the enzyme has two antiparallel beta-sheets, comprised of two strands and three strands each, 11 alpha-helices and two short 3/10-helices. Further, it has been suggested that the similarities in the GTP-binding domains of the synthetase and the p21ras protein are an example of convergent evolution of two distinct families of GTP-binding proteins. Structures of adenylosuccinate synthetase from Triticum aestivum and Arabidopsis thaliana when compared with the known structures from E. coli reveals that the overall fold is very similar to that of the E. coli protein.</t>
  </si>
  <si>
    <t xml:space="preserve"> AgamP4_3R:51273996-51274856(-) </t>
  </si>
  <si>
    <t>AGAP010226-RC</t>
  </si>
  <si>
    <t>AGAP010226-PC</t>
  </si>
  <si>
    <t>AGAP010229-RA</t>
  </si>
  <si>
    <t xml:space="preserve">beta-ureidopropionase </t>
  </si>
  <si>
    <t>beta-ureidopropionase</t>
  </si>
  <si>
    <t>Carbon-nitrogen hydrolase</t>
  </si>
  <si>
    <t>AGAP010229-PA</t>
  </si>
  <si>
    <t xml:space="preserve"> beta-ureidopropionase</t>
  </si>
  <si>
    <t>ExpAA=0.28 First60=0.00 PredHel=0 Topology=o</t>
  </si>
  <si>
    <t>cd07587, ML_beta-AS, mammalian-like beta-alanine synthase (beta-AS) and similar proteins (class 5 nitrilases).  This subgroup includes mammalian-like beta-AS (EC 3.5.1.6, also known as beta-ureidopropionase or N-carbamoyl-beta-alanine amidohydrolase). This enzyme catalyzes the third and final step in the catabolic pyrimidine catabolic pathway responsible for the degradation of uracil and thymine, the hydrolysis of N-carbamyl-beta-alanine and N-carbamyl-beta-aminoisobutyrate to the beta-amino acids, beta-alanine and beta-aminoisobutyrate respectively. This subgroup belongs to a larger nitrilase superfamily comprised of nitrile- or amide-hydrolyzing enzymes and amide-condensing enzymes, which depend on a Glu-Lys-Cys catalytic triad. This superfamily has been classified in the literature based on global and structure based sequence analysis into thirteen different enzyme classes (referred to as 1-13), this subgroup corresponds to class 5. Members of this superfamily generally form homomeric complexes, the basic building block of which is a homodimer. Beta-ASs from this subgroup are found in various oligomeric states, dimer (human), hexamer (calf liver), decamer (Arabidopsis and Zea mays), and in the case of Drosophila melanogaster beta-AS, as a homooctamer assembled as a left-handed helical turn, with the possibility of higher order oligomers formed by adding dimers at either end. Rat beta-AS changes its oligomeric state (hexamer, trimer, dodecamer) in response to allosteric effectors. Eukaryotic Saccharomyces kluyveri beta-AS belongs to a different superfamily.</t>
  </si>
  <si>
    <t>ML_beta-AS | PLN00202 e-178| ML_beta-AS_like e-125| nitrilase 1e-050| CN_hydrolase 5e-050| CPA 1e-049| putative_carbon-nitrogen_hydrolase 9e-039| COG0388 2e-037| PLN02747 3e-036| nitrilase_2 1e-029|</t>
  </si>
  <si>
    <t>KOG0808, KOG0808, KOG0808, Carbon-nitrogen hydrolase [Amino acid transport and metabolism].</t>
  </si>
  <si>
    <t>pfam00795, CN_hydrolase, Carbon-nitrogen hydrolase.  This family contains hydrolases that break carbon-nitrogen bonds. The family includes: Nitrilase EC:3.5.5.1, Aliphatic amidase EC:3.5.1.4, Biotidinase EC:3.5.1.12, Beta-ureidopropionase EC:3.5.1.6. Nitrilase-related proteins generally have a conserved E-K-C catalytic triad, and are multimeric alpha-beta-beta-alpha sandwich proteins.</t>
  </si>
  <si>
    <t>smart00480, POL3Bc, DNA polymerase III beta subunit.</t>
  </si>
  <si>
    <t xml:space="preserve"> AgamP4_3R:51294761-51296722(+) </t>
  </si>
  <si>
    <t>AGAP010252-RA</t>
  </si>
  <si>
    <t xml:space="preserve">60S ribosomal protein L23 </t>
  </si>
  <si>
    <t>RpL23: 60S ribosomal protein L23</t>
  </si>
  <si>
    <t>60S ribosomal protein L23</t>
  </si>
  <si>
    <t>AGAP010252-PA</t>
  </si>
  <si>
    <t xml:space="preserve"> 60s ribosomal protein l23</t>
  </si>
  <si>
    <t>ExpAA=0.17 First60=0.17 PredHel=0 Topology=o</t>
  </si>
  <si>
    <t>PTZ00054, PTZ00054, 60S ribosomal protein L23; Provisional.</t>
  </si>
  <si>
    <t>PTZ00054 6e-068| rpl14p 1e-045| 50S_ribosomal_protein_L14 4e-043| Ribosomal_L14 4e-042| RplN 6e-037| rplN 8e-019| rpl14 2e-017| 50S_ribosomal_protein_L14 5e-016| PRK00934 | Endonuc-FokI_C |</t>
  </si>
  <si>
    <t>KOG0901, KOG0901, KOG0901, 60S ribosomal protein L14/L17/L23 [Translation, ribosomal structure and biogenesis].</t>
  </si>
  <si>
    <t>pfam00238, Ribosomal_L14, Ribosomal protein L14p/L23e.</t>
  </si>
  <si>
    <t>smart00086, PAC, Motif C-terminal to PAS motifs (likely to contribute to PAS structural domain).  PAC motif occurs C-terminal to a subset of all known PAS motifs. It is proposed to contribute to the PAS domain fold.</t>
  </si>
  <si>
    <t xml:space="preserve"> AgamP4_3R:51662651-51663450(+) </t>
  </si>
  <si>
    <t>AGAP010320.R102</t>
  </si>
  <si>
    <t>VectorBase: AGAP010320</t>
  </si>
  <si>
    <t>AGAP010337-RB</t>
  </si>
  <si>
    <t xml:space="preserve">ubiquinol-cytochrome c reductase subunit 8 </t>
  </si>
  <si>
    <t>ubiquinol-cytochrome c reductase subunit 8</t>
  </si>
  <si>
    <t>cytochrome b-c1 complex subunit 8-like</t>
  </si>
  <si>
    <t>AGAP010337-PB</t>
  </si>
  <si>
    <t xml:space="preserve"> cytochrome b-c1 complex subunit 8</t>
  </si>
  <si>
    <t>ExpAA=18.20 First60=15.16 PredHel=1 Topology=o46-63i</t>
  </si>
  <si>
    <t>pfam02939, UcrQ, UcrQ family.  The ubiquinol-cytochrome C reductase complex (cytochrome bc1 complex) is a respiratory multienzyme complex. This family represents the 9.5 kDa subunit of the complex.</t>
  </si>
  <si>
    <t>UcrQ 9e-026| PTZ00303 | ATP-dependent_6-phosphofructokinase | PLN00022 | Col_cuticle_N |</t>
  </si>
  <si>
    <t>KOG4116, KOG4116, KOG4116, Ubiquinol cytochrome c reductase, subunit QCR8 [Energy production and conversion].</t>
  </si>
  <si>
    <t xml:space="preserve"> AgamP4_3L:1664420-1664755(-) </t>
  </si>
  <si>
    <t>AGAP010337-RC</t>
  </si>
  <si>
    <t>AGAP010337-PC</t>
  </si>
  <si>
    <t>AGAP010338-RA</t>
  </si>
  <si>
    <t xml:space="preserve">39S ribosomal protein L23, mitochondrial </t>
  </si>
  <si>
    <t>mRpL23: 39S ribosomal protein L23, mitochondrial</t>
  </si>
  <si>
    <t>mitochondrial ribosomal protein L23</t>
  </si>
  <si>
    <t>AGAP010338-PA</t>
  </si>
  <si>
    <t xml:space="preserve"> 39s ribosomal protein l23</t>
  </si>
  <si>
    <t>pfam00276, Ribosomal_L23, Ribosomal protein L23.</t>
  </si>
  <si>
    <t>Ribosomal_L23 6e-006| RplW 8e-006| rplW 5e-005| 50S_ribosomal_protein_L23P 4e-004| PRK14548 5e-004| PTZ00191 | rplW | FKBP_N | PRK05399 | carB |</t>
  </si>
  <si>
    <t>KOG4089, KOG4089, KOG4089, Predicted mitochondrial ribosomal protein L23 [Translation, ribosomal structure and biogenesis].</t>
  </si>
  <si>
    <t xml:space="preserve"> AgamP4_3L:1688147-1688675(+) </t>
  </si>
  <si>
    <t>AGAP010403-RA</t>
  </si>
  <si>
    <t xml:space="preserve">enoyl-CoA hydratase domain-containing protein 3, mitochondrial </t>
  </si>
  <si>
    <t>enoyl-CoA hydratase domain-containing protein 3, mitochondrial</t>
  </si>
  <si>
    <t>Enoyl-CoA hydratase</t>
  </si>
  <si>
    <t>AGAP010403-PA</t>
  </si>
  <si>
    <t>ExpAA=1.15 First60=0.00 PredHel=0 Topology=o</t>
  </si>
  <si>
    <t>PRK08139, PRK08139, enoyl-CoA hydratase; Validated.</t>
  </si>
  <si>
    <t>PRK08139 6e-080| crotonase-like 1e-045| CaiD 4e-045| PRK06688 2e-041| PRK05995 3e-038| ECH_1 4e-038| PRK07658 7e-031| PRK08138 2e-030| PRK07657 4e-030| PRK09674 1e-028|</t>
  </si>
  <si>
    <t>KOG1682, KOG1682, KOG1682, Enoyl-CoA isomerase [Lipid transport and metabolism].</t>
  </si>
  <si>
    <t>pfam00378, ECH_1, Enoyl-CoA hydratase/isomerase.  This family contains a diverse set of enzymes including: enoyl-CoA hydratase, napthoate synthase, carnitate racemase, 3-hydroxybutyryl-CoA dehydratase and dodecanoyl-CoA delta-isomerase.</t>
  </si>
  <si>
    <t xml:space="preserve"> AgamP4_3L:2777840-2778837(-) </t>
  </si>
  <si>
    <t>AGAP010443-RA</t>
  </si>
  <si>
    <t xml:space="preserve">cytochrome c oxidase assembly protein subunit 11 </t>
  </si>
  <si>
    <t>cytochrome c oxidase assembly protein subunit 11</t>
  </si>
  <si>
    <t>cytochrome c oxidase assembly protein COX11 mitochondrial - 2 predicted membrane helices</t>
  </si>
  <si>
    <t>AGAP010443-PA</t>
  </si>
  <si>
    <t xml:space="preserve"> cytochrome c oxidase assembly protein cox11 - 2 predicted membrane helices</t>
  </si>
  <si>
    <t>ExpAA=22.03 First60=10.75 PredHel=1 Topology=i50-72o</t>
  </si>
  <si>
    <t>pfam04442, CtaG_Cox11, Cytochrome c oxidase assembly protein CtaG/Cox11.  Cytochrome c oxidase assembly protein is essential for the assembly of functional cytochrome oxidase protein. In eukaryotes it is an integral protein of the mitochondrial inner membrane. Cox11 is essential for the insertion of Cu(I) ions to form the CuB site. This is essential for the stability of other structures in subunit I, for example haems a and a3, and the magnesium/manganese centre. Cox11 is probably only required in sub-stoichiometric amounts relative to the structural units. The C terminal region of the protein is known to form a dimer. Each monomer coordinates one Cu(I) ion via three conserved cysteine residues (111, 208 and 210) in Saccharomyces cerevisiae. Met 224 is also thought to play a role in copper transfer or stabilizing the copper site.</t>
  </si>
  <si>
    <t>CtaG_Cox11 4e-071| PTZ00128 2e-070| COX11 2e-061| PRK05089 3e-057| PRK07691 | truB | Dihydroorotate_dehydrogenase_quinone | PRK04452 | BJP-1-like_MBL-B3 | PRK11100 |</t>
  </si>
  <si>
    <t>KOG2540, KOG2540, KOG2540, Cytochrome oxidase assembly factor COX11 [Posttranslational modification, protein turnover, chaperones].</t>
  </si>
  <si>
    <t>smart01060, Catalase, Catalases are antioxidant enzymes that catalyse the conversion of hydrogen peroxide to water and molecular oxygen, serving to protect cells from its toxic effects.  Hydrogen peroxide is produced as a consequence of oxidative cellular metabolism and can be converted to the highly reactive hydroxyl radical via transition metals, this radical being able to damage a wide variety of molecules within a cell, leading to oxidative stress and cell death. Catalases act to neutralise hydrogen peroxide toxicity, and are produced by all aerobic organisms ranging from bacteria to man. Most catalases are mono-functional, haem-containing enzymes, although there are also bifunctional haem-containing peroxidase/catalases that are closely related to plant peroxidases, and non-haem, manganese-containing catalases that are found in bacteria.</t>
  </si>
  <si>
    <t xml:space="preserve"> AgamP4_3L:3742211-3742985(-) </t>
  </si>
  <si>
    <t>AGAP010465-RA</t>
  </si>
  <si>
    <t>AGAP010465-PA</t>
  </si>
  <si>
    <t xml:space="preserve"> cation channel sperm-associated protein 1 - 3 predicted membrane helices</t>
  </si>
  <si>
    <t>ExpAA=40.32 First60=0.23 PredHel=2 Topology=o231-250i257-279o</t>
  </si>
  <si>
    <t>pfam09770, PAT1, Topoisomerase II-associated protein PAT1.  Members of this family are necessary for accurate chromosome transmission during cell division.</t>
  </si>
  <si>
    <t>PAT1 4e-007| EIF4E-T 3e-005| PHA03420 0.008| PRK03427 0.045| BAF1_ABF1 0.047| Med3 0.050| PRK10927 | DUF1421 | SelP_N | G_path_suppress |</t>
  </si>
  <si>
    <t>smart01101, CRISPR_assoc, This domain forms an anti-parallel beta strand structure with flanking alpha helical regions.</t>
  </si>
  <si>
    <t xml:space="preserve"> AgamP4_3L:3957311-3958934(+) </t>
  </si>
  <si>
    <t xml:space="preserve">1 | 283    SLWRRPR|DI  0.531 *ProP*  | </t>
  </si>
  <si>
    <t>AGAP010480-RB</t>
  </si>
  <si>
    <t xml:space="preserve">Kinase [Source:UniProtKB/TrEMBL;Acc:A0A1S4H446] </t>
  </si>
  <si>
    <t>Kinase</t>
  </si>
  <si>
    <t>Inositol polyphosphate multikinase component of the ARGR transcription regulatory complex - 10 OH-glycosylation sites</t>
  </si>
  <si>
    <t>AGAP010480-PB</t>
  </si>
  <si>
    <t xml:space="preserve"> inositol polyphosphate multikinase - 10 OH-glycosylation sites</t>
  </si>
  <si>
    <t>Oryctolagus cuniculus</t>
  </si>
  <si>
    <t>pfam03770, IPK, Inositol polyphosphate kinase.  ArgRIII has has been demonstrated to be an inositol polyphosphate kinase.</t>
  </si>
  <si>
    <t>IPK 1e-056| PLN02667 2e-024| PAT1 1e-005| Activator_LAG-3 2e-005| FAM222A 1e-004| PRK10927 7e-004| HemX 8e-004| E_Pc_C 0.004| Nuclease_SbcCD_subunit_C 0.007| DUF1421 0.008|</t>
  </si>
  <si>
    <t>KOG1620, KOG1620, KOG1620, Inositol polyphosphate multikinase, component of the ARGR transcription regulatory complex [Transcription, Lipid transport and metabolism, Signal transduction mechanisms].</t>
  </si>
  <si>
    <t xml:space="preserve">Transcription, Lipid transport and metabolism, Signal transduction mechanisms </t>
  </si>
  <si>
    <t xml:space="preserve">2 | 94    QSHRYER|SN  0.567 *ProP*  | 563    DNNRERR|ID  0.541 *ProP*  | </t>
  </si>
  <si>
    <t>AGAP010517-RA</t>
  </si>
  <si>
    <t xml:space="preserve">manganese-iron superoxide dismutase 1 </t>
  </si>
  <si>
    <t>MnSOD1: manganese-iron superoxide dismutase 1</t>
  </si>
  <si>
    <t>superoxide dismutase 3.4 mitochondrial</t>
  </si>
  <si>
    <t>AGAP010517-PA</t>
  </si>
  <si>
    <t xml:space="preserve"> superoxide dismutase mn</t>
  </si>
  <si>
    <t>COG0605, SodA, Superoxide dismutase [Inorganic ion transport and metabolism].</t>
  </si>
  <si>
    <t>SodA 7e-072| PLN02471 1e-069| PRK10925 2e-043| Sod_Fe_C 1e-042| PRK10543 7e-035| PLN02685 3e-032| Sod_Fe_N 1e-031| PTZ00078 4e-031| PLN02184 2e-028| PLN02622 6e-028|</t>
  </si>
  <si>
    <t>KOG0876, KOG0876, KOG0876, Manganese superoxide dismutase [Inorganic ion transport and metabolism].</t>
  </si>
  <si>
    <t>pfam02777, Sod_Fe_C, Iron/manganese superoxide dismutases, C-terminal domain.  superoxide dismutases (SODs) catalyze the conversion of superoxide radicals to hydrogen peroxide and molecular oxygen. Three evolutionarily distinct families of SODs are known, of which the Mn/Fe-binding family is one. In humans, there is a cytoplasmic Cu/Zn SOD, and a mitochondrial Mn/Fe SOD. C-terminal domain is a mixed alpha/beta fold.</t>
  </si>
  <si>
    <t>smart00129, KISc, Kinesin motor, catalytic domain. ATPase. Microtubule-dependent molecular motors that play important roles in intracellular transport of organelles and in cell division.</t>
  </si>
  <si>
    <t xml:space="preserve"> AgamP4_3L:5581880-5582955(-) </t>
  </si>
  <si>
    <t>AGAP010606-RA</t>
  </si>
  <si>
    <t xml:space="preserve">mitochondrial import inner membrane translocase subunit Tim8 B </t>
  </si>
  <si>
    <t>mitochondrial import inner membrane translocase subunit Tim8 B</t>
  </si>
  <si>
    <t>mitochondrial import inner membrane translocase subunit Tim8 A</t>
  </si>
  <si>
    <t>AGAP010606-PA</t>
  </si>
  <si>
    <t xml:space="preserve"> mitochondrial import inner membrane translocase</t>
  </si>
  <si>
    <t>zf-Tim10_DDP 7e-015| PLN02995 | Laminin_N | Glucose-1-phosphate_adenylyltransferas...    26   6.3   | MYSc_Myo36 |</t>
  </si>
  <si>
    <t>KOG3489, KOG3489, KOG3489, Mitochondrial import inner membrane translocase, subunit TIM8 [Intracellular trafficking, secretion, and vesicular transport].</t>
  </si>
  <si>
    <t>smart00136, LamNT, Laminin N-terminal domain (domain VI). N-terminal domain of laminins and laminin-related protein such as Unc-6/ netrins.</t>
  </si>
  <si>
    <t xml:space="preserve"> AgamP4_3L:7139493-7139833(-) </t>
  </si>
  <si>
    <t>AGAP010687.R644</t>
  </si>
  <si>
    <t>phospholipase D1/2</t>
  </si>
  <si>
    <t>VectorBase: AGAP010687</t>
  </si>
  <si>
    <t>AGAP010711-RA</t>
  </si>
  <si>
    <t xml:space="preserve">exportin-2 </t>
  </si>
  <si>
    <t>exportin-2</t>
  </si>
  <si>
    <t>CAS/CSE protein</t>
  </si>
  <si>
    <t>st/apoptosis</t>
  </si>
  <si>
    <t>AGAP010711-PA</t>
  </si>
  <si>
    <t xml:space="preserve"> cellular apoptosis susceptibility protein</t>
  </si>
  <si>
    <t>ExpAA=0.34 First60=0.00 PredHel=0 Topology=o</t>
  </si>
  <si>
    <t>pfam03378, CAS_CSE1, CAS/CSE protein, C-terminus.  Mammalian cellular apoptosis susceptibility (CAS) proteins are homologous to the yeast chromosome-segregation protein, CSE1. This family aligns the C-terminal halves (approximately). CAS is involved in both cellular apoptosis and proliferation. Apoptosis is inhibited in CAS-depleted cells, while the expression of CAS correlates to the degree of cellular proliferation. Like CSE1, it is essential for the mitotic checkpoint in the cell cycle (CAS depletion blocks the cell in the G2 phase), and has been shown to be associated with the microtubule network and the mitotic spindle, as is the protein MEK, which is thought to regulate the intracellular localization (predominantly nuclear vs. predominantly cytosolic) of CAS. In the nucleus, CAS acts as a nuclear transport factor in the importin pathway. The importin pathway mediates the nuclear transport of several proteins that are necessary for mitosis and further progression. CAS is therefore thought to affect the cell cycle through its effect on the nuclear transport of these proteins. Since apoptosis also requires the nuclear import of several proteins (such as P53 and transcription factors), it has been suggested that CAS also enables apoptosis by facilitating the nuclear import of at least a subset of these essential proteins.</t>
  </si>
  <si>
    <t>CAS_CSE1 | Cse1 e-178| CSE1 e-103| SXM1 2e-018| IBN_N 3e-009| IBN_N 3e-008| KAP95 0.058| PRK14247 | IDO | Glutathione_synthetase |</t>
  </si>
  <si>
    <t>KOG1992, KOG1992, KOG1992, Nuclear export receptor CSE1/CAS (importin beta superfamily) [Nuclear structure, Intracellular trafficking, secretion, and vesicular transport].</t>
  </si>
  <si>
    <t xml:space="preserve">Nuclear structure, Intracellular trafficking, secretion, and vesicular transport </t>
  </si>
  <si>
    <t>smart00913, IBN_N, Importin-beta N-terminal domain.  Members of the importin-beta (karyopherin-beta) family can bind and transport cargo by themselves, or can form heterodimers with importin-alpha. As part of a heterodimer, importin-beta mediates interactions with the pore complex, while importin-alpha acts as an adaptor protein to bind the nuclear localisation signal (NLS) on the cargo through the classical NLS import of proteins. Importin-beta is a helicoidal molecule constructed from 19 HEAT repeats. Many nuclear pore proteins contain FG sequence repeats that can bind to HEAT repeats within importins.. which is important for importin-beta mediated transport.</t>
  </si>
  <si>
    <t xml:space="preserve"> AgamP4_3L:8901560-8904939(-) </t>
  </si>
  <si>
    <t>AGAP010962-RA</t>
  </si>
  <si>
    <t>Conserved secreted protein precursor - GPI anchored</t>
  </si>
  <si>
    <t>ucs/gpi/gpi</t>
  </si>
  <si>
    <t>AGAP010962-PA</t>
  </si>
  <si>
    <t>s/ucs/gpi</t>
  </si>
  <si>
    <t>ExpAA=34.60 First60=18.26 PredHel=1 Topology=i7-29o</t>
  </si>
  <si>
    <t>cd07699, IgC_L, Immunoglobulin Constant domain.  IgC_L: Immunoglobulin (Ig) light chain constant (C) domain. The basic structure of Ig molecules is a tetramer of two light chains and two heavy chains linked by disulfide bonds. In Ig, each chain is composed of one variable domain (IgV) and one or more constant domains (IgC); these names reflect the fact that the variability in sequences is higher in the variable domain than in the constant domain. There are five types of heavy chains (alpha, gamma, delta, epsilon, and mu), which determine the type of immunoglobulin:  IgA, IgG, IgD, IgE, and IgM, respectively. In higher vertebrates, there are two types of light chain, designated kappa and lambda, which seem to be functionally identical, and can associate with any of the heavy chains.</t>
  </si>
  <si>
    <t>IgC_L 0.008| PRK10636 | TTKRSYEDQ | IG_like | IG | PLDc_vPLD1_1 | Ig1_FcgammaR_like |</t>
  </si>
  <si>
    <t>KOG3513, KOG3513, KOG3513, Neural cell adhesion molecule L1 [Signal transduction mechanisms].</t>
  </si>
  <si>
    <t>pfam10212, TTKRSYEDQ, Predicted coiled-coil domain-containing protein.  This is the C-terminal 500 amino acids of a family of proteins with a predicted coiled-coil domain conserved from nematodes to humans. It carries a characteristic TTKRSYEDQ sequence-motif. The function is not known.</t>
  </si>
  <si>
    <t>smart00410, IG_like, Immunoglobulin like.  IG domains that cannot be classified into one of IGv1, IGc1, IGc2, IG.</t>
  </si>
  <si>
    <t xml:space="preserve"> AgamP4_3L:13876280-13888613(+) </t>
  </si>
  <si>
    <t>Anopheles albimanus</t>
  </si>
  <si>
    <t>AGAP011053-RA</t>
  </si>
  <si>
    <t>Voltage-gated shaker-like K+ channel subunit beta/KCNAB</t>
  </si>
  <si>
    <t>AGAP011053-PA</t>
  </si>
  <si>
    <t xml:space="preserve"> akr1d family of aldo-keto reductase</t>
  </si>
  <si>
    <t>ExpAA=0.03 First60=0.01 PredHel=0 Topology=o</t>
  </si>
  <si>
    <t>Theileria equi</t>
  </si>
  <si>
    <t>COG0656, ARA1, Aldo/keto reductases, related to diketogulonate reductase [General function prediction only].</t>
  </si>
  <si>
    <t>ARA1 1e-097| Aldo_ket_red 2e-081| dkgA 1e-058| Aldo_ket_red 2e-058| dkgB 2e-046| Tas 3e-040| COG4989 2e-021| COG1453 8e-015| PRK10376 6e-010| tas 9e-008|</t>
  </si>
  <si>
    <t>KOG1577, KOG1577, KOG1577, Aldo/keto reductase family proteins [General function prediction only].</t>
  </si>
  <si>
    <t>pfam00248, Aldo_ket_red, Aldo/keto reductase family.  This family includes a number of K+ ion channel beta chain regulatory domains - these are reported to have oxidoreductase activity.</t>
  </si>
  <si>
    <t>smart01002, AlaDh_PNT_C, Alanine dehydrogenase/PNT, C-terminal domain.  Alanine dehydrogenase catalyzes the NAD-dependent reversible reductive amination of pyruvate into alanine.</t>
  </si>
  <si>
    <t xml:space="preserve"> AgamP4_3L:15784161-15785346(-) </t>
  </si>
  <si>
    <t>AGAP011122-RD</t>
  </si>
  <si>
    <t xml:space="preserve">NAD+ kinase [Source:UniProtKB/TrEMBL;Acc:A0A453YWU9] </t>
  </si>
  <si>
    <t>AGAP011122-PD</t>
  </si>
  <si>
    <t xml:space="preserve"> nadf</t>
  </si>
  <si>
    <t xml:space="preserve">1 | 209    SDTRRRR|SG  0.551 *ProP*  | </t>
  </si>
  <si>
    <t>AGAP011141-RA</t>
  </si>
  <si>
    <t xml:space="preserve">tubulin-specific chaperone cofactor E-like protein </t>
  </si>
  <si>
    <t>tubulin-specific chaperone cofactor E-like protein</t>
  </si>
  <si>
    <t>tubulin-specific chaperone cofactor E-like protein isoform X2</t>
  </si>
  <si>
    <t>AGAP011141-PA</t>
  </si>
  <si>
    <t xml:space="preserve"> tra0a82hwb0a0a82hwb0 anoar ubiquitin-like domain-containing protein</t>
  </si>
  <si>
    <t>LRR_RI 7e-006| LRR_RI 7e-004| Ubiquitin_2 8e-004| UBL 0.004| LRR_1 0.008| UBQ 0.013| UBQ 0.015| LRR_9 0.032| ubiquitin 0.053| PRK13335 |</t>
  </si>
  <si>
    <t>KOG2982, KOG2982, KOG2982, Uncharacterized conserved protein [Function unknown].</t>
  </si>
  <si>
    <t>pfam14560, Ubiquitin_2, Ubiquitin-like domain.  This entry contains ubiquitin-like domains.</t>
  </si>
  <si>
    <t xml:space="preserve"> AgamP4_3L:17842826-17849785(+) </t>
  </si>
  <si>
    <t>AGAP011184-RA</t>
  </si>
  <si>
    <t>AGAP011184-PA</t>
  </si>
  <si>
    <t>ExpAA=14.10 First60=13.90 PredHel=0 Topology=o</t>
  </si>
  <si>
    <t>pfam05425, CopD, Copper resistance protein D.  Copper sequestering activity displayed by some bacteria is determined by copper-binding protein products of the copper resistance operon (cop). CopD, together with CopC, perform copper uptake into the cytoplasm.</t>
  </si>
  <si>
    <t>CopD | PRK05456 | ATP_dep_HslV | UPF0183 | pepsin_like | protease_HslV | PRK15356 |</t>
  </si>
  <si>
    <t>KOG1898, KOG1898, KOG1898, Splicing factor 3b, subunit 3 [RNA processing and modification].</t>
  </si>
  <si>
    <t>smart00433, TOP2c, TopoisomeraseII.  Eukaryotic DNA topoisomerase II, GyrB, ParE.</t>
  </si>
  <si>
    <t xml:space="preserve"> AgamP4_3L:18300373-18301574(-) </t>
  </si>
  <si>
    <t xml:space="preserve">1 | 237    ANDRIRR|DE  0.611 *ProP*  | </t>
  </si>
  <si>
    <t>C(4.8)</t>
  </si>
  <si>
    <t>AGAP011293-RA</t>
  </si>
  <si>
    <t>BTK-associated SH3-domain binding protein SAB - probable fragment</t>
  </si>
  <si>
    <t>AGAP011293-PA</t>
  </si>
  <si>
    <t xml:space="preserve"> sh3 domain-binding protein 5</t>
  </si>
  <si>
    <t>ExpAA=0.09 First60=0.00 PredHel=0 Topology=o</t>
  </si>
  <si>
    <t>pfam05276, SH3BP5, SH3 domain-binding protein 5 (SH3BP5).  This family consists of several eukaryotic SH3 domain-binding protein 5 or c-Jun N-terminal kinase (JNK)-interacting proteins (SH3BP5 or Sab). Sab binds to and serves as a substrate for JNK in vitro, and has been found to interact with the Src homology 3 (SH3) domain of Bruton's tyrosine kinase (Btk). Inspection of the sequence of Sab reveals the presence of two putative mitogen-activated protein kinase interaction motifs (KIMs) similar to that found in the JNK docking domain of the c-Jun transcription factor, and four potential serine-proline JNK phosphorylation sites in the C-terminal half of the molecule.</t>
  </si>
  <si>
    <t>SH3BP5 8e-095| SbcC 7e-008| TMPIT 1e-006| Chromosome_partition_protein_Smc 3e-006| Smc 5e-006| chromosome_segregation_protein_related...    42   6e-004 6e-004| conserved_hypothetical_protein 0.001| Nuclease_SbcCD_subunit_C 0.013| Mitofilin 0.021| mukB 0.027|</t>
  </si>
  <si>
    <t>KOG2008, KOG2008, KOG2008, BTK-associated SH3-domain binding protein SAB [Signal transduction mechanisms].</t>
  </si>
  <si>
    <t xml:space="preserve"> AgamP4_3L:20591645-20612412(+) </t>
  </si>
  <si>
    <t xml:space="preserve">1 | 180    LEERYRR|SI  0.753 *ProP*  | </t>
  </si>
  <si>
    <t>AGAP011484-RA</t>
  </si>
  <si>
    <t>AGAP011484-PB</t>
  </si>
  <si>
    <t>AGAP011484-PA</t>
  </si>
  <si>
    <t>Pyrobaculum aerophilum (strain ATCC 51768 / IM2 / DSM 7523 / JCM 9630 / NBRC 100827)</t>
  </si>
  <si>
    <t>PRK05399, PRK05399, DNA mismatch repair protein MutS; Provisional.</t>
  </si>
  <si>
    <t>PRK05399 | PRK10403 | truB | C2B_Copine | PRK07481 | COG4864 | secA |</t>
  </si>
  <si>
    <t>pfam15992, DUF4769, Domain of unknown function (DUF4769).  This family of proteins is functionally uncharacterized. This family of proteins is found in eukaryotes. Proteins in this family are typically between 291 and 501 amino acids in length.</t>
  </si>
  <si>
    <t>smart01058, CarD_TRCF, CarD-like/TRCF domain.  CarD is a Myxococcus xanthus protein required for the activation of light- and starvation-inducible genes. This family includes the presumed N-terminal domain. CarD interacts with the zinc-binding protein CarG, to form a complex that regulates multiple processes in Myxococcus xanthus. This family also includes a domain to the N-terminal side of the DEAD helicase of TRCF proteins. TRCF displaces RNA polymerase stalled at a lesion, binds to the damage recognition protein UvrA, and increases the template strand repair rate during transcription. This domain is involved in binding to the stalled RNA polymerase.</t>
  </si>
  <si>
    <t xml:space="preserve"> AgamP4_3L:25304564-25305980(+) </t>
  </si>
  <si>
    <t>ExpAA=16.73 First60=16.73 PredHel=0 Topology=i</t>
  </si>
  <si>
    <t>W(3.78)</t>
  </si>
  <si>
    <t>AGAP011584-RA</t>
  </si>
  <si>
    <t>venom dipeptidyl peptidase 4 isoform x2 - Conserved membrane protein venom - 2 predicted membrane helices</t>
  </si>
  <si>
    <t>uc/memb venom</t>
  </si>
  <si>
    <t>AGAP011584-PA</t>
  </si>
  <si>
    <t xml:space="preserve"> dipeptidyl peptidase 4 - Conserved membrane protein  - 2 predicted membrane helices</t>
  </si>
  <si>
    <t>ExpAA=22.66 First60=22.64 PredHel=1 Topology=i29-51o</t>
  </si>
  <si>
    <t>pfam00930, DPPIV_N, Dipeptidyl peptidase IV (DPP IV) N-terminal region.  This family is an alignment of the region to the N-terminal side of the active site. The Prosite motif does not correspond to this Pfam entry.</t>
  </si>
  <si>
    <t>DPPIV_N e-109| Peptidase_S9 4e-054| DAP2 1e-046| Abhydrolase_1 3e-004| COG1073 0.008| UPF0227 0.022| TolB 0.056| PAF-AH_p_II | COG0412 | COG1505 |</t>
  </si>
  <si>
    <t>KOG2100, KOG2100, KOG2100, Dipeptidyl aminopeptidase [Posttranslational modification, protein turnover, chaperones].</t>
  </si>
  <si>
    <t xml:space="preserve"> AgamP4_3L:28405825-28411563(-) </t>
  </si>
  <si>
    <t>AGAP011731-RA</t>
  </si>
  <si>
    <t xml:space="preserve">DNA polymerase [Source:UniProtKB/TrEMBL;Acc:A0A1S4H7C8] </t>
  </si>
  <si>
    <t>DNA polymerase</t>
  </si>
  <si>
    <t>DNA polymerase delta catalytic subunit</t>
  </si>
  <si>
    <t>AGAP011731-PA</t>
  </si>
  <si>
    <t xml:space="preserve"> dna polymerase</t>
  </si>
  <si>
    <t>ExpAA=0.83 First60=0.00 PredHel=0 Topology=o</t>
  </si>
  <si>
    <t>PTZ00166, PTZ00166, DNA polymerase delta catalytic subunit; Provisional.</t>
  </si>
  <si>
    <t>PTZ00166 | POLBc_delta | PolB e-172| DNA_pol_B e-168| DNA_polB_delta_exo e-131| POLBc e-123| PRK05762 3e-099| POLBc_zeta 3e-084| POLBc 1e-081| DNA_polymerase_alpha_catalytic_subunit...   282   5e-076 5e-076|</t>
  </si>
  <si>
    <t>KOG0969, KOG0969, KOG0969, DNA polymerase delta, catalytic subunit [Replication, recombination and repair].</t>
  </si>
  <si>
    <t xml:space="preserve">Replication, recombination and repair </t>
  </si>
  <si>
    <t>pfam00136, DNA_pol_B, DNA polymerase family B.  This region of DNA polymerase B appears to consist of more than one structural domain, possibly including elongation, DNA-binding and dNTP binding activities.</t>
  </si>
  <si>
    <t>smart00486, POLBc, DNA polymerase type-B family.  DNA polymerase alpha, delta, epsilon and zeta chain (eukaryota), DNA polymerases in archaea, DNA polymerase II in e. coli, mitochondrial DNA polymerases and and virus DNA polymerases.</t>
  </si>
  <si>
    <t>AGAP011733-RA</t>
  </si>
  <si>
    <t>AGAP011733-PA</t>
  </si>
  <si>
    <t>ExpAA=64.14 First60=39.74 PredHel=3 Topology=o5-23i28-47o79-98i</t>
  </si>
  <si>
    <t>pfam03647, Tmemb_14, Transmembrane proteins 14C.  This family of short membrane proteins are as yet uncharacterized.</t>
  </si>
  <si>
    <t>Tmemb_14 3e-020| COG5548 2e-005| CreD | Glyco_transf_22 | DUF4131 | PRK11715 |</t>
  </si>
  <si>
    <t>KOG4267, KOG4267, KOG4267, Predicted membrane protein [Function unknown].</t>
  </si>
  <si>
    <t>smart00197, SAA, Serum amyloid A proteins.  Serum amyloid A proteins are induced during the acute-phase response. Secondary amyloidosis is characterised by the extracellular accumulation in tissues of SAA proteins. SAA proteins are apolipoproteins.</t>
  </si>
  <si>
    <t xml:space="preserve"> AgamP4_3L:32631145-32631594(+) </t>
  </si>
  <si>
    <t xml:space="preserve">1 | 75    MGSRWAR|SG  0.533 *ProP*  | </t>
  </si>
  <si>
    <t>AGAP011829-RA</t>
  </si>
  <si>
    <t xml:space="preserve">NADH dehydrogenase (ubiquinone) 1 beta subcomplex 4 </t>
  </si>
  <si>
    <t>E</t>
  </si>
  <si>
    <t>NADH dehydrogenase (ubiquinone) 1 beta subcomplex 4</t>
  </si>
  <si>
    <t>AGAP011829-PA partial</t>
  </si>
  <si>
    <t>AGAP011829-PA</t>
  </si>
  <si>
    <t xml:space="preserve"> complex i-b os-coluzzii ox-834 pe-3 sv</t>
  </si>
  <si>
    <t>ExpAA=15.77 First60=0.64 PredHel=0 Topology=i</t>
  </si>
  <si>
    <t>Pan troglodytes</t>
  </si>
  <si>
    <t>pfam07225, NDUF_B4, NADH-ubiquinone oxidoreductase B15 subunit (NDUFB4).  This family consists of several NADH-ubiquinone oxidoreductase B15 subunit proteins (EC:1.6.5.3).</t>
  </si>
  <si>
    <t>NDUF_B4 2e-008| PRK12558 | ndhB | XdhB | MPP_Cdc1 | PRK06170 | PTZ00285 | PRK08568 |</t>
  </si>
  <si>
    <t>KOG0787, KOG0787, KOG0787, Dehydrogenase kinase [Signal transduction mechanisms].</t>
  </si>
  <si>
    <t>smart00897, FIST, FIST N domain.  The FIST N domain is a novel sensory domain, which is present in signal transduction proteins from Bacteria, Archaea and Eukarya. Chromosomal proximity of FIST-encoding genes to those coding for proteins involved in amino acid metabolism and transport suggest that FIST domains bind small ligands, such as amino acids.</t>
  </si>
  <si>
    <t xml:space="preserve"> AgamP4_3L:33879971-33880456(-) </t>
  </si>
  <si>
    <t>AGAP012000-RA</t>
  </si>
  <si>
    <t xml:space="preserve">fibrinogen and fibronectin </t>
  </si>
  <si>
    <t>fibrinogen and fibronectin</t>
  </si>
  <si>
    <t>AGAP012000-PA</t>
  </si>
  <si>
    <t xml:space="preserve"> ficolin - signalP detected</t>
  </si>
  <si>
    <t>ExpAA=2.53 First60=2.53 PredHel=0 Topology=o</t>
  </si>
  <si>
    <t>FReD 1e-075| FBG 1e-062| Fibrinogen_C 8e-055| WXG100_ESAT6 0.017| conj_TIGR03752 0.021| AAA_13 0.048| chromosome_segregation_protein_related...    35   0.048 0.048| Myosin_tail_1 0.075| MscS_porin 0.080| F-BAR_PACSIN1 0.100|</t>
  </si>
  <si>
    <t xml:space="preserve"> AgamP4_3L:36049549-36050591(-) </t>
  </si>
  <si>
    <t>AGAP012008-RA</t>
  </si>
  <si>
    <t>Na(+)/H(+) exchange regulatory cofactor NHE-RF1</t>
  </si>
  <si>
    <t>AGAP012008-PA</t>
  </si>
  <si>
    <t xml:space="preserve"> na+/h+ exchange regulatory cofactor nhe-rf3</t>
  </si>
  <si>
    <t>Cavenderia fasciculata</t>
  </si>
  <si>
    <t>cd00992, PDZ_signaling, PDZ domain found in a variety of Eumetazoan signaling molecules, often in tandem arrangements. May be responsible for specific protein-protein interactions, as most PDZ domains bind C-terminal polypeptides, and binding to internal (non-C-terminal) polypeptides and even to lipids has been demonstrated. In this subfamily of PDZ domains an N-terminal beta-strand forms the peptide-binding groove base, a circular permutation with respect to PDZ domains found in proteases.</t>
  </si>
  <si>
    <t>PDZ_signaling 7e-018| PDZ 3e-015| PDZ 4e-010| PDZ 8e-010| PDZ_metalloprotease 3e-007| Peptidase_M50 2e-006| PDZ_serine_protease 5e-006| Prc 6e-006| PDZ_CTP_protease 9e-006| COG3975 4e-005|</t>
  </si>
  <si>
    <t>KOG3209, KOG3209, KOG3209, WW domain-containing protein [General function prediction only].</t>
  </si>
  <si>
    <t>pfam00595, PDZ, PDZ domain (Also known as DHR or GLGF).  PDZ domains are found in diverse signaling proteins.</t>
  </si>
  <si>
    <t>smart00228, PDZ, Domain present in PSD-95, Dlg, and ZO-1/2.  Also called DHR (Dlg homologous region) or GLGF (relatively well conserved tetrapeptide in these domains). Some PDZs have been shown to bind C-terminal polypeptides; others appear to bind internal (non-C-terminal) polypeptides. Different PDZs possess different binding specificities.</t>
  </si>
  <si>
    <t xml:space="preserve"> AgamP4_3L:36200179-36201087(-) </t>
  </si>
  <si>
    <t>AGAP012034-RA</t>
  </si>
  <si>
    <t>Trypsin-like serine protease - 18 OH-glycosylation sites - signalP detected</t>
  </si>
  <si>
    <t>AGAP012034-PA</t>
  </si>
  <si>
    <t xml:space="preserve"> subfamily protein s1a unassigned peptidase - 18 OH-glycosylation sites - signalP detected</t>
  </si>
  <si>
    <t>ExpAA=14.87 First60=14.23 PredHel=0 Topology=o</t>
  </si>
  <si>
    <t>Holotrichia diomphalia</t>
  </si>
  <si>
    <t>Tryp_SPc 2e-044| Tryp_SPc 2e-042| Trypsin 1e-030| COG5640 5e-013| CLIP 3e-005| Mucin 0.030| Trypsin_2 0.034| Metaviral_G 0.046| IpaD | Spc7_N |</t>
  </si>
  <si>
    <t xml:space="preserve"> AgamP4_3L:36794251-36795764(-) </t>
  </si>
  <si>
    <t>AGAP012146-RA</t>
  </si>
  <si>
    <t xml:space="preserve">phosphatidylserine synthase 1 </t>
  </si>
  <si>
    <t>phosphatidylserine synthase 1</t>
  </si>
  <si>
    <t>Phosphatidylserine synthase - 8 predicted membrane helices</t>
  </si>
  <si>
    <t>met/lipd membrane</t>
  </si>
  <si>
    <t>AGAP012146-PA</t>
  </si>
  <si>
    <t xml:space="preserve"> phosphatidylserine synthase - 8 predicted membrane helices</t>
  </si>
  <si>
    <t>ExpAA=180.88 First60=1.84 PredHel=8 Topology=i57-79o89-111i118-140o180-202i207-226o236-253i369-388o403-425i</t>
  </si>
  <si>
    <t>pfam03034, PSS, Phosphatidyl serine synthase.  Phosphatidyl serine synthase is also known as serine exchange enzyme. This family represents eukaryotic PSS I and II which are membrane bound proteins which catalyzes the replacement of the head group of a phospholipid (phosphotidylcholine or phosphotidylethanolamine) by L-serine.</t>
  </si>
  <si>
    <t>PSS e-128| PLN02930 6e-069| Putative_lipid_II_flippase_FtsW | PelG |</t>
  </si>
  <si>
    <t>KOG2735, KOG2735, KOG2735, Phosphatidylserine synthase [Lipid transport and metabolism].</t>
  </si>
  <si>
    <t>smart00756, VKc, Family of likely enzymes that includes the catalytic subunit of vitamin K epoxide reductase. Bacterial homologues are fused to members of the thioredoxin family of oxidoreductases.</t>
  </si>
  <si>
    <t xml:space="preserve"> AgamP4_3L:38051356-38056943(+) </t>
  </si>
  <si>
    <t>W(3.73)</t>
  </si>
  <si>
    <t>AGAP012216-RA</t>
  </si>
  <si>
    <t xml:space="preserve">sterol O-acyltransferase </t>
  </si>
  <si>
    <t>sterol O-acyltransferase</t>
  </si>
  <si>
    <t>Sterol O-acyltransferase/Diacylglycerol O-acyltransferase - 8 predicted membrane helices</t>
  </si>
  <si>
    <t>AGAP012216-PA</t>
  </si>
  <si>
    <t xml:space="preserve"> sterol o-acyltransferase 1 - 8 predicted membrane helices</t>
  </si>
  <si>
    <t>ExpAA=171.66 First60=0.00 PredHel=8 Topology=i139-161o181-203i224-246o295-317i330-349o369-391i476-498o508-525i</t>
  </si>
  <si>
    <t>PLN03242, PLN03242, diacylglycerol o-acyltransferase; Provisional.</t>
  </si>
  <si>
    <t>PLN03242 3e-036| PLN02401 2e-035| ARE1 4e-031| MBOAT 6e-026| PRK14336 | Bax1-I | PRK05762 | BROMI | Per1 | FlaJ |</t>
  </si>
  <si>
    <t>KOG0380, KOG0380, KOG0380, Sterol O-acyltransferase/Diacylglycerol O-acyltransferase [Lipid transport and metabolism].</t>
  </si>
  <si>
    <t>pfam03062, MBOAT, MBOAT, membrane-bound O-acyltransferase family. The MBOAT (membrane bound O-acyl transferase) family of membrane proteins contains a variety of acyltransferase enzymes. A conserved histidine has been suggested to be the active site residue.</t>
  </si>
  <si>
    <t xml:space="preserve"> AgamP4_3L:38969597-38971631(-) </t>
  </si>
  <si>
    <t>AGAP012235-RA</t>
  </si>
  <si>
    <t xml:space="preserve">prefoldin 6 </t>
  </si>
  <si>
    <t>prefoldin 6</t>
  </si>
  <si>
    <t>Prefoldin subunit 6 KE2 family</t>
  </si>
  <si>
    <t>AGAP012235-PA</t>
  </si>
  <si>
    <t xml:space="preserve"> prefoldin subunit 6</t>
  </si>
  <si>
    <t>Prefoldin_2 7e-011| Prefoldin_beta 9e-010| GimC 4e-007| Chromosome_partition_protein_Smc 0.004| PRK09343 0.012| Prefoldin_subunit_beta 0.041| Prefoldin 0.052| PRK03947 | GIM5 | PRK03918 |</t>
  </si>
  <si>
    <t>KOG3478, KOG3478, KOG3478, Prefoldin subunit 6, KE2 family [Posttranslational modification, protein turnover, chaperones].</t>
  </si>
  <si>
    <t>smart01057, Carb_anhydrase, Eukaryotic-type carbonic anhydrase. Carbonic anhydrases are zinc metalloenzymes which catalyse the reversible hydration of carbon dioxide to bicarbonate.. CAs have essential roles in facilitating the transport of carbon dioxide and protons in the intracellular space, across biological membranes and in the layers of the extracellular space; they are also involved in many other processes, from respiration and photosynthesis in eukaryotes to cyanate degradation in prokaryotes. There are five known evolutionarily distinct CA families (alpha, beta, gamma, delta and epsilon) that have no significant sequence identity and have structurally distinct overall folds. Some CAs are membrane-bound, while others act in the cytosol; there are several related proteins that lack enzymatic activity. The active site of alpha-CAs is well described, consisting of a zinc ion coordinated through 3 histidine residues and a water molecule/hydroxide ion that acts as a potent nucleophile. The enzyme employs a two-step mechanism: in the first step, there is a nucleophilic attack of a zinc-bound hydroxide ion on carbon dioxide; in the second step, the active site is regenerated by the ionisation of the zinc-bound water molecule and the removal of a proton from the active site. Beta- and gamma-CAs also employ a zinc hydroxide mechanism, although at least some beta-class enzymes do not have water directly coordinated to the metal ion.</t>
  </si>
  <si>
    <t xml:space="preserve"> AgamP4_3L:39176832-39177414(+) </t>
  </si>
  <si>
    <t>AGAP012364-RA</t>
  </si>
  <si>
    <t>regulator of microtubule dynamics protein 1 isoform X2</t>
  </si>
  <si>
    <t>AGAP012364-PA</t>
  </si>
  <si>
    <t xml:space="preserve"> regulator of microtubule dynamics protein 1</t>
  </si>
  <si>
    <t>ExpAA=0.04 First60=0.01 PredHel=0 Topology=o</t>
  </si>
  <si>
    <t>sd00006, TPR, Tetratricopeptide repeat.  The Tetratricopeptide repeat (TPR) typically contains 34 amino acids and is found in a variety of organisms including bacteria, cyanobacteria, yeast, fungi, plants, and humans. It is present in a variety of proteins including those involved in chaperone, cell-cycle, transcription, and protein transport complexes. The number of TPR motifs varies among proteins. Those containing 5-6 tandem repeats generate a right-handed helical structure with an amphipathic channel that is thought to accommodate an alpha-helix of a target protein. It has been proposed that TPR proteins preferentially interact with WD-40 repeat proteins, but in many instances several TPR-proteins seem to aggregate to multi-protein complexes.</t>
  </si>
  <si>
    <t>TPR 6e-005| PRK11788 0.011| COG2956 0.031| TraX_protein 0.078| PRK12702 0.087| F420_cofD | Uncharacterized_protein_HI_0366 | PilF | PRK12370 | PRK13706 |</t>
  </si>
  <si>
    <t>KOG1155, KOG1155, KOG1155, Anaphase-promoting complex (APC), Cdc23 subunit [Cell cycle control, cell division, chromosome partitioning, Posttranslational modification, protein turnover, chaperones].</t>
  </si>
  <si>
    <t>pfam16811, TAtT, TRAP transporter T-component.  TAtT is a family of one component, the T-component, of a sub-set of TRAP-Ts or Tripartite ATP-independent periplasmic transporters. TRAP-Ts are bacterial transport systems implicated in the import of small molecules into the cytoplasm in bacteria. They are all periplasmic lipoproteins. TatT consists of a 13-alpha-helical fold containing cryptic tetratricopeptide repeat motifs (cTPRs) and encompassing a pore, ie is a water-soluble trimer whose protomers are each perforated by a pore. It forms a complex with a P component, and a putative ligand-binding cleft of TatPT aligns with the pore of TatT. Family TatPT is represented by some members of pfam03480.</t>
  </si>
  <si>
    <t>smart00235, ZnMc, Zinc-dependent metalloprotease.  Neutral zinc metallopeptidases. This alignment represents a subset of known subfamilies. Highest similarity occurs in the HExxH zinc-binding site/ active site.</t>
  </si>
  <si>
    <t xml:space="preserve"> AgamP4_3L:41119880-41121087(-) </t>
  </si>
  <si>
    <t>AGAP012392-RA</t>
  </si>
  <si>
    <t>agap012392-pa - 19 OH-glycosylation sites -  19 NetOglyc sites</t>
  </si>
  <si>
    <t>AGAP012392-PA</t>
  </si>
  <si>
    <t xml:space="preserve"> os-coluzzii ox-834 pe-3 sv - 19 OH-glycosylation sites -  19 NetOglyc sites</t>
  </si>
  <si>
    <t>pfam14799, FAM195, FAM195 family.</t>
  </si>
  <si>
    <t>FAM195 1e-025| PI3K_1B_p101 | SSP160 | PLN03138 | PRK05408 | RING-HC_TRIM71_C-VII | Myf5 | SR-25 | RAP1 | Med3 |</t>
  </si>
  <si>
    <t>KOG4157, KOG4157, KOG4157, beta-1,6-N-acetylglucosaminyltransferase, contains WSC domain [Carbohydrate transport and metabolism, Posttranslational modification, protein turnover, chaperones].</t>
  </si>
  <si>
    <t xml:space="preserve">Carbohydrate transport and metabolism, Posttranslational modification, protein turnover, chaperones </t>
  </si>
  <si>
    <t>smart00473, PAN_AP, divergent subfamily of APPLE domains. Apple-like domains present in Plasminogen, C. elegans hypothetical ORFs and the extracellular portion of plant receptor-like protein kinases. Predicted to possess protein- and/or carbohydrate-binding functions.</t>
  </si>
  <si>
    <t xml:space="preserve"> AgamP4_3L:41702773-41705697(-) </t>
  </si>
  <si>
    <t>AGAP012396-RA</t>
  </si>
  <si>
    <t xml:space="preserve">4.3 kDa secreted salivary peptide </t>
  </si>
  <si>
    <t>4.3 kDa secreted salivary peptide</t>
  </si>
  <si>
    <t>Conserved protein with signal anchor - Membrane anchor detected</t>
  </si>
  <si>
    <t>uc/anchor membrAnchor</t>
  </si>
  <si>
    <t>AGAP012396-PA</t>
  </si>
  <si>
    <t>ExpAA=22.89 First60=22.89 PredHel=1 Topology=i21-43o</t>
  </si>
  <si>
    <t>pfam04632, FUSC, Fusaric acid resistance protein family.  This family includes a conserved region found in two proteins associated with fusaric acid resistance, FusC from Burkholderia cepacia and fdt-2 from Klebsiella oxytoca. These proteins are likely to be membrane transporter proteins.</t>
  </si>
  <si>
    <t>FUSC 0.077| Pilin_N | VESA1_N | Clc-like |</t>
  </si>
  <si>
    <t>KOG3558, KOG3558, KOG3558, Hypoxia-inducible factor 1/Neuronal PAS domain protein NPAS1 [Signal transduction mechanisms, Transcription].</t>
  </si>
  <si>
    <t xml:space="preserve">Signal transduction mechanisms, Transcription </t>
  </si>
  <si>
    <t xml:space="preserve"> AgamP4_3L:41716054-41716600(+) </t>
  </si>
  <si>
    <t>C(5.99)</t>
  </si>
  <si>
    <t>AGAP012418-RA</t>
  </si>
  <si>
    <t>AGAP012418-PA</t>
  </si>
  <si>
    <t>ExpAA=20.82 First60=6.41 PredHel=1 Topology=i53-72o</t>
  </si>
  <si>
    <t>Photobacterium profundum (strain SS9)</t>
  </si>
  <si>
    <t>pfam16020, Deltameth_res, Deltamethrin resistance.  This presumed domain is found in the deltamethrin-resistance protein prag01 from Culex pipiens pallens.</t>
  </si>
  <si>
    <t>Deltameth_res 7e-017| Agmatinase_PAH | Hypothetical_UPF0105_protein_Rv2216/MT...    29   0.63  | Arginase | HAD_CbbY-like | PLN02544 | Penicil_amidase |</t>
  </si>
  <si>
    <t>KOG3163, KOG3163, KOG3163, Uncharacterized conserved protein related to ribosomal protein S8E [General function prediction only].</t>
  </si>
  <si>
    <t>smart00634, BID_1, Bacterial Ig-like domain (group 1).</t>
  </si>
  <si>
    <t xml:space="preserve"> AgamP4_3L:41834680-41835268(-) </t>
  </si>
  <si>
    <t>AGAP012515-RA</t>
  </si>
  <si>
    <t xml:space="preserve">F-type H+-transporting ATPase subunit f </t>
  </si>
  <si>
    <t>ATPsynF: F-type H+-transporting ATPase subunit f</t>
  </si>
  <si>
    <t>Mitochondrial F1F0-ATP synthase</t>
  </si>
  <si>
    <t>AGAP012515-PA</t>
  </si>
  <si>
    <t xml:space="preserve"> atp synthase subunit f</t>
  </si>
  <si>
    <t>ExpAA=21.33 First60=0.01 PredHel=1 Topology=o74-96i</t>
  </si>
  <si>
    <t>pfam10206, WRW, Mitochondrial F1F0-ATP synthase, subunit f.  This is a family of small proteins of approximately 110 amino acids, which are highly conserved from nematodes to humans. Some members of the family have been annotated in Swiss-Prot as being the f subunit of mitochondrial F1F0-ATP synthase but this could not be confirmed. The sequence has a well-conserved WRW motif. The exact function of the protein is not known.</t>
  </si>
  <si>
    <t>WRW 3e-048| F1F0-ATPsyn_F | KatG | PRK12566 | cat_per_HPI | COG1231 | Probable_aminoglycoside_efflux_pump | RhaT | STKc_Kin1_2 | PRK05134 |</t>
  </si>
  <si>
    <t>KOG4092, KOG4092, KOG4092, Mitochondrial F1F0-ATP synthase, subunit f [Energy production and conversion].</t>
  </si>
  <si>
    <t xml:space="preserve"> AgamP4_UNKN:10361647-10361970(-) </t>
  </si>
  <si>
    <t>AGAP012517-RA</t>
  </si>
  <si>
    <t>deleted in a mouse model of primary ciliary dyskinesia</t>
  </si>
  <si>
    <t>AGAP012517-PA</t>
  </si>
  <si>
    <t xml:space="preserve"> dpcd protein family</t>
  </si>
  <si>
    <t>pfam14913, DPCD, DPCD protein family.  This protein is a found in eukaryotes and a mutation in this protein is thought to cause Primary Ciliary Dyskinesia (PCD). This protein is 203 amino acids in length, 23 kDa in size and its function remains unknown. The gene that encodes this protein is a candidate gene for PCD and is expressed during ciliogenesis. PCD affects the airways and reproductive organs, and probing Northern blots show DPCD expression in humans is highest in the testes. Additionally, there is no indication of major splice variants.</t>
  </si>
  <si>
    <t>DPCD 4e-064| PRK13692 | HugX | PckA | PhnF | PRK14236 | RRM_XMAS2 | PRK09692 | Prc | ACD_LpsHSP_like |</t>
  </si>
  <si>
    <t>KOG4533, KOG4533, KOG4533, Uncharacterized conserved protein [Function unknown].</t>
  </si>
  <si>
    <t>smart01055, Cadherin_pro, Cadherin prodomain like.  Cadherins are a family of proteins that mediate calcium dependent cell-cell adhesion. They are activated through cleavage of a prosequence in the late Golgi. This domain corresponds to the folded region of the prosequence, and is termed the prodomain. The prodomain shows structural resemblance to the cadherin domain, but lacks all the features known to be important for cadherin-cadherin interactions.</t>
  </si>
  <si>
    <t xml:space="preserve"> AgamP4_UNKN:10382698-10383392(-) </t>
  </si>
  <si>
    <t>AGAP012524-RA</t>
  </si>
  <si>
    <t>AGAP012524-PA</t>
  </si>
  <si>
    <t>ExpAA=12.06 First60=12.06 PredHel=0 Topology=o</t>
  </si>
  <si>
    <t>Hammondia hammondi</t>
  </si>
  <si>
    <t>pfam12520, DUF3723, Protein of unknown function (DUF3723).  This family of proteins is found in eukaryotes. Proteins in this family are typically between 374 and 1069 amino acids in length. There is a conserved LGF sequence motif.</t>
  </si>
  <si>
    <t>DUF3723 |</t>
  </si>
  <si>
    <t>KOG4572, KOG4572, KOG4572, Predicted DNA-binding transcription factor, interacts with stathmin [Transcription, General function prediction only, Signal transduction mechanisms].</t>
  </si>
  <si>
    <t xml:space="preserve">Transcription, General function prediction only, Signal transduction mechanisms </t>
  </si>
  <si>
    <t xml:space="preserve"> AgamP4_UNKN:10907187-10907411(+) </t>
  </si>
  <si>
    <t>C(3.69)</t>
  </si>
  <si>
    <t>AGAP012622-RA</t>
  </si>
  <si>
    <t>Conserved plasma membrane protein - 5 predicted membrane helices</t>
  </si>
  <si>
    <t>AGAP012622-PA</t>
  </si>
  <si>
    <t>ExpAA=78.39 First60=14.00 PredHel=4 Topology=o49-71i83-105o125-142i149-166o</t>
  </si>
  <si>
    <t>pfam04117, Mpv17_PMP22, Mpv17 / PMP22 family.  The 22-kDa peroxisomal membrane protein (PMP22) is a major component of peroxisomal membranes. PMP22 seems to be involved in pore forming activity and may contribute to the unspecific permeability of the organelle membrane. PMP22 is synthesized on free cytosolic ribosomes and then directed to the peroxisome membrane by specific targeting information. Mpv17 is a closely related peroxisomal protein. In mouse, the Mpv17 protein is involved in the development of early-onset glomerulosclerosis. More recently a homolog of Mpv17 in S. cerevisiae has been been found to be an integral membrane protein of the inner mitochondrial membrane where it has been proposed to have a role in ethanol metabolism and tolerance during heat-shock. Defects in MPV17 is associated with mitochondrial DNA depletion syndrome (MDDS) and Navajo neurohepatopathy (NNH). MDDS is a clinically heterogeneous group of disorders characterized by a reduction in mitochondrial DNA (mtDNA) copy number. Primary mtDNA depletion is inherited as an autosomal recessive trait and may affect single organs, typically muscle or liver, or multiple tissues. Individuals with the hepatocerebral form of mitochondrial DNA depletion syndrome have early progressive liver failure and neurologic abnormalities, hypoglycemia, and increased lactate in body fluids. NNH is an autosomal recessive disease that is prevalent among Navajo children in the South Western states of America. The major clinical features are hepatopathy, peripheral neuropathy, corneal anesthesia and scarring, acral mutilation, cerebral leukoencephalopathy, failure to thrive, and recurrent metabolic acidosis with intercurrent infections. Infantile, childhood, and classic forms of NNH have been described. Mitochondrial DNA depletion was detected in the livers of patients, suggesting a primary defect in mtDNA maintenance.</t>
  </si>
  <si>
    <t>Mpv17_PMP22 1e-014| nirA | CE4_GLA_like_6s | COG1916 |</t>
  </si>
  <si>
    <t>KOG1944, KOG1944, KOG1944, Peroxisomal membrane protein MPV17 and related proteins [General function prediction only].</t>
  </si>
  <si>
    <t>smart00904, Flavokinase, Riboflavin kinase.  Riboflavin is converted into catalytically active cofactors (FAD and FMN) by the actions of riboflavin kinase, which converts it into FMN, and FAD synthetase, which adenylates FMN to FAD. Eukaryotes usually have two separate enzymes, while most prokaryotes have a single bifunctional protein that can carry out both catalyses, although exceptions occur in both cases. While eukaryotic monofunctional riboflavin kinase is orthologous to the bifunctional prokaryotic enzyme. the monofunctional FAD synthetase differs from its prokaryotic counterpart, and is instead related to the PAPS-reductase family. The bacterial FAD synthetase that is part of the bifunctional enzyme has remote similarity to nucleotidyl transferases and, hence, it may be involved in the adenylylation reaction of FAD synthetases. This entry represents riboflavin kinase, which occurs as part of a bifunctional enzyme or a stand-alone enzyme.</t>
  </si>
  <si>
    <t xml:space="preserve"> AgamP4_UNKN:21290522-21291103(-) </t>
  </si>
  <si>
    <t>AGAP012717-RA</t>
  </si>
  <si>
    <t xml:space="preserve">vesicle transport protein SEC22 </t>
  </si>
  <si>
    <t>Sec22: vesicle transport protein SEC22</t>
  </si>
  <si>
    <t>Synaptobrevin/VAMP-like protein SEC22 - signalP detected - 2 predicted membrane helices - GPI anchored</t>
  </si>
  <si>
    <t>pe membrane/gpi</t>
  </si>
  <si>
    <t>AGAP012717-PA</t>
  </si>
  <si>
    <t xml:space="preserve"> vesicle-trafficking protein sec22b-b - signalP detected - 2 predicted membrane helices - GPI anchored</t>
  </si>
  <si>
    <t xml:space="preserve"> 13-14</t>
  </si>
  <si>
    <t>ExpAA=21.04 First60=0.00 PredHel=1 Topology=i189-210o</t>
  </si>
  <si>
    <t>pfam13774, Longin, Regulated-SNARE-like domain.  Longin is one of the approximately 26 components required for transporting proteins from the ER to the plasma membrane, via the Golgi apparatus. It is necessary for the steps of the transfer from the ER to the Golgi complex. Longins are the only R-SNAREs that are common to all eukaryotes, and they are characterized by a conserved N-terminal domain with a profilin-like fold called a longin domain.</t>
  </si>
  <si>
    <t>Longin 4e-024| SNC1 1e-022| R-SNARE_SEC22 3e-022| Synaptobrevin 4e-015| R-SNARE 4e-011| R-SNARE_VAMP8 7e-006| R-SNARE_Snc1 6e-005| R-SNARE_VAMP7 8e-005| R-SNARE_VAMP4 2e-004| R-SNARE_VAMP2 2e-004|</t>
  </si>
  <si>
    <t>KOG0862, KOG0862, KOG0862, Synaptobrevin/VAMP-like protein SEC22 [Intracellular trafficking, secretion, and vesicular transport].</t>
  </si>
  <si>
    <t>smart00721, BAR, BAR domain.</t>
  </si>
  <si>
    <t xml:space="preserve"> AgamP4_UNKN:24915268-24916389(-) </t>
  </si>
  <si>
    <t>AGAP012851-RA</t>
  </si>
  <si>
    <t xml:space="preserve">Aldo-keto reductase family 1, member C3 </t>
  </si>
  <si>
    <t>L</t>
  </si>
  <si>
    <t>Aldo-keto reductase family 1, member C3</t>
  </si>
  <si>
    <t>AGAP012851-PA partial</t>
  </si>
  <si>
    <t>AGAP012851-PA</t>
  </si>
  <si>
    <t xml:space="preserve"> tra0a82u6b6a0a82u6b6 9dipt aldo ket red domain-containing protein os-melas pe-4 sv</t>
  </si>
  <si>
    <t>ARA1 6e-062| Aldo_ket_red 4e-054| dkgA 1e-041| Aldo_ket_red 7e-039| Tas 8e-025| dkgB 2e-022| COG4989 2e-011| COG1453 2e-005| tas 3e-005| PRK10376 4e-005|</t>
  </si>
  <si>
    <t>smart00094, TR_FER, Transferrin.</t>
  </si>
  <si>
    <t xml:space="preserve"> AgamP4_UNKN:34129899-34130597(+) </t>
  </si>
  <si>
    <t>AGAP012924-RA</t>
  </si>
  <si>
    <t xml:space="preserve">arginine kinase </t>
  </si>
  <si>
    <t>R</t>
  </si>
  <si>
    <t>arginine kinase</t>
  </si>
  <si>
    <t>Creatine kinases - probable fragment</t>
  </si>
  <si>
    <t>AGAP012924-PA</t>
  </si>
  <si>
    <t xml:space="preserve"> creatine kinase</t>
  </si>
  <si>
    <t>Trypanosoma cruzi strain CL Brener</t>
  </si>
  <si>
    <t>cd07932, arginine_kinase_like, Phosphagen (guanidino) kinases such as arginine kinase and similar enzymes.  Eukaryotic arginine kinase-like phosphagen (guanidino) kinases are enzymes that transphosphorylate a high energy phosphoguanidino compound, like phosphoarginine in the case of arginine kinase (AK), which is used as an energy-storage and -transport metabolite, to ADP, thereby creating ATP. The substrate binding site is located in the cleft between the N and C-terminal domains, but most of the catalytic residues are found in the larger C-terminal domain. Besides AK, one of the most studied members of this family, this model also represents a phosphagen kinase with different substrate specificity, hypotaurocyamine kinase (HTK).</t>
  </si>
  <si>
    <t>arginine_kinase_like e-120| eukaryotic_phosphagen_kinases 2e-087| creatine_kinase_like 1e-065| ATP-gua_Ptrans 7e-050| phosphagen_kinases 1e-049| ATP-gua_PtransN 2e-031| PRK01059 1e-012| bacterial_phosphagen_kinase 2e-012| COG3869 5e-009| REB1 |</t>
  </si>
  <si>
    <t>KOG3581, KOG3581, KOG3581, Creatine kinases [Energy production and conversion].</t>
  </si>
  <si>
    <t>pfam00217, ATP-gua_Ptrans, ATP:guanido phosphotransferase, C-terminal catalytic domain.  The substrate binding site is located in the cleft between N and C-terminal domains, but most of the catalytic residues are found in the larger C-terminal domain.</t>
  </si>
  <si>
    <t>smart01092, CO_deh_flav_C, CO dehydrogenase flavoprotein C-terminal domain.</t>
  </si>
  <si>
    <t xml:space="preserve"> AgamP4_UNKN:39405743-39406543(-) </t>
  </si>
  <si>
    <t xml:space="preserve">1 | 134    TRVRCGR|SM  0.633 *ProP*  | </t>
  </si>
  <si>
    <t>WC</t>
  </si>
  <si>
    <t>AGAP013102.R255</t>
  </si>
  <si>
    <t>28S ribosomal protein S12, mitochondrial</t>
  </si>
  <si>
    <t>VectorBase: AGAP013102</t>
  </si>
  <si>
    <t>AGAP013189-RA</t>
  </si>
  <si>
    <t>Fatty acid-binding protein FABP</t>
  </si>
  <si>
    <t>AGAP013189-PA</t>
  </si>
  <si>
    <t xml:space="preserve"> fatty acid-binding protein</t>
  </si>
  <si>
    <t>pfam00061, Lipocalin, Lipocalin / cytosolic fatty-acid binding protein family.  Lipocalins are transporters for small hydrophobic molecules, such as lipids, steroid hormones, bilins, and retinoids. The family also encompasses the enzyme prostaglandin D synthase (EC:5.3.99.2). Alignment subsumes both the lipocalin and fatty acid binding protein signatures from PROSITE. This is supported on structural and functional grounds. The structure is an eight-stranded beta barrel.</t>
  </si>
  <si>
    <t>Lipocalin 6e-006| Lipocalin_7 3e-004| YegD_like | PHA03257 | CH | rpoB | LanC_SerThrkinase | SAM_kazrin_repeat2 | NadD | Csm1 |</t>
  </si>
  <si>
    <t>KOG4015, KOG4015, KOG4015, Fatty acid-binding protein FABP [Lipid transport and metabolism].</t>
  </si>
  <si>
    <t xml:space="preserve"> AgamP4_2R:36147769-36152023(+) </t>
  </si>
  <si>
    <t>AGAP013301-RB</t>
  </si>
  <si>
    <t>mucin-5AC isoform X2 - 76 OH-glycosylation sites -  76 NetOglyc sites</t>
  </si>
  <si>
    <t>s/</t>
  </si>
  <si>
    <t>AGAP013301-PB</t>
  </si>
  <si>
    <t xml:space="preserve"> mucin-5ac-like isoform x2 - 76 OH-glycosylation sites -  76 NetOglyc sites</t>
  </si>
  <si>
    <t>cd00083, HLH, 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t>
  </si>
  <si>
    <t>HLH 1e-011| HLH 4e-011| HLH 2e-009| PHA03247 3e-007| Macoilin 9e-007| PRK07764 2e-006| KAR9 9e-005| PRK12323 4e-004| PRK07003 5e-004| PRK12688 0.004|</t>
  </si>
  <si>
    <t>KOG2483, KOG2483, KOG2483, Upstream transcription factor 2/L-myc-2 protein [Transcription].</t>
  </si>
  <si>
    <t>pfam00010, HLH, Helix-loop-helix DNA-binding domain.</t>
  </si>
  <si>
    <t>smart00353, HLH, helix loop helix domain.</t>
  </si>
  <si>
    <t xml:space="preserve"> AgamP4_2R:30228170-30243938(+) </t>
  </si>
  <si>
    <t>AGAP013376-RA</t>
  </si>
  <si>
    <t xml:space="preserve">39S ribosomal protein L41, mitochondrial </t>
  </si>
  <si>
    <t>mRpL41: 39S ribosomal protein L41, mitochondrial</t>
  </si>
  <si>
    <t>39S ribosomal protein L41 mitochondrial</t>
  </si>
  <si>
    <t>AGAP013376-PA</t>
  </si>
  <si>
    <t xml:space="preserve"> trfhmy7fhmy7 anoga 39s ribosomal protein l4</t>
  </si>
  <si>
    <t>pfam09809, MRP-L27, Mitochondrial ribosomal protein L27.  Members of this family of proteins are components of the mitochondrial ribosome large subunit. They are also involved in apoptosis and cell cycle regulation.</t>
  </si>
  <si>
    <t>MRP-L27 6e-019| IrpA | Trp_DMAT | Death_2 | PRK07854 | GDPD_EcGlpQ_like_1 | PyrG | COG1659 | PRK09277 | Tryptophan_dimethylallyltransferase_2 |</t>
  </si>
  <si>
    <t>KOG4756, KOG4756, KOG4756, Mitochondrial ribosomal protein L27 [Translation, ribosomal structure and biogenesis].</t>
  </si>
  <si>
    <t>smart00640, Glyco_32, Glycosyl hydrolases family 32.</t>
  </si>
  <si>
    <t xml:space="preserve"> AgamP4_2R:581562-582038(-) </t>
  </si>
  <si>
    <t>AGAP013400-RA</t>
  </si>
  <si>
    <t>AGAP013400-PA</t>
  </si>
  <si>
    <t xml:space="preserve"> AgamP4_2R:36156909-36161168(-) </t>
  </si>
  <si>
    <t>AGAP013401-RA</t>
  </si>
  <si>
    <t>Ribosomal lysine N-methyltransferase set11</t>
  </si>
  <si>
    <t>AGAP013401-PA</t>
  </si>
  <si>
    <t xml:space="preserve"> histone h3-lysine79 n-trimethyltransferase</t>
  </si>
  <si>
    <t>ExpAA=0.19 First60=0.00 PredHel=0 Topology=o</t>
  </si>
  <si>
    <t>pfam10804, DUF2538, Protein of unknown function (DUF2538).  This family of proteins has no known function.</t>
  </si>
  <si>
    <t>DUF2538 | COG4990 | PIN_MtRv0301 | AAA_13 | putative_carbon-nitrogen_hydrolase | NhaB | PLN02858 | Hexose_dehydrat | SET | SEN1_N |</t>
  </si>
  <si>
    <t>KOG1337, KOG1337, KOG1337, N-methyltransferase [General function prediction only].</t>
  </si>
  <si>
    <t>smart00317, SET, SET (Su(var)3-9, Enhancer-of-zeste, Trithorax) domain.  Putative methyl transferase, based on outlier plant homologues.</t>
  </si>
  <si>
    <t xml:space="preserve"> AgamP4_2L:30506588-30507943(+) </t>
  </si>
  <si>
    <t>AGAP013748-RA</t>
  </si>
  <si>
    <t xml:space="preserve">mitochondrial import receptor subunit TOM7 homolog </t>
  </si>
  <si>
    <t>mitochondrial import receptor subunit TOM7 homolog</t>
  </si>
  <si>
    <t>AGAP013748-PA</t>
  </si>
  <si>
    <t xml:space="preserve"> tra0a82igm7a0a82igm7 anoar mitochondrial import receptor subunit tom7 protein</t>
  </si>
  <si>
    <t>ExpAA=11.41 First60=11.41 PredHel=0 Topology=o</t>
  </si>
  <si>
    <t>pfam08038, Tom7, TOM7 family.  This family consists of TOM7 family of mitochondrial import receptors. TOM7 forms part of the translocase of the outer mitochondrial membrane (TOM) complex and it appears to function as a modulator of the dynamics of the mitochondrial protein transport machinery by promoting the dissociation of subunits of the outer membrane translocase.</t>
  </si>
  <si>
    <t>Tom7 3e-010|</t>
  </si>
  <si>
    <t>KOG4449, KOG4449, KOG4449, Translocase of outer mitochondrial membrane complex, subunit TOM7 [Intracellular trafficking, secretion, and vesicular transport].</t>
  </si>
  <si>
    <t>smart00854, PGA_cap, Bacterial capsule synthesis protein PGA_cap. This protein is a putative poly-gamma-glutamate capsule biosynthesis protein found in bacteria. Poly-gamma-glutamate is a natural polymer that may be involved in virulence and may help bacteria survive in high salt concentrations. It is a surface-associated protein.</t>
  </si>
  <si>
    <t xml:space="preserve"> AgamP4_3R:51275828-51276082(+) </t>
  </si>
  <si>
    <t>W(3.99)</t>
  </si>
  <si>
    <t>AGAP028364-RA</t>
  </si>
  <si>
    <t xml:space="preserve">cytochrome c oxidase subunit I [Source:European Nucleotide Archive;Acc:COX1] </t>
  </si>
  <si>
    <t>S</t>
  </si>
  <si>
    <t>COX1: cytochrome c oxidase subunit I</t>
  </si>
  <si>
    <t>cytochrome c oxidase subunit I - 12 predicted membrane helices</t>
  </si>
  <si>
    <t>AGAP028364-PA</t>
  </si>
  <si>
    <t xml:space="preserve"> protein - 12 predicted membrane helices</t>
  </si>
  <si>
    <t xml:space="preserve"> 202-203</t>
  </si>
  <si>
    <t>ExpAA=269.93 First60=27.82 PredHel=12 Topology=i13-35o55-77i98-120o145-167i180-202o234-256i269-291o301-323i335-357o372-394i407-429o449-471i</t>
  </si>
  <si>
    <t>Monosiga brevicollis ATCC 50154</t>
  </si>
  <si>
    <t>MTH00153, COX1, cytochrome c oxidase subunit I; Provisional.</t>
  </si>
  <si>
    <t>COX1 | Cyt_c_Oxidase_I | COX1 | COX1 | COX1 | COX1 | COX1 | COX1 | COX1 | COX1 |</t>
  </si>
  <si>
    <t>KOG4769, KOG4769, KOG4769, Cytochrome c oxidase, subunit I [Energy production and conversion].</t>
  </si>
  <si>
    <t>pfam00115, COX1, Cytochrome C and Quinol oxidase polypeptide I.</t>
  </si>
  <si>
    <t>W(3.04)</t>
  </si>
  <si>
    <t>AGAP028366-RA</t>
  </si>
  <si>
    <t xml:space="preserve">cytochrome c oxidase subunit II [Source:European Nucleotide Archive;Acc:COX2] </t>
  </si>
  <si>
    <t>COX2: cytochrome c oxidase subunit II</t>
  </si>
  <si>
    <t>Cytochrome c oxidase subunit II - 3 predicted membrane helices</t>
  </si>
  <si>
    <t>AGAP028366-PA</t>
  </si>
  <si>
    <t xml:space="preserve"> cytochrome c oxidase subunit ii mitochondrion - 3 predicted membrane helices</t>
  </si>
  <si>
    <t xml:space="preserve"> 43-44</t>
  </si>
  <si>
    <t>ExpAA=44.12 First60=24.42 PredHel=2 Topology=o26-48i55-77o</t>
  </si>
  <si>
    <t>Anopheles merus</t>
  </si>
  <si>
    <t>MTH00154, COX2, cytochrome c oxidase subunit II; Provisional.</t>
  </si>
  <si>
    <t>COX2 e-130| COX2 e-106| COX2 e-104| COX2 e-103| COX2 e-103| COX2 e-101| COX2 e-100| COX2 2e-098| COX2 3e-093| COX2 3e-093|</t>
  </si>
  <si>
    <t>KOG4767, KOG4767, KOG4767, Cytochrome c oxidase, subunit II, and related proteins [Energy production and conversion].</t>
  </si>
  <si>
    <t>pfam00116, COX2, Cytochrome C oxidase subunit II, periplasmic domain.</t>
  </si>
  <si>
    <t>smart00098, alkPPc, Alkaline phosphatase homologues.</t>
  </si>
  <si>
    <t>AGAP028370-RA</t>
  </si>
  <si>
    <t xml:space="preserve">adenosine triphosphatase subunit 6 [Source:European Nucleotide Archive;Acc:ATP6] </t>
  </si>
  <si>
    <t>ATP6: adenosine triphosphatase subunit 6</t>
  </si>
  <si>
    <t>ATP synthase F0 subunit 6 - 6 predicted membrane helices</t>
  </si>
  <si>
    <t>AGAP028370-PA</t>
  </si>
  <si>
    <t xml:space="preserve"> atp6 - 6 predicted membrane helices</t>
  </si>
  <si>
    <t>ExpAA=114.37 First60=21.18 PredHel=5 Topology=i20-39o72-94i101-120o158-180i187-209o</t>
  </si>
  <si>
    <t>Gloeochaete wittrockiana</t>
  </si>
  <si>
    <t>MTH00157, ATP6, ATP synthase F0 subunit 6; Provisional.</t>
  </si>
  <si>
    <t>ATP6 6e-091| ATP6 1e-046| ATP_synthase_subunit_a 2e-045| ATP6 8e-036| ATP6 2e-034| ATP6 3e-034| ATP6 5e-034| ATP6 1e-033| ATP6 5e-032| ATP6 8e-030|</t>
  </si>
  <si>
    <t>KOG4665, KOG4665, KOG4665, ATP synthase F0 subunit 6 and related proteins [Energy production and conversion].</t>
  </si>
  <si>
    <t>pfam00119, ATP-synt_A, ATP synthase A chain.</t>
  </si>
  <si>
    <t>AGAP028371-RA</t>
  </si>
  <si>
    <t xml:space="preserve">cytochrome c oxidase subunit III [Source:European Nucleotide Archive;Acc:COX3] </t>
  </si>
  <si>
    <t>COX3: cytochrome c oxidase subunit III</t>
  </si>
  <si>
    <t>Cytochrome oxidase subunit III - 7 predicted membrane helices - GPI anchored</t>
  </si>
  <si>
    <t>met/energy membrane/gpi</t>
  </si>
  <si>
    <t>AGAP028371-PA</t>
  </si>
  <si>
    <t xml:space="preserve"> protein - 7 predicted membrane helices - GPI anchored</t>
  </si>
  <si>
    <t>ExpAA=136.04 First60=26.00 PredHel=6 Topology=o36-58i79-101o121-143i164-183o198-220i241-260o</t>
  </si>
  <si>
    <t>Anopheles coluzzii</t>
  </si>
  <si>
    <t>Ancoracysta twista</t>
  </si>
  <si>
    <t>MTH00155, COX3, cytochrome c oxidase subunit III; Provisional.</t>
  </si>
  <si>
    <t>COX3 e-134| COX3 e-123| COX3 e-120| COX3 e-115| COX3 e-112| COX3 e-111| COX3 e-111| COX3 e-111| COX3 e-111| COX3 e-107|</t>
  </si>
  <si>
    <t>KOG4664, KOG4664, KOG4664, Cytochrome oxidase subunit III and related proteins [Energy production and conversion].</t>
  </si>
  <si>
    <t>pfam00510, COX3, Cytochrome c oxidase subunit III.</t>
  </si>
  <si>
    <t>F(3.12)W(5.15)</t>
  </si>
  <si>
    <t>AGAP028380-RA</t>
  </si>
  <si>
    <t xml:space="preserve">NADH dehydrogenase subunit 5 [Source:European Nucleotide Archive;Acc:ND5] </t>
  </si>
  <si>
    <t>ND5: NADH dehydrogenase subunit 5</t>
  </si>
  <si>
    <t>NADH dehydrogenase subunits 2 5 - 16 predicted membrane helices - GPI anchored</t>
  </si>
  <si>
    <t>AGAP028380-PA</t>
  </si>
  <si>
    <t xml:space="preserve"> ubiquinone oxidoreductase subunit 5 chain l/multisubunit na+/h+ antiporter - 16 predicted membrane helices - GPI anchored</t>
  </si>
  <si>
    <t>ExpAA=341.12 First60=29.18 PredHel=16 Topology=i12-34o54-76i88-107o111-132i153-174o184-206i213-235o245-267i274-293o298-320i341-363o373-395i424-446o461-483i490-512o560-579i</t>
  </si>
  <si>
    <t>Choreocolax polysiphoniae</t>
  </si>
  <si>
    <t>MTH00165, ND5, NADH dehydrogenase subunit 5; Provisional.</t>
  </si>
  <si>
    <t>ND5 | ND5 e-145| ND5 e-140| ND5 e-133| ND5 e-105| ND5 1e-092| ND5 2e-091| ND5 1e-085| ND5 2e-085| NADH-quinone_oxidoreductase_subunit_L 2e-081|</t>
  </si>
  <si>
    <t>KOG4668, KOG4668, KOG4668, NADH dehydrogenase subunits 2, 5, and related proteins [Energy production and conversion].</t>
  </si>
  <si>
    <t>pfam00361, Proton_antipo_M, Proton-conducting membrane transporter. This is a family of membrane transporters that inlcudes some 7 of potentially 14-16 TM regions. In many instances the family forms part of complex I that catalyzes the transfer of two electrons from NADH to ubiquinone in a reaction that is associated with proton translocation across the membrane, and in this context is a combination predominantly of subunits 2, 4, 5, 14, L, M and N. In many bacterial species these proteins are probable stand-alone transporters not coupled with oxidoreduction. The family in total represents homologs across the phyla.</t>
  </si>
  <si>
    <t>smart00561, MBT, Present in Drosophila Scm, l(3)mbt, and vertebrate SCML2.  Present in Drosophila Scm, l(3)mbt, and vertebrate SCML2. These proteins are involved in transcriptional regulation.</t>
  </si>
  <si>
    <t>V</t>
  </si>
  <si>
    <t>ExpAA=341.34 First60=29.52 PredHel=16 Topology=i12-34o54-76i88-107o111-132i153-174o184-206i213-235o245-267i274-293o298-320i341-363o373-395i424-446o461-483i490-512o560-579i</t>
  </si>
  <si>
    <t>M(3.88)</t>
  </si>
  <si>
    <t>AGAP028382-RA</t>
  </si>
  <si>
    <t xml:space="preserve">NADH dehydrogenase subunit 4 [Source:European Nucleotide Archive;Acc:ND4] </t>
  </si>
  <si>
    <t>ND4: NADH dehydrogenase subunit 4</t>
  </si>
  <si>
    <t>NADH dehydrogenase subunit 4 - 14 predicted membrane helices</t>
  </si>
  <si>
    <t>AGAP028382-PA</t>
  </si>
  <si>
    <t xml:space="preserve"> ubiquinone oxidoreductase subunit 4 chain m - 14 predicted membrane helices</t>
  </si>
  <si>
    <t xml:space="preserve"> 396-397</t>
  </si>
  <si>
    <t>ExpAA=289.96 First60=36.01 PredHel=13 Topology=i20-42o57-76i88-105o110-132i139-161o181-203i216-238o248-267i274-296o301-323i336-358o380-402i409-431o</t>
  </si>
  <si>
    <t>Peronospora tabacina</t>
  </si>
  <si>
    <t>MTH00163, ND4, NADH dehydrogenase subunit 4; Provisional.</t>
  </si>
  <si>
    <t>ND4 e-145| ND4 e-114| ND4 e-110| ND4 e-108| ND4 e-104| ND4 e-100| ND4 1e-097| ND4 4e-097| ND4 3e-090| ND4 2e-082|</t>
  </si>
  <si>
    <t>KOG4845, KOG4845, KOG4845, NADH dehydrogenase, subunit 4 [Energy production and conversion].</t>
  </si>
  <si>
    <t>smart01102, CRM1_C, CRM1 C terminal.  CRM1 (also known as Exportin1) mediates the nuclear export of proteins bearing a leucine-rich nuclear export signal (NES). CRM1 forms a complex with the NES containing protein and the small GTPase Ran. This region forms an alpha helical structure formed by six helical hairpin motifs that are structurally similar to the HEAT repeat, but share little sequence similarity to the HEAT repeat.</t>
  </si>
  <si>
    <t>AGAP028387-RA</t>
  </si>
  <si>
    <t xml:space="preserve">cytochrome b [Source:European Nucleotide Archive;Acc:CYTB] </t>
  </si>
  <si>
    <t>CYTB: cytochrome b</t>
  </si>
  <si>
    <t>cytochrome b - 10 predicted membrane helices</t>
  </si>
  <si>
    <t>AGAP028387-PA</t>
  </si>
  <si>
    <t xml:space="preserve"> protein - 10 predicted membrane helices</t>
  </si>
  <si>
    <t>ExpAA=201.37 First60=22.90 PredHel=9 Topology=i36-58o78-100i112-134o144-166i179-201o230-252i289-308o323-341i348-370o</t>
  </si>
  <si>
    <t>MTH00156, CYTB, cytochrome b; Provisional.</t>
  </si>
  <si>
    <t>CYTB | CYTB e-177| CYTB e-175| CYTB e-174| CYTB e-172| CYTB e-172| CYTB e-168| CYTB e-167| CYTB e-159| CYTB e-148|</t>
  </si>
  <si>
    <t>KOG4663, KOG4663, KOG4663, Cytochrome b [Energy production and conversion].</t>
  </si>
  <si>
    <t>pfam00033, Cytochrome_B, Cytochrome b/b6/petB.</t>
  </si>
  <si>
    <t>W(3.85)</t>
  </si>
  <si>
    <t>AGAP028389-RA</t>
  </si>
  <si>
    <t xml:space="preserve">NADH dehydrogenase subunit 1 [Source:European Nucleotide Archive;Acc:ND1] </t>
  </si>
  <si>
    <t>ND1: NADH dehydrogenase subunit 1</t>
  </si>
  <si>
    <t>NADH dehydrogenase subunit 1 - signalP detected - 8 predicted membrane helices</t>
  </si>
  <si>
    <t>AGAP028389-PA</t>
  </si>
  <si>
    <t xml:space="preserve"> ubiquinone oxidoreductase subunit 1 chain h - signalP detected - 8 predicted membrane helices</t>
  </si>
  <si>
    <t>ExpAA=176.45 First60=22.33 PredHel=8 Topology=i5-27o76-98i105-127o147-169i176-195o225-247i252-271o291-313i</t>
  </si>
  <si>
    <t>Anopheles arabiensis</t>
  </si>
  <si>
    <t>Emiliania huxleyi</t>
  </si>
  <si>
    <t>MTH00193, ND1, NADH dehydrogenase subunit 1; Provisional.</t>
  </si>
  <si>
    <t>ND1 e-127| ND1 e-111| ND1 e-103| ND1 1e-096| ND1 2e-094| ND1 2e-094| ND1 4e-094| ND1 7e-094| ND1 4e-090| ND1 1e-086|</t>
  </si>
  <si>
    <t>KOG4770, KOG4770, KOG4770, NADH dehydrogenase subunit 1 [Energy production and conversion].</t>
  </si>
  <si>
    <t>pfam00146, NADHdh, NADH dehydrogenase.</t>
  </si>
  <si>
    <t>smart00793, AgrB, Accessory gene regulator B.  The accessory gene regulator (agr) of Staphylococcus aureus is the central regulatory system that controls the gene expression for a large set of virulence factors. The arg locus consists of two transcripts: RNAII and RNAIII. RNAII encodes four genes (agrA, B, C, and D) whose gene products assemble a quorum sensing system. At low cell density, the agr genes are continuously expressed at basal levels. A signal molecule, autoinducing peptide (AIP), produced and secreted by the bacteria, accumulates outside of the cells. When the cell density increases and the AIP concentration reaches a threshold, it activates the agr response, i.e. activation of secreted protein gene expression and subsequent repression of cell wall-associated protein genes. AgrB and AgrD are essential for the production of the autoinducing peptide which functions as a signal for quorum sensing. AgrB is a transmembrane protein. AgrB is involved in the proteolytic processing of AgrD and may have both proteolytic enzyme activity and a transporter facilitating the export of the processed AgrD peptide.</t>
  </si>
  <si>
    <t>F(3.9)</t>
  </si>
  <si>
    <t>AGAP028398-RA</t>
  </si>
  <si>
    <t>Unknown product</t>
  </si>
  <si>
    <t>uk</t>
  </si>
  <si>
    <t>AGAP028398-PA</t>
  </si>
  <si>
    <t>Eimeria acervulina</t>
  </si>
  <si>
    <t>pfam01969, DUF111, Protein of unknown function DUF111.  This prokaryotic family has no known function.</t>
  </si>
  <si>
    <t>DUF111 | Fur | PLN02768 | TMEM171 | PTZ00110 | PLN02304 | DUF2855 | PRK10019 | SelP_N |</t>
  </si>
  <si>
    <t>KOG0595, KOG0595, KOG0595, Serine/threonine-protein kinase involved in autophagy [Posttranslational modification, protein turnover, chaperones, Intracellular trafficking, secretion, and vesicular transport, Signal transduction mechanisms].</t>
  </si>
  <si>
    <t xml:space="preserve">Posttranslational modification, protein turnover, chaperones, Intracellular trafficking, secretion, and vesicular transport, Signal transduction mechanisms </t>
  </si>
  <si>
    <t xml:space="preserve"> AgamP4_2L:26803039-26804133(+) </t>
  </si>
  <si>
    <t>AGAP028494-RA</t>
  </si>
  <si>
    <t>hypothetical secreted protein precursor</t>
  </si>
  <si>
    <t>s/uk</t>
  </si>
  <si>
    <t>AGAP028494-PA</t>
  </si>
  <si>
    <t>ExpAA=2.29 First60=2.29 PredHel=0 Topology=o</t>
  </si>
  <si>
    <t>Bicyclus anynana</t>
  </si>
  <si>
    <t>Treponema pallidum subsp. pallidum (strain SS14)</t>
  </si>
  <si>
    <t>PRK06205, PRK06205, acetyl-CoA acetyltransferase; Provisional.</t>
  </si>
  <si>
    <t>PRK06205 | FHIPEP | DUF4419 | PRK14288 | PRK09834 | PRK09709 | M3A_TOP | M3A | PLN02372 | Peptidase_M3 |</t>
  </si>
  <si>
    <t>KOG1565, KOG1565, KOG1565, Gelatinase A and related matrix metalloproteases [Posttranslational modification, protein turnover, chaperones, Extracellular structures].</t>
  </si>
  <si>
    <t xml:space="preserve">Posttranslational modification, protein turnover, chaperones, Extracellular structures </t>
  </si>
  <si>
    <t>pfam00771, FHIPEP, FHIPEP family.</t>
  </si>
  <si>
    <t>smart00160, RanBD, Ran-binding domain.  Domain of apporximately 150 residues that stabilises the GTP-bound form of Ran (the Ras-like nuclear small GTPase).</t>
  </si>
  <si>
    <t xml:space="preserve"> AgamP4_3L:2435596-2436091(+) </t>
  </si>
  <si>
    <t xml:space="preserve">1 | 40    RLVRSRR|QS  0.656 *ProP*  | </t>
  </si>
  <si>
    <t>AGAP028693-RA</t>
  </si>
  <si>
    <t xml:space="preserve">40S ribosomal protein S18 </t>
  </si>
  <si>
    <t>RpS18: 40S ribosomal protein S18</t>
  </si>
  <si>
    <t>40S ribosomal protein S18</t>
  </si>
  <si>
    <t>AGAP028693-PA</t>
  </si>
  <si>
    <t xml:space="preserve"> 40s ribosomal protein s18</t>
  </si>
  <si>
    <t>PTZ00134, PTZ00134, 40S ribosomal protein S18; Provisional.</t>
  </si>
  <si>
    <t>PTZ00134 9e-068| rps13p 8e-047| Ribosomal_S13 8e-044| uS13_arch 2e-042| RpsM 2e-031| rpsM 2e-014| uS13_bact 1e-013| rps13 7e-010| TIGR00275 0.057| Period_C |</t>
  </si>
  <si>
    <t>KOG3311, KOG3311, KOG3311, Ribosomal protein S18 [Translation, ribosomal structure and biogenesis].</t>
  </si>
  <si>
    <t>pfam00416, Ribosomal_S13, Ribosomal protein S13/S18.  This family includes ribosomal protein S13 from prokaryotes and S18 from eukaryotes.</t>
  </si>
  <si>
    <t xml:space="preserve"> AgamP4_3L:2341073-2341768(+) </t>
  </si>
  <si>
    <t xml:space="preserve">1 | 144    TTGRRGR|TV  0.582 *ProP*  | </t>
  </si>
  <si>
    <t>AGAP029082-RA</t>
  </si>
  <si>
    <t>ribosomal protein 63 mitochondrial-like</t>
  </si>
  <si>
    <t>AGAP029082-PA</t>
  </si>
  <si>
    <t xml:space="preserve"> ribosomal protein 63</t>
  </si>
  <si>
    <t>pfam14978, MRP-63, Mitochondrial ribosome protein 63.  This family of proteins is present in the intact 55S subunit of the mitochondrial ribosome. It is not known if it belongs to the 28S or to the 39S subunit.</t>
  </si>
  <si>
    <t>MRP-63 5e-024| PLN02529 | COG3959 | PHA03139 | PRK06425 | PLN02222 | DUF3598 |</t>
  </si>
  <si>
    <t>KOG0066, KOG0066, KOG0066, eIF2-interacting protein ABC50 (ABC superfamily) [Translation, ribosomal structure and biogenesis].</t>
  </si>
  <si>
    <t xml:space="preserve"> AgamP4_2R:45774088-45774469(-) </t>
  </si>
  <si>
    <t>AGAP029325-RA</t>
  </si>
  <si>
    <t>AGAP029325-PA</t>
  </si>
  <si>
    <t>ExpAA=1.93 First60=1.92 PredHel=0 Topology=o</t>
  </si>
  <si>
    <t>FReD 3e-052| FBG 5e-046| Fibrinogen_C 3e-036| hypothetical_protein 0.068| HemX | COG4942 | Alanine--tRNA_ligase | PRK06975 | COG2378 | HAUS-augmin3 |</t>
  </si>
  <si>
    <t xml:space="preserve"> AgamP4_3L:20094620-20095606(-) </t>
  </si>
  <si>
    <t xml:space="preserve">1 | 127    ISSRSCK|AA  0.561 *ProP*  | </t>
  </si>
  <si>
    <t>AGAP029343-RA</t>
  </si>
  <si>
    <t>AGAP029343-PA</t>
  </si>
  <si>
    <t>ExpAA=21.34 First60=21.34 PredHel=1 Topology=o4-26i</t>
  </si>
  <si>
    <t>Rhizobium leguminosarum bv. viciae (strain 3841)</t>
  </si>
  <si>
    <t>cd15201, 7tmA_HCAR1-3, hydroxycarboxylic acid receptors, member of the class A family of seven-transmembrane G protein-coupled receptors.  Hydroxycarboxylic acid receptor (HCAR) subfamily, a member of the class A G-protein coupled receptors (GPCRs), contains three receptor subtypes: HCAR1, HCAR2, and HCAR3. The endogenous ligand of HCAR1 (also known as lactate receptor 1, GPR104, or GPR81) is L-lactic acid. The endogenous ligands of HCAR2 (also known as niacin receptor 1, GPR109A, or nicotinic acid receptor) and HCAR3 (also known as niacin receptor 2 or GPR109B) are 3-hydroxybutyric acid and 3-hydroxyoctanoic acid, respectively. Because nicotinic acid is capable of stimulating HCAR2 at higher concentrations only (in the range of sub-micromolar concentration), it is unlikely that nicotinic acts as a physiological ligand of HCAR2. All three receptors are expressed in adipocytes and mediate anti-lipolytic effects in fat cells through G(i) type G protein-dependent inhibition of adenylate cyclase.</t>
  </si>
  <si>
    <t>7tmA_HCAR1-3 | PTZ00448 | CESA_CaSu_A2 | SSL2 | 7tm_Opsins_type1 | COG5076 | GlnD | M3B_PepF_2 | POLBc_epsilon |</t>
  </si>
  <si>
    <t>KOG1148, KOG1148, KOG1148, Glutaminyl-tRNA synthetase [Translation, ribosomal structure and biogenesis].</t>
  </si>
  <si>
    <t>pfam14286, DHHW, DHHW protein.  This family of proteins is found in bacteria. Proteins in this family are typically between 366 and 404 amino acids in length. There is a conserved DHHW motif. There is some distant homology to the Lipase_GDSL_2 family.</t>
  </si>
  <si>
    <t>smart00574, POX, domain associated with HOX domains.</t>
  </si>
  <si>
    <t xml:space="preserve"> AgamP4_2L:49195079-49195549(+) </t>
  </si>
  <si>
    <t>W(3.96)</t>
  </si>
  <si>
    <t>AGAP029367-RA</t>
  </si>
  <si>
    <t>AGAP029367-PA</t>
  </si>
  <si>
    <t>ExpAA=21.13 First60=21.13 PredHel=1 Topology=o4-23i</t>
  </si>
  <si>
    <t>Microplitis demolitor</t>
  </si>
  <si>
    <t>Saccharomyces cerevisiae (strain ATCC 204508 / S288c)</t>
  </si>
  <si>
    <t>cd15374, 7tmA_P2Y4, P2Y purinoceptor 4, member of the class A family of seven-transmembrane G protein-coupled receptors.  P2Y4 belongs to the P2Y receptor family of purinergic G-protein coupled receptors. This family is composed of eight subtypes, which are activated by naturally occurring extracellular nucleotides such as ATP, ADP, UTP, UDP, and UDP-glucose. These eight receptors are ubiquitous in human tissues and can be further classified into two subfamilies based on sequence homology and second messenger coupling: a subfamily of five P2Y1-like receptors (P2Y1, P2Y2, P2Y4, P2Y6, and P2Y11Rs) that are coupled to G(q) protein to activate phospholipase C (PLC) and a second subfamily of three P2Y12-like receptors (P2Y12, P2YR13, and P2Y14Rs) that are coupled to G(i) protein to inhibit adenylate cyclase. Several cloned subtypes, such as P2Y3, P2Y5, and P2Y7-10, are not functional mammalian nucleotide receptors. The native agonists for P2Y receptors are: ATP (P2Y2, P2Y12), ADP (P2Y1, P2Y12, and P2Y13), UTP (P2Y2, P2Y4), UDP (P2Y6, P2Y14), and UDP-glucose (P2Y14).</t>
  </si>
  <si>
    <t>7tmA_P2Y4 | PRK12704 | Respiratory_nitrate_reductase_1_alpha_...    26   3.0   | DUF1092 | PRK09053 | PRK13014 | conj_TIGR03746 | P12 | Tmemb_14 | COG4603 |</t>
  </si>
  <si>
    <t>KOG3755, KOG3755, KOG3755, SATB1 matrix attachment region binding protein [Transcription].</t>
  </si>
  <si>
    <t>pfam06485, DUF1092, Protein of unknown function (DUF1092).  This family consists of several hypothetical proteins of unknown function all from photosynthetic organisms including plants and cyanobacteria.</t>
  </si>
  <si>
    <t>smart00725, NEAT, NEAr Transporter domain.</t>
  </si>
  <si>
    <t xml:space="preserve"> AgamP4_2L:48235858-48236218(+) </t>
  </si>
  <si>
    <t>Glossina fuscipes</t>
  </si>
  <si>
    <t>AGAP029464-RA</t>
  </si>
  <si>
    <t>Sulfate/bicarbonate/oxalate exchanger SAT-1 - 11 predicted membrane helices</t>
  </si>
  <si>
    <t>AGAP029464-PA</t>
  </si>
  <si>
    <t xml:space="preserve"> solute carrier family 26 member 6 - 11 predicted membrane helices</t>
  </si>
  <si>
    <t>ExpAA=241.39 First60=0.00 PredHel=11 Topology=o126-148i155-174o184-206i211-233o264-286i298-320o351-373i386-408o423-442i449-468o483-505i</t>
  </si>
  <si>
    <t>TIGR00815, Sulfate_transporter, high affinity sulphate transporter 1.  The SulP family is a large and ubiquitous family with over 30 sequenced members derived from bacteria, fungi, plants and animals. Many organisms including Bacillus subtilis, Synechocystis sp, Saccharomyces cerevisiae, Arabidopsis thaliana and Caenorhabditis elegans possess multiple SulP family paralogues. Many of these proteins are functionally characterized, and all are sulfate uptake transporters. Some transport their substrate with high affinities, while others transport it with relatively low affinities. Most function by SO42- :H+symport, but SO42- :HCO3- antiport has been reported for the rat protein (spP45380). The bacterial proteins vary in size from 434 residues to 566 residues with one exception, a Mycobacterium tuberculosis protein with 784 residues. The eukaryotic proteins vary in size from 611 residues to 893 residues with one exception, a protein designated "early nodulin 70 protein" from Glycine max which is reported to be of 485 residues. Thus, the eukaryotic proteins are almost without exception larger than the prokaryotic proteins. These proteins exhibit 10-13 putative transmembrane a-helical spanners (TMSs) depending on the protein. The phylogenetic tree for the SulP family reveals five principal branches. Three of these are bacterial specific as follows: one bears a single protein from M. tuberculosis; a second bears two proteins, one from M. tuberculosis, the other from Synechocystis sp, and the third bears all remaining prokaryotic proteins. The remaining two clusters bear only eukaryotic proteins with the animal proteins all localized to one branch and the plant and fungal proteins localized to the other. The generalized transport reactions catalyzed by SulP family proteins are: (1) SO42- (out) + nH+ (out) --==&gt; SO42- (in) + nH+ (in). (2) SO42- (out) + nHCO3- (in) SO42- (in) + nHCO3- (out). [Transport and binding proteins, Anions].</t>
  </si>
  <si>
    <t>Sulfate_transporter e-110| Sulfate_transp 9e-096| SUL1 8e-080| PRK11660 8e-031| STAS_SulP_like_sulfate_transporter 2e-014| STAS 2e-008| SpoIIAA 4e-004| STAS_anti-anti-sigma_factors 0.001| STAS 0.002| UraA 0.004|</t>
  </si>
  <si>
    <t>KOG0236, KOG0236, KOG0236, Sulfate/bicarbonate/oxalate exchanger SAT-1 and related transporters (SLC26 family) [Inorganic ion transport and metabolism].</t>
  </si>
  <si>
    <t>pfam00916, Sulfate_transp, Sulfate permease family.  This family of integral membrane proteins are known as the Sulfate Permease (SulP) family. SulP is a large family found in all domains of life. Although sulfate is a commonly transported ion there are many other activities in this family. See the TCDB description for a comprehensive summary.</t>
  </si>
  <si>
    <t>smart00861, Transket_pyr, Transketolase, pyrimidine binding domain. Transketolase (TK) catalyzes the reversible transfer of a two-carbon ketol unit from xylulose 5-phosphate to an aldose receptor, such as ribose 5-phosphate, to form sedoheptulose 7-phosphate and glyceraldehyde 3- phosphate. This enzyme, together with transaldolase, provides a link between the glycolytic and pentose-phosphate pathways. TK requires thiamine pyrophosphate as a cofactor. In most sources where TK has been purified, it is a homodimer of approximately 70 Kd subunits. TK sequences from a variety of eukaryotic and prokaryotic sources show that the enzyme has been evolutionarily conserved. In the peroxisomes of methylotrophic yeast Hansenula polymorpha, there is a highly related enzyme, dihydroxy-acetone synthase (DHAS) (also known as formaldehyde transketolase), which exhibits a very unusual specificity by including formaldehyde amongst its substrates.</t>
  </si>
  <si>
    <t xml:space="preserve"> AgamP4_3L:8995032-8999050(-) </t>
  </si>
  <si>
    <t xml:space="preserve">1 | 296    KPRVAKR|SV  0.676 *ProP*  | </t>
  </si>
  <si>
    <t>AGAP029688-RA</t>
  </si>
  <si>
    <t>AAEL004454-PA</t>
  </si>
  <si>
    <t>AGAP029688-PA</t>
  </si>
  <si>
    <t xml:space="preserve"> 38-39</t>
  </si>
  <si>
    <t>ExpAA=1.13 First60=1.13 PredHel=0 Topology=o</t>
  </si>
  <si>
    <t>Physcomitrella patens subsp. patens</t>
  </si>
  <si>
    <t>cd08361, PpCmtC_N, N-terminal domain of 2,3-dihydroxy-p-cumate-3,4-dioxygenase (PpCmtC).  This subfamily contains the N-terminal, non-catalytic, domain of PpCmtC. 2,3-dihydroxy-p-cumate-3,4-dioxygenase (CmtC of Pseudomonas putida F1) is a dioxygenase involved in the eight-step catabolism pathway of p-cymene. CmtC acts upon the reaction intermediate 2,3-dihydroxy-p-cumate, yielding 2-hydroxy-3-carboxy-6-oxo-7-methylocta-2,4-dienoate. The CmtC belongs to the type I family of extradiol dioxygenases. Fe2+ was suggested as a cofactor, same as other enzymes in the family. The type I family of extradiol dioxygenases contains two structurally homologous barrel-shaped domains at the N- and C-terminal. The active-site metal is located in the C-terminal barrel and plays an essential role in the catalytic mechanism.</t>
  </si>
  <si>
    <t>PpCmtC_N |</t>
  </si>
  <si>
    <t>KOG3260, KOG3260, KOG3260, Calcyclin-binding protein CacyBP [Signal transduction mechanisms].</t>
  </si>
  <si>
    <t>pfam05943, VipB, Type VI secretion protein, EvpB/VC_A0108, tail sheath.  EvpB is a family of Gram-negative probable type VI secretion system components of the tail sheath. They have been known as COG:COG3517. These sheath-components, of which there are many copies in the sheath, are also variously referred to as VipA/VipB and TssB/TssC. On contact with another bacterial cell the sheath contracts and pushes the puncturing device and tube through the cell envelope and punches the target bacterial cell.</t>
  </si>
  <si>
    <t>smart00085, PA2c, Phospholipase A2.</t>
  </si>
  <si>
    <t xml:space="preserve"> AgamP4_2L:2751829-2752056(-) </t>
  </si>
  <si>
    <t>AGAP029725-RA</t>
  </si>
  <si>
    <t>K</t>
  </si>
  <si>
    <t>TATA-box binding protein (TBP) component of TFIID and TFIIIB</t>
  </si>
  <si>
    <t>AGAP029725-PA</t>
  </si>
  <si>
    <t>ExpAA=2.75 First60=0.00 PredHel=0 Topology=o</t>
  </si>
  <si>
    <t>cd04516, TBP_eukaryotes, eukaryotic TATA box binding protein (TBP): Present in archaea and eukaryotes, TBPs are transcription factors that recognize promoters and initiate transcription. TBP has been shown to be an essential component of three different transcription initiation complexes: SL1, TFIID and TFIIIB, directing transcription by RNA polymerases I, II and III, respectively. TBP binds directly to the TATA box promoter element, where it nucleates polymerase assembly, thus defining the transcription start site. TBP's binding in the minor groove induces a dramatic DNA bending while its own structure barely changes. The conserved core domain of TBP, which binds to the TATA box, has a bipartite structure, with intramolecular symmetry generating a saddle-shaped structure that sits astride the DNA.</t>
  </si>
  <si>
    <t>TBP_eukaryotes 1e-088| PLN00062 6e-085| TBP_TLF 2e-077| SPT15 8e-058| TLF 1e-045| PRK00394 2e-040| TBP_archaea 1e-036| TBP 1e-032| BKACE 0.065| PRK05261 |</t>
  </si>
  <si>
    <t>KOG3302, KOG3302, KOG3302, TATA-box binding protein (TBP), component of TFIID and TFIIIB [Transcription].</t>
  </si>
  <si>
    <t>pfam00352, TBP, Transcription factor TFIID (or TATA-binding protein, TBP).</t>
  </si>
  <si>
    <t>smart00813, Alpha-L-AF_C, Alpha-L-arabinofuranosidase C-terminus. This entry represents the C terminus (approximately 200 residues) of bacterial and eukaryotic alpha-L-arabinofuranosidase. This catalyses the hydrolysis of non-reducing terminal alpha-L-arabinofuranosidic linkages in L-arabinose-containing polysaccharides.</t>
  </si>
  <si>
    <t xml:space="preserve"> AgamP4_3L:13848949-13849498(+) </t>
  </si>
  <si>
    <t>AGAP029732-RA</t>
  </si>
  <si>
    <t>AGAP029732-PA</t>
  </si>
  <si>
    <t xml:space="preserve"> akr1c family of aldo-keto reductase</t>
  </si>
  <si>
    <t>ARA1 2e-092| Aldo_ket_red 2e-078| dkgA 1e-062| Aldo_ket_red 3e-052| dkgB 3e-046| Tas 6e-034| COG1453 2e-018| COG4989 5e-014| tas 3e-008| PLN02587 4e-007|</t>
  </si>
  <si>
    <t xml:space="preserve"> AgamP4_3L:15780405-15781400(+) </t>
  </si>
  <si>
    <t>AGAP029758-RA</t>
  </si>
  <si>
    <t xml:space="preserve">Acyl-coenzyme A oxidase [Source:UniProtKB/TrEMBL;Acc:A0A453Z121] </t>
  </si>
  <si>
    <t>Acyl-coenzyme A oxidase</t>
  </si>
  <si>
    <t>Peroxisomal acyl-CoA oxidase</t>
  </si>
  <si>
    <t>AGAP029758-PA</t>
  </si>
  <si>
    <t xml:space="preserve"> palmitoyl-coa oxidase</t>
  </si>
  <si>
    <t>ExpAA=0.20 First60=0.00 PredHel=0 Topology=o</t>
  </si>
  <si>
    <t>cd01150, AXO, Peroxisomal acyl-CoA oxidase.  Peroxisomal acyl-CoA oxidases (AXO) catalyze the first set in the peroxisomal fatty acid beta-oxidation, the alpha,beta dehydrogenation of the corresponding trans-enoyl-CoA by FAD, which becomes reduced. In a second oxidative half-reaction, the reduced FAD is reoxidized by molecular oxygen. AXO is generally a homodimer, but it has been reported to form a different type of oligomer in yeast. There are several subtypes of AXO's, based on substrate specificity. Palmitoyl-CoA oxidase acts on straight-chain fatty acids and prostanoids; whereas, the closely related Trihydroxycoprostanoly-CoA oxidase has the greatest activity for  2-methyl branched side chains of bile precursors. Pristanoyl-CoA oxidase, acts on 2-methyl branched fatty acids.  AXO has an additional domain, C-terminal to the region with similarity to acyl-CoA dehydrogenases, which is included in this alignment.</t>
  </si>
  <si>
    <t>AXO | PLN02443 e-149| PTZ00460 e-107| PLN02636 6e-070| PLN02312 7e-068| ACOX 3e-059| Acyl-CoA_ox_N 1e-036| ACAD 2e-036| CaiA 1e-017| SCAD_SBCAD 1e-011|</t>
  </si>
  <si>
    <t>KOG0136, KOG0136, KOG0136, Acyl-CoA oxidase [Lipid transport and metabolism].</t>
  </si>
  <si>
    <t>pfam01756, ACOX, Acyl-CoA oxidase.  This is a family of Acyl-CoA oxidases EC:1.3.3.6. Acyl-coA oxidase converts acyl-CoA into trans-2- enoyl-CoA.</t>
  </si>
  <si>
    <t xml:space="preserve">1 | 515    IEQRQKR|GA  0.789 *ProP*  | </t>
  </si>
  <si>
    <t>AGAP029899-RA</t>
  </si>
  <si>
    <t>AGAP029899-PA</t>
  </si>
  <si>
    <t xml:space="preserve"> epithelial splicing regulatory protein 2 isoform x2 - 41 OH-glycosylation sites -  41 NetOglyc sites - GPI anchored</t>
  </si>
  <si>
    <t>st/gpi</t>
  </si>
  <si>
    <t xml:space="preserve"> AgamP4_3L:32335140-32400896(-) </t>
  </si>
  <si>
    <t>ExpAA=0.14 First60=0.04 PredHel=0 Topology=o</t>
  </si>
  <si>
    <t>FC</t>
  </si>
  <si>
    <t xml:space="preserve">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</si>
</sst>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sz val="11"/>
      <color rgb="FF3F3F76"/>
      <name val="Aptos Narrow"/>
      <family val="2"/>
      <scheme val="minor"/>
    </font>
    <font>
      <u/>
      <sz val="11"/>
      <color theme="10"/>
      <name val="Aptos Narrow"/>
      <family val="2"/>
      <scheme val="minor"/>
    </font>
    <font>
      <b/>
      <sz val="12"/>
      <color theme="1"/>
      <name val="Aptos Narrow"/>
      <family val="2"/>
      <scheme val="minor"/>
    </font>
    <font>
      <b/>
      <sz val="11"/>
      <color rgb="FF3176C9"/>
      <name val="Aptos Narrow"/>
      <family val="2"/>
      <scheme val="minor"/>
    </font>
    <font>
      <b/>
      <sz val="12"/>
      <color rgb="FF3F3F76"/>
      <name val="Aptos Narrow"/>
      <family val="2"/>
      <scheme val="minor"/>
    </font>
    <font>
      <sz val="11"/>
      <name val="Aptos Narrow"/>
      <family val="2"/>
      <scheme val="minor"/>
    </font>
  </fonts>
  <fills count="4">
    <fill>
      <patternFill patternType="none"/>
    </fill>
    <fill>
      <patternFill patternType="gray125"/>
    </fill>
    <fill>
      <patternFill patternType="solid">
        <fgColor rgb="FFFFCC99"/>
      </patternFill>
    </fill>
    <fill>
      <patternFill patternType="solid">
        <fgColor rgb="FFFFFFCC"/>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0" fontId="2" fillId="2" borderId="1" applyNumberFormat="0" applyAlignment="0" applyProtection="0"/>
    <xf numFmtId="0" fontId="1" fillId="3" borderId="2" applyNumberFormat="0" applyFont="0" applyAlignment="0" applyProtection="0"/>
    <xf numFmtId="0" fontId="3" fillId="0" borderId="0" applyNumberFormat="0" applyFill="0" applyBorder="0" applyAlignment="0" applyProtection="0"/>
  </cellStyleXfs>
  <cellXfs count="16">
    <xf numFmtId="0" fontId="0" fillId="0" borderId="0" xfId="0"/>
    <xf numFmtId="0" fontId="4" fillId="0" borderId="2" xfId="2" applyFont="1" applyFill="1" applyAlignment="1"/>
    <xf numFmtId="0" fontId="0" fillId="0" borderId="0" xfId="0" applyFill="1"/>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6" fillId="0" borderId="1" xfId="1" applyFont="1" applyFill="1" applyAlignment="1"/>
    <xf numFmtId="0" fontId="5" fillId="0" borderId="5" xfId="0" applyFont="1" applyFill="1" applyBorder="1" applyAlignment="1">
      <alignment horizontal="center" wrapText="1"/>
    </xf>
    <xf numFmtId="0" fontId="4" fillId="0" borderId="2" xfId="2" applyFont="1" applyFill="1" applyAlignment="1">
      <alignment horizontal="center"/>
    </xf>
    <xf numFmtId="0" fontId="3" fillId="0" borderId="0" xfId="3" applyFill="1"/>
    <xf numFmtId="0" fontId="0" fillId="0" borderId="6" xfId="0" applyFill="1" applyBorder="1"/>
    <xf numFmtId="0" fontId="7" fillId="0" borderId="1" xfId="1" applyFont="1" applyFill="1"/>
    <xf numFmtId="0" fontId="0" fillId="0" borderId="7" xfId="0" applyFill="1" applyBorder="1"/>
    <xf numFmtId="0" fontId="0" fillId="0" borderId="0" xfId="0" applyFill="1" applyAlignment="1">
      <alignment horizontal="center"/>
    </xf>
    <xf numFmtId="11" fontId="0" fillId="0" borderId="0" xfId="0" applyNumberFormat="1" applyFill="1"/>
    <xf numFmtId="0" fontId="0" fillId="0" borderId="6" xfId="0" applyFill="1" applyBorder="1" applyAlignment="1">
      <alignment horizontal="center"/>
    </xf>
    <xf numFmtId="0" fontId="0" fillId="0" borderId="7" xfId="0" applyFill="1" applyBorder="1" applyAlignment="1">
      <alignment horizontal="center"/>
    </xf>
  </cellXfs>
  <cellStyles count="4">
    <cellStyle name="Hyperlink" xfId="3" builtinId="8"/>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ectorbase.org/vectorbase/app/search?q=AGAP010687" TargetMode="External"/><Relationship Id="rId13" Type="http://schemas.openxmlformats.org/officeDocument/2006/relationships/hyperlink" Target="https://vectorbase.org/vectorbase/app/search?q=AGAP005155" TargetMode="External"/><Relationship Id="rId18" Type="http://schemas.openxmlformats.org/officeDocument/2006/relationships/hyperlink" Target="https://vectorbase.org/vectorbase/app/search?q=AGAP013102" TargetMode="External"/><Relationship Id="rId3" Type="http://schemas.openxmlformats.org/officeDocument/2006/relationships/hyperlink" Target="https://vectorbase.org/vectorbase/app/search?q=AGAP004677" TargetMode="External"/><Relationship Id="rId7" Type="http://schemas.openxmlformats.org/officeDocument/2006/relationships/hyperlink" Target="https://vectorbase.org/vectorbase/app/search?q=AGAP010320" TargetMode="External"/><Relationship Id="rId12" Type="http://schemas.openxmlformats.org/officeDocument/2006/relationships/hyperlink" Target="https://vectorbase.org/vectorbase/app/search?q=AGAP004677" TargetMode="External"/><Relationship Id="rId17" Type="http://schemas.openxmlformats.org/officeDocument/2006/relationships/hyperlink" Target="https://vectorbase.org/vectorbase/app/search?q=AGAP010687" TargetMode="External"/><Relationship Id="rId2" Type="http://schemas.openxmlformats.org/officeDocument/2006/relationships/hyperlink" Target="https://vectorbase.org/vectorbase/app/search?q=AGAP004631" TargetMode="External"/><Relationship Id="rId16" Type="http://schemas.openxmlformats.org/officeDocument/2006/relationships/hyperlink" Target="https://vectorbase.org/vectorbase/app/search?q=AGAP010320" TargetMode="External"/><Relationship Id="rId1" Type="http://schemas.openxmlformats.org/officeDocument/2006/relationships/hyperlink" Target="https://vectorbase.org/vectorbase/app/search?q=AGAP001455" TargetMode="External"/><Relationship Id="rId6" Type="http://schemas.openxmlformats.org/officeDocument/2006/relationships/hyperlink" Target="https://vectorbase.org/vectorbase/app/search?q=AGAP009603" TargetMode="External"/><Relationship Id="rId11" Type="http://schemas.openxmlformats.org/officeDocument/2006/relationships/hyperlink" Target="https://vectorbase.org/vectorbase/app/search?q=AGAP004631" TargetMode="External"/><Relationship Id="rId5" Type="http://schemas.openxmlformats.org/officeDocument/2006/relationships/hyperlink" Target="https://vectorbase.org/vectorbase/app/search?q=AGAP009152" TargetMode="External"/><Relationship Id="rId15" Type="http://schemas.openxmlformats.org/officeDocument/2006/relationships/hyperlink" Target="https://vectorbase.org/vectorbase/app/search?q=AGAP009603" TargetMode="External"/><Relationship Id="rId10" Type="http://schemas.openxmlformats.org/officeDocument/2006/relationships/hyperlink" Target="https://vectorbase.org/vectorbase/app/search?q=AGAP001455" TargetMode="External"/><Relationship Id="rId4" Type="http://schemas.openxmlformats.org/officeDocument/2006/relationships/hyperlink" Target="https://vectorbase.org/vectorbase/app/search?q=AGAP005155" TargetMode="External"/><Relationship Id="rId9" Type="http://schemas.openxmlformats.org/officeDocument/2006/relationships/hyperlink" Target="https://vectorbase.org/vectorbase/app/search?q=AGAP013102" TargetMode="External"/><Relationship Id="rId14" Type="http://schemas.openxmlformats.org/officeDocument/2006/relationships/hyperlink" Target="https://vectorbase.org/vectorbase/app/search?q=AGAP00915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B40E6-C776-4ED6-AC34-EF5CD59C77A4}">
  <dimension ref="A1:EZ278"/>
  <sheetViews>
    <sheetView tabSelected="1" workbookViewId="0">
      <pane xSplit="1" ySplit="1" topLeftCell="G2" activePane="bottomRight" state="frozen"/>
      <selection pane="topRight" activeCell="B1" sqref="B1"/>
      <selection pane="bottomLeft" activeCell="A2" sqref="A2"/>
      <selection pane="bottomRight" sqref="A1:XFD1048576"/>
    </sheetView>
  </sheetViews>
  <sheetFormatPr defaultColWidth="17.85546875" defaultRowHeight="15" x14ac:dyDescent="0.25"/>
  <cols>
    <col min="1" max="7" width="17.85546875" style="2"/>
    <col min="8" max="8" width="23.140625" style="2" customWidth="1"/>
    <col min="9" max="16384" width="17.85546875" style="2"/>
  </cols>
  <sheetData>
    <row r="1" spans="1:156" ht="60" x14ac:dyDescent="0.25">
      <c r="A1" s="1" t="s">
        <v>0</v>
      </c>
      <c r="B1" s="2" t="s">
        <v>1</v>
      </c>
      <c r="C1" s="2" t="s">
        <v>3242</v>
      </c>
      <c r="D1" s="2" t="s">
        <v>2</v>
      </c>
      <c r="E1" s="2" t="s">
        <v>3</v>
      </c>
      <c r="F1" s="2" t="s">
        <v>4</v>
      </c>
      <c r="G1" s="2" t="s">
        <v>5</v>
      </c>
      <c r="H1" s="1" t="s">
        <v>6</v>
      </c>
      <c r="I1" s="1" t="s">
        <v>7</v>
      </c>
      <c r="J1" s="1" t="s">
        <v>8</v>
      </c>
      <c r="K1" s="3" t="s">
        <v>9</v>
      </c>
      <c r="L1" s="3" t="s">
        <v>10</v>
      </c>
      <c r="M1" s="3" t="s">
        <v>11</v>
      </c>
      <c r="N1" s="3" t="s">
        <v>12</v>
      </c>
      <c r="O1" s="3" t="s">
        <v>13</v>
      </c>
      <c r="P1" s="3" t="s">
        <v>58</v>
      </c>
      <c r="Q1" s="3" t="s">
        <v>3243</v>
      </c>
      <c r="R1" s="4" t="s">
        <v>14</v>
      </c>
      <c r="S1" s="3" t="s">
        <v>15</v>
      </c>
      <c r="T1" s="3" t="s">
        <v>16</v>
      </c>
      <c r="U1" s="3" t="s">
        <v>17</v>
      </c>
      <c r="V1" s="5" t="s">
        <v>18</v>
      </c>
      <c r="W1" s="5" t="s">
        <v>19</v>
      </c>
      <c r="X1" s="5" t="s">
        <v>20</v>
      </c>
      <c r="Y1" s="5" t="s">
        <v>21</v>
      </c>
      <c r="Z1" s="5" t="s">
        <v>16</v>
      </c>
      <c r="AA1" s="5" t="s">
        <v>22</v>
      </c>
      <c r="AB1" s="3" t="s">
        <v>23</v>
      </c>
      <c r="AC1" s="3" t="s">
        <v>24</v>
      </c>
      <c r="AD1" s="4" t="s">
        <v>25</v>
      </c>
      <c r="AE1" s="3" t="s">
        <v>26</v>
      </c>
      <c r="AF1" s="3" t="s">
        <v>27</v>
      </c>
      <c r="AG1" s="3" t="s">
        <v>28</v>
      </c>
      <c r="AH1" s="3" t="s">
        <v>29</v>
      </c>
      <c r="AI1" s="3" t="s">
        <v>30</v>
      </c>
      <c r="AJ1" s="3" t="s">
        <v>31</v>
      </c>
      <c r="AK1" s="3" t="s">
        <v>32</v>
      </c>
      <c r="AL1" s="3" t="s">
        <v>33</v>
      </c>
      <c r="AM1" s="6" t="s">
        <v>34</v>
      </c>
      <c r="AN1" s="3" t="s">
        <v>35</v>
      </c>
      <c r="AO1" s="4" t="str">
        <f>HYPERLINK("http://www.cbs.dtu.dk/services/NetOGlyc/","No. potential glyc sites")</f>
        <v>No. potential glyc sites</v>
      </c>
      <c r="AP1" s="3" t="s">
        <v>36</v>
      </c>
      <c r="AQ1" s="3" t="s">
        <v>37</v>
      </c>
      <c r="AR1" s="3" t="s">
        <v>38</v>
      </c>
      <c r="AS1" s="3" t="s">
        <v>39</v>
      </c>
      <c r="AT1" s="3" t="s">
        <v>40</v>
      </c>
      <c r="AU1" s="4" t="s">
        <v>41</v>
      </c>
      <c r="AV1" s="3" t="s">
        <v>42</v>
      </c>
      <c r="AW1" s="3" t="s">
        <v>43</v>
      </c>
      <c r="AX1" s="3" t="s">
        <v>44</v>
      </c>
      <c r="AY1" s="3" t="s">
        <v>17</v>
      </c>
      <c r="AZ1" s="6" t="s">
        <v>45</v>
      </c>
      <c r="BA1" s="3" t="s">
        <v>46</v>
      </c>
      <c r="BB1" s="4" t="s">
        <v>41</v>
      </c>
      <c r="BC1" s="3" t="s">
        <v>42</v>
      </c>
      <c r="BD1" s="3" t="s">
        <v>43</v>
      </c>
      <c r="BE1" s="3" t="s">
        <v>44</v>
      </c>
      <c r="BF1" s="3" t="s">
        <v>17</v>
      </c>
      <c r="BG1" s="6" t="s">
        <v>45</v>
      </c>
      <c r="BH1" s="3" t="s">
        <v>47</v>
      </c>
      <c r="BI1" s="4" t="s">
        <v>41</v>
      </c>
      <c r="BJ1" s="3" t="s">
        <v>42</v>
      </c>
      <c r="BK1" s="3" t="s">
        <v>43</v>
      </c>
      <c r="BL1" s="3" t="s">
        <v>44</v>
      </c>
      <c r="BM1" s="3" t="s">
        <v>17</v>
      </c>
      <c r="BN1" s="6" t="s">
        <v>45</v>
      </c>
      <c r="BO1" s="3" t="s">
        <v>48</v>
      </c>
      <c r="BP1" s="4" t="s">
        <v>41</v>
      </c>
      <c r="BQ1" s="3" t="s">
        <v>42</v>
      </c>
      <c r="BR1" s="3" t="s">
        <v>43</v>
      </c>
      <c r="BS1" s="3" t="s">
        <v>44</v>
      </c>
      <c r="BT1" s="3" t="s">
        <v>17</v>
      </c>
      <c r="BU1" s="6" t="s">
        <v>45</v>
      </c>
      <c r="BV1" s="3" t="s">
        <v>49</v>
      </c>
      <c r="BW1" s="4" t="s">
        <v>50</v>
      </c>
      <c r="BX1" s="3" t="s">
        <v>51</v>
      </c>
      <c r="BY1" s="3" t="s">
        <v>43</v>
      </c>
      <c r="BZ1" s="3" t="s">
        <v>44</v>
      </c>
      <c r="CA1" s="3" t="s">
        <v>17</v>
      </c>
      <c r="CB1" s="3" t="s">
        <v>52</v>
      </c>
      <c r="CC1" s="4" t="s">
        <v>41</v>
      </c>
      <c r="CD1" s="3" t="s">
        <v>53</v>
      </c>
      <c r="CE1" s="3" t="s">
        <v>54</v>
      </c>
      <c r="CF1" s="6" t="s">
        <v>55</v>
      </c>
      <c r="CG1" s="3" t="s">
        <v>56</v>
      </c>
      <c r="CH1" s="4" t="s">
        <v>41</v>
      </c>
      <c r="CI1" s="3" t="s">
        <v>53</v>
      </c>
      <c r="CJ1" s="3" t="s">
        <v>54</v>
      </c>
      <c r="CK1" s="6" t="s">
        <v>20</v>
      </c>
      <c r="CL1" s="3" t="s">
        <v>57</v>
      </c>
      <c r="CM1" s="4" t="s">
        <v>41</v>
      </c>
      <c r="CN1" s="3" t="s">
        <v>53</v>
      </c>
      <c r="CO1" s="6" t="s">
        <v>58</v>
      </c>
      <c r="CP1" s="3" t="s">
        <v>59</v>
      </c>
      <c r="CQ1" s="4" t="s">
        <v>41</v>
      </c>
      <c r="CR1" s="3" t="s">
        <v>53</v>
      </c>
      <c r="CS1" s="6" t="s">
        <v>58</v>
      </c>
      <c r="CT1" s="6" t="s">
        <v>60</v>
      </c>
      <c r="CU1" s="6" t="s">
        <v>61</v>
      </c>
      <c r="CV1" s="1" t="s">
        <v>62</v>
      </c>
      <c r="CW1" s="1" t="s">
        <v>62</v>
      </c>
      <c r="CX1" s="1" t="s">
        <v>53</v>
      </c>
      <c r="CY1" s="1" t="s">
        <v>11</v>
      </c>
      <c r="CZ1" s="1" t="s">
        <v>63</v>
      </c>
      <c r="DA1" s="1" t="s">
        <v>64</v>
      </c>
      <c r="DB1" s="1" t="s">
        <v>12</v>
      </c>
      <c r="DC1" s="1" t="s">
        <v>13</v>
      </c>
      <c r="DD1" s="1" t="s">
        <v>65</v>
      </c>
      <c r="DE1" s="1" t="s">
        <v>0</v>
      </c>
      <c r="DF1" s="1" t="s">
        <v>6</v>
      </c>
      <c r="DG1" s="1" t="s">
        <v>7</v>
      </c>
      <c r="DH1" s="1" t="s">
        <v>8</v>
      </c>
      <c r="DI1" s="1" t="s">
        <v>10</v>
      </c>
      <c r="DJ1" s="1" t="s">
        <v>11</v>
      </c>
      <c r="DK1" s="1" t="str">
        <f>HYPERLINK("http://www.cbs.dtu.dk/services/NetOGlyc/","No. potential glyc sites")</f>
        <v>No. potential glyc sites</v>
      </c>
      <c r="DL1" s="1" t="s">
        <v>36</v>
      </c>
      <c r="DM1" s="1" t="s">
        <v>37</v>
      </c>
      <c r="DN1" s="1" t="s">
        <v>38</v>
      </c>
      <c r="DO1" s="1" t="s">
        <v>39</v>
      </c>
      <c r="DP1" s="1" t="s">
        <v>66</v>
      </c>
      <c r="DQ1" s="1" t="s">
        <v>24</v>
      </c>
      <c r="DR1" s="1" t="s">
        <v>25</v>
      </c>
      <c r="DS1" s="1" t="s">
        <v>26</v>
      </c>
      <c r="DT1" s="1" t="s">
        <v>27</v>
      </c>
      <c r="DU1" s="1" t="s">
        <v>28</v>
      </c>
      <c r="DV1" s="1" t="s">
        <v>29</v>
      </c>
      <c r="DW1" s="1" t="s">
        <v>30</v>
      </c>
      <c r="DX1" s="1" t="s">
        <v>67</v>
      </c>
      <c r="DY1" s="7" t="s">
        <v>31</v>
      </c>
      <c r="DZ1" s="1" t="s">
        <v>32</v>
      </c>
      <c r="EA1" s="1" t="s">
        <v>33</v>
      </c>
      <c r="EB1" s="1" t="s">
        <v>34</v>
      </c>
      <c r="EC1" s="1" t="s">
        <v>68</v>
      </c>
      <c r="ED1" s="1" t="s">
        <v>69</v>
      </c>
      <c r="EE1" s="1" t="s">
        <v>70</v>
      </c>
      <c r="EF1" s="1" t="s">
        <v>71</v>
      </c>
      <c r="EG1" s="1" t="s">
        <v>23</v>
      </c>
      <c r="EH1" s="1" t="s">
        <v>72</v>
      </c>
      <c r="EI1" s="1" t="s">
        <v>73</v>
      </c>
      <c r="EJ1" s="1" t="s">
        <v>74</v>
      </c>
      <c r="EK1" s="1" t="s">
        <v>75</v>
      </c>
      <c r="EL1" s="1" t="s">
        <v>76</v>
      </c>
      <c r="EM1" s="1" t="s">
        <v>77</v>
      </c>
      <c r="EN1" s="1" t="s">
        <v>78</v>
      </c>
      <c r="EO1" s="1" t="s">
        <v>79</v>
      </c>
      <c r="EP1" s="1" t="s">
        <v>80</v>
      </c>
      <c r="EQ1" s="1" t="s">
        <v>81</v>
      </c>
      <c r="ER1" s="1" t="s">
        <v>82</v>
      </c>
      <c r="ES1" s="1" t="s">
        <v>83</v>
      </c>
      <c r="ET1" s="1" t="s">
        <v>46</v>
      </c>
      <c r="EU1" s="1" t="s">
        <v>41</v>
      </c>
      <c r="EV1" s="1" t="s">
        <v>42</v>
      </c>
      <c r="EW1" s="1" t="s">
        <v>43</v>
      </c>
      <c r="EX1" s="1" t="s">
        <v>44</v>
      </c>
      <c r="EY1" s="1" t="s">
        <v>17</v>
      </c>
      <c r="EZ1" s="1" t="s">
        <v>84</v>
      </c>
    </row>
    <row r="2" spans="1:156" x14ac:dyDescent="0.25">
      <c r="A2" s="2" t="s">
        <v>2621</v>
      </c>
      <c r="B2" s="2">
        <v>8.7951908188074999</v>
      </c>
      <c r="C2" s="2">
        <f>2^B2</f>
        <v>444.23856137985956</v>
      </c>
      <c r="D2" s="2">
        <v>0.76898930131140197</v>
      </c>
      <c r="E2" s="2">
        <v>52.501158715702999</v>
      </c>
      <c r="F2" s="2">
        <v>4.29994557186407E-13</v>
      </c>
      <c r="G2" s="2">
        <v>4.5781520503636701E-9</v>
      </c>
      <c r="H2" s="2" t="s">
        <v>2622</v>
      </c>
      <c r="I2" s="2" t="s">
        <v>466</v>
      </c>
      <c r="J2" s="8" t="s">
        <v>2623</v>
      </c>
      <c r="Q2" s="9"/>
      <c r="W2" s="10"/>
      <c r="AB2" s="9"/>
      <c r="AC2" s="9"/>
      <c r="AJ2" s="9"/>
      <c r="AN2" s="9"/>
      <c r="AO2" s="11"/>
      <c r="AP2" s="9"/>
      <c r="AT2" s="9"/>
      <c r="BA2" s="9"/>
      <c r="BH2" s="9"/>
      <c r="BO2" s="9"/>
      <c r="BV2" s="9"/>
      <c r="CB2" s="9"/>
      <c r="CG2" s="9"/>
      <c r="CL2" s="9"/>
      <c r="CP2" s="9"/>
      <c r="DE2" s="2" t="s">
        <v>2621</v>
      </c>
      <c r="DF2" s="2" t="s">
        <v>2622</v>
      </c>
      <c r="DG2" s="2" t="s">
        <v>466</v>
      </c>
      <c r="DH2" s="8" t="s">
        <v>2623</v>
      </c>
      <c r="DI2" s="2" t="s">
        <v>105</v>
      </c>
      <c r="DJ2" s="2">
        <v>4683</v>
      </c>
      <c r="DQ2" s="2" t="s">
        <v>468</v>
      </c>
      <c r="DS2" s="2">
        <v>144699</v>
      </c>
      <c r="DT2" s="2">
        <v>8.14</v>
      </c>
      <c r="DX2" s="2">
        <v>1290</v>
      </c>
      <c r="DY2" s="12"/>
    </row>
    <row r="3" spans="1:156" x14ac:dyDescent="0.25">
      <c r="A3" s="2" t="s">
        <v>2441</v>
      </c>
      <c r="B3" s="2">
        <v>5.2298223231107404</v>
      </c>
      <c r="C3" s="2">
        <f t="shared" ref="C3:C66" si="0">2^B3</f>
        <v>37.526096518065245</v>
      </c>
      <c r="D3" s="2">
        <v>1.12247677746826</v>
      </c>
      <c r="E3" s="2">
        <v>21.2078809827943</v>
      </c>
      <c r="F3" s="2">
        <v>4.1206663962937898E-6</v>
      </c>
      <c r="G3" s="2">
        <v>9.7494966936311097E-4</v>
      </c>
      <c r="H3" s="2" t="s">
        <v>2442</v>
      </c>
      <c r="I3" s="2" t="s">
        <v>87</v>
      </c>
      <c r="J3" s="2" t="str">
        <f>HYPERLINK("https://vectorbase.org/vectorbase/app/record/gene/AGAP010171","AGAP010171-RB")</f>
        <v>AGAP010171-RB</v>
      </c>
      <c r="K3" s="2" t="str">
        <f>HYPERLINK(".\links\pep\AGAP010171-PB-pep.txt","AGAP010171-PB")</f>
        <v>AGAP010171-PB</v>
      </c>
      <c r="L3" s="12" t="s">
        <v>88</v>
      </c>
      <c r="M3" s="2">
        <v>565</v>
      </c>
      <c r="N3" s="2">
        <v>0</v>
      </c>
      <c r="O3" s="2">
        <v>2</v>
      </c>
      <c r="P3" s="2" t="s">
        <v>2443</v>
      </c>
      <c r="Q3" s="9" t="s">
        <v>2444</v>
      </c>
      <c r="R3" s="2" t="s">
        <v>2445</v>
      </c>
      <c r="S3" s="2" t="str">
        <f>HYPERLINK(".\links\KOG\AGAP010171-PB-KOG.txt","KOG")</f>
        <v>KOG</v>
      </c>
      <c r="T3" s="2">
        <v>1.9999999999999999E-44</v>
      </c>
      <c r="U3" s="2">
        <v>82.8</v>
      </c>
      <c r="V3" s="2" t="s">
        <v>2446</v>
      </c>
      <c r="W3" s="10" t="s">
        <v>2447</v>
      </c>
      <c r="X3" s="2" t="s">
        <v>2448</v>
      </c>
      <c r="Y3" s="2" t="str">
        <f>HYPERLINK(".\links\UNIPROTKB\AGAP010171-PB-UNIPROTKB.txt","UNIPROTKB")</f>
        <v>UNIPROTKB</v>
      </c>
      <c r="Z3" s="13">
        <v>0</v>
      </c>
      <c r="AA3" s="2">
        <v>84</v>
      </c>
      <c r="AB3" s="14" t="str">
        <f>HYPERLINK(".\links\pep\AGAP010171-PB-sulf.txt","1")</f>
        <v>1</v>
      </c>
      <c r="AC3" s="14" t="str">
        <f>HYPERLINK(".\links\Sigp\AGAP010171-PB-SigP.txt","SIG")</f>
        <v>SIG</v>
      </c>
      <c r="AD3" s="2" t="s">
        <v>842</v>
      </c>
      <c r="AE3" s="2">
        <v>62.354999999999997</v>
      </c>
      <c r="AF3" s="2">
        <v>7.06</v>
      </c>
      <c r="AG3" s="2">
        <v>60.369</v>
      </c>
      <c r="AH3" s="2">
        <v>6.77</v>
      </c>
      <c r="AI3" s="2" t="s">
        <v>2449</v>
      </c>
      <c r="AJ3" s="14" t="str">
        <f>HYPERLINK(".\links\tmhmm\AGAP010171-PB-tmhmm.txt","1")</f>
        <v>1</v>
      </c>
      <c r="AK3" s="2">
        <v>3.9</v>
      </c>
      <c r="AL3" s="2">
        <v>95.2</v>
      </c>
      <c r="AM3" s="2">
        <v>0.9</v>
      </c>
      <c r="AN3" s="14" t="str">
        <f>HYPERLINK(".\links\gpi\AGAP010171-PB-gpi.txt","N")</f>
        <v>N</v>
      </c>
      <c r="AO3" s="15" t="str">
        <f>HYPERLINK(".\links\netoglyc\AGAP010171-PB-netoglyc.txt","9")</f>
        <v>9</v>
      </c>
      <c r="AP3" s="14">
        <v>16.3</v>
      </c>
      <c r="AQ3" s="2">
        <v>5.7</v>
      </c>
      <c r="AR3" s="2">
        <v>6.2</v>
      </c>
      <c r="AS3" s="2" t="s">
        <v>94</v>
      </c>
      <c r="AT3" s="9" t="str">
        <f>HYPERLINK(".\links\NR-LIGHT\AGAP010171-PB-NR-LIGHT.txt","AGAP010171-PA")</f>
        <v>AGAP010171-PA</v>
      </c>
      <c r="AU3" s="2" t="str">
        <f>HYPERLINK("http://www.ncbi.nlm.nih.gov/sutils/blink.cgi?pid=XP_319344.4","0.0")</f>
        <v>0.0</v>
      </c>
      <c r="AV3" s="2" t="str">
        <f>HYPERLINK("http://www.ncbi.nlm.nih.gov/protein/XP_319344.4","XP_319344.4")</f>
        <v>XP_319344.4</v>
      </c>
      <c r="AW3" s="2">
        <v>100</v>
      </c>
      <c r="AX3" s="2">
        <v>100</v>
      </c>
      <c r="AY3" s="2">
        <v>100</v>
      </c>
      <c r="AZ3" s="2" t="s">
        <v>95</v>
      </c>
      <c r="BA3" s="9" t="str">
        <f>HYPERLINK(".\links\REFSEQ-INVERTEBRATE\AGAP010171-PB-REFSEQ-INVERTEBRATE.txt","AGAP010171-PA")</f>
        <v>AGAP010171-PA</v>
      </c>
      <c r="BB3" s="2" t="str">
        <f>HYPERLINK("http://www.ncbi.nlm.nih.gov/sutils/blink.cgi?pid=XP_319344.4","0.0")</f>
        <v>0.0</v>
      </c>
      <c r="BC3" s="2" t="str">
        <f>HYPERLINK("http://www.ncbi.nlm.nih.gov/protein/XP_319344.4","XP_319344.4")</f>
        <v>XP_319344.4</v>
      </c>
      <c r="BD3" s="2">
        <v>100</v>
      </c>
      <c r="BE3" s="2">
        <v>100</v>
      </c>
      <c r="BF3" s="2">
        <v>100</v>
      </c>
      <c r="BG3" s="2" t="s">
        <v>95</v>
      </c>
      <c r="BH3" s="9" t="str">
        <f>HYPERLINK(".\links\REFSEQ-PROTOZOA\AGAP010171-PB-REFSEQ-PROTOZOA.txt","nuclease domain containing protein")</f>
        <v>nuclease domain containing protein</v>
      </c>
      <c r="BI3" s="2" t="str">
        <f>HYPERLINK("http://www.ncbi.nlm.nih.gov/sutils/blink.cgi?pid=XP_004337943.1","6E-013")</f>
        <v>6E-013</v>
      </c>
      <c r="BJ3" s="2" t="str">
        <f>HYPERLINK("http://www.ncbi.nlm.nih.gov/protein/XP_004337943.1","XP_004337943.1")</f>
        <v>XP_004337943.1</v>
      </c>
      <c r="BK3" s="2">
        <v>29</v>
      </c>
      <c r="BL3" s="2">
        <v>48</v>
      </c>
      <c r="BM3" s="2">
        <v>18</v>
      </c>
      <c r="BN3" s="2" t="s">
        <v>114</v>
      </c>
      <c r="BO3" s="9" t="str">
        <f>HYPERLINK(".\links\SWISSP\AGAP010171-PB-SWISSP.txt","Tudor and KH domain-containing protein homolog")</f>
        <v>Tudor and KH domain-containing protein homolog</v>
      </c>
      <c r="BP3" s="2" t="str">
        <f>HYPERLINK("http://www.uniprot.org/uniprot/H9JD76","3E-075")</f>
        <v>3E-075</v>
      </c>
      <c r="BQ3" s="2" t="str">
        <f>HYPERLINK("http://www.uniprot.org/uniprot/H9JD76#expression","H9JD76")</f>
        <v>H9JD76</v>
      </c>
      <c r="BR3" s="2">
        <v>34</v>
      </c>
      <c r="BS3" s="2">
        <v>54</v>
      </c>
      <c r="BT3" s="2">
        <v>84</v>
      </c>
      <c r="BU3" s="2" t="s">
        <v>1620</v>
      </c>
      <c r="BV3" s="9" t="str">
        <f>HYPERLINK(".\links\FLYBASE\AGAP010171-PB-FLYBASE.txt","FBpp0077511")</f>
        <v>FBpp0077511</v>
      </c>
      <c r="BW3" s="2" t="str">
        <f>HYPERLINK("http://flybase.org/reports/FBgn0031401#alliance_summary_container","1E-104")</f>
        <v>1E-104</v>
      </c>
      <c r="BX3" s="2">
        <v>576</v>
      </c>
      <c r="BY3" s="2">
        <v>38</v>
      </c>
      <c r="BZ3" s="2">
        <v>57</v>
      </c>
      <c r="CA3" s="2">
        <v>84</v>
      </c>
      <c r="CB3" s="9" t="str">
        <f>HYPERLINK(".\links\CDD\AGAP010171-PB-CDD.txt","TUDOR, Tudor domain")</f>
        <v>TUDOR, Tudor domain</v>
      </c>
      <c r="CC3" s="13">
        <v>1E-22</v>
      </c>
      <c r="CD3" s="2">
        <v>103.3</v>
      </c>
      <c r="CE3" s="2" t="s">
        <v>2450</v>
      </c>
      <c r="CF3" s="2" t="s">
        <v>2451</v>
      </c>
      <c r="CG3" s="9" t="str">
        <f>HYPERLINK(".\links\KOG\AGAP010171-PB-KOG.txt","contains KH and Tudor RNA-binding domains")</f>
        <v>contains KH and Tudor RNA-binding domains</v>
      </c>
      <c r="CH3" s="13">
        <v>1.9999999999999999E-44</v>
      </c>
      <c r="CI3" s="2">
        <v>82.9</v>
      </c>
      <c r="CJ3" s="2" t="s">
        <v>2452</v>
      </c>
      <c r="CK3" s="2" t="s">
        <v>410</v>
      </c>
      <c r="CL3" s="9" t="str">
        <f>HYPERLINK(".\links\PFAM\AGAP010171-PB-PFAM.txt","TUDOR, Tudor domain")</f>
        <v>TUDOR, Tudor domain</v>
      </c>
      <c r="CM3" s="13">
        <v>3E-23</v>
      </c>
      <c r="CN3" s="2">
        <v>103.3</v>
      </c>
      <c r="CO3" s="2" t="s">
        <v>2450</v>
      </c>
      <c r="CP3" s="9" t="str">
        <f>HYPERLINK(".\links\SMART\AGAP010171-PB-SMART.txt","KH, K homology RNA-binding domain")</f>
        <v>KH, K homology RNA-binding domain</v>
      </c>
      <c r="CQ3" s="13">
        <v>4.9999999999999997E-12</v>
      </c>
      <c r="CR3" s="2">
        <v>91.2</v>
      </c>
      <c r="CS3" s="2" t="s">
        <v>2453</v>
      </c>
      <c r="CT3" s="2" t="s">
        <v>2446</v>
      </c>
      <c r="CU3" s="2" t="s">
        <v>2446</v>
      </c>
      <c r="CV3" s="2" t="s">
        <v>2446</v>
      </c>
      <c r="CW3" s="2" t="str">
        <f>HYPERLINK(".\links\pep\AGAP010171-PB-pep.txt","AGAP010171-PB")</f>
        <v>AGAP010171-PB</v>
      </c>
      <c r="CX3" s="2" t="s">
        <v>88</v>
      </c>
      <c r="CY3" s="2">
        <v>565</v>
      </c>
      <c r="CZ3" s="2" t="s">
        <v>103</v>
      </c>
      <c r="DA3" s="2" t="s">
        <v>2454</v>
      </c>
      <c r="DB3" s="2">
        <v>0</v>
      </c>
      <c r="DC3" s="2">
        <v>2</v>
      </c>
      <c r="DD3" s="2" t="str">
        <f>HYPERLINK("https://www.kegg.jp/kegg-bin/search_pathway_text?map=aga&amp;keyword=AGAP010171&amp;mode=1&amp;viewImage=true","AGAP010171")</f>
        <v>AGAP010171</v>
      </c>
      <c r="DE3" s="2" t="s">
        <v>2441</v>
      </c>
      <c r="DF3" s="2" t="s">
        <v>2442</v>
      </c>
      <c r="DG3" s="2" t="s">
        <v>87</v>
      </c>
      <c r="DH3" s="2" t="str">
        <f>HYPERLINK("https://vectorbase.org/vectorbase/app/record/gene/AGAP010171","AGAP010171-RB")</f>
        <v>AGAP010171-RB</v>
      </c>
      <c r="DI3" s="2" t="s">
        <v>105</v>
      </c>
      <c r="DJ3" s="2">
        <v>2765</v>
      </c>
      <c r="DK3" s="2" t="str">
        <f>HYPERLINK(".\links\netoglyc\AGAP010171-PB-netoglyc.txt","9")</f>
        <v>9</v>
      </c>
      <c r="DL3" s="2">
        <v>16.3</v>
      </c>
      <c r="DM3" s="2">
        <v>5.7</v>
      </c>
      <c r="DN3" s="2">
        <v>6.2</v>
      </c>
      <c r="DO3" s="2" t="s">
        <v>94</v>
      </c>
      <c r="DP3" s="2" t="s">
        <v>89</v>
      </c>
      <c r="DQ3" s="2" t="str">
        <f>HYPERLINK(".\links\Sigp\AGAP010171-PB-SigP.txt","SIG")</f>
        <v>SIG</v>
      </c>
      <c r="DR3" s="2" t="s">
        <v>842</v>
      </c>
      <c r="DS3" s="2">
        <v>62.354999999999997</v>
      </c>
      <c r="DT3" s="2">
        <v>7.06</v>
      </c>
      <c r="DU3" s="2">
        <v>60.369</v>
      </c>
      <c r="DV3" s="2">
        <v>6.77</v>
      </c>
      <c r="DW3" s="2" t="s">
        <v>2449</v>
      </c>
      <c r="DX3" s="2">
        <v>565</v>
      </c>
      <c r="DY3" s="12" t="str">
        <f>HYPERLINK(".\links\tmhmm\AGAP010171-PB-tmhmm.txt","1")</f>
        <v>1</v>
      </c>
      <c r="DZ3" s="2">
        <v>3.9</v>
      </c>
      <c r="EA3" s="2">
        <v>95.2</v>
      </c>
      <c r="EB3" s="2">
        <v>0.9</v>
      </c>
      <c r="EC3" s="2" t="str">
        <f>HYPERLINK(".\links\gpi\AGAP010171-PB-gpi.txt","Y-NoSP")</f>
        <v>Y-NoSP</v>
      </c>
      <c r="ED3" s="2">
        <v>0.14000000000000001</v>
      </c>
      <c r="EF3" s="2">
        <v>6</v>
      </c>
      <c r="EG3" s="2" t="str">
        <f>HYPERLINK(".\links\pep\AGAP010171-PB-sulf.txt","1")</f>
        <v>1</v>
      </c>
      <c r="EH3" s="2" t="s">
        <v>89</v>
      </c>
      <c r="EI3" s="2">
        <v>16.283185840708001</v>
      </c>
      <c r="EJ3" s="2">
        <v>6.19469026548673</v>
      </c>
      <c r="EK3" s="2">
        <v>5.6637168141592902</v>
      </c>
      <c r="EL3" s="2">
        <v>11.858407079646</v>
      </c>
      <c r="EM3" s="2" t="s">
        <v>89</v>
      </c>
      <c r="EN3" s="2">
        <v>1</v>
      </c>
      <c r="EO3" s="2">
        <v>3</v>
      </c>
      <c r="EP3" s="2" t="s">
        <v>89</v>
      </c>
      <c r="EQ3" s="2" t="s">
        <v>89</v>
      </c>
      <c r="ER3" s="2" t="s">
        <v>89</v>
      </c>
      <c r="ES3" s="2" t="s">
        <v>89</v>
      </c>
      <c r="ET3" s="2" t="str">
        <f>HYPERLINK(".\links\REFSEQ-INVERTEBRATE\AGAP010171-PB-REFSEQ-INVERTEBRATE.txt","AGAP010171-PA")</f>
        <v>AGAP010171-PA</v>
      </c>
      <c r="EU3" s="2" t="str">
        <f>HYPERLINK("http://www.ncbi.nlm.nih.gov/sutils/blink.cgi?pid=XP_319344.4","0.0")</f>
        <v>0.0</v>
      </c>
      <c r="EV3" s="2" t="str">
        <f>HYPERLINK("http://www.ncbi.nlm.nih.gov/protein/XP_319344.4","XP_319344.4")</f>
        <v>XP_319344.4</v>
      </c>
      <c r="EW3" s="2">
        <v>100</v>
      </c>
      <c r="EX3" s="2">
        <v>100</v>
      </c>
      <c r="EY3" s="2">
        <v>100</v>
      </c>
      <c r="EZ3" s="2" t="s">
        <v>95</v>
      </c>
    </row>
    <row r="4" spans="1:156" x14ac:dyDescent="0.25">
      <c r="A4" s="2" t="s">
        <v>1150</v>
      </c>
      <c r="B4" s="2">
        <v>4.4038272048653999</v>
      </c>
      <c r="C4" s="2">
        <f t="shared" si="0"/>
        <v>21.168207518394262</v>
      </c>
      <c r="D4" s="2">
        <v>1.3560025423422899</v>
      </c>
      <c r="E4" s="2">
        <v>21.145101682630301</v>
      </c>
      <c r="F4" s="2">
        <v>4.2578816839341902E-6</v>
      </c>
      <c r="G4" s="2">
        <v>9.8551448454015892E-4</v>
      </c>
      <c r="H4" s="2" t="s">
        <v>1151</v>
      </c>
      <c r="I4" s="2" t="s">
        <v>87</v>
      </c>
      <c r="J4" s="2" t="str">
        <f>HYPERLINK("https://vectorbase.org/vectorbase/app/record/gene/AGAP004592","AGAP004592-RG")</f>
        <v>AGAP004592-RG</v>
      </c>
      <c r="K4" s="2" t="str">
        <f>HYPERLINK(".\links\pep\AGAP004592-PG-pep.txt","AGAP004592-PG")</f>
        <v>AGAP004592-PG</v>
      </c>
      <c r="L4" s="12" t="s">
        <v>88</v>
      </c>
      <c r="M4" s="2">
        <v>132</v>
      </c>
      <c r="N4" s="2">
        <v>0</v>
      </c>
      <c r="O4" s="2">
        <v>0</v>
      </c>
      <c r="P4" s="2" t="s">
        <v>1152</v>
      </c>
      <c r="Q4" s="9" t="s">
        <v>1153</v>
      </c>
      <c r="R4" s="2" t="s">
        <v>195</v>
      </c>
      <c r="S4" s="2" t="str">
        <f>HYPERLINK(".\links\CDD\AGAP004592-PG-CDD.txt","CDD")</f>
        <v>CDD</v>
      </c>
      <c r="T4" s="2">
        <v>3.9999999999999998E-29</v>
      </c>
      <c r="U4" s="2">
        <v>100</v>
      </c>
      <c r="V4" s="2" t="s">
        <v>1154</v>
      </c>
      <c r="W4" s="10" t="s">
        <v>1155</v>
      </c>
      <c r="X4" s="2" t="s">
        <v>195</v>
      </c>
      <c r="Y4" s="2" t="str">
        <f>HYPERLINK(".\links\REFSEQVERTEBRATE95\AGAP004592-PG-REFSEQVERTEBRATE95.txt","REFSEQVERTEBRATE95")</f>
        <v>REFSEQVERTEBRATE95</v>
      </c>
      <c r="Z4" s="13">
        <v>9.9999999999999995E-45</v>
      </c>
      <c r="AA4" s="2">
        <v>47.7</v>
      </c>
      <c r="AB4" s="14" t="str">
        <f>HYPERLINK(".\links\pep\AGAP004592-PG-sulf.txt","2")</f>
        <v>2</v>
      </c>
      <c r="AC4" s="14" t="str">
        <f>HYPERLINK(".\links\Sigp\AGAP004592-PG-SigP.txt","CYT")</f>
        <v>CYT</v>
      </c>
      <c r="AD4" s="2" t="s">
        <v>89</v>
      </c>
      <c r="AE4" s="2">
        <v>15.255000000000001</v>
      </c>
      <c r="AF4" s="2">
        <v>9.39</v>
      </c>
      <c r="AG4" s="2" t="s">
        <v>89</v>
      </c>
      <c r="AH4" s="2" t="s">
        <v>89</v>
      </c>
      <c r="AI4" s="2" t="s">
        <v>93</v>
      </c>
      <c r="AJ4" s="14">
        <v>0</v>
      </c>
      <c r="AK4" s="2" t="s">
        <v>89</v>
      </c>
      <c r="AL4" s="2" t="s">
        <v>89</v>
      </c>
      <c r="AM4" s="2" t="s">
        <v>89</v>
      </c>
      <c r="AN4" s="14" t="str">
        <f>HYPERLINK(".\links\gpi\AGAP004592-PG-gpi.txt","N")</f>
        <v>N</v>
      </c>
      <c r="AO4" s="15" t="str">
        <f>HYPERLINK(".\links\netoglyc\AGAP004592-PG-netoglyc.txt","0")</f>
        <v>0</v>
      </c>
      <c r="AP4" s="14">
        <v>8.3000000000000007</v>
      </c>
      <c r="AQ4" s="2">
        <v>12.1</v>
      </c>
      <c r="AR4" s="2">
        <v>3.8</v>
      </c>
      <c r="AS4" s="2" t="s">
        <v>94</v>
      </c>
      <c r="AT4" s="9" t="str">
        <f>HYPERLINK(".\links\NR-LIGHT\AGAP004592-PG-NR-LIGHT.txt","AGAP004592-PC")</f>
        <v>AGAP004592-PC</v>
      </c>
      <c r="AU4" s="2" t="str">
        <f>HYPERLINK("http://www.ncbi.nlm.nih.gov/sutils/blink.cgi?pid=XP_003436864.1","1E-071")</f>
        <v>1E-071</v>
      </c>
      <c r="AV4" s="2" t="str">
        <f>HYPERLINK("http://www.ncbi.nlm.nih.gov/protein/XP_003436864.1","XP_003436864.1")</f>
        <v>XP_003436864.1</v>
      </c>
      <c r="AW4" s="2">
        <v>100</v>
      </c>
      <c r="AX4" s="2">
        <v>100</v>
      </c>
      <c r="AY4" s="2">
        <v>100</v>
      </c>
      <c r="AZ4" s="2" t="s">
        <v>95</v>
      </c>
      <c r="BA4" s="9" t="str">
        <f>HYPERLINK(".\links\REFSEQ-INVERTEBRATE\AGAP004592-PG-REFSEQ-INVERTEBRATE.txt","AGAP004592-PG")</f>
        <v>AGAP004592-PG</v>
      </c>
      <c r="BB4" s="2" t="str">
        <f>HYPERLINK("http://www.ncbi.nlm.nih.gov/sutils/blink.cgi?pid=XP_003436865.1","9E-072")</f>
        <v>9E-072</v>
      </c>
      <c r="BC4" s="2" t="str">
        <f>HYPERLINK("http://www.ncbi.nlm.nih.gov/protein/XP_003436865.1","XP_003436865.1")</f>
        <v>XP_003436865.1</v>
      </c>
      <c r="BD4" s="2">
        <v>100</v>
      </c>
      <c r="BE4" s="2">
        <v>100</v>
      </c>
      <c r="BF4" s="2">
        <v>100</v>
      </c>
      <c r="BG4" s="2" t="s">
        <v>95</v>
      </c>
      <c r="BH4" s="9" t="str">
        <f>HYPERLINK(".\links\REFSEQ-PROTOZOA\AGAP004592-PG-REFSEQ-PROTOZOA.txt","hypothetical protein CAOG_03309")</f>
        <v>hypothetical protein CAOG_03309</v>
      </c>
      <c r="BI4" s="2" t="str">
        <f>HYPERLINK("http://www.ncbi.nlm.nih.gov/sutils/blink.cgi?pid=XP_004364148.1","6E-027")</f>
        <v>6E-027</v>
      </c>
      <c r="BJ4" s="2" t="str">
        <f>HYPERLINK("http://www.ncbi.nlm.nih.gov/protein/XP_004364148.1","XP_004364148.1")</f>
        <v>XP_004364148.1</v>
      </c>
      <c r="BK4" s="2">
        <v>48</v>
      </c>
      <c r="BL4" s="2">
        <v>67</v>
      </c>
      <c r="BM4" s="2">
        <v>51</v>
      </c>
      <c r="BN4" s="2" t="s">
        <v>150</v>
      </c>
      <c r="BO4" s="9" t="str">
        <f>HYPERLINK(".\links\SWISSP\AGAP004592-PG-SWISSP.txt","Serine-arginine protein 55")</f>
        <v>Serine-arginine protein 55</v>
      </c>
      <c r="BP4" s="2" t="str">
        <f>HYPERLINK("http://www.uniprot.org/uniprot/P26686","3E-056")</f>
        <v>3E-056</v>
      </c>
      <c r="BQ4" s="2" t="str">
        <f>HYPERLINK("http://www.uniprot.org/uniprot/P26686#expression","P26686")</f>
        <v>P26686</v>
      </c>
      <c r="BR4" s="2">
        <v>82</v>
      </c>
      <c r="BS4" s="2">
        <v>87</v>
      </c>
      <c r="BT4" s="2">
        <v>36</v>
      </c>
      <c r="BU4" s="2" t="s">
        <v>151</v>
      </c>
      <c r="BV4" s="9" t="str">
        <f>HYPERLINK(".\links\FLYBASE\AGAP004592-PG-FLYBASE.txt","FBpp0289815")</f>
        <v>FBpp0289815</v>
      </c>
      <c r="BW4" s="2" t="str">
        <f>HYPERLINK("http://flybase.org/reports/FBgn0004587#alliance_summary_container","9E-66")</f>
        <v>9E-66</v>
      </c>
      <c r="BX4" s="2">
        <v>147</v>
      </c>
      <c r="BY4" s="2">
        <v>83</v>
      </c>
      <c r="BZ4" s="2">
        <v>88</v>
      </c>
      <c r="CA4" s="2">
        <v>89</v>
      </c>
      <c r="CB4" s="9" t="str">
        <f>HYPERLINK(".\links\CDD\AGAP004592-PG-CDD.txt","RRM1_SRSF4_like, RNA recognition motif 1 in serine/arginine-rich splicing factor 4 (SRSF4) and similar proteins")</f>
        <v>RRM1_SRSF4_like, RNA recognition motif 1 in serine/arginine-rich splicing factor 4 (SRSF4) and similar proteins</v>
      </c>
      <c r="CC4" s="13">
        <v>3.9999999999999998E-29</v>
      </c>
      <c r="CD4" s="2">
        <v>100</v>
      </c>
      <c r="CE4" s="2" t="s">
        <v>1156</v>
      </c>
      <c r="CF4" s="2" t="s">
        <v>1157</v>
      </c>
      <c r="CG4" s="9" t="str">
        <f>HYPERLINK(".\links\KOG\AGAP004592-PG-KOG.txt","Alternative splicing factor SRp55/B52/SRp75 (RRM superfamily)")</f>
        <v>Alternative splicing factor SRp55/B52/SRp75 (RRM superfamily)</v>
      </c>
      <c r="CH4" s="13">
        <v>3E-28</v>
      </c>
      <c r="CI4" s="2">
        <v>56.5</v>
      </c>
      <c r="CJ4" s="2" t="s">
        <v>1158</v>
      </c>
      <c r="CK4" s="2" t="s">
        <v>692</v>
      </c>
      <c r="CL4" s="9" t="str">
        <f>HYPERLINK(".\links\PFAM\AGAP004592-PG-PFAM.txt","RRM_1, RNA recognition motif")</f>
        <v>RRM_1, RNA recognition motif</v>
      </c>
      <c r="CM4" s="13">
        <v>2.0000000000000002E-15</v>
      </c>
      <c r="CN4" s="2">
        <v>98.6</v>
      </c>
      <c r="CO4" s="2" t="s">
        <v>1159</v>
      </c>
      <c r="CP4" s="9" t="str">
        <f>HYPERLINK(".\links\SMART\AGAP004592-PG-SMART.txt","RRM, RNA recognition motif")</f>
        <v>RRM, RNA recognition motif</v>
      </c>
      <c r="CQ4" s="13">
        <v>5.9999999999999999E-16</v>
      </c>
      <c r="CR4" s="2">
        <v>100</v>
      </c>
      <c r="CS4" s="2" t="s">
        <v>1160</v>
      </c>
      <c r="CT4" s="2" t="s">
        <v>1154</v>
      </c>
      <c r="CU4" s="2" t="s">
        <v>1154</v>
      </c>
      <c r="CV4" s="2" t="s">
        <v>1154</v>
      </c>
      <c r="CW4" s="2" t="str">
        <f>HYPERLINK(".\links\pep\AGAP004592-PG-pep.txt","AGAP004592-PG")</f>
        <v>AGAP004592-PG</v>
      </c>
      <c r="CX4" s="2" t="s">
        <v>88</v>
      </c>
      <c r="CY4" s="2">
        <v>132</v>
      </c>
      <c r="CZ4" s="2" t="s">
        <v>103</v>
      </c>
      <c r="DA4" s="2" t="s">
        <v>1161</v>
      </c>
      <c r="DB4" s="2">
        <v>0</v>
      </c>
      <c r="DC4" s="2">
        <v>0</v>
      </c>
      <c r="DD4" s="2" t="str">
        <f>HYPERLINK("https://www.kegg.jp/kegg-bin/search_pathway_text?map=aga&amp;keyword=AGAP004592&amp;mode=1&amp;viewImage=true","AGAP004592")</f>
        <v>AGAP004592</v>
      </c>
      <c r="DE4" s="2" t="s">
        <v>1150</v>
      </c>
      <c r="DF4" s="2" t="s">
        <v>1151</v>
      </c>
      <c r="DG4" s="2" t="s">
        <v>87</v>
      </c>
      <c r="DH4" s="2" t="str">
        <f>HYPERLINK("https://vectorbase.org/vectorbase/app/record/gene/AGAP004592","AGAP004592-RG")</f>
        <v>AGAP004592-RG</v>
      </c>
      <c r="DI4" s="2" t="s">
        <v>158</v>
      </c>
      <c r="DJ4" s="2">
        <v>764</v>
      </c>
      <c r="DK4" s="2" t="str">
        <f>HYPERLINK(".\links\netoglyc\AGAP004592-PG-netoglyc.txt","0")</f>
        <v>0</v>
      </c>
      <c r="DL4" s="2">
        <v>8.3000000000000007</v>
      </c>
      <c r="DM4" s="2">
        <v>12.1</v>
      </c>
      <c r="DN4" s="2">
        <v>3.8</v>
      </c>
      <c r="DO4" s="2" t="s">
        <v>94</v>
      </c>
      <c r="DP4" s="2" t="s">
        <v>89</v>
      </c>
      <c r="DQ4" s="2" t="str">
        <f>HYPERLINK(".\links\Sigp\AGAP004592-PG-SigP.txt","CYT")</f>
        <v>CYT</v>
      </c>
      <c r="DR4" s="2" t="s">
        <v>89</v>
      </c>
      <c r="DS4" s="2">
        <v>15.255000000000001</v>
      </c>
      <c r="DT4" s="2">
        <v>9.39</v>
      </c>
      <c r="DU4" s="2" t="s">
        <v>89</v>
      </c>
      <c r="DV4" s="2" t="s">
        <v>89</v>
      </c>
      <c r="DW4" s="2" t="s">
        <v>93</v>
      </c>
      <c r="DX4" s="2">
        <v>132</v>
      </c>
      <c r="DY4" s="12">
        <v>0</v>
      </c>
      <c r="DZ4" s="2" t="s">
        <v>89</v>
      </c>
      <c r="EA4" s="2" t="s">
        <v>89</v>
      </c>
      <c r="EB4" s="2" t="s">
        <v>89</v>
      </c>
      <c r="EC4" s="2" t="str">
        <f>HYPERLINK(".\links\gpi\AGAP004592-PG-gpi.txt","Y-NoSP")</f>
        <v>Y-NoSP</v>
      </c>
      <c r="ED4" s="2">
        <v>0.56000000000000005</v>
      </c>
      <c r="EF4" s="2">
        <v>0</v>
      </c>
      <c r="EG4" s="2" t="str">
        <f>HYPERLINK(".\links\pep\AGAP004592-PG-sulf.txt","2")</f>
        <v>2</v>
      </c>
      <c r="EH4" s="2" t="s">
        <v>89</v>
      </c>
      <c r="EI4" s="2">
        <v>8.3333333333333304</v>
      </c>
      <c r="EJ4" s="2">
        <v>3.7878787878787898</v>
      </c>
      <c r="EK4" s="2">
        <v>12.1212121212121</v>
      </c>
      <c r="EL4" s="2">
        <v>15.909090909090899</v>
      </c>
      <c r="EM4" s="2" t="s">
        <v>89</v>
      </c>
      <c r="EN4" s="2">
        <v>1</v>
      </c>
      <c r="EO4" s="2">
        <v>1</v>
      </c>
      <c r="EP4" s="2" t="s">
        <v>89</v>
      </c>
      <c r="EQ4" s="2" t="s">
        <v>89</v>
      </c>
      <c r="ER4" s="2" t="s">
        <v>89</v>
      </c>
      <c r="ES4" s="2" t="s">
        <v>89</v>
      </c>
      <c r="ET4" s="2" t="str">
        <f>HYPERLINK(".\links\REFSEQ-INVERTEBRATE\AGAP004592-PG-REFSEQ-INVERTEBRATE.txt","AGAP004592-PG")</f>
        <v>AGAP004592-PG</v>
      </c>
      <c r="EU4" s="2" t="str">
        <f>HYPERLINK("http://www.ncbi.nlm.nih.gov/sutils/blink.cgi?pid=XP_003436865.1","3E-88")</f>
        <v>3E-88</v>
      </c>
      <c r="EV4" s="2" t="str">
        <f>HYPERLINK("http://www.ncbi.nlm.nih.gov/protein/XP_003436865.1","XP_003436865.1")</f>
        <v>XP_003436865.1</v>
      </c>
      <c r="EW4" s="2">
        <v>100</v>
      </c>
      <c r="EX4" s="2">
        <v>100</v>
      </c>
      <c r="EY4" s="2">
        <v>100</v>
      </c>
      <c r="EZ4" s="2" t="s">
        <v>95</v>
      </c>
    </row>
    <row r="5" spans="1:156" x14ac:dyDescent="0.25">
      <c r="A5" s="2" t="s">
        <v>1663</v>
      </c>
      <c r="B5" s="2">
        <v>3.2115358683402802</v>
      </c>
      <c r="C5" s="2">
        <f t="shared" si="0"/>
        <v>9.2633618396264499</v>
      </c>
      <c r="D5" s="2">
        <v>4.0178412607962102</v>
      </c>
      <c r="E5" s="2">
        <v>10.781642509754301</v>
      </c>
      <c r="F5" s="2">
        <v>1.0251167627556E-3</v>
      </c>
      <c r="G5" s="2">
        <v>4.1978531434842002E-2</v>
      </c>
      <c r="H5" s="2" t="s">
        <v>1664</v>
      </c>
      <c r="I5" s="2" t="s">
        <v>87</v>
      </c>
      <c r="J5" s="2" t="str">
        <f>HYPERLINK("https://vectorbase.org/vectorbase/app/record/gene/AGAP006416","AGAP006416-RA")</f>
        <v>AGAP006416-RA</v>
      </c>
      <c r="K5" s="2" t="str">
        <f>HYPERLINK(".\links\pep\AGAP006416-PA-pep.txt","AGAP006416-PA")</f>
        <v>AGAP006416-PA</v>
      </c>
      <c r="L5" s="12" t="s">
        <v>88</v>
      </c>
      <c r="M5" s="2">
        <v>271</v>
      </c>
      <c r="N5" s="2">
        <v>0</v>
      </c>
      <c r="O5" s="2">
        <v>0</v>
      </c>
      <c r="P5" s="2" t="s">
        <v>1665</v>
      </c>
      <c r="Q5" s="9" t="s">
        <v>1666</v>
      </c>
      <c r="R5" s="2" t="s">
        <v>1667</v>
      </c>
      <c r="S5" s="2" t="str">
        <f>HYPERLINK(".\links\SMART\AGAP006416-PA-SMART.txt","SMART")</f>
        <v>SMART</v>
      </c>
      <c r="T5" s="2">
        <v>5E-53</v>
      </c>
      <c r="U5" s="2">
        <v>102.1</v>
      </c>
      <c r="V5" s="2" t="s">
        <v>1668</v>
      </c>
      <c r="W5" s="10" t="s">
        <v>1669</v>
      </c>
      <c r="X5" s="2" t="s">
        <v>703</v>
      </c>
      <c r="Y5" s="2" t="str">
        <f>HYPERLINK(".\links\MEROPS\AGAP006416-PA-MEROPS.txt","MEROPS")</f>
        <v>MEROPS</v>
      </c>
      <c r="Z5" s="13">
        <v>0</v>
      </c>
      <c r="AA5" s="2">
        <v>102.7</v>
      </c>
      <c r="AB5" s="14" t="s">
        <v>89</v>
      </c>
      <c r="AC5" s="14" t="str">
        <f>HYPERLINK(".\links\Sigp\AGAP006416-PA-SigP.txt","SIG")</f>
        <v>SIG</v>
      </c>
      <c r="AD5" s="2" t="s">
        <v>804</v>
      </c>
      <c r="AE5" s="2">
        <v>28.687000000000001</v>
      </c>
      <c r="AF5" s="2">
        <v>9.64</v>
      </c>
      <c r="AG5" s="2">
        <v>26.472000000000001</v>
      </c>
      <c r="AH5" s="2">
        <v>9.69</v>
      </c>
      <c r="AI5" s="2" t="s">
        <v>1670</v>
      </c>
      <c r="AJ5" s="14" t="str">
        <f>HYPERLINK(".\links\tmhmm\AGAP006416-PA-tmhmm.txt","2")</f>
        <v>2</v>
      </c>
      <c r="AK5" s="2">
        <v>15.1</v>
      </c>
      <c r="AL5" s="2">
        <v>24.4</v>
      </c>
      <c r="AM5" s="2">
        <v>60.5</v>
      </c>
      <c r="AN5" s="14" t="str">
        <f>HYPERLINK(".\links\gpi\AGAP006416-PA-gpi.txt","N")</f>
        <v>N</v>
      </c>
      <c r="AO5" s="15" t="str">
        <f>HYPERLINK(".\links\netoglyc\AGAP006416-PA-netoglyc.txt","2")</f>
        <v>2</v>
      </c>
      <c r="AP5" s="14">
        <v>13.7</v>
      </c>
      <c r="AQ5" s="2">
        <v>10.3</v>
      </c>
      <c r="AR5" s="2">
        <v>4.8</v>
      </c>
      <c r="AS5" s="2" t="s">
        <v>94</v>
      </c>
      <c r="AT5" s="9" t="str">
        <f>HYPERLINK(".\links\NR-LIGHT\AGAP006416-PA-NR-LIGHT.txt","AGAP006416-PA")</f>
        <v>AGAP006416-PA</v>
      </c>
      <c r="AU5" s="2" t="str">
        <f>HYPERLINK("http://www.ncbi.nlm.nih.gov/sutils/blink.cgi?pid=XP_316450.1","1E-151")</f>
        <v>1E-151</v>
      </c>
      <c r="AV5" s="2" t="str">
        <f>HYPERLINK("http://www.ncbi.nlm.nih.gov/protein/XP_316450.1","XP_316450.1")</f>
        <v>XP_316450.1</v>
      </c>
      <c r="AW5" s="2">
        <v>100</v>
      </c>
      <c r="AX5" s="2">
        <v>100</v>
      </c>
      <c r="AY5" s="2">
        <v>100</v>
      </c>
      <c r="AZ5" s="2" t="s">
        <v>95</v>
      </c>
      <c r="BA5" s="9" t="str">
        <f>HYPERLINK(".\links\REFSEQ-INVERTEBRATE\AGAP006416-PA-REFSEQ-INVERTEBRATE.txt","AGAP006416-PA")</f>
        <v>AGAP006416-PA</v>
      </c>
      <c r="BB5" s="2" t="str">
        <f>HYPERLINK("http://www.ncbi.nlm.nih.gov/sutils/blink.cgi?pid=XP_316450.1","1E-151")</f>
        <v>1E-151</v>
      </c>
      <c r="BC5" s="2" t="str">
        <f>HYPERLINK("http://www.ncbi.nlm.nih.gov/protein/XP_316450.1","XP_316450.1")</f>
        <v>XP_316450.1</v>
      </c>
      <c r="BD5" s="2">
        <v>100</v>
      </c>
      <c r="BE5" s="2">
        <v>100</v>
      </c>
      <c r="BF5" s="2">
        <v>100</v>
      </c>
      <c r="BG5" s="2" t="s">
        <v>95</v>
      </c>
      <c r="BH5" s="9" t="str">
        <f>HYPERLINK(".\links\REFSEQ-PROTOZOA\AGAP006416-PA-REFSEQ-PROTOZOA.txt","trypsin-like serine protease, partial")</f>
        <v>trypsin-like serine protease, partial</v>
      </c>
      <c r="BI5" s="2" t="str">
        <f>HYPERLINK("http://www.ncbi.nlm.nih.gov/sutils/blink.cgi?pid=XP_002292122.1","6E-021")</f>
        <v>6E-021</v>
      </c>
      <c r="BJ5" s="2" t="str">
        <f>HYPERLINK("http://www.ncbi.nlm.nih.gov/protein/XP_002292122.1","XP_002292122.1")</f>
        <v>XP_002292122.1</v>
      </c>
      <c r="BK5" s="2">
        <v>30</v>
      </c>
      <c r="BL5" s="2">
        <v>47</v>
      </c>
      <c r="BM5" s="2">
        <v>89</v>
      </c>
      <c r="BN5" s="2" t="s">
        <v>1235</v>
      </c>
      <c r="BO5" s="9" t="str">
        <f>HYPERLINK(".\links\SWISSP\AGAP006416-PA-SWISSP.txt","Serine protease SP24D")</f>
        <v>Serine protease SP24D</v>
      </c>
      <c r="BP5" s="2" t="str">
        <f>HYPERLINK("http://www.uniprot.org/uniprot/Q17004","1E-152")</f>
        <v>1E-152</v>
      </c>
      <c r="BQ5" s="2" t="str">
        <f>HYPERLINK("http://www.uniprot.org/uniprot/Q17004#expression","Q17004")</f>
        <v>Q17004</v>
      </c>
      <c r="BR5" s="2">
        <v>100</v>
      </c>
      <c r="BS5" s="2">
        <v>100</v>
      </c>
      <c r="BT5" s="2">
        <v>100</v>
      </c>
      <c r="BU5" s="2" t="s">
        <v>215</v>
      </c>
      <c r="BV5" s="9" t="str">
        <f>HYPERLINK(".\links\FLYBASE\AGAP006416-PA-FLYBASE.txt","FBpp0076964")</f>
        <v>FBpp0076964</v>
      </c>
      <c r="BW5" s="2" t="str">
        <f>HYPERLINK("http://flybase.org/reports/FBgn0011834#alliance_summary_container","3E-65")</f>
        <v>3E-65</v>
      </c>
      <c r="BX5" s="2">
        <v>259</v>
      </c>
      <c r="BY5" s="2">
        <v>49</v>
      </c>
      <c r="BZ5" s="2">
        <v>61</v>
      </c>
      <c r="CA5" s="2">
        <v>86</v>
      </c>
      <c r="CB5" s="9" t="str">
        <f>HYPERLINK(".\links\CDD\AGAP006416-PA-CDD.txt","Tryp_SPc, Trypsin-like serine protease")</f>
        <v>Tryp_SPc, Trypsin-like serine protease</v>
      </c>
      <c r="CC5" s="13">
        <v>6.9999999999999999E-53</v>
      </c>
      <c r="CD5" s="2">
        <v>102.2</v>
      </c>
      <c r="CE5" s="2" t="s">
        <v>758</v>
      </c>
      <c r="CF5" s="2" t="s">
        <v>1671</v>
      </c>
      <c r="CG5" s="9" t="str">
        <f>HYPERLINK(".\links\KOG\AGAP006416-PA-KOG.txt","Trypsin")</f>
        <v>Trypsin</v>
      </c>
      <c r="CH5" s="13">
        <v>9.9999999999999997E-48</v>
      </c>
      <c r="CI5" s="2">
        <v>97.3</v>
      </c>
      <c r="CJ5" s="2" t="s">
        <v>760</v>
      </c>
      <c r="CK5" s="2" t="s">
        <v>393</v>
      </c>
      <c r="CL5" s="9" t="str">
        <f>HYPERLINK(".\links\PFAM\AGAP006416-PA-PFAM.txt","Trypsin, Trypsin")</f>
        <v>Trypsin, Trypsin</v>
      </c>
      <c r="CM5" s="13">
        <v>9.9999999999999995E-45</v>
      </c>
      <c r="CN5" s="2">
        <v>103.6</v>
      </c>
      <c r="CO5" s="2" t="s">
        <v>761</v>
      </c>
      <c r="CP5" s="9" t="str">
        <f>HYPERLINK(".\links\SMART\AGAP006416-PA-SMART.txt","Tryp_SPc, Trypsin-like serine protease")</f>
        <v>Tryp_SPc, Trypsin-like serine protease</v>
      </c>
      <c r="CQ5" s="13">
        <v>5E-53</v>
      </c>
      <c r="CR5" s="2">
        <v>102.2</v>
      </c>
      <c r="CS5" s="2" t="s">
        <v>762</v>
      </c>
      <c r="CT5" s="2" t="s">
        <v>1668</v>
      </c>
      <c r="CU5" s="2" t="s">
        <v>1668</v>
      </c>
      <c r="CV5" s="2" t="s">
        <v>1668</v>
      </c>
      <c r="CW5" s="2" t="str">
        <f>HYPERLINK(".\links\pep\AGAP006416-PA-pep.txt","AGAP006416-PA")</f>
        <v>AGAP006416-PA</v>
      </c>
      <c r="CX5" s="2" t="s">
        <v>88</v>
      </c>
      <c r="CY5" s="2">
        <v>271</v>
      </c>
      <c r="CZ5" s="2" t="s">
        <v>103</v>
      </c>
      <c r="DA5" s="2" t="s">
        <v>1672</v>
      </c>
      <c r="DB5" s="2">
        <v>0</v>
      </c>
      <c r="DC5" s="2">
        <v>0</v>
      </c>
      <c r="DD5" s="2" t="str">
        <f>HYPERLINK("https://www.kegg.jp/kegg-bin/search_pathway_text?map=aga&amp;keyword=AGAP006416&amp;mode=1&amp;viewImage=true","AGAP006416")</f>
        <v>AGAP006416</v>
      </c>
      <c r="DE5" s="2" t="s">
        <v>1663</v>
      </c>
      <c r="DF5" s="2" t="s">
        <v>1664</v>
      </c>
      <c r="DG5" s="2" t="s">
        <v>87</v>
      </c>
      <c r="DH5" s="2" t="str">
        <f>HYPERLINK("https://vectorbase.org/vectorbase/app/record/gene/AGAP006416","AGAP006416-RA")</f>
        <v>AGAP006416-RA</v>
      </c>
      <c r="DI5" s="2" t="s">
        <v>140</v>
      </c>
      <c r="DJ5" s="2">
        <v>1205</v>
      </c>
      <c r="DK5" s="2" t="str">
        <f>HYPERLINK(".\links\netoglyc\AGAP006416-PA-netoglyc.txt","2")</f>
        <v>2</v>
      </c>
      <c r="DL5" s="2">
        <v>13.7</v>
      </c>
      <c r="DM5" s="2">
        <v>10.3</v>
      </c>
      <c r="DN5" s="2">
        <v>4.8</v>
      </c>
      <c r="DO5" s="2" t="s">
        <v>94</v>
      </c>
      <c r="DP5" s="2" t="s">
        <v>89</v>
      </c>
      <c r="DQ5" s="2" t="str">
        <f>HYPERLINK(".\links\Sigp\AGAP006416-PA-SigP.txt","SIG")</f>
        <v>SIG</v>
      </c>
      <c r="DR5" s="2" t="s">
        <v>804</v>
      </c>
      <c r="DS5" s="2">
        <v>28.687000000000001</v>
      </c>
      <c r="DT5" s="2">
        <v>9.64</v>
      </c>
      <c r="DU5" s="2">
        <v>26.472000000000001</v>
      </c>
      <c r="DV5" s="2">
        <v>9.69</v>
      </c>
      <c r="DW5" s="2" t="s">
        <v>1670</v>
      </c>
      <c r="DX5" s="2">
        <v>271</v>
      </c>
      <c r="DY5" s="12" t="str">
        <f>HYPERLINK(".\links\tmhmm\AGAP006416-PA-tmhmm.txt","2")</f>
        <v>2</v>
      </c>
      <c r="DZ5" s="2">
        <v>15.1</v>
      </c>
      <c r="EA5" s="2">
        <v>24.4</v>
      </c>
      <c r="EB5" s="2">
        <v>60.5</v>
      </c>
      <c r="EC5" s="2" t="str">
        <f>HYPERLINK(".\links\gpi\AGAP006416-PA-gpi.txt","Y-NoSP")</f>
        <v>Y-NoSP</v>
      </c>
      <c r="ED5" s="2">
        <v>0.34</v>
      </c>
      <c r="EF5" s="2">
        <v>6</v>
      </c>
      <c r="EG5" s="2" t="s">
        <v>89</v>
      </c>
      <c r="EH5" s="2" t="s">
        <v>89</v>
      </c>
      <c r="EI5" s="2">
        <v>13.6531365313653</v>
      </c>
      <c r="EJ5" s="2">
        <v>4.7970479704797002</v>
      </c>
      <c r="EK5" s="2">
        <v>10.3321033210332</v>
      </c>
      <c r="EL5" s="2">
        <v>15.129151291512899</v>
      </c>
      <c r="EM5" s="2">
        <v>1</v>
      </c>
      <c r="EN5" s="2" t="s">
        <v>89</v>
      </c>
      <c r="EO5" s="2">
        <v>1</v>
      </c>
      <c r="EP5" s="2" t="s">
        <v>89</v>
      </c>
      <c r="EQ5" s="2" t="s">
        <v>89</v>
      </c>
      <c r="ER5" s="2" t="s">
        <v>89</v>
      </c>
      <c r="ES5" s="2" t="s">
        <v>89</v>
      </c>
      <c r="ET5" s="2" t="str">
        <f>HYPERLINK(".\links\REFSEQ-INVERTEBRATE\AGAP006416-PA-REFSEQ-INVERTEBRATE.txt","AGAP006416-PA")</f>
        <v>AGAP006416-PA</v>
      </c>
      <c r="EU5" s="2" t="str">
        <f>HYPERLINK("http://www.ncbi.nlm.nih.gov/sutils/blink.cgi?pid=XP_316450.1","0.0")</f>
        <v>0.0</v>
      </c>
      <c r="EV5" s="2" t="str">
        <f>HYPERLINK("http://www.ncbi.nlm.nih.gov/protein/XP_316450.1","XP_316450.1")</f>
        <v>XP_316450.1</v>
      </c>
      <c r="EW5" s="2">
        <v>100</v>
      </c>
      <c r="EX5" s="2">
        <v>100</v>
      </c>
      <c r="EY5" s="2">
        <v>100</v>
      </c>
      <c r="EZ5" s="2" t="s">
        <v>95</v>
      </c>
    </row>
    <row r="6" spans="1:156" x14ac:dyDescent="0.25">
      <c r="A6" s="2" t="s">
        <v>2258</v>
      </c>
      <c r="B6" s="2">
        <v>2.7493378145816099</v>
      </c>
      <c r="C6" s="2">
        <f t="shared" si="0"/>
        <v>6.7240843130181984</v>
      </c>
      <c r="D6" s="2">
        <v>1.0394578623024999</v>
      </c>
      <c r="E6" s="2">
        <v>12.1986090548156</v>
      </c>
      <c r="F6" s="2">
        <v>4.7825161564084398E-4</v>
      </c>
      <c r="G6" s="2">
        <v>2.5587663074010399E-2</v>
      </c>
      <c r="H6" s="2" t="s">
        <v>2259</v>
      </c>
      <c r="I6" s="2" t="s">
        <v>87</v>
      </c>
      <c r="J6" s="2" t="str">
        <f>HYPERLINK("https://vectorbase.org/vectorbase/app/record/gene/AGAP009486","AGAP009486-RB")</f>
        <v>AGAP009486-RB</v>
      </c>
      <c r="K6" s="2" t="str">
        <f>HYPERLINK(".\links\pep\AGAP009486-PB-pep.txt","AGAP009486-PB")</f>
        <v>AGAP009486-PB</v>
      </c>
      <c r="L6" s="12" t="s">
        <v>88</v>
      </c>
      <c r="M6" s="2">
        <v>550</v>
      </c>
      <c r="N6" s="2">
        <v>0</v>
      </c>
      <c r="O6" s="2">
        <v>3</v>
      </c>
      <c r="P6" s="2" t="s">
        <v>2260</v>
      </c>
      <c r="Q6" s="9" t="s">
        <v>2261</v>
      </c>
      <c r="R6" s="2" t="s">
        <v>727</v>
      </c>
      <c r="S6" s="2" t="str">
        <f>HYPERLINK(".\links\CDD\AGAP009486-PB-CDD.txt","CDD")</f>
        <v>CDD</v>
      </c>
      <c r="T6" s="2">
        <v>0</v>
      </c>
      <c r="U6" s="2">
        <v>63.8</v>
      </c>
      <c r="V6" s="2" t="s">
        <v>2262</v>
      </c>
      <c r="W6" s="10" t="s">
        <v>2263</v>
      </c>
      <c r="X6" s="2" t="s">
        <v>148</v>
      </c>
      <c r="Y6" s="2" t="str">
        <f>HYPERLINK(".\links\CDD\AGAP009486-PB-CDD.txt","CDD")</f>
        <v>CDD</v>
      </c>
      <c r="Z6" s="2">
        <v>0</v>
      </c>
      <c r="AA6" s="2">
        <v>65.7</v>
      </c>
      <c r="AB6" s="14" t="str">
        <f>HYPERLINK(".\links\pep\AGAP009486-PB-sulf.txt","1")</f>
        <v>1</v>
      </c>
      <c r="AC6" s="14" t="str">
        <f>HYPERLINK(".\links\Sigp\AGAP009486-PB-SigP.txt","CYT")</f>
        <v>CYT</v>
      </c>
      <c r="AD6" s="2" t="s">
        <v>89</v>
      </c>
      <c r="AE6" s="2">
        <v>63.433</v>
      </c>
      <c r="AF6" s="2">
        <v>6.06</v>
      </c>
      <c r="AG6" s="2" t="s">
        <v>89</v>
      </c>
      <c r="AH6" s="2" t="s">
        <v>89</v>
      </c>
      <c r="AI6" s="2" t="s">
        <v>2264</v>
      </c>
      <c r="AJ6" s="14">
        <v>0</v>
      </c>
      <c r="AK6" s="2" t="s">
        <v>89</v>
      </c>
      <c r="AL6" s="2" t="s">
        <v>89</v>
      </c>
      <c r="AM6" s="2" t="s">
        <v>89</v>
      </c>
      <c r="AN6" s="14" t="str">
        <f>HYPERLINK(".\links\gpi\AGAP009486-PB-gpi.txt","N")</f>
        <v>N</v>
      </c>
      <c r="AO6" s="15" t="str">
        <f>HYPERLINK(".\links\netoglyc\AGAP009486-PB-netoglyc.txt","0")</f>
        <v>0</v>
      </c>
      <c r="AP6" s="14">
        <v>9.8000000000000007</v>
      </c>
      <c r="AQ6" s="2">
        <v>2.9</v>
      </c>
      <c r="AR6" s="2">
        <v>2.9</v>
      </c>
      <c r="AS6" s="2" t="s">
        <v>94</v>
      </c>
      <c r="AT6" s="9" t="str">
        <f>HYPERLINK(".\links\NR-LIGHT\AGAP009486-PB-NR-LIGHT.txt","AGAP009486-PA, partial")</f>
        <v>AGAP009486-PA, partial</v>
      </c>
      <c r="AU6" s="2" t="str">
        <f>HYPERLINK("http://www.ncbi.nlm.nih.gov/sutils/blink.cgi?pid=XP_310211.4","0.0")</f>
        <v>0.0</v>
      </c>
      <c r="AV6" s="2" t="str">
        <f>HYPERLINK("http://www.ncbi.nlm.nih.gov/protein/XP_310211.4","XP_310211.4")</f>
        <v>XP_310211.4</v>
      </c>
      <c r="AW6" s="2">
        <v>97</v>
      </c>
      <c r="AX6" s="2">
        <v>97</v>
      </c>
      <c r="AY6" s="2">
        <v>102</v>
      </c>
      <c r="AZ6" s="2" t="s">
        <v>95</v>
      </c>
      <c r="BA6" s="9" t="str">
        <f>HYPERLINK(".\links\REFSEQ-INVERTEBRATE\AGAP009486-PB-REFSEQ-INVERTEBRATE.txt","AGAP009486-PA, partial")</f>
        <v>AGAP009486-PA, partial</v>
      </c>
      <c r="BB6" s="2" t="str">
        <f>HYPERLINK("http://www.ncbi.nlm.nih.gov/sutils/blink.cgi?pid=XP_310211.4","0.0")</f>
        <v>0.0</v>
      </c>
      <c r="BC6" s="2" t="str">
        <f>HYPERLINK("http://www.ncbi.nlm.nih.gov/protein/XP_310211.4","XP_310211.4")</f>
        <v>XP_310211.4</v>
      </c>
      <c r="BD6" s="2">
        <v>97</v>
      </c>
      <c r="BE6" s="2">
        <v>97</v>
      </c>
      <c r="BF6" s="2">
        <v>102</v>
      </c>
      <c r="BG6" s="2" t="s">
        <v>95</v>
      </c>
      <c r="BH6" s="9" t="str">
        <f>HYPERLINK(".\links\REFSEQ-PROTOZOA\AGAP009486-PB-REFSEQ-PROTOZOA.txt","vacuolar proton pump subunit H")</f>
        <v>vacuolar proton pump subunit H</v>
      </c>
      <c r="BI6" s="2" t="str">
        <f>HYPERLINK("http://www.ncbi.nlm.nih.gov/sutils/blink.cgi?pid=XP_004365301.1","8E-070")</f>
        <v>8E-070</v>
      </c>
      <c r="BJ6" s="2" t="str">
        <f>HYPERLINK("http://www.ncbi.nlm.nih.gov/protein/XP_004365301.1","XP_004365301.1")</f>
        <v>XP_004365301.1</v>
      </c>
      <c r="BK6" s="2">
        <v>47</v>
      </c>
      <c r="BL6" s="2">
        <v>69</v>
      </c>
      <c r="BM6" s="2">
        <v>63</v>
      </c>
      <c r="BN6" s="2" t="s">
        <v>150</v>
      </c>
      <c r="BO6" s="9" t="str">
        <f>HYPERLINK(".\links\SWISSP\AGAP009486-PB-SWISSP.txt","V-type proton ATPase subunit H")</f>
        <v>V-type proton ATPase subunit H</v>
      </c>
      <c r="BP6" s="2" t="str">
        <f>HYPERLINK("http://www.uniprot.org/uniprot/Q9V3J1","1E-150")</f>
        <v>1E-150</v>
      </c>
      <c r="BQ6" s="2" t="str">
        <f>HYPERLINK("http://www.uniprot.org/uniprot/Q9V3J1#expression","Q9V3J1")</f>
        <v>Q9V3J1</v>
      </c>
      <c r="BR6" s="2">
        <v>88</v>
      </c>
      <c r="BS6" s="2">
        <v>94</v>
      </c>
      <c r="BT6" s="2">
        <v>63</v>
      </c>
      <c r="BU6" s="2" t="s">
        <v>151</v>
      </c>
      <c r="BV6" s="9" t="str">
        <f>HYPERLINK(".\links\FLYBASE\AGAP009486-PB-FLYBASE.txt","FBpp0080495")</f>
        <v>FBpp0080495</v>
      </c>
      <c r="BW6" s="2" t="str">
        <f>HYPERLINK("http://flybase.org/reports/FBgn0027779#alliance_summary_container","0.0")</f>
        <v>0.0</v>
      </c>
      <c r="BX6" s="2">
        <v>542</v>
      </c>
      <c r="BY6" s="2">
        <v>72</v>
      </c>
      <c r="BZ6" s="2">
        <v>82</v>
      </c>
      <c r="CA6" s="2">
        <v>101</v>
      </c>
      <c r="CB6" s="9" t="str">
        <f>HYPERLINK(".\links\CDD\AGAP009486-PB-CDD.txt","VATPase_H, VATPase_H, regulatory vacuolar ATP synthase subunit H (Vma13p)")</f>
        <v>VATPase_H, VATPase_H, regulatory vacuolar ATP synthase subunit H (Vma13p)</v>
      </c>
      <c r="CC6" s="13">
        <v>1E-125</v>
      </c>
      <c r="CD6" s="2">
        <v>63.9</v>
      </c>
      <c r="CE6" s="2" t="s">
        <v>2265</v>
      </c>
      <c r="CF6" s="2" t="s">
        <v>2266</v>
      </c>
      <c r="CG6" s="9" t="str">
        <f>HYPERLINK(".\links\KOG\AGAP009486-PB-KOG.txt","subunit H")</f>
        <v>subunit H</v>
      </c>
      <c r="CH6" s="13">
        <v>9.0000000000000002E-97</v>
      </c>
      <c r="CI6" s="2">
        <v>67.5</v>
      </c>
      <c r="CJ6" s="2" t="s">
        <v>2267</v>
      </c>
      <c r="CK6" s="2" t="s">
        <v>155</v>
      </c>
      <c r="CL6" s="9" t="str">
        <f>HYPERLINK(".\links\PFAM\AGAP009486-PB-PFAM.txt","V-ATPase_H_C, V-ATPase subunit H")</f>
        <v>V-ATPase_H_C, V-ATPase subunit H</v>
      </c>
      <c r="CM6" s="13">
        <v>2E-55</v>
      </c>
      <c r="CN6" s="2">
        <v>100</v>
      </c>
      <c r="CO6" s="2" t="s">
        <v>2268</v>
      </c>
      <c r="CP6" s="9" t="str">
        <f>HYPERLINK(".\links\SMART\AGAP009486-PB-SMART.txt","ARM, Armadillo/beta-catenin-like repeats")</f>
        <v>ARM, Armadillo/beta-catenin-like repeats</v>
      </c>
      <c r="CQ6" s="13">
        <v>0.23</v>
      </c>
      <c r="CR6" s="2">
        <v>78</v>
      </c>
      <c r="CS6" s="2" t="s">
        <v>2269</v>
      </c>
      <c r="CT6" s="2" t="s">
        <v>2262</v>
      </c>
      <c r="CU6" s="2" t="s">
        <v>2262</v>
      </c>
      <c r="CV6" s="2" t="s">
        <v>2262</v>
      </c>
      <c r="CW6" s="2" t="str">
        <f>HYPERLINK(".\links\pep\AGAP009486-PB-pep.txt","AGAP009486-PB")</f>
        <v>AGAP009486-PB</v>
      </c>
      <c r="CX6" s="2" t="s">
        <v>88</v>
      </c>
      <c r="CY6" s="2">
        <v>550</v>
      </c>
      <c r="CZ6" s="2" t="s">
        <v>103</v>
      </c>
      <c r="DA6" s="2" t="s">
        <v>2270</v>
      </c>
      <c r="DB6" s="2">
        <v>0</v>
      </c>
      <c r="DC6" s="2">
        <v>3</v>
      </c>
      <c r="DD6" s="2" t="str">
        <f>HYPERLINK("https://www.kegg.jp/kegg-bin/search_pathway_text?map=aga&amp;keyword=AGAP009486&amp;mode=1&amp;viewImage=true","AGAP009486")</f>
        <v>AGAP009486</v>
      </c>
      <c r="DE6" s="2" t="s">
        <v>2258</v>
      </c>
      <c r="DF6" s="2" t="s">
        <v>2259</v>
      </c>
      <c r="DG6" s="2" t="s">
        <v>87</v>
      </c>
      <c r="DH6" s="2" t="str">
        <f>HYPERLINK("https://vectorbase.org/vectorbase/app/record/gene/AGAP009486","AGAP009486-RB")</f>
        <v>AGAP009486-RB</v>
      </c>
      <c r="DI6" s="2" t="s">
        <v>140</v>
      </c>
      <c r="DJ6" s="2">
        <v>2420</v>
      </c>
      <c r="DK6" s="2" t="str">
        <f>HYPERLINK(".\links\netoglyc\AGAP009486-PB-netoglyc.txt","0")</f>
        <v>0</v>
      </c>
      <c r="DL6" s="2">
        <v>9.8000000000000007</v>
      </c>
      <c r="DM6" s="2">
        <v>2.9</v>
      </c>
      <c r="DN6" s="2">
        <v>2.9</v>
      </c>
      <c r="DO6" s="2" t="s">
        <v>94</v>
      </c>
      <c r="DP6" s="2" t="s">
        <v>89</v>
      </c>
      <c r="DQ6" s="2" t="str">
        <f>HYPERLINK(".\links\Sigp\AGAP009486-PB-SigP.txt","CYT")</f>
        <v>CYT</v>
      </c>
      <c r="DR6" s="2" t="s">
        <v>89</v>
      </c>
      <c r="DS6" s="2">
        <v>63.433</v>
      </c>
      <c r="DT6" s="2">
        <v>6.06</v>
      </c>
      <c r="DU6" s="2" t="s">
        <v>89</v>
      </c>
      <c r="DV6" s="2" t="s">
        <v>89</v>
      </c>
      <c r="DW6" s="2" t="s">
        <v>2264</v>
      </c>
      <c r="DX6" s="2">
        <v>550</v>
      </c>
      <c r="DY6" s="12">
        <v>0</v>
      </c>
      <c r="DZ6" s="2" t="s">
        <v>89</v>
      </c>
      <c r="EA6" s="2" t="s">
        <v>89</v>
      </c>
      <c r="EB6" s="2" t="s">
        <v>89</v>
      </c>
      <c r="EC6" s="2" t="str">
        <f>HYPERLINK(".\links\gpi\AGAP009486-PB-gpi.txt","N")</f>
        <v>N</v>
      </c>
      <c r="ED6" s="2">
        <v>0.26</v>
      </c>
      <c r="EF6" s="2">
        <v>8</v>
      </c>
      <c r="EG6" s="2" t="str">
        <f>HYPERLINK(".\links\pep\AGAP009486-PB-sulf.txt","1")</f>
        <v>1</v>
      </c>
      <c r="EH6" s="2" t="s">
        <v>89</v>
      </c>
      <c r="EI6" s="2">
        <v>9.8181818181818201</v>
      </c>
      <c r="EJ6" s="2">
        <v>2.9090909090909101</v>
      </c>
      <c r="EK6" s="2">
        <v>2.9090909090909101</v>
      </c>
      <c r="EL6" s="2">
        <v>5.8181818181818201</v>
      </c>
      <c r="EM6" s="2" t="s">
        <v>89</v>
      </c>
      <c r="EN6" s="2" t="s">
        <v>89</v>
      </c>
      <c r="EO6" s="2" t="s">
        <v>89</v>
      </c>
      <c r="EP6" s="2" t="s">
        <v>89</v>
      </c>
      <c r="EQ6" s="2" t="s">
        <v>89</v>
      </c>
      <c r="ER6" s="2" t="s">
        <v>89</v>
      </c>
      <c r="ES6" s="2" t="s">
        <v>89</v>
      </c>
      <c r="ET6" s="2" t="str">
        <f>HYPERLINK(".\links\REFSEQ-INVERTEBRATE\AGAP009486-PB-REFSEQ-INVERTEBRATE.txt","AGAP009486-PA, partial")</f>
        <v>AGAP009486-PA, partial</v>
      </c>
      <c r="EU6" s="2" t="str">
        <f>HYPERLINK("http://www.ncbi.nlm.nih.gov/sutils/blink.cgi?pid=XP_310211.4","0.0")</f>
        <v>0.0</v>
      </c>
      <c r="EV6" s="2" t="str">
        <f>HYPERLINK("http://www.ncbi.nlm.nih.gov/protein/XP_310211.4","XP_310211.4")</f>
        <v>XP_310211.4</v>
      </c>
      <c r="EW6" s="2">
        <v>97</v>
      </c>
      <c r="EX6" s="2">
        <v>97</v>
      </c>
      <c r="EY6" s="2">
        <v>102</v>
      </c>
      <c r="EZ6" s="2" t="s">
        <v>95</v>
      </c>
    </row>
    <row r="7" spans="1:156" x14ac:dyDescent="0.25">
      <c r="A7" s="2" t="s">
        <v>2128</v>
      </c>
      <c r="B7" s="2">
        <v>2.54542268099304</v>
      </c>
      <c r="C7" s="2">
        <f t="shared" si="0"/>
        <v>5.8377914833927926</v>
      </c>
      <c r="D7" s="2">
        <v>-0.105437903864825</v>
      </c>
      <c r="E7" s="2">
        <v>18.3974745825486</v>
      </c>
      <c r="F7" s="2">
        <v>1.7929545456714E-5</v>
      </c>
      <c r="G7" s="2">
        <v>2.5452782730351199E-3</v>
      </c>
      <c r="H7" s="2" t="s">
        <v>2129</v>
      </c>
      <c r="I7" s="2" t="s">
        <v>87</v>
      </c>
      <c r="J7" s="2" t="str">
        <f>HYPERLINK("https://vectorbase.org/vectorbase/app/record/gene/AGAP009016","AGAP009016-RA")</f>
        <v>AGAP009016-RA</v>
      </c>
      <c r="K7" s="2" t="str">
        <f>HYPERLINK(".\links\pep\AGAP009016-PA-pep.txt","AGAP009016-PA")</f>
        <v>AGAP009016-PA</v>
      </c>
      <c r="L7" s="12" t="s">
        <v>88</v>
      </c>
      <c r="M7" s="2">
        <v>373</v>
      </c>
      <c r="N7" s="2">
        <v>0</v>
      </c>
      <c r="O7" s="2">
        <v>0</v>
      </c>
      <c r="P7" s="2" t="s">
        <v>2130</v>
      </c>
      <c r="Q7" s="9" t="s">
        <v>2131</v>
      </c>
      <c r="R7" s="2" t="s">
        <v>91</v>
      </c>
      <c r="S7" s="2" t="str">
        <f>HYPERLINK(".\links\REFSEQ-INVERTEBRATE\AGAP009016-PA-REFSEQ-INVERTEBRATE.txt","REFSEQ-INVERTEBRATE")</f>
        <v>REFSEQ-INVERTEBRATE</v>
      </c>
      <c r="T7" s="2">
        <v>0</v>
      </c>
      <c r="U7" s="2">
        <v>100.2</v>
      </c>
      <c r="V7" s="2" t="s">
        <v>2132</v>
      </c>
      <c r="W7" s="10" t="s">
        <v>2133</v>
      </c>
      <c r="X7" s="2" t="s">
        <v>902</v>
      </c>
      <c r="Y7" s="2" t="str">
        <f>HYPERLINK(".\links\UNIPROTKB\AGAP009016-PA-UNIPROTKB.txt","UNIPROTKB")</f>
        <v>UNIPROTKB</v>
      </c>
      <c r="Z7" s="2">
        <v>0</v>
      </c>
      <c r="AA7" s="2">
        <v>90</v>
      </c>
      <c r="AB7" s="14" t="s">
        <v>89</v>
      </c>
      <c r="AC7" s="14" t="str">
        <f>HYPERLINK(".\links\Sigp\AGAP009016-PA-SigP.txt","CYT")</f>
        <v>CYT</v>
      </c>
      <c r="AD7" s="2" t="s">
        <v>89</v>
      </c>
      <c r="AE7" s="2">
        <v>40.896000000000001</v>
      </c>
      <c r="AF7" s="2">
        <v>8.7899999999999991</v>
      </c>
      <c r="AG7" s="2" t="s">
        <v>89</v>
      </c>
      <c r="AH7" s="2" t="s">
        <v>89</v>
      </c>
      <c r="AI7" s="2" t="s">
        <v>939</v>
      </c>
      <c r="AJ7" s="14">
        <v>0</v>
      </c>
      <c r="AK7" s="2" t="s">
        <v>89</v>
      </c>
      <c r="AL7" s="2" t="s">
        <v>89</v>
      </c>
      <c r="AM7" s="2" t="s">
        <v>89</v>
      </c>
      <c r="AN7" s="14" t="str">
        <f>HYPERLINK(".\links\gpi\AGAP009016-PA-gpi.txt","N")</f>
        <v>N</v>
      </c>
      <c r="AO7" s="15" t="str">
        <f>HYPERLINK(".\links\netoglyc\AGAP009016-PA-netoglyc.txt","1")</f>
        <v>1</v>
      </c>
      <c r="AP7" s="14">
        <v>13.9</v>
      </c>
      <c r="AQ7" s="2">
        <v>6.4</v>
      </c>
      <c r="AR7" s="2">
        <v>5.4</v>
      </c>
      <c r="AS7" s="2" t="s">
        <v>94</v>
      </c>
      <c r="AT7" s="9" t="str">
        <f>HYPERLINK(".\links\NR-LIGHT\AGAP009016-PA-NR-LIGHT.txt","protein limb expression 1 homolog isoform X1")</f>
        <v>protein limb expression 1 homolog isoform X1</v>
      </c>
      <c r="AU7" s="2" t="str">
        <f>HYPERLINK("http://www.ncbi.nlm.nih.gov/sutils/blink.cgi?pid=XP_021702414.1","1E-173")</f>
        <v>1E-173</v>
      </c>
      <c r="AV7" s="2" t="str">
        <f>HYPERLINK("http://www.ncbi.nlm.nih.gov/protein/XP_021702414.1","XP_021702414.1")</f>
        <v>XP_021702414.1</v>
      </c>
      <c r="AW7" s="2">
        <v>86</v>
      </c>
      <c r="AX7" s="2">
        <v>88</v>
      </c>
      <c r="AY7" s="2">
        <v>102</v>
      </c>
      <c r="AZ7" s="2" t="s">
        <v>233</v>
      </c>
      <c r="BA7" s="9" t="str">
        <f>HYPERLINK(".\links\REFSEQ-INVERTEBRATE\AGAP009016-PA-REFSEQ-INVERTEBRATE.txt","protein limb expression 1 homolog isoform X1")</f>
        <v>protein limb expression 1 homolog isoform X1</v>
      </c>
      <c r="BB7" s="2" t="str">
        <f>HYPERLINK("http://www.ncbi.nlm.nih.gov/sutils/blink.cgi?pid=XP_019550532.1","1E-173")</f>
        <v>1E-173</v>
      </c>
      <c r="BC7" s="2" t="str">
        <f>HYPERLINK("http://www.ncbi.nlm.nih.gov/protein/XP_019550532.1","XP_019550532.1")</f>
        <v>XP_019550532.1</v>
      </c>
      <c r="BD7" s="2">
        <v>86</v>
      </c>
      <c r="BE7" s="2">
        <v>88</v>
      </c>
      <c r="BF7" s="2">
        <v>100</v>
      </c>
      <c r="BG7" s="2" t="s">
        <v>2012</v>
      </c>
      <c r="BH7" s="9" t="str">
        <f>HYPERLINK(".\links\REFSEQ-PROTOZOA\AGAP009016-PA-REFSEQ-PROTOZOA.txt","hypothetical protein DICPUDRAFT_75633")</f>
        <v>hypothetical protein DICPUDRAFT_75633</v>
      </c>
      <c r="BI7" s="2" t="str">
        <f>HYPERLINK("http://www.ncbi.nlm.nih.gov/sutils/blink.cgi?pid=XP_003284690.1","3E-004")</f>
        <v>3E-004</v>
      </c>
      <c r="BJ7" s="2" t="str">
        <f>HYPERLINK("http://www.ncbi.nlm.nih.gov/protein/XP_003284690.1","XP_003284690.1")</f>
        <v>XP_003284690.1</v>
      </c>
      <c r="BK7" s="2">
        <v>28</v>
      </c>
      <c r="BL7" s="2">
        <v>48</v>
      </c>
      <c r="BM7" s="2">
        <v>20</v>
      </c>
      <c r="BN7" s="2" t="s">
        <v>1142</v>
      </c>
      <c r="BO7" s="9" t="str">
        <f>HYPERLINK(".\links\SWISSP\AGAP009016-PA-SWISSP.txt","LIX1-like protein")</f>
        <v>LIX1-like protein</v>
      </c>
      <c r="BP7" s="2" t="str">
        <f>HYPERLINK("http://www.uniprot.org/uniprot/Q8IVB5","1E-117")</f>
        <v>1E-117</v>
      </c>
      <c r="BQ7" s="2" t="str">
        <f>HYPERLINK("http://www.uniprot.org/uniprot/Q8IVB5#expression","Q8IVB5")</f>
        <v>Q8IVB5</v>
      </c>
      <c r="BR7" s="2">
        <v>76</v>
      </c>
      <c r="BS7" s="2">
        <v>86</v>
      </c>
      <c r="BT7" s="2">
        <v>84</v>
      </c>
      <c r="BU7" s="2" t="s">
        <v>115</v>
      </c>
      <c r="BV7" s="9" t="str">
        <f>HYPERLINK(".\links\FLYBASE\AGAP009016-PA-FLYBASE.txt","FBpp0291652")</f>
        <v>FBpp0291652</v>
      </c>
      <c r="BW7" s="2" t="str">
        <f>HYPERLINK("http://flybase.org/reports/FBgn0032230#alliance_summary_container","1E-154")</f>
        <v>1E-154</v>
      </c>
      <c r="BX7" s="2">
        <v>268</v>
      </c>
      <c r="BY7" s="2">
        <v>84</v>
      </c>
      <c r="BZ7" s="2">
        <v>92</v>
      </c>
      <c r="CA7" s="2">
        <v>90</v>
      </c>
      <c r="CB7" s="9" t="str">
        <f>HYPERLINK(".\links\CDD\AGAP009016-PA-CDD.txt","LIX1, Limb expression 1")</f>
        <v>LIX1, Limb expression 1</v>
      </c>
      <c r="CC7" s="13">
        <v>1.0000000000000001E-133</v>
      </c>
      <c r="CD7" s="2">
        <v>100.4</v>
      </c>
      <c r="CE7" s="2" t="s">
        <v>2134</v>
      </c>
      <c r="CF7" s="2" t="s">
        <v>2135</v>
      </c>
      <c r="CG7" s="9" t="str">
        <f>HYPERLINK(".\links\KOG\AGAP009016-PA-KOG.txt","ATP-dependent RNA helicase")</f>
        <v>ATP-dependent RNA helicase</v>
      </c>
      <c r="CH7" s="13">
        <v>8.8999999999999996E-2</v>
      </c>
      <c r="CI7" s="2">
        <v>13.3</v>
      </c>
      <c r="CJ7" s="2" t="s">
        <v>2136</v>
      </c>
      <c r="CK7" s="2" t="s">
        <v>692</v>
      </c>
      <c r="CL7" s="9" t="str">
        <f>HYPERLINK(".\links\PFAM\AGAP009016-PA-PFAM.txt","LIX1, Limb expression 1")</f>
        <v>LIX1, Limb expression 1</v>
      </c>
      <c r="CM7" s="13">
        <v>1.0000000000000001E-133</v>
      </c>
      <c r="CN7" s="2">
        <v>100.4</v>
      </c>
      <c r="CO7" s="2" t="s">
        <v>2134</v>
      </c>
      <c r="CP7" s="9" t="str">
        <f>HYPERLINK(".\links\SMART\AGAP009016-PA-SMART.txt","Jacalin, Jacalin-like lectin domain")</f>
        <v>Jacalin, Jacalin-like lectin domain</v>
      </c>
      <c r="CQ7" s="13">
        <v>0.55000000000000004</v>
      </c>
      <c r="CR7" s="2">
        <v>24.2</v>
      </c>
      <c r="CS7" s="2" t="s">
        <v>2137</v>
      </c>
      <c r="CT7" s="2" t="s">
        <v>2132</v>
      </c>
      <c r="CU7" s="2" t="s">
        <v>2132</v>
      </c>
      <c r="CV7" s="2" t="s">
        <v>2132</v>
      </c>
      <c r="CW7" s="2" t="str">
        <f>HYPERLINK(".\links\pep\AGAP009016-PA-pep.txt","AGAP009016-PA")</f>
        <v>AGAP009016-PA</v>
      </c>
      <c r="CX7" s="2" t="s">
        <v>88</v>
      </c>
      <c r="CY7" s="2">
        <v>373</v>
      </c>
      <c r="CZ7" s="2" t="s">
        <v>103</v>
      </c>
      <c r="DA7" s="2" t="s">
        <v>2138</v>
      </c>
      <c r="DB7" s="2">
        <v>0</v>
      </c>
      <c r="DC7" s="2">
        <v>0</v>
      </c>
      <c r="DD7" s="2" t="str">
        <f>HYPERLINK("https://www.kegg.jp/kegg-bin/search_pathway_text?map=aga&amp;keyword=AGAP009016&amp;mode=1&amp;viewImage=true","AGAP009016")</f>
        <v>AGAP009016</v>
      </c>
      <c r="DE7" s="2" t="s">
        <v>2128</v>
      </c>
      <c r="DF7" s="2" t="s">
        <v>2129</v>
      </c>
      <c r="DG7" s="2" t="s">
        <v>87</v>
      </c>
      <c r="DH7" s="2" t="str">
        <f>HYPERLINK("https://vectorbase.org/vectorbase/app/record/gene/AGAP009016","AGAP009016-RA")</f>
        <v>AGAP009016-RA</v>
      </c>
      <c r="DI7" s="2" t="s">
        <v>105</v>
      </c>
      <c r="DJ7" s="2">
        <v>2892</v>
      </c>
      <c r="DK7" s="2" t="str">
        <f>HYPERLINK(".\links\netoglyc\AGAP009016-PA-netoglyc.txt","1")</f>
        <v>1</v>
      </c>
      <c r="DL7" s="2">
        <v>13.9</v>
      </c>
      <c r="DM7" s="2">
        <v>6.4</v>
      </c>
      <c r="DN7" s="2">
        <v>5.4</v>
      </c>
      <c r="DO7" s="2" t="s">
        <v>94</v>
      </c>
      <c r="DP7" s="2" t="s">
        <v>89</v>
      </c>
      <c r="DQ7" s="2" t="str">
        <f>HYPERLINK(".\links\Sigp\AGAP009016-PA-SigP.txt","CYT")</f>
        <v>CYT</v>
      </c>
      <c r="DR7" s="2" t="s">
        <v>89</v>
      </c>
      <c r="DS7" s="2">
        <v>40.896000000000001</v>
      </c>
      <c r="DT7" s="2">
        <v>8.7899999999999991</v>
      </c>
      <c r="DU7" s="2" t="s">
        <v>89</v>
      </c>
      <c r="DV7" s="2" t="s">
        <v>89</v>
      </c>
      <c r="DW7" s="2" t="s">
        <v>939</v>
      </c>
      <c r="DX7" s="2">
        <v>373</v>
      </c>
      <c r="DY7" s="12">
        <v>0</v>
      </c>
      <c r="DZ7" s="2" t="s">
        <v>89</v>
      </c>
      <c r="EA7" s="2" t="s">
        <v>89</v>
      </c>
      <c r="EB7" s="2" t="s">
        <v>89</v>
      </c>
      <c r="EC7" s="2" t="str">
        <f>HYPERLINK(".\links\gpi\AGAP009016-PA-gpi.txt","N")</f>
        <v>N</v>
      </c>
      <c r="ED7" s="2">
        <v>0.17</v>
      </c>
      <c r="EF7" s="2">
        <v>4</v>
      </c>
      <c r="EG7" s="2" t="s">
        <v>89</v>
      </c>
      <c r="EH7" s="2" t="s">
        <v>89</v>
      </c>
      <c r="EI7" s="2">
        <v>13.941018766756001</v>
      </c>
      <c r="EJ7" s="2">
        <v>5.3619302949061698</v>
      </c>
      <c r="EK7" s="2">
        <v>6.4343163538874002</v>
      </c>
      <c r="EL7" s="2">
        <v>11.7962466487936</v>
      </c>
      <c r="EM7" s="2">
        <v>1</v>
      </c>
      <c r="EN7" s="2">
        <v>3</v>
      </c>
      <c r="EO7" s="2">
        <v>4</v>
      </c>
      <c r="EP7" s="2" t="s">
        <v>89</v>
      </c>
      <c r="EQ7" s="2" t="s">
        <v>89</v>
      </c>
      <c r="ER7" s="2" t="s">
        <v>89</v>
      </c>
      <c r="ES7" s="2" t="s">
        <v>89</v>
      </c>
      <c r="ET7" s="2" t="str">
        <f>HYPERLINK(".\links\REFSEQ-INVERTEBRATE\AGAP009016-PA-REFSEQ-INVERTEBRATE.txt","protein limb expression 1 homolog isoform X1")</f>
        <v>protein limb expression 1 homolog isoform X1</v>
      </c>
      <c r="EU7" s="2" t="str">
        <f>HYPERLINK("http://www.ncbi.nlm.nih.gov/sutils/blink.cgi?pid=XP_035914664.1","0.0")</f>
        <v>0.0</v>
      </c>
      <c r="EV7" s="2" t="str">
        <f>HYPERLINK("http://www.ncbi.nlm.nih.gov/protein/XP_035914664.1","XP_035914664.1")</f>
        <v>XP_035914664.1</v>
      </c>
      <c r="EW7" s="2">
        <v>94</v>
      </c>
      <c r="EX7" s="2">
        <v>96</v>
      </c>
      <c r="EY7" s="2">
        <v>101</v>
      </c>
      <c r="EZ7" s="2" t="s">
        <v>600</v>
      </c>
    </row>
    <row r="8" spans="1:156" x14ac:dyDescent="0.25">
      <c r="A8" s="2" t="s">
        <v>1639</v>
      </c>
      <c r="B8" s="2">
        <v>2.4979137554094701</v>
      </c>
      <c r="C8" s="2">
        <f t="shared" si="0"/>
        <v>5.6486799282592823</v>
      </c>
      <c r="D8" s="2">
        <v>3.1973812841163598</v>
      </c>
      <c r="E8" s="2">
        <v>27.187907256589298</v>
      </c>
      <c r="F8" s="2">
        <v>1.8460975965098599E-7</v>
      </c>
      <c r="G8" s="2">
        <v>1.7655003523677201E-4</v>
      </c>
      <c r="H8" s="2" t="s">
        <v>1640</v>
      </c>
      <c r="I8" s="2" t="s">
        <v>87</v>
      </c>
      <c r="J8" s="2" t="str">
        <f>HYPERLINK("https://vectorbase.org/vectorbase/app/record/gene/AGAP006369","AGAP006369-RA")</f>
        <v>AGAP006369-RA</v>
      </c>
      <c r="K8" s="2" t="str">
        <f>HYPERLINK(".\links\pep\AGAP006369-PA-pep.txt","AGAP006369-PA")</f>
        <v>AGAP006369-PA</v>
      </c>
      <c r="L8" s="12" t="s">
        <v>88</v>
      </c>
      <c r="M8" s="2">
        <v>590</v>
      </c>
      <c r="N8" s="2">
        <v>0</v>
      </c>
      <c r="O8" s="2">
        <v>5</v>
      </c>
      <c r="P8" s="2" t="s">
        <v>1641</v>
      </c>
      <c r="Q8" s="9" t="s">
        <v>1642</v>
      </c>
      <c r="R8" s="2" t="s">
        <v>1643</v>
      </c>
      <c r="S8" s="2" t="str">
        <f>HYPERLINK(".\links\netoglyc\AGAP006369-PA-netoglyc.txt","netoglyc")</f>
        <v>netoglyc</v>
      </c>
      <c r="V8" s="2" t="s">
        <v>1644</v>
      </c>
      <c r="W8" s="10" t="s">
        <v>1645</v>
      </c>
      <c r="X8" s="2" t="s">
        <v>456</v>
      </c>
      <c r="Y8" s="2" t="str">
        <f>HYPERLINK(".\links\ARTHORPODA\AGAP006369-PA-ARTHORPODA.txt","ARTHORPODA")</f>
        <v>ARTHORPODA</v>
      </c>
      <c r="Z8" s="2">
        <v>0</v>
      </c>
      <c r="AA8" s="2">
        <v>100</v>
      </c>
      <c r="AB8" s="14" t="str">
        <f>HYPERLINK(".\links\pep\AGAP006369-PA-sulf.txt","4")</f>
        <v>4</v>
      </c>
      <c r="AC8" s="14" t="str">
        <f>HYPERLINK(".\links\Sigp\AGAP006369-PA-SigP.txt","SIG")</f>
        <v>SIG</v>
      </c>
      <c r="AD8" s="2" t="s">
        <v>350</v>
      </c>
      <c r="AE8" s="2">
        <v>62.966999999999999</v>
      </c>
      <c r="AF8" s="2">
        <v>5.68</v>
      </c>
      <c r="AG8" s="2">
        <v>60.911000000000001</v>
      </c>
      <c r="AH8" s="2">
        <v>5.6</v>
      </c>
      <c r="AI8" s="2" t="s">
        <v>1646</v>
      </c>
      <c r="AJ8" s="14">
        <v>0</v>
      </c>
      <c r="AK8" s="2" t="s">
        <v>89</v>
      </c>
      <c r="AL8" s="2" t="s">
        <v>89</v>
      </c>
      <c r="AM8" s="2" t="s">
        <v>89</v>
      </c>
      <c r="AN8" s="14" t="str">
        <f>HYPERLINK(".\links\gpi\AGAP006369-PA-gpi.txt","N")</f>
        <v>N</v>
      </c>
      <c r="AO8" s="15" t="str">
        <f>HYPERLINK(".\links\netoglyc\AGAP006369-PA-netoglyc.txt","26")</f>
        <v>26</v>
      </c>
      <c r="AP8" s="14">
        <v>16.899999999999999</v>
      </c>
      <c r="AQ8" s="2">
        <v>12.9</v>
      </c>
      <c r="AR8" s="2">
        <v>10.199999999999999</v>
      </c>
      <c r="AS8" s="2">
        <v>1</v>
      </c>
      <c r="AT8" s="9" t="str">
        <f>HYPERLINK(".\links\NR-LIGHT\AGAP006369-PA-NR-LIGHT.txt","AGAP006369-PA")</f>
        <v>AGAP006369-PA</v>
      </c>
      <c r="AU8" s="2" t="str">
        <f>HYPERLINK("http://www.ncbi.nlm.nih.gov/sutils/blink.cgi?pid=XP_316399.4","0.0")</f>
        <v>0.0</v>
      </c>
      <c r="AV8" s="2" t="str">
        <f>HYPERLINK("http://www.ncbi.nlm.nih.gov/protein/XP_316399.4","XP_316399.4")</f>
        <v>XP_316399.4</v>
      </c>
      <c r="AW8" s="2">
        <v>99</v>
      </c>
      <c r="AX8" s="2">
        <v>99</v>
      </c>
      <c r="AY8" s="2">
        <v>100</v>
      </c>
      <c r="AZ8" s="2" t="s">
        <v>95</v>
      </c>
      <c r="BA8" s="9" t="str">
        <f>HYPERLINK(".\links\REFSEQ-INVERTEBRATE\AGAP006369-PA-REFSEQ-INVERTEBRATE.txt","AGAP006369-PA")</f>
        <v>AGAP006369-PA</v>
      </c>
      <c r="BB8" s="2" t="str">
        <f>HYPERLINK("http://www.ncbi.nlm.nih.gov/sutils/blink.cgi?pid=XP_316399.4","0.0")</f>
        <v>0.0</v>
      </c>
      <c r="BC8" s="2" t="str">
        <f>HYPERLINK("http://www.ncbi.nlm.nih.gov/protein/XP_316399.4","XP_316399.4")</f>
        <v>XP_316399.4</v>
      </c>
      <c r="BD8" s="2">
        <v>99</v>
      </c>
      <c r="BE8" s="2">
        <v>99</v>
      </c>
      <c r="BF8" s="2">
        <v>100</v>
      </c>
      <c r="BG8" s="2" t="s">
        <v>95</v>
      </c>
      <c r="BH8" s="9" t="str">
        <f>HYPERLINK(".\links\REFSEQ-PROTOZOA\AGAP006369-PA-REFSEQ-PROTOZOA.txt","proteophosphoglycan ppg4")</f>
        <v>proteophosphoglycan ppg4</v>
      </c>
      <c r="BI8" s="2" t="str">
        <f>HYPERLINK("http://www.ncbi.nlm.nih.gov/sutils/blink.cgi?pid=XP_003722448.1","1E-008")</f>
        <v>1E-008</v>
      </c>
      <c r="BJ8" s="2" t="str">
        <f>HYPERLINK("http://www.ncbi.nlm.nih.gov/protein/XP_003722448.1","XP_003722448.1")</f>
        <v>XP_003722448.1</v>
      </c>
      <c r="BK8" s="2">
        <v>24</v>
      </c>
      <c r="BL8" s="2">
        <v>36</v>
      </c>
      <c r="BM8" s="2">
        <v>3</v>
      </c>
      <c r="BN8" s="2" t="s">
        <v>1429</v>
      </c>
      <c r="BO8" s="9" t="str">
        <f>HYPERLINK(".\links\SWISSP\AGAP006369-PA-SWISSP.txt","Polysialoglycoprotein")</f>
        <v>Polysialoglycoprotein</v>
      </c>
      <c r="BP8" s="2" t="str">
        <f>HYPERLINK("http://www.uniprot.org/uniprot/P12027","5E-009")</f>
        <v>5E-009</v>
      </c>
      <c r="BQ8" s="2" t="str">
        <f>HYPERLINK("http://www.uniprot.org/uniprot/P12027#expression","P12027")</f>
        <v>P12027</v>
      </c>
      <c r="BR8" s="2">
        <v>26</v>
      </c>
      <c r="BS8" s="2">
        <v>37</v>
      </c>
      <c r="BT8" s="2">
        <v>56</v>
      </c>
      <c r="BU8" s="2" t="s">
        <v>1647</v>
      </c>
      <c r="BV8" s="9" t="str">
        <f>HYPERLINK(".\links\FLYBASE\AGAP006369-PA-FLYBASE.txt","FBpp0112089")</f>
        <v>FBpp0112089</v>
      </c>
      <c r="BW8" s="2" t="str">
        <f>HYPERLINK("http://flybase.org/reports/FBgn0036680#alliance_summary_container","1E-102")</f>
        <v>1E-102</v>
      </c>
      <c r="BX8" s="2">
        <v>597</v>
      </c>
      <c r="BY8" s="2">
        <v>55</v>
      </c>
      <c r="BZ8" s="2">
        <v>74</v>
      </c>
      <c r="CA8" s="2">
        <v>48</v>
      </c>
      <c r="CB8" s="9" t="str">
        <f>HYPERLINK(".\links\CDD\AGAP006369-PA-CDD.txt","dnaA, chromosomal replication initiation protein")</f>
        <v>dnaA, chromosomal replication initiation protein</v>
      </c>
      <c r="CC8" s="13">
        <v>5.0000000000000002E-5</v>
      </c>
      <c r="CD8" s="2">
        <v>32.4</v>
      </c>
      <c r="CE8" s="2" t="s">
        <v>1648</v>
      </c>
      <c r="CF8" s="2" t="s">
        <v>1649</v>
      </c>
      <c r="CG8" s="9" t="str">
        <f>HYPERLINK(".\links\KOG\AGAP006369-PA-KOG.txt","subunit SEC31")</f>
        <v>subunit SEC31</v>
      </c>
      <c r="CH8" s="13">
        <v>2.0000000000000001E-4</v>
      </c>
      <c r="CI8" s="2">
        <v>15</v>
      </c>
      <c r="CJ8" s="2" t="s">
        <v>1650</v>
      </c>
      <c r="CK8" s="2" t="s">
        <v>278</v>
      </c>
      <c r="CL8" s="9" t="str">
        <f>HYPERLINK(".\links\PFAM\AGAP006369-PA-PFAM.txt","Chitin_bind_4, Insect cuticle protein")</f>
        <v>Chitin_bind_4, Insect cuticle protein</v>
      </c>
      <c r="CM8" s="13">
        <v>4.0000000000000002E-4</v>
      </c>
      <c r="CN8" s="2">
        <v>67.3</v>
      </c>
      <c r="CO8" s="2" t="s">
        <v>1651</v>
      </c>
      <c r="CP8" s="9" t="str">
        <f>HYPERLINK(".\links\SMART\AGAP006369-PA-SMART.txt","BASIC, Basic domain in HLH proteins of MYOD family")</f>
        <v>BASIC, Basic domain in HLH proteins of MYOD family</v>
      </c>
      <c r="CQ8" s="13">
        <v>1.4</v>
      </c>
      <c r="CR8" s="2">
        <v>42.9</v>
      </c>
      <c r="CS8" s="2" t="s">
        <v>1652</v>
      </c>
      <c r="CT8" s="2" t="s">
        <v>1644</v>
      </c>
      <c r="CU8" s="2" t="s">
        <v>1644</v>
      </c>
      <c r="CV8" s="2" t="s">
        <v>1644</v>
      </c>
      <c r="CW8" s="2" t="str">
        <f>HYPERLINK(".\links\pep\AGAP006369-PA-pep.txt","AGAP006369-PA")</f>
        <v>AGAP006369-PA</v>
      </c>
      <c r="CX8" s="2" t="s">
        <v>88</v>
      </c>
      <c r="CY8" s="2">
        <v>590</v>
      </c>
      <c r="CZ8" s="2" t="s">
        <v>103</v>
      </c>
      <c r="DA8" s="2" t="s">
        <v>1653</v>
      </c>
      <c r="DB8" s="2">
        <v>0</v>
      </c>
      <c r="DC8" s="2">
        <v>5</v>
      </c>
      <c r="DD8" s="2" t="str">
        <f>HYPERLINK("https://www.kegg.jp/kegg-bin/search_pathway_text?map=aga&amp;keyword=AGAP006369&amp;mode=1&amp;viewImage=true","AGAP006369")</f>
        <v>AGAP006369</v>
      </c>
      <c r="DE8" s="2" t="s">
        <v>1639</v>
      </c>
      <c r="DF8" s="2" t="s">
        <v>1640</v>
      </c>
      <c r="DG8" s="2" t="s">
        <v>87</v>
      </c>
      <c r="DH8" s="2" t="str">
        <f>HYPERLINK("https://vectorbase.org/vectorbase/app/record/gene/AGAP006369","AGAP006369-RA")</f>
        <v>AGAP006369-RA</v>
      </c>
      <c r="DI8" s="2" t="s">
        <v>158</v>
      </c>
      <c r="DJ8" s="2">
        <v>2093</v>
      </c>
      <c r="DK8" s="2" t="str">
        <f>HYPERLINK(".\links\netoglyc\AGAP006369-PA-netoglyc.txt","26")</f>
        <v>26</v>
      </c>
      <c r="DL8" s="2">
        <v>16.899999999999999</v>
      </c>
      <c r="DM8" s="2">
        <v>12.9</v>
      </c>
      <c r="DN8" s="2">
        <v>10.199999999999999</v>
      </c>
      <c r="DO8" s="2">
        <v>1</v>
      </c>
      <c r="DP8" s="2" t="s">
        <v>89</v>
      </c>
      <c r="DQ8" s="2" t="str">
        <f>HYPERLINK(".\links\Sigp\AGAP006369-PA-SigP.txt","SIG")</f>
        <v>SIG</v>
      </c>
      <c r="DR8" s="2" t="s">
        <v>350</v>
      </c>
      <c r="DS8" s="2">
        <v>62.966999999999999</v>
      </c>
      <c r="DT8" s="2">
        <v>5.68</v>
      </c>
      <c r="DU8" s="2">
        <v>60.911000000000001</v>
      </c>
      <c r="DV8" s="2">
        <v>5.6</v>
      </c>
      <c r="DW8" s="2" t="s">
        <v>1646</v>
      </c>
      <c r="DX8" s="2">
        <v>590</v>
      </c>
      <c r="DY8" s="12">
        <v>0</v>
      </c>
      <c r="DZ8" s="2" t="s">
        <v>89</v>
      </c>
      <c r="EA8" s="2" t="s">
        <v>89</v>
      </c>
      <c r="EB8" s="2" t="s">
        <v>89</v>
      </c>
      <c r="EC8" s="2" t="str">
        <f>HYPERLINK(".\links\gpi\AGAP006369-PA-gpi.txt","Y-NoSP")</f>
        <v>Y-NoSP</v>
      </c>
      <c r="ED8" s="2">
        <v>0.41</v>
      </c>
      <c r="EF8" s="2">
        <v>0</v>
      </c>
      <c r="EG8" s="2" t="str">
        <f>HYPERLINK(".\links\pep\AGAP006369-PA-sulf.txt","4")</f>
        <v>4</v>
      </c>
      <c r="EH8" s="2" t="s">
        <v>89</v>
      </c>
      <c r="EI8" s="2">
        <v>16.9491525423729</v>
      </c>
      <c r="EJ8" s="2">
        <v>10.1694915254237</v>
      </c>
      <c r="EK8" s="2">
        <v>12.8813559322034</v>
      </c>
      <c r="EL8" s="2">
        <v>23.0508474576271</v>
      </c>
      <c r="EM8" s="2">
        <v>3</v>
      </c>
      <c r="EN8" s="2">
        <v>1</v>
      </c>
      <c r="EO8" s="2">
        <v>9</v>
      </c>
      <c r="EP8" s="2" t="s">
        <v>89</v>
      </c>
      <c r="EQ8" s="2" t="s">
        <v>89</v>
      </c>
      <c r="ER8" s="2" t="s">
        <v>89</v>
      </c>
      <c r="ES8" s="2" t="s">
        <v>89</v>
      </c>
      <c r="ET8" s="2" t="str">
        <f>HYPERLINK(".\links\REFSEQ-INVERTEBRATE\AGAP006369-PA-REFSEQ-INVERTEBRATE.txt","AGAP006369-PA")</f>
        <v>AGAP006369-PA</v>
      </c>
      <c r="EU8" s="2" t="str">
        <f>HYPERLINK("http://www.ncbi.nlm.nih.gov/sutils/blink.cgi?pid=XP_316399.4","0.0")</f>
        <v>0.0</v>
      </c>
      <c r="EV8" s="2" t="str">
        <f>HYPERLINK("http://www.ncbi.nlm.nih.gov/protein/XP_316399.4","XP_316399.4")</f>
        <v>XP_316399.4</v>
      </c>
      <c r="EW8" s="2">
        <v>99</v>
      </c>
      <c r="EX8" s="2">
        <v>99</v>
      </c>
      <c r="EY8" s="2">
        <v>100</v>
      </c>
      <c r="EZ8" s="2" t="s">
        <v>95</v>
      </c>
    </row>
    <row r="9" spans="1:156" x14ac:dyDescent="0.25">
      <c r="A9" s="2" t="s">
        <v>2116</v>
      </c>
      <c r="B9" s="2">
        <v>2.0695202529146499</v>
      </c>
      <c r="C9" s="2">
        <f t="shared" si="0"/>
        <v>4.1974706950459018</v>
      </c>
      <c r="D9" s="2">
        <v>0.91659900079164902</v>
      </c>
      <c r="E9" s="2">
        <v>10.9041509217359</v>
      </c>
      <c r="F9" s="2">
        <v>9.5949009405315005E-4</v>
      </c>
      <c r="G9" s="2">
        <v>4.0230092277628499E-2</v>
      </c>
      <c r="H9" s="2" t="s">
        <v>2117</v>
      </c>
      <c r="I9" s="2" t="s">
        <v>87</v>
      </c>
      <c r="J9" s="2" t="str">
        <f>HYPERLINK("https://vectorbase.org/vectorbase/app/record/gene/AGAP008900","AGAP008900-RA")</f>
        <v>AGAP008900-RA</v>
      </c>
      <c r="K9" s="2" t="str">
        <f>HYPERLINK(".\links\pep\AGAP008900-PA-pep.txt","AGAP008900-PA")</f>
        <v>AGAP008900-PA</v>
      </c>
      <c r="L9" s="12" t="s">
        <v>88</v>
      </c>
      <c r="M9" s="2">
        <v>481</v>
      </c>
      <c r="N9" s="2">
        <v>0</v>
      </c>
      <c r="O9" s="2">
        <v>1</v>
      </c>
      <c r="P9" s="2" t="s">
        <v>2118</v>
      </c>
      <c r="Q9" s="9" t="s">
        <v>2119</v>
      </c>
      <c r="R9" s="2" t="s">
        <v>128</v>
      </c>
      <c r="S9" s="2" t="str">
        <f>HYPERLINK(".\links\KOG\AGAP008900-PA-KOG.txt","KOG")</f>
        <v>KOG</v>
      </c>
      <c r="T9" s="2">
        <v>2E-50</v>
      </c>
      <c r="U9" s="2">
        <v>98.7</v>
      </c>
      <c r="V9" s="2" t="s">
        <v>2120</v>
      </c>
      <c r="W9" s="10" t="s">
        <v>2121</v>
      </c>
      <c r="X9" s="2" t="s">
        <v>128</v>
      </c>
      <c r="Y9" s="2" t="str">
        <f>HYPERLINK(".\links\CDD\AGAP008900-PA-CDD.txt","CDD")</f>
        <v>CDD</v>
      </c>
      <c r="Z9" s="13">
        <v>0</v>
      </c>
      <c r="AA9" s="2">
        <v>102.2</v>
      </c>
      <c r="AB9" s="14" t="s">
        <v>89</v>
      </c>
      <c r="AC9" s="14" t="str">
        <f>HYPERLINK(".\links\Sigp\AGAP008900-PA-SigP.txt","CYT")</f>
        <v>CYT</v>
      </c>
      <c r="AD9" s="2" t="s">
        <v>89</v>
      </c>
      <c r="AE9" s="2">
        <v>52.136000000000003</v>
      </c>
      <c r="AF9" s="2">
        <v>8.06</v>
      </c>
      <c r="AG9" s="2" t="s">
        <v>89</v>
      </c>
      <c r="AH9" s="2" t="s">
        <v>89</v>
      </c>
      <c r="AI9" s="2" t="s">
        <v>2122</v>
      </c>
      <c r="AJ9" s="14" t="str">
        <f>HYPERLINK(".\links\tmhmm\AGAP008900-PA-tmhmm.txt","12")</f>
        <v>12</v>
      </c>
      <c r="AK9" s="2">
        <v>53.2</v>
      </c>
      <c r="AL9" s="2">
        <v>15.2</v>
      </c>
      <c r="AM9" s="2">
        <v>31.6</v>
      </c>
      <c r="AN9" s="14" t="str">
        <f>HYPERLINK(".\links\gpi\AGAP008900-PA-gpi.txt","N")</f>
        <v>N</v>
      </c>
      <c r="AO9" s="15" t="str">
        <f>HYPERLINK(".\links\netoglyc\AGAP008900-PA-netoglyc.txt","0")</f>
        <v>0</v>
      </c>
      <c r="AP9" s="14">
        <v>14.3</v>
      </c>
      <c r="AQ9" s="2">
        <v>8.5</v>
      </c>
      <c r="AR9" s="2">
        <v>4.4000000000000004</v>
      </c>
      <c r="AS9" s="2" t="s">
        <v>94</v>
      </c>
      <c r="AT9" s="9" t="str">
        <f>HYPERLINK(".\links\NR-LIGHT\AGAP008900-PA-NR-LIGHT.txt","AGAP008900-PA, partial")</f>
        <v>AGAP008900-PA, partial</v>
      </c>
      <c r="AU9" s="2" t="str">
        <f>HYPERLINK("http://www.ncbi.nlm.nih.gov/sutils/blink.cgi?pid=XP_319647.4","0.0")</f>
        <v>0.0</v>
      </c>
      <c r="AV9" s="2" t="str">
        <f>HYPERLINK("http://www.ncbi.nlm.nih.gov/protein/XP_319647.4","XP_319647.4")</f>
        <v>XP_319647.4</v>
      </c>
      <c r="AW9" s="2">
        <v>100</v>
      </c>
      <c r="AX9" s="2">
        <v>100</v>
      </c>
      <c r="AY9" s="2">
        <v>94</v>
      </c>
      <c r="AZ9" s="2" t="s">
        <v>95</v>
      </c>
      <c r="BA9" s="9" t="str">
        <f>HYPERLINK(".\links\REFSEQ-INVERTEBRATE\AGAP008900-PA-REFSEQ-INVERTEBRATE.txt","AGAP008900-PA, partial")</f>
        <v>AGAP008900-PA, partial</v>
      </c>
      <c r="BB9" s="2" t="str">
        <f>HYPERLINK("http://www.ncbi.nlm.nih.gov/sutils/blink.cgi?pid=XP_319647.4","0.0")</f>
        <v>0.0</v>
      </c>
      <c r="BC9" s="2" t="str">
        <f>HYPERLINK("http://www.ncbi.nlm.nih.gov/protein/XP_319647.4","XP_319647.4")</f>
        <v>XP_319647.4</v>
      </c>
      <c r="BD9" s="2">
        <v>100</v>
      </c>
      <c r="BE9" s="2">
        <v>100</v>
      </c>
      <c r="BF9" s="2">
        <v>94</v>
      </c>
      <c r="BG9" s="2" t="s">
        <v>95</v>
      </c>
      <c r="BH9" s="9" t="str">
        <f>HYPERLINK(".\links\REFSEQ-PROTOZOA\AGAP008900-PA-REFSEQ-PROTOZOA.txt","hypothetical protein")</f>
        <v>hypothetical protein</v>
      </c>
      <c r="BI9" s="2" t="str">
        <f>HYPERLINK("http://www.ncbi.nlm.nih.gov/sutils/blink.cgi?pid=XP_001748408.1","3E-050")</f>
        <v>3E-050</v>
      </c>
      <c r="BJ9" s="2" t="str">
        <f>HYPERLINK("http://www.ncbi.nlm.nih.gov/protein/XP_001748408.1","XP_001748408.1")</f>
        <v>XP_001748408.1</v>
      </c>
      <c r="BK9" s="2">
        <v>31</v>
      </c>
      <c r="BL9" s="2">
        <v>49</v>
      </c>
      <c r="BM9" s="2">
        <v>88</v>
      </c>
      <c r="BN9" s="2" t="s">
        <v>389</v>
      </c>
      <c r="BO9" s="9" t="str">
        <f>HYPERLINK(".\links\SWISSP\AGAP008900-PA-SWISSP.txt","Facilitated trehalose transporter Tret1")</f>
        <v>Facilitated trehalose transporter Tret1</v>
      </c>
      <c r="BP9" s="2" t="str">
        <f>HYPERLINK("http://www.uniprot.org/uniprot/B0WC46","1E-075")</f>
        <v>1E-075</v>
      </c>
      <c r="BQ9" s="2" t="str">
        <f>HYPERLINK("http://www.uniprot.org/uniprot/B0WC46#expression","B0WC46")</f>
        <v>B0WC46</v>
      </c>
      <c r="BR9" s="2">
        <v>35</v>
      </c>
      <c r="BS9" s="2">
        <v>55</v>
      </c>
      <c r="BT9" s="2">
        <v>89</v>
      </c>
      <c r="BU9" s="2" t="s">
        <v>487</v>
      </c>
      <c r="BV9" s="9" t="str">
        <f>HYPERLINK(".\links\FLYBASE\AGAP008900-PA-FLYBASE.txt","FBpp0077272")</f>
        <v>FBpp0077272</v>
      </c>
      <c r="BW9" s="2" t="str">
        <f>HYPERLINK("http://flybase.org/reports/FBgn0053281#alliance_summary_container","1E-119")</f>
        <v>1E-119</v>
      </c>
      <c r="BX9" s="2">
        <v>467</v>
      </c>
      <c r="BY9" s="2">
        <v>41</v>
      </c>
      <c r="BZ9" s="2">
        <v>62</v>
      </c>
      <c r="CA9" s="2">
        <v>98</v>
      </c>
      <c r="CB9" s="9" t="str">
        <f>HYPERLINK(".\links\CDD\AGAP008900-PA-CDD.txt","Sugar_tr, Sugar (and other) transporter")</f>
        <v>Sugar_tr, Sugar (and other) transporter</v>
      </c>
      <c r="CC9" s="13">
        <v>3.0000000000000002E-53</v>
      </c>
      <c r="CD9" s="2">
        <v>93.1</v>
      </c>
      <c r="CE9" s="2" t="s">
        <v>2123</v>
      </c>
      <c r="CF9" s="2" t="s">
        <v>2124</v>
      </c>
      <c r="CG9" s="9" t="str">
        <f>HYPERLINK(".\links\KOG\AGAP008900-PA-KOG.txt","Predicted transporter (major facilitator superfamily)")</f>
        <v>Predicted transporter (major facilitator superfamily)</v>
      </c>
      <c r="CH9" s="13">
        <v>3.9999999999999998E-75</v>
      </c>
      <c r="CI9" s="2">
        <v>92.4</v>
      </c>
      <c r="CJ9" s="2" t="s">
        <v>2125</v>
      </c>
      <c r="CK9" s="2" t="s">
        <v>187</v>
      </c>
      <c r="CL9" s="9" t="str">
        <f>HYPERLINK(".\links\PFAM\AGAP008900-PA-PFAM.txt","Sugar_tr, Sugar (and other) transporter")</f>
        <v>Sugar_tr, Sugar (and other) transporter</v>
      </c>
      <c r="CM9" s="13">
        <v>6.0000000000000002E-54</v>
      </c>
      <c r="CN9" s="2">
        <v>93.1</v>
      </c>
      <c r="CO9" s="2" t="s">
        <v>2123</v>
      </c>
      <c r="CP9" s="9" t="str">
        <f>HYPERLINK(".\links\SMART\AGAP008900-PA-SMART.txt","ERCC4, ERCC4 domain")</f>
        <v>ERCC4, ERCC4 domain</v>
      </c>
      <c r="CQ9" s="13">
        <v>4.5</v>
      </c>
      <c r="CR9" s="2">
        <v>25.5</v>
      </c>
      <c r="CS9" s="2" t="s">
        <v>2126</v>
      </c>
      <c r="CT9" s="2" t="s">
        <v>2120</v>
      </c>
      <c r="CU9" s="2" t="s">
        <v>2120</v>
      </c>
      <c r="CV9" s="2" t="s">
        <v>2120</v>
      </c>
      <c r="CW9" s="2" t="str">
        <f>HYPERLINK(".\links\pep\AGAP008900-PA-pep.txt","AGAP008900-PA")</f>
        <v>AGAP008900-PA</v>
      </c>
      <c r="CX9" s="2" t="s">
        <v>88</v>
      </c>
      <c r="CY9" s="2">
        <v>481</v>
      </c>
      <c r="CZ9" s="2" t="s">
        <v>103</v>
      </c>
      <c r="DA9" s="2" t="s">
        <v>2127</v>
      </c>
      <c r="DB9" s="2">
        <v>0</v>
      </c>
      <c r="DC9" s="2">
        <v>1</v>
      </c>
      <c r="DD9" s="2" t="str">
        <f>HYPERLINK("https://www.kegg.jp/kegg-bin/search_pathway_text?map=aga&amp;keyword=AGAP008900&amp;mode=1&amp;viewImage=true","AGAP008900")</f>
        <v>AGAP008900</v>
      </c>
      <c r="DE9" s="2" t="s">
        <v>2116</v>
      </c>
      <c r="DF9" s="2" t="s">
        <v>2117</v>
      </c>
      <c r="DG9" s="2" t="s">
        <v>87</v>
      </c>
      <c r="DH9" s="2" t="str">
        <f>HYPERLINK("https://vectorbase.org/vectorbase/app/record/gene/AGAP008900","AGAP008900-RA")</f>
        <v>AGAP008900-RA</v>
      </c>
      <c r="DI9" s="2" t="s">
        <v>122</v>
      </c>
      <c r="DJ9" s="2">
        <v>2161</v>
      </c>
      <c r="DK9" s="2" t="str">
        <f>HYPERLINK(".\links\netoglyc\AGAP008900-PA-netoglyc.txt","0")</f>
        <v>0</v>
      </c>
      <c r="DL9" s="2">
        <v>14.3</v>
      </c>
      <c r="DM9" s="2">
        <v>8.5</v>
      </c>
      <c r="DN9" s="2">
        <v>4.4000000000000004</v>
      </c>
      <c r="DO9" s="2" t="s">
        <v>94</v>
      </c>
      <c r="DP9" s="2" t="s">
        <v>89</v>
      </c>
      <c r="DQ9" s="2" t="str">
        <f>HYPERLINK(".\links\Sigp\AGAP008900-PA-SigP.txt","CYT")</f>
        <v>CYT</v>
      </c>
      <c r="DR9" s="2" t="s">
        <v>89</v>
      </c>
      <c r="DS9" s="2">
        <v>52.136000000000003</v>
      </c>
      <c r="DT9" s="2">
        <v>8.06</v>
      </c>
      <c r="DU9" s="2" t="s">
        <v>89</v>
      </c>
      <c r="DV9" s="2" t="s">
        <v>89</v>
      </c>
      <c r="DW9" s="2" t="s">
        <v>2122</v>
      </c>
      <c r="DX9" s="2">
        <v>481</v>
      </c>
      <c r="DY9" s="12" t="str">
        <f>HYPERLINK(".\links\tmhmm\AGAP008900-PA-tmhmm.txt","12")</f>
        <v>12</v>
      </c>
      <c r="DZ9" s="2">
        <v>53.2</v>
      </c>
      <c r="EA9" s="2">
        <v>15.2</v>
      </c>
      <c r="EB9" s="2">
        <v>31.6</v>
      </c>
      <c r="EC9" s="2" t="str">
        <f>HYPERLINK(".\links\gpi\AGAP008900-PA-gpi.txt","Y-NoSP")</f>
        <v>Y-NoSP</v>
      </c>
      <c r="ED9" s="2">
        <v>0.34</v>
      </c>
      <c r="EF9" s="2">
        <v>8</v>
      </c>
      <c r="EG9" s="2" t="s">
        <v>89</v>
      </c>
      <c r="EH9" s="2" t="s">
        <v>89</v>
      </c>
      <c r="EI9" s="2">
        <v>14.3451143451143</v>
      </c>
      <c r="EJ9" s="2">
        <v>4.3659043659043704</v>
      </c>
      <c r="EK9" s="2">
        <v>8.5239085239085206</v>
      </c>
      <c r="EL9" s="2">
        <v>12.8898128898129</v>
      </c>
      <c r="EM9" s="2" t="s">
        <v>89</v>
      </c>
      <c r="EN9" s="2" t="s">
        <v>89</v>
      </c>
      <c r="EO9" s="2" t="s">
        <v>89</v>
      </c>
      <c r="EP9" s="2" t="s">
        <v>89</v>
      </c>
      <c r="EQ9" s="2" t="s">
        <v>89</v>
      </c>
      <c r="ER9" s="2" t="s">
        <v>89</v>
      </c>
      <c r="ES9" s="2" t="s">
        <v>89</v>
      </c>
      <c r="ET9" s="2" t="str">
        <f>HYPERLINK(".\links\REFSEQ-INVERTEBRATE\AGAP008900-PA-REFSEQ-INVERTEBRATE.txt","AGAP008900-PA, partial")</f>
        <v>AGAP008900-PA, partial</v>
      </c>
      <c r="EU9" s="2" t="str">
        <f>HYPERLINK("http://www.ncbi.nlm.nih.gov/sutils/blink.cgi?pid=XP_319647.4","0.0")</f>
        <v>0.0</v>
      </c>
      <c r="EV9" s="2" t="str">
        <f>HYPERLINK("http://www.ncbi.nlm.nih.gov/protein/XP_319647.4","XP_319647.4")</f>
        <v>XP_319647.4</v>
      </c>
      <c r="EW9" s="2">
        <v>99</v>
      </c>
      <c r="EX9" s="2">
        <v>99</v>
      </c>
      <c r="EY9" s="2">
        <v>94</v>
      </c>
      <c r="EZ9" s="2" t="s">
        <v>95</v>
      </c>
    </row>
    <row r="10" spans="1:156" x14ac:dyDescent="0.25">
      <c r="A10" s="2" t="s">
        <v>301</v>
      </c>
      <c r="B10" s="2">
        <v>1.9403622194235799</v>
      </c>
      <c r="C10" s="2">
        <f t="shared" si="0"/>
        <v>3.8380199732840845</v>
      </c>
      <c r="D10" s="2">
        <v>0.47343257029546199</v>
      </c>
      <c r="E10" s="2">
        <v>10.6917336267789</v>
      </c>
      <c r="F10" s="2">
        <v>1.0761531167831899E-3</v>
      </c>
      <c r="G10" s="2">
        <v>4.27529934119052E-2</v>
      </c>
      <c r="H10" s="2" t="s">
        <v>86</v>
      </c>
      <c r="I10" s="2" t="s">
        <v>87</v>
      </c>
      <c r="J10" s="2" t="str">
        <f>HYPERLINK("https://vectorbase.org/vectorbase/app/record/gene/AGAP000941","AGAP000941-RB")</f>
        <v>AGAP000941-RB</v>
      </c>
      <c r="K10" s="2" t="str">
        <f>HYPERLINK(".\links\pep\AGAP000941-PB-pep.txt","AGAP000941-PB")</f>
        <v>AGAP000941-PB</v>
      </c>
      <c r="L10" s="12" t="s">
        <v>88</v>
      </c>
      <c r="M10" s="2">
        <v>198</v>
      </c>
      <c r="N10" s="2">
        <v>0</v>
      </c>
      <c r="O10" s="2">
        <v>0</v>
      </c>
      <c r="P10" s="2" t="s">
        <v>89</v>
      </c>
      <c r="Q10" s="9" t="s">
        <v>302</v>
      </c>
      <c r="R10" s="2" t="s">
        <v>303</v>
      </c>
      <c r="S10" s="2" t="str">
        <f>HYPERLINK(".\links\REFSEQ-INVERTEBRATE\AGAP000941-PB-REFSEQ-INVERTEBRATE.txt","REFSEQ-INVERTEBRATE")</f>
        <v>REFSEQ-INVERTEBRATE</v>
      </c>
      <c r="T10" s="2">
        <v>1.0000000000000001E-86</v>
      </c>
      <c r="U10" s="2">
        <v>100</v>
      </c>
      <c r="V10" s="2" t="s">
        <v>304</v>
      </c>
      <c r="W10" s="10" t="s">
        <v>305</v>
      </c>
      <c r="X10" s="2" t="s">
        <v>303</v>
      </c>
      <c r="Y10" s="2" t="str">
        <f>HYPERLINK(".\links\REFSEQ-INVERTEBRATE\AGAP000941-PB-REFSEQ-INVERTEBRATE.txt","REFSEQ-INVERTEBRATE")</f>
        <v>REFSEQ-INVERTEBRATE</v>
      </c>
      <c r="Z10" s="2">
        <v>0</v>
      </c>
      <c r="AA10" s="2">
        <v>100</v>
      </c>
      <c r="AB10" s="14" t="s">
        <v>89</v>
      </c>
      <c r="AC10" s="14" t="str">
        <f>HYPERLINK(".\links\Sigp\AGAP000941-PB-SigP.txt","CYT")</f>
        <v>CYT</v>
      </c>
      <c r="AD10" s="2" t="s">
        <v>89</v>
      </c>
      <c r="AE10" s="2">
        <v>22.077000000000002</v>
      </c>
      <c r="AF10" s="2">
        <v>5.32</v>
      </c>
      <c r="AG10" s="2" t="s">
        <v>89</v>
      </c>
      <c r="AH10" s="2" t="s">
        <v>89</v>
      </c>
      <c r="AI10" s="2" t="s">
        <v>93</v>
      </c>
      <c r="AJ10" s="14">
        <v>0</v>
      </c>
      <c r="AK10" s="2" t="s">
        <v>89</v>
      </c>
      <c r="AL10" s="2" t="s">
        <v>89</v>
      </c>
      <c r="AM10" s="2" t="s">
        <v>89</v>
      </c>
      <c r="AN10" s="14" t="str">
        <f>HYPERLINK(".\links\gpi\AGAP000941-PB-gpi.txt","N")</f>
        <v>N</v>
      </c>
      <c r="AO10" s="15" t="str">
        <f>HYPERLINK(".\links\netoglyc\AGAP000941-PB-netoglyc.txt","14")</f>
        <v>14</v>
      </c>
      <c r="AP10" s="14">
        <v>18.2</v>
      </c>
      <c r="AQ10" s="2">
        <v>3.5</v>
      </c>
      <c r="AR10" s="2">
        <v>5.0999999999999996</v>
      </c>
      <c r="AS10" s="2" t="s">
        <v>94</v>
      </c>
      <c r="AT10" s="9" t="str">
        <f>HYPERLINK(".\links\NR-LIGHT\AGAP000941-PB-NR-LIGHT.txt","AGAP000941-PB")</f>
        <v>AGAP000941-PB</v>
      </c>
      <c r="AU10" s="2" t="str">
        <f>HYPERLINK("http://www.ncbi.nlm.nih.gov/sutils/blink.cgi?pid=XP_003437143.1","1E-107")</f>
        <v>1E-107</v>
      </c>
      <c r="AV10" s="2" t="str">
        <f>HYPERLINK("http://www.ncbi.nlm.nih.gov/protein/XP_003437143.1","XP_003437143.1")</f>
        <v>XP_003437143.1</v>
      </c>
      <c r="AW10" s="2">
        <v>100</v>
      </c>
      <c r="AX10" s="2">
        <v>100</v>
      </c>
      <c r="AY10" s="2">
        <v>100</v>
      </c>
      <c r="AZ10" s="2" t="s">
        <v>95</v>
      </c>
      <c r="BA10" s="9" t="str">
        <f>HYPERLINK(".\links\REFSEQ-INVERTEBRATE\AGAP000941-PB-REFSEQ-INVERTEBRATE.txt","AGAP000941-PB")</f>
        <v>AGAP000941-PB</v>
      </c>
      <c r="BB10" s="2" t="str">
        <f>HYPERLINK("http://www.ncbi.nlm.nih.gov/sutils/blink.cgi?pid=XP_003437143.1","1E-107")</f>
        <v>1E-107</v>
      </c>
      <c r="BC10" s="2" t="str">
        <f>HYPERLINK("http://www.ncbi.nlm.nih.gov/protein/XP_003437143.1","XP_003437143.1")</f>
        <v>XP_003437143.1</v>
      </c>
      <c r="BD10" s="2">
        <v>100</v>
      </c>
      <c r="BE10" s="2">
        <v>100</v>
      </c>
      <c r="BF10" s="2">
        <v>100</v>
      </c>
      <c r="BG10" s="2" t="s">
        <v>95</v>
      </c>
      <c r="BH10" s="9" t="str">
        <f>HYPERLINK(".\links\REFSEQ-PROTOZOA\AGAP000941-PB-REFSEQ-PROTOZOA.txt","hypothetical protein C922_04630")</f>
        <v>hypothetical protein C922_04630</v>
      </c>
      <c r="BI10" s="2" t="str">
        <f>HYPERLINK("http://www.ncbi.nlm.nih.gov/sutils/blink.cgi?pid=XP_008818431.1","0.033")</f>
        <v>0.033</v>
      </c>
      <c r="BJ10" s="2" t="str">
        <f>HYPERLINK("http://www.ncbi.nlm.nih.gov/protein/XP_008818431.1","XP_008818431.1")</f>
        <v>XP_008818431.1</v>
      </c>
      <c r="BK10" s="2">
        <v>21</v>
      </c>
      <c r="BL10" s="2">
        <v>41</v>
      </c>
      <c r="BM10" s="2">
        <v>91</v>
      </c>
      <c r="BN10" s="2" t="s">
        <v>306</v>
      </c>
      <c r="BO10" s="9" t="str">
        <f>HYPERLINK(".\links\SWISSP\AGAP000941-PB-SWISSP.txt","Heat shock protein beta-1")</f>
        <v>Heat shock protein beta-1</v>
      </c>
      <c r="BP10" s="2" t="str">
        <f>HYPERLINK("http://www.uniprot.org/uniprot/Q00649","9E-013")</f>
        <v>9E-013</v>
      </c>
      <c r="BQ10" s="2" t="str">
        <f>HYPERLINK("http://www.uniprot.org/uniprot/Q00649#expression","Q00649")</f>
        <v>Q00649</v>
      </c>
      <c r="BR10" s="2">
        <v>35</v>
      </c>
      <c r="BS10" s="2">
        <v>58</v>
      </c>
      <c r="BT10" s="2">
        <v>58</v>
      </c>
      <c r="BU10" s="2" t="s">
        <v>307</v>
      </c>
      <c r="BV10" s="9" t="str">
        <f>HYPERLINK(".\links\FLYBASE\AGAP000941-PB-FLYBASE.txt","FBpp0311833")</f>
        <v>FBpp0311833</v>
      </c>
      <c r="BW10" s="2" t="str">
        <f>HYPERLINK("http://flybase.org/reports/FBgn0031037#alliance_summary_container","1E-98")</f>
        <v>1E-98</v>
      </c>
      <c r="BX10" s="2">
        <v>183</v>
      </c>
      <c r="BY10" s="2">
        <v>73</v>
      </c>
      <c r="BZ10" s="2">
        <v>84</v>
      </c>
      <c r="CA10" s="2">
        <v>106</v>
      </c>
      <c r="CB10" s="9" t="str">
        <f>HYPERLINK(".\links\CDD\AGAP000941-PB-CDD.txt","metazoan_ACD, Alpha-crystallin domain (ACD) of metazoan alpha-crystallin-type small(s) heat shock proteins (Hsps)")</f>
        <v>metazoan_ACD, Alpha-crystallin domain (ACD) of metazoan alpha-crystallin-type small(s) heat shock proteins (Hsps)</v>
      </c>
      <c r="CC10" s="13">
        <v>8.9999999999999995E-23</v>
      </c>
      <c r="CD10" s="2">
        <v>94</v>
      </c>
      <c r="CE10" s="2" t="s">
        <v>308</v>
      </c>
      <c r="CF10" s="2" t="s">
        <v>309</v>
      </c>
      <c r="CG10" s="9" t="str">
        <f>HYPERLINK(".\links\KOG\AGAP000941-PB-KOG.txt","Alpha crystallins")</f>
        <v>Alpha crystallins</v>
      </c>
      <c r="CH10" s="13">
        <v>3.0000000000000001E-26</v>
      </c>
      <c r="CI10" s="2">
        <v>109.2</v>
      </c>
      <c r="CJ10" s="2" t="s">
        <v>310</v>
      </c>
      <c r="CK10" s="2" t="s">
        <v>264</v>
      </c>
      <c r="CL10" s="9" t="str">
        <f>HYPERLINK(".\links\PFAM\AGAP000941-PB-PFAM.txt","HSP20, Hsp20/alpha crystallin family")</f>
        <v>HSP20, Hsp20/alpha crystallin family</v>
      </c>
      <c r="CM10" s="13">
        <v>2E-14</v>
      </c>
      <c r="CN10" s="2">
        <v>77.2</v>
      </c>
      <c r="CO10" s="2" t="s">
        <v>311</v>
      </c>
      <c r="CP10" s="9" t="str">
        <f>HYPERLINK(".\links\SMART\AGAP000941-PB-SMART.txt","IL7, Interleukin-7 and interleukin-9 family")</f>
        <v>IL7, Interleukin-7 and interleukin-9 family</v>
      </c>
      <c r="CQ10" s="13">
        <v>1.5</v>
      </c>
      <c r="CR10" s="2">
        <v>20.5</v>
      </c>
      <c r="CS10" s="2" t="s">
        <v>312</v>
      </c>
      <c r="CT10" s="2" t="s">
        <v>304</v>
      </c>
      <c r="CU10" s="2" t="s">
        <v>304</v>
      </c>
      <c r="CV10" s="2" t="s">
        <v>304</v>
      </c>
      <c r="CW10" s="2" t="str">
        <f>HYPERLINK(".\links\pep\AGAP000941-PB-pep.txt","AGAP000941-PB")</f>
        <v>AGAP000941-PB</v>
      </c>
      <c r="CX10" s="2" t="s">
        <v>88</v>
      </c>
      <c r="CY10" s="2">
        <v>198</v>
      </c>
      <c r="CZ10" s="2" t="s">
        <v>103</v>
      </c>
      <c r="DA10" s="2" t="s">
        <v>313</v>
      </c>
      <c r="DB10" s="2">
        <v>0</v>
      </c>
      <c r="DC10" s="2">
        <v>0</v>
      </c>
      <c r="DD10" s="2" t="str">
        <f>HYPERLINK("https://www.kegg.jp/kegg-bin/search_pathway_text?map=aga&amp;keyword=AGAP000941&amp;mode=1&amp;viewImage=true","AGAP000941")</f>
        <v>AGAP000941</v>
      </c>
      <c r="DE10" s="2" t="s">
        <v>301</v>
      </c>
      <c r="DF10" s="2" t="s">
        <v>86</v>
      </c>
      <c r="DG10" s="2" t="s">
        <v>87</v>
      </c>
      <c r="DH10" s="2" t="str">
        <f>HYPERLINK("https://vectorbase.org/vectorbase/app/record/gene/AGAP000941","AGAP000941-RB")</f>
        <v>AGAP000941-RB</v>
      </c>
      <c r="DI10" s="2" t="s">
        <v>158</v>
      </c>
      <c r="DJ10" s="2">
        <v>1090</v>
      </c>
      <c r="DK10" s="2" t="str">
        <f>HYPERLINK(".\links\netoglyc\AGAP000941-PB-netoglyc.txt","14")</f>
        <v>14</v>
      </c>
      <c r="DL10" s="2">
        <v>18.2</v>
      </c>
      <c r="DM10" s="2">
        <v>3.5</v>
      </c>
      <c r="DN10" s="2">
        <v>5.0999999999999996</v>
      </c>
      <c r="DO10" s="2" t="s">
        <v>94</v>
      </c>
      <c r="DP10" s="2" t="s">
        <v>89</v>
      </c>
      <c r="DQ10" s="2" t="str">
        <f>HYPERLINK(".\links\Sigp\AGAP000941-PB-SigP.txt","CYT")</f>
        <v>CYT</v>
      </c>
      <c r="DR10" s="2" t="s">
        <v>89</v>
      </c>
      <c r="DS10" s="2">
        <v>22.077000000000002</v>
      </c>
      <c r="DT10" s="2">
        <v>5.32</v>
      </c>
      <c r="DU10" s="2" t="s">
        <v>89</v>
      </c>
      <c r="DV10" s="2" t="s">
        <v>89</v>
      </c>
      <c r="DW10" s="2" t="s">
        <v>93</v>
      </c>
      <c r="DX10" s="2">
        <v>198</v>
      </c>
      <c r="DY10" s="12">
        <v>0</v>
      </c>
      <c r="DZ10" s="2" t="s">
        <v>89</v>
      </c>
      <c r="EA10" s="2" t="s">
        <v>89</v>
      </c>
      <c r="EB10" s="2" t="s">
        <v>89</v>
      </c>
      <c r="EC10" s="2" t="str">
        <f>HYPERLINK(".\links\gpi\AGAP000941-PB-gpi.txt","Y-NoSP")</f>
        <v>Y-NoSP</v>
      </c>
      <c r="ED10" s="2">
        <v>0.28999999999999998</v>
      </c>
      <c r="EF10" s="2">
        <v>2</v>
      </c>
      <c r="EG10" s="2" t="s">
        <v>89</v>
      </c>
      <c r="EH10" s="2" t="s">
        <v>89</v>
      </c>
      <c r="EI10" s="2">
        <v>18.181818181818201</v>
      </c>
      <c r="EJ10" s="2">
        <v>5.0505050505050502</v>
      </c>
      <c r="EK10" s="2">
        <v>3.5353535353535399</v>
      </c>
      <c r="EL10" s="2">
        <v>8.5858585858585901</v>
      </c>
      <c r="EM10" s="2" t="s">
        <v>89</v>
      </c>
      <c r="EN10" s="2">
        <v>1</v>
      </c>
      <c r="EO10" s="2">
        <v>1</v>
      </c>
      <c r="EP10" s="2" t="s">
        <v>89</v>
      </c>
      <c r="EQ10" s="2" t="s">
        <v>89</v>
      </c>
      <c r="ER10" s="2" t="s">
        <v>89</v>
      </c>
      <c r="ES10" s="2" t="s">
        <v>89</v>
      </c>
      <c r="ET10" s="2" t="str">
        <f>HYPERLINK(".\links\REFSEQ-INVERTEBRATE\AGAP000941-PB-REFSEQ-INVERTEBRATE.txt","AGAP000941-PB")</f>
        <v>AGAP000941-PB</v>
      </c>
      <c r="EU10" s="2" t="str">
        <f>HYPERLINK("http://www.ncbi.nlm.nih.gov/sutils/blink.cgi?pid=XP_003437143.1","1E-145")</f>
        <v>1E-145</v>
      </c>
      <c r="EV10" s="2" t="str">
        <f>HYPERLINK("http://www.ncbi.nlm.nih.gov/protein/XP_003437143.1","XP_003437143.1")</f>
        <v>XP_003437143.1</v>
      </c>
      <c r="EW10" s="2">
        <v>100</v>
      </c>
      <c r="EX10" s="2">
        <v>100</v>
      </c>
      <c r="EY10" s="2">
        <v>100</v>
      </c>
      <c r="EZ10" s="2" t="s">
        <v>95</v>
      </c>
    </row>
    <row r="11" spans="1:156" x14ac:dyDescent="0.25">
      <c r="A11" s="2" t="s">
        <v>1753</v>
      </c>
      <c r="B11" s="2">
        <v>1.84879542978974</v>
      </c>
      <c r="C11" s="2">
        <f t="shared" si="0"/>
        <v>3.6019931304058073</v>
      </c>
      <c r="D11" s="2">
        <v>3.6079093222777798</v>
      </c>
      <c r="E11" s="2">
        <v>12.954013836517801</v>
      </c>
      <c r="F11" s="2">
        <v>3.1923630701673802E-4</v>
      </c>
      <c r="G11" s="2">
        <v>1.9533959544869001E-2</v>
      </c>
      <c r="H11" s="2" t="s">
        <v>86</v>
      </c>
      <c r="I11" s="2" t="s">
        <v>87</v>
      </c>
      <c r="J11" s="2" t="str">
        <f>HYPERLINK("https://vectorbase.org/vectorbase/app/record/gene/AGAP006970","AGAP006970-RA")</f>
        <v>AGAP006970-RA</v>
      </c>
      <c r="K11" s="2" t="str">
        <f>HYPERLINK(".\links\pep\AGAP006970-PA-pep.txt","AGAP006970-PA")</f>
        <v>AGAP006970-PA</v>
      </c>
      <c r="L11" s="12" t="s">
        <v>88</v>
      </c>
      <c r="M11" s="2">
        <v>274</v>
      </c>
      <c r="N11" s="2">
        <v>0</v>
      </c>
      <c r="O11" s="2">
        <v>0</v>
      </c>
      <c r="P11" s="2" t="s">
        <v>89</v>
      </c>
      <c r="Q11" s="9" t="s">
        <v>1754</v>
      </c>
      <c r="R11" s="2" t="s">
        <v>456</v>
      </c>
      <c r="S11" s="2" t="str">
        <f>HYPERLINK(".\links\SWISSP\AGAP006970-PA-SWISSP.txt","SWISSP")</f>
        <v>SWISSP</v>
      </c>
      <c r="T11" s="2">
        <v>5E-51</v>
      </c>
      <c r="U11" s="2">
        <v>73.599999999999994</v>
      </c>
      <c r="V11" s="2" t="s">
        <v>1755</v>
      </c>
      <c r="W11" s="10" t="s">
        <v>399</v>
      </c>
      <c r="X11" s="2" t="s">
        <v>400</v>
      </c>
      <c r="Y11" s="2" t="str">
        <f>HYPERLINK(".\links\REFSEQ-INVERTEBRATE\AGAP006970-PA-REFSEQ-INVERTEBRATE.txt","REFSEQ-INVERTEBRATE")</f>
        <v>REFSEQ-INVERTEBRATE</v>
      </c>
      <c r="Z11" s="2">
        <v>0</v>
      </c>
      <c r="AA11" s="2">
        <v>100</v>
      </c>
      <c r="AB11" s="14" t="s">
        <v>89</v>
      </c>
      <c r="AC11" s="14" t="str">
        <f>HYPERLINK(".\links\Sigp\AGAP006970-PA-SigP.txt","SIG")</f>
        <v>SIG</v>
      </c>
      <c r="AD11" s="2" t="s">
        <v>1690</v>
      </c>
      <c r="AE11" s="2">
        <v>24.420999999999999</v>
      </c>
      <c r="AF11" s="2">
        <v>9.6999999999999993</v>
      </c>
      <c r="AG11" s="2">
        <v>22.582999999999998</v>
      </c>
      <c r="AH11" s="2">
        <v>9.74</v>
      </c>
      <c r="AI11" s="2" t="s">
        <v>1646</v>
      </c>
      <c r="AJ11" s="14">
        <v>0</v>
      </c>
      <c r="AK11" s="2" t="s">
        <v>89</v>
      </c>
      <c r="AL11" s="2" t="s">
        <v>89</v>
      </c>
      <c r="AM11" s="2" t="s">
        <v>89</v>
      </c>
      <c r="AN11" s="14" t="str">
        <f>HYPERLINK(".\links\gpi\AGAP006970-PA-gpi.txt","N")</f>
        <v>N</v>
      </c>
      <c r="AO11" s="15" t="str">
        <f>HYPERLINK(".\links\netoglyc\AGAP006970-PA-netoglyc.txt","2")</f>
        <v>2</v>
      </c>
      <c r="AP11" s="14">
        <v>24.1</v>
      </c>
      <c r="AQ11" s="2">
        <v>45.3</v>
      </c>
      <c r="AR11" s="2">
        <v>1.8</v>
      </c>
      <c r="AS11" s="2">
        <v>7.7</v>
      </c>
      <c r="AT11" s="9" t="str">
        <f>HYPERLINK(".\links\NR-LIGHT\AGAP006970-PA-NR-LIGHT.txt","AGAP006970-PA")</f>
        <v>AGAP006970-PA</v>
      </c>
      <c r="AU11" s="2" t="str">
        <f>HYPERLINK("http://www.ncbi.nlm.nih.gov/sutils/blink.cgi?pid=XP_308787.2","1E-173")</f>
        <v>1E-173</v>
      </c>
      <c r="AV11" s="2" t="str">
        <f>HYPERLINK("http://www.ncbi.nlm.nih.gov/protein/XP_308787.2","XP_308787.2")</f>
        <v>XP_308787.2</v>
      </c>
      <c r="AW11" s="2">
        <v>100</v>
      </c>
      <c r="AX11" s="2">
        <v>100</v>
      </c>
      <c r="AY11" s="2">
        <v>100</v>
      </c>
      <c r="AZ11" s="2" t="s">
        <v>95</v>
      </c>
      <c r="BA11" s="9" t="str">
        <f>HYPERLINK(".\links\REFSEQ-INVERTEBRATE\AGAP006970-PA-REFSEQ-INVERTEBRATE.txt","AGAP006970-PA")</f>
        <v>AGAP006970-PA</v>
      </c>
      <c r="BB11" s="2" t="str">
        <f>HYPERLINK("http://www.ncbi.nlm.nih.gov/sutils/blink.cgi?pid=XP_308787.2","1E-173")</f>
        <v>1E-173</v>
      </c>
      <c r="BC11" s="2" t="str">
        <f>HYPERLINK("http://www.ncbi.nlm.nih.gov/protein/XP_308787.2","XP_308787.2")</f>
        <v>XP_308787.2</v>
      </c>
      <c r="BD11" s="2">
        <v>100</v>
      </c>
      <c r="BE11" s="2">
        <v>100</v>
      </c>
      <c r="BF11" s="2">
        <v>100</v>
      </c>
      <c r="BG11" s="2" t="s">
        <v>95</v>
      </c>
      <c r="BH11" s="9" t="str">
        <f>HYPERLINK(".\links\REFSEQ-PROTOZOA\AGAP006970-PA-REFSEQ-PROTOZOA.txt","hypothetical protein EMIHUDRAFT_101106")</f>
        <v>hypothetical protein EMIHUDRAFT_101106</v>
      </c>
      <c r="BI11" s="2" t="str">
        <f>HYPERLINK("http://www.ncbi.nlm.nih.gov/sutils/blink.cgi?pid=XP_005777148.1","6E-050")</f>
        <v>6E-050</v>
      </c>
      <c r="BJ11" s="2" t="str">
        <f>HYPERLINK("http://www.ncbi.nlm.nih.gov/protein/XP_005777148.1","XP_005777148.1")</f>
        <v>XP_005777148.1</v>
      </c>
      <c r="BK11" s="2">
        <v>46</v>
      </c>
      <c r="BL11" s="2">
        <v>48</v>
      </c>
      <c r="BM11" s="2">
        <v>52</v>
      </c>
      <c r="BN11" s="2" t="s">
        <v>757</v>
      </c>
      <c r="BO11" s="9" t="str">
        <f>HYPERLINK(".\links\SWISSP\AGAP006970-PA-SWISSP.txt","Loricrin")</f>
        <v>Loricrin</v>
      </c>
      <c r="BP11" s="2" t="str">
        <f>HYPERLINK("http://www.uniprot.org/uniprot/P18165","2E-056")</f>
        <v>2E-056</v>
      </c>
      <c r="BQ11" s="2" t="str">
        <f>HYPERLINK("http://www.uniprot.org/uniprot/P18165#expression","P18165")</f>
        <v>P18165</v>
      </c>
      <c r="BR11" s="2">
        <v>53</v>
      </c>
      <c r="BS11" s="2">
        <v>55</v>
      </c>
      <c r="BT11" s="2">
        <v>55</v>
      </c>
      <c r="BU11" s="2" t="s">
        <v>566</v>
      </c>
      <c r="BV11" s="9"/>
      <c r="CB11" s="9" t="str">
        <f>HYPERLINK(".\links\CDD\AGAP006970-PA-CDD.txt","PTZ00473, Plasmodium Vir superfamily")</f>
        <v>PTZ00473, Plasmodium Vir superfamily</v>
      </c>
      <c r="CC11" s="13">
        <v>7.9999999999999996E-6</v>
      </c>
      <c r="CD11" s="2">
        <v>25.7</v>
      </c>
      <c r="CE11" s="2" t="s">
        <v>1756</v>
      </c>
      <c r="CF11" s="2" t="s">
        <v>1757</v>
      </c>
      <c r="CG11" s="9" t="str">
        <f>HYPERLINK(".\links\KOG\AGAP006970-PA-KOG.txt","subunit MLE")</f>
        <v>subunit MLE</v>
      </c>
      <c r="CH11" s="13">
        <v>1E-13</v>
      </c>
      <c r="CI11" s="2">
        <v>10</v>
      </c>
      <c r="CJ11" s="2" t="s">
        <v>1758</v>
      </c>
      <c r="CK11" s="2" t="s">
        <v>377</v>
      </c>
      <c r="CL11" s="9" t="str">
        <f>HYPERLINK(".\links\PFAM\AGAP006970-PA-PFAM.txt","DUF793, Protein of unknown function (DUF793)")</f>
        <v>DUF793, Protein of unknown function (DUF793)</v>
      </c>
      <c r="CM11" s="13">
        <v>6.0000000000000002E-5</v>
      </c>
      <c r="CN11" s="2">
        <v>12.2</v>
      </c>
      <c r="CO11" s="2" t="s">
        <v>1759</v>
      </c>
      <c r="CP11" s="9" t="str">
        <f>HYPERLINK(".\links\SMART\AGAP006970-PA-SMART.txt","PRP, Major prion protein")</f>
        <v>PRP, Major prion protein</v>
      </c>
      <c r="CQ11" s="13">
        <v>1.9E-2</v>
      </c>
      <c r="CR11" s="2">
        <v>33</v>
      </c>
      <c r="CS11" s="2" t="s">
        <v>1760</v>
      </c>
      <c r="CT11" s="2" t="s">
        <v>1755</v>
      </c>
      <c r="CU11" s="2" t="s">
        <v>1755</v>
      </c>
      <c r="CV11" s="2" t="s">
        <v>1755</v>
      </c>
      <c r="CW11" s="2" t="str">
        <f>HYPERLINK(".\links\pep\AGAP006970-PA-pep.txt","AGAP006970-PA")</f>
        <v>AGAP006970-PA</v>
      </c>
      <c r="CX11" s="2" t="s">
        <v>88</v>
      </c>
      <c r="CY11" s="2">
        <v>274</v>
      </c>
      <c r="CZ11" s="2" t="s">
        <v>103</v>
      </c>
      <c r="DA11" s="2" t="s">
        <v>1761</v>
      </c>
      <c r="DB11" s="2">
        <v>0</v>
      </c>
      <c r="DC11" s="2">
        <v>0</v>
      </c>
      <c r="DD11" s="2" t="str">
        <f>HYPERLINK("https://www.kegg.jp/kegg-bin/search_pathway_text?map=aga&amp;keyword=AGAP006970&amp;mode=1&amp;viewImage=true","AGAP006970")</f>
        <v>AGAP006970</v>
      </c>
      <c r="DE11" s="2" t="s">
        <v>1753</v>
      </c>
      <c r="DF11" s="2" t="s">
        <v>86</v>
      </c>
      <c r="DG11" s="2" t="s">
        <v>87</v>
      </c>
      <c r="DH11" s="2" t="str">
        <f>HYPERLINK("https://vectorbase.org/vectorbase/app/record/gene/AGAP006970","AGAP006970-RA")</f>
        <v>AGAP006970-RA</v>
      </c>
      <c r="DI11" s="2" t="s">
        <v>105</v>
      </c>
      <c r="DJ11" s="2">
        <v>1096</v>
      </c>
      <c r="DK11" s="2" t="str">
        <f>HYPERLINK(".\links\netoglyc\AGAP006970-PA-netoglyc.txt","2")</f>
        <v>2</v>
      </c>
      <c r="DL11" s="2">
        <v>24.1</v>
      </c>
      <c r="DM11" s="2">
        <v>45.3</v>
      </c>
      <c r="DN11" s="2">
        <v>1.8</v>
      </c>
      <c r="DO11" s="2">
        <v>7.7</v>
      </c>
      <c r="DP11" s="2" t="s">
        <v>89</v>
      </c>
      <c r="DQ11" s="2" t="str">
        <f>HYPERLINK(".\links\Sigp\AGAP006970-PA-SigP.txt","SIG")</f>
        <v>SIG</v>
      </c>
      <c r="DR11" s="2" t="s">
        <v>1690</v>
      </c>
      <c r="DS11" s="2">
        <v>24.420999999999999</v>
      </c>
      <c r="DT11" s="2">
        <v>9.6999999999999993</v>
      </c>
      <c r="DU11" s="2">
        <v>22.582999999999998</v>
      </c>
      <c r="DV11" s="2">
        <v>9.74</v>
      </c>
      <c r="DW11" s="2" t="s">
        <v>1646</v>
      </c>
      <c r="DX11" s="2">
        <v>274</v>
      </c>
      <c r="DY11" s="12">
        <v>0</v>
      </c>
      <c r="DZ11" s="2" t="s">
        <v>89</v>
      </c>
      <c r="EA11" s="2" t="s">
        <v>89</v>
      </c>
      <c r="EB11" s="2" t="s">
        <v>89</v>
      </c>
      <c r="EC11" s="2" t="str">
        <f>HYPERLINK(".\links\gpi\AGAP006970-PA-gpi.txt","Y-NoSP")</f>
        <v>Y-NoSP</v>
      </c>
      <c r="ED11" s="2">
        <v>1.2</v>
      </c>
      <c r="EE11" s="2" t="s">
        <v>1762</v>
      </c>
      <c r="EF11" s="2">
        <v>2</v>
      </c>
      <c r="EG11" s="2" t="s">
        <v>89</v>
      </c>
      <c r="EH11" s="2" t="s">
        <v>89</v>
      </c>
      <c r="EI11" s="2">
        <v>24.087591240875899</v>
      </c>
      <c r="EJ11" s="2">
        <v>1.8248175182481801</v>
      </c>
      <c r="EK11" s="2">
        <v>45.255474452554701</v>
      </c>
      <c r="EL11" s="2">
        <v>47.080291970802897</v>
      </c>
      <c r="EM11" s="2" t="s">
        <v>89</v>
      </c>
      <c r="EN11" s="2">
        <v>6</v>
      </c>
      <c r="EO11" s="2">
        <v>6</v>
      </c>
      <c r="EP11" s="2" t="s">
        <v>89</v>
      </c>
      <c r="EQ11" s="2" t="s">
        <v>89</v>
      </c>
      <c r="ER11" s="2" t="s">
        <v>89</v>
      </c>
      <c r="ES11" s="2" t="s">
        <v>89</v>
      </c>
      <c r="ET11" s="2" t="str">
        <f>HYPERLINK(".\links\REFSEQ-INVERTEBRATE\AGAP006970-PA-REFSEQ-INVERTEBRATE.txt","AGAP006970-PA")</f>
        <v>AGAP006970-PA</v>
      </c>
      <c r="EU11" s="2" t="str">
        <f>HYPERLINK("http://www.ncbi.nlm.nih.gov/sutils/blink.cgi?pid=XP_308787.2","1E-141")</f>
        <v>1E-141</v>
      </c>
      <c r="EV11" s="2" t="str">
        <f>HYPERLINK("http://www.ncbi.nlm.nih.gov/protein/XP_308787.2","XP_308787.2")</f>
        <v>XP_308787.2</v>
      </c>
      <c r="EW11" s="2">
        <v>100</v>
      </c>
      <c r="EX11" s="2">
        <v>100</v>
      </c>
      <c r="EY11" s="2">
        <v>100</v>
      </c>
      <c r="EZ11" s="2" t="s">
        <v>95</v>
      </c>
    </row>
    <row r="12" spans="1:156" x14ac:dyDescent="0.25">
      <c r="A12" s="2" t="s">
        <v>1533</v>
      </c>
      <c r="B12" s="2">
        <v>1.6364837989968399</v>
      </c>
      <c r="C12" s="2">
        <f t="shared" si="0"/>
        <v>3.1090715085376441</v>
      </c>
      <c r="D12" s="2">
        <v>4.1586673925374198</v>
      </c>
      <c r="E12" s="2">
        <v>12.664258138432301</v>
      </c>
      <c r="F12" s="2">
        <v>3.72712388775914E-4</v>
      </c>
      <c r="G12" s="2">
        <v>2.1853720622271901E-2</v>
      </c>
      <c r="H12" s="2" t="s">
        <v>1534</v>
      </c>
      <c r="I12" s="2" t="s">
        <v>87</v>
      </c>
      <c r="J12" s="2" t="str">
        <f>HYPERLINK("https://vectorbase.org/vectorbase/app/record/gene/AGAP005834","AGAP005834-RA")</f>
        <v>AGAP005834-RA</v>
      </c>
      <c r="K12" s="2" t="str">
        <f>HYPERLINK(".\links\pep\AGAP005834-PA-pep.txt","AGAP005834-PA")</f>
        <v>AGAP005834-PA</v>
      </c>
      <c r="L12" s="12" t="s">
        <v>88</v>
      </c>
      <c r="M12" s="2">
        <v>597</v>
      </c>
      <c r="N12" s="2">
        <v>0</v>
      </c>
      <c r="O12" s="2">
        <v>3</v>
      </c>
      <c r="P12" s="2" t="s">
        <v>1535</v>
      </c>
      <c r="Q12" s="9" t="s">
        <v>1536</v>
      </c>
      <c r="R12" s="2" t="s">
        <v>164</v>
      </c>
      <c r="S12" s="2" t="str">
        <f>HYPERLINK(".\links\CDD\AGAP005834-PA-CDD.txt","CDD")</f>
        <v>CDD</v>
      </c>
      <c r="T12" s="2">
        <v>0</v>
      </c>
      <c r="U12" s="2">
        <v>99.5</v>
      </c>
      <c r="V12" s="2" t="s">
        <v>1537</v>
      </c>
      <c r="W12" s="10" t="s">
        <v>564</v>
      </c>
      <c r="X12" s="2" t="s">
        <v>164</v>
      </c>
      <c r="Y12" s="2" t="str">
        <f>HYPERLINK(".\links\COG\AGAP005834-PA-COG.txt","COG")</f>
        <v>COG</v>
      </c>
      <c r="Z12" s="13">
        <v>8.0000000000000006E-43</v>
      </c>
      <c r="AA12" s="2">
        <v>41.9</v>
      </c>
      <c r="AB12" s="14" t="s">
        <v>89</v>
      </c>
      <c r="AC12" s="14" t="str">
        <f>HYPERLINK(".\links\Sigp\AGAP005834-PA-SigP.txt","BL")</f>
        <v>BL</v>
      </c>
      <c r="AD12" s="2" t="s">
        <v>1070</v>
      </c>
      <c r="AE12" s="2">
        <v>66.290999999999997</v>
      </c>
      <c r="AF12" s="2">
        <v>5.14</v>
      </c>
      <c r="AG12" s="2">
        <v>63.652000000000001</v>
      </c>
      <c r="AH12" s="2">
        <v>4.99</v>
      </c>
      <c r="AI12" s="2" t="s">
        <v>1538</v>
      </c>
      <c r="AJ12" s="14">
        <v>0</v>
      </c>
      <c r="AK12" s="2" t="s">
        <v>89</v>
      </c>
      <c r="AL12" s="2" t="s">
        <v>89</v>
      </c>
      <c r="AM12" s="2" t="s">
        <v>89</v>
      </c>
      <c r="AN12" s="14" t="str">
        <f>HYPERLINK(".\links\gpi\AGAP005834-PA-gpi.txt","N")</f>
        <v>N</v>
      </c>
      <c r="AO12" s="15" t="str">
        <f>HYPERLINK(".\links\netoglyc\AGAP005834-PA-netoglyc.txt","0")</f>
        <v>0</v>
      </c>
      <c r="AP12" s="14">
        <v>10.9</v>
      </c>
      <c r="AQ12" s="2">
        <v>7.4</v>
      </c>
      <c r="AR12" s="2">
        <v>7</v>
      </c>
      <c r="AS12" s="2" t="s">
        <v>94</v>
      </c>
      <c r="AT12" s="9" t="str">
        <f>HYPERLINK(".\links\NR-LIGHT\AGAP005834-PA-NR-LIGHT.txt","AGAP005834-PA")</f>
        <v>AGAP005834-PA</v>
      </c>
      <c r="AU12" s="2" t="str">
        <f>HYPERLINK("http://www.ncbi.nlm.nih.gov/sutils/blink.cgi?pid=XP_001237723.2","0.0")</f>
        <v>0.0</v>
      </c>
      <c r="AV12" s="2" t="str">
        <f>HYPERLINK("http://www.ncbi.nlm.nih.gov/protein/XP_001237723.2","XP_001237723.2")</f>
        <v>XP_001237723.2</v>
      </c>
      <c r="AW12" s="2">
        <v>100</v>
      </c>
      <c r="AX12" s="2">
        <v>100</v>
      </c>
      <c r="AY12" s="2">
        <v>100</v>
      </c>
      <c r="AZ12" s="2" t="s">
        <v>95</v>
      </c>
      <c r="BA12" s="9" t="str">
        <f>HYPERLINK(".\links\REFSEQ-INVERTEBRATE\AGAP005834-PA-REFSEQ-INVERTEBRATE.txt","AGAP005834-PA")</f>
        <v>AGAP005834-PA</v>
      </c>
      <c r="BB12" s="2" t="str">
        <f>HYPERLINK("http://www.ncbi.nlm.nih.gov/sutils/blink.cgi?pid=XP_001237723.2","0.0")</f>
        <v>0.0</v>
      </c>
      <c r="BC12" s="2" t="str">
        <f>HYPERLINK("http://www.ncbi.nlm.nih.gov/protein/XP_001237723.2","XP_001237723.2")</f>
        <v>XP_001237723.2</v>
      </c>
      <c r="BD12" s="2">
        <v>100</v>
      </c>
      <c r="BE12" s="2">
        <v>100</v>
      </c>
      <c r="BF12" s="2">
        <v>100</v>
      </c>
      <c r="BG12" s="2" t="s">
        <v>95</v>
      </c>
      <c r="BH12" s="9" t="str">
        <f>HYPERLINK(".\links\REFSEQ-PROTOZOA\AGAP005834-PA-REFSEQ-PROTOZOA.txt","hypothetical protein SAMD00019534_097700")</f>
        <v>hypothetical protein SAMD00019534_097700</v>
      </c>
      <c r="BI12" s="2" t="str">
        <f>HYPERLINK("http://www.ncbi.nlm.nih.gov/sutils/blink.cgi?pid=XP_012750256.1","1E-047")</f>
        <v>1E-047</v>
      </c>
      <c r="BJ12" s="2" t="str">
        <f>HYPERLINK("http://www.ncbi.nlm.nih.gov/protein/XP_012750256.1","XP_012750256.1")</f>
        <v>XP_012750256.1</v>
      </c>
      <c r="BK12" s="2">
        <v>37</v>
      </c>
      <c r="BL12" s="2">
        <v>52</v>
      </c>
      <c r="BM12" s="2">
        <v>60</v>
      </c>
      <c r="BN12" s="2" t="s">
        <v>214</v>
      </c>
      <c r="BO12" s="9" t="str">
        <f>HYPERLINK(".\links\SWISSP\AGAP005834-PA-SWISSP.txt","Venom carboxylesterase-6")</f>
        <v>Venom carboxylesterase-6</v>
      </c>
      <c r="BP12" s="2" t="str">
        <f>HYPERLINK("http://www.uniprot.org/uniprot/B2D0J5","5E-070")</f>
        <v>5E-070</v>
      </c>
      <c r="BQ12" s="2" t="str">
        <f>HYPERLINK("http://www.uniprot.org/uniprot/B2D0J5#expression","B2D0J5")</f>
        <v>B2D0J5</v>
      </c>
      <c r="BR12" s="2">
        <v>34</v>
      </c>
      <c r="BS12" s="2">
        <v>49</v>
      </c>
      <c r="BT12" s="2">
        <v>88</v>
      </c>
      <c r="BU12" s="2" t="s">
        <v>1539</v>
      </c>
      <c r="BV12" s="9" t="str">
        <f>HYPERLINK(".\links\FLYBASE\AGAP005834-PA-FLYBASE.txt","FBpp0290965")</f>
        <v>FBpp0290965</v>
      </c>
      <c r="BW12" s="2" t="str">
        <f>HYPERLINK("http://flybase.org/reports/FBgn0010052#alliance_summary_container","1E-125")</f>
        <v>1E-125</v>
      </c>
      <c r="BX12" s="2">
        <v>579</v>
      </c>
      <c r="BY12" s="2">
        <v>42</v>
      </c>
      <c r="BZ12" s="2">
        <v>55</v>
      </c>
      <c r="CA12" s="2">
        <v>98</v>
      </c>
      <c r="CB12" s="9" t="str">
        <f>HYPERLINK(".\links\CDD\AGAP005834-PA-CDD.txt","COesterase, Carboxylesterase family")</f>
        <v>COesterase, Carboxylesterase family</v>
      </c>
      <c r="CC12" s="13">
        <v>1.0000000000000001E-111</v>
      </c>
      <c r="CD12" s="2">
        <v>97.3</v>
      </c>
      <c r="CE12" s="2" t="s">
        <v>1540</v>
      </c>
      <c r="CF12" s="2" t="s">
        <v>1541</v>
      </c>
      <c r="CG12" s="9" t="str">
        <f>HYPERLINK(".\links\KOG\AGAP005834-PA-KOG.txt","Carboxylesterase and related proteins")</f>
        <v>Carboxylesterase and related proteins</v>
      </c>
      <c r="CH12" s="13">
        <v>2E-90</v>
      </c>
      <c r="CI12" s="2">
        <v>101.3</v>
      </c>
      <c r="CJ12" s="2" t="s">
        <v>1542</v>
      </c>
      <c r="CK12" s="2" t="s">
        <v>187</v>
      </c>
      <c r="CL12" s="9" t="str">
        <f>HYPERLINK(".\links\PFAM\AGAP005834-PA-PFAM.txt","COesterase, Carboxylesterase family")</f>
        <v>COesterase, Carboxylesterase family</v>
      </c>
      <c r="CM12" s="13">
        <v>9.9999999999999995E-113</v>
      </c>
      <c r="CN12" s="2">
        <v>97.3</v>
      </c>
      <c r="CO12" s="2" t="s">
        <v>1540</v>
      </c>
      <c r="CP12" s="9" t="str">
        <f>HYPERLINK(".\links\SMART\AGAP005834-PA-SMART.txt","CLa, CLUSTERIN alpha chain")</f>
        <v>CLa, CLUSTERIN alpha chain</v>
      </c>
      <c r="CQ12" s="13">
        <v>0.69</v>
      </c>
      <c r="CR12" s="2">
        <v>10.6</v>
      </c>
      <c r="CS12" s="2" t="s">
        <v>1543</v>
      </c>
      <c r="CT12" s="2" t="s">
        <v>1537</v>
      </c>
      <c r="CU12" s="2" t="s">
        <v>1537</v>
      </c>
      <c r="CV12" s="2" t="s">
        <v>1537</v>
      </c>
      <c r="CW12" s="2" t="str">
        <f>HYPERLINK(".\links\pep\AGAP005834-PA-pep.txt","AGAP005834-PA")</f>
        <v>AGAP005834-PA</v>
      </c>
      <c r="CX12" s="2" t="s">
        <v>88</v>
      </c>
      <c r="CY12" s="2">
        <v>597</v>
      </c>
      <c r="CZ12" s="2" t="s">
        <v>103</v>
      </c>
      <c r="DA12" s="2" t="s">
        <v>1544</v>
      </c>
      <c r="DB12" s="2">
        <v>0</v>
      </c>
      <c r="DC12" s="2">
        <v>3</v>
      </c>
      <c r="DD12" s="2" t="str">
        <f>HYPERLINK("https://www.kegg.jp/kegg-bin/search_pathway_text?map=aga&amp;keyword=AGAP005834&amp;mode=1&amp;viewImage=true","AGAP005834")</f>
        <v>AGAP005834</v>
      </c>
      <c r="DE12" s="2" t="s">
        <v>1533</v>
      </c>
      <c r="DF12" s="2" t="s">
        <v>1534</v>
      </c>
      <c r="DG12" s="2" t="s">
        <v>87</v>
      </c>
      <c r="DH12" s="2" t="str">
        <f>HYPERLINK("https://vectorbase.org/vectorbase/app/record/gene/AGAP005834","AGAP005834-RA")</f>
        <v>AGAP005834-RA</v>
      </c>
      <c r="DI12" s="2" t="s">
        <v>122</v>
      </c>
      <c r="DJ12" s="2">
        <v>2535</v>
      </c>
      <c r="DK12" s="2" t="str">
        <f>HYPERLINK(".\links\netoglyc\AGAP005834-PA-netoglyc.txt","0")</f>
        <v>0</v>
      </c>
      <c r="DL12" s="2">
        <v>10.9</v>
      </c>
      <c r="DM12" s="2">
        <v>7.4</v>
      </c>
      <c r="DN12" s="2">
        <v>7</v>
      </c>
      <c r="DO12" s="2" t="s">
        <v>94</v>
      </c>
      <c r="DP12" s="2" t="s">
        <v>89</v>
      </c>
      <c r="DQ12" s="2" t="str">
        <f>HYPERLINK(".\links\Sigp\AGAP005834-PA-SigP.txt","BL")</f>
        <v>BL</v>
      </c>
      <c r="DR12" s="2" t="s">
        <v>1070</v>
      </c>
      <c r="DS12" s="2">
        <v>66.290999999999997</v>
      </c>
      <c r="DT12" s="2">
        <v>5.14</v>
      </c>
      <c r="DU12" s="2">
        <v>63.652000000000001</v>
      </c>
      <c r="DV12" s="2">
        <v>4.99</v>
      </c>
      <c r="DW12" s="2" t="s">
        <v>1538</v>
      </c>
      <c r="DX12" s="2">
        <v>597</v>
      </c>
      <c r="DY12" s="12">
        <v>0</v>
      </c>
      <c r="DZ12" s="2" t="s">
        <v>89</v>
      </c>
      <c r="EA12" s="2" t="s">
        <v>89</v>
      </c>
      <c r="EB12" s="2" t="s">
        <v>89</v>
      </c>
      <c r="EC12" s="2" t="str">
        <f>HYPERLINK(".\links\gpi\AGAP005834-PA-gpi.txt","N")</f>
        <v>N</v>
      </c>
      <c r="ED12" s="2">
        <v>0.21</v>
      </c>
      <c r="EF12" s="2">
        <v>11</v>
      </c>
      <c r="EG12" s="2" t="s">
        <v>89</v>
      </c>
      <c r="EH12" s="2" t="s">
        <v>89</v>
      </c>
      <c r="EI12" s="2">
        <v>10.887772194304899</v>
      </c>
      <c r="EJ12" s="2">
        <v>7.0351758793969896</v>
      </c>
      <c r="EK12" s="2">
        <v>7.3701842546063698</v>
      </c>
      <c r="EL12" s="2">
        <v>14.4053601340034</v>
      </c>
      <c r="EM12" s="2">
        <v>1</v>
      </c>
      <c r="EN12" s="2">
        <v>1</v>
      </c>
      <c r="EO12" s="2">
        <v>1</v>
      </c>
      <c r="EP12" s="2" t="s">
        <v>89</v>
      </c>
      <c r="EQ12" s="2" t="s">
        <v>89</v>
      </c>
      <c r="ER12" s="2" t="s">
        <v>89</v>
      </c>
      <c r="ES12" s="2" t="s">
        <v>89</v>
      </c>
      <c r="ET12" s="2" t="str">
        <f>HYPERLINK(".\links\REFSEQ-INVERTEBRATE\AGAP005834-PA-REFSEQ-INVERTEBRATE.txt","AGAP005834-PA")</f>
        <v>AGAP005834-PA</v>
      </c>
      <c r="EU12" s="2" t="str">
        <f>HYPERLINK("http://www.ncbi.nlm.nih.gov/sutils/blink.cgi?pid=XP_001237723.2","0.0")</f>
        <v>0.0</v>
      </c>
      <c r="EV12" s="2" t="str">
        <f>HYPERLINK("http://www.ncbi.nlm.nih.gov/protein/XP_001237723.2","XP_001237723.2")</f>
        <v>XP_001237723.2</v>
      </c>
      <c r="EW12" s="2">
        <v>100</v>
      </c>
      <c r="EX12" s="2">
        <v>100</v>
      </c>
      <c r="EY12" s="2">
        <v>100</v>
      </c>
      <c r="EZ12" s="2" t="s">
        <v>95</v>
      </c>
    </row>
    <row r="13" spans="1:156" x14ac:dyDescent="0.25">
      <c r="A13" s="2" t="s">
        <v>508</v>
      </c>
      <c r="B13" s="2">
        <v>1.61843413540115</v>
      </c>
      <c r="C13" s="2">
        <f t="shared" si="0"/>
        <v>3.0704160017505622</v>
      </c>
      <c r="D13" s="2">
        <v>5.3481842996365998</v>
      </c>
      <c r="E13" s="2">
        <v>35.220724564368702</v>
      </c>
      <c r="F13" s="2">
        <v>2.94374138291636E-9</v>
      </c>
      <c r="G13" s="2">
        <v>6.2684029007821002E-6</v>
      </c>
      <c r="H13" s="2" t="s">
        <v>509</v>
      </c>
      <c r="I13" s="2" t="s">
        <v>87</v>
      </c>
      <c r="J13" s="2" t="str">
        <f>HYPERLINK("https://vectorbase.org/vectorbase/app/record/gene/AGAP001752","AGAP001752-RB")</f>
        <v>AGAP001752-RB</v>
      </c>
      <c r="K13" s="2" t="str">
        <f>HYPERLINK(".\links\pep\AGAP001752-PB-pep.txt","AGAP001752-PB")</f>
        <v>AGAP001752-PB</v>
      </c>
      <c r="L13" s="12" t="s">
        <v>88</v>
      </c>
      <c r="M13" s="2">
        <v>1218</v>
      </c>
      <c r="N13" s="2">
        <v>0</v>
      </c>
      <c r="O13" s="2">
        <v>1</v>
      </c>
      <c r="P13" s="2" t="s">
        <v>510</v>
      </c>
      <c r="Q13" s="9" t="s">
        <v>511</v>
      </c>
      <c r="R13" s="2" t="s">
        <v>148</v>
      </c>
      <c r="S13" s="2" t="str">
        <f>HYPERLINK(".\links\CDD\AGAP001752-PB-CDD.txt","CDD")</f>
        <v>CDD</v>
      </c>
      <c r="T13" s="2">
        <v>0</v>
      </c>
      <c r="U13" s="2">
        <v>100</v>
      </c>
      <c r="V13" s="2" t="s">
        <v>512</v>
      </c>
      <c r="W13" s="10" t="s">
        <v>513</v>
      </c>
      <c r="X13" s="2" t="s">
        <v>148</v>
      </c>
      <c r="Y13" s="2" t="str">
        <f>HYPERLINK(".\links\REFSEQVERTEBRATE95\AGAP001752-PB-REFSEQVERTEBRATE95.txt","REFSEQVERTEBRATE95")</f>
        <v>REFSEQVERTEBRATE95</v>
      </c>
      <c r="Z13" s="2">
        <v>0</v>
      </c>
      <c r="AA13" s="2">
        <v>64.8</v>
      </c>
      <c r="AB13" s="14" t="str">
        <f>HYPERLINK(".\links\pep\AGAP001752-PB-sulf.txt","1")</f>
        <v>1</v>
      </c>
      <c r="AC13" s="14" t="str">
        <f>HYPERLINK(".\links\Sigp\AGAP001752-PB-SigP.txt","CYT")</f>
        <v>CYT</v>
      </c>
      <c r="AD13" s="2" t="s">
        <v>89</v>
      </c>
      <c r="AE13" s="2">
        <v>130.136</v>
      </c>
      <c r="AF13" s="2">
        <v>8.43</v>
      </c>
      <c r="AG13" s="2" t="s">
        <v>89</v>
      </c>
      <c r="AH13" s="2" t="s">
        <v>89</v>
      </c>
      <c r="AI13" s="2" t="s">
        <v>373</v>
      </c>
      <c r="AJ13" s="14">
        <v>0</v>
      </c>
      <c r="AK13" s="2" t="s">
        <v>89</v>
      </c>
      <c r="AL13" s="2" t="s">
        <v>89</v>
      </c>
      <c r="AM13" s="2" t="s">
        <v>89</v>
      </c>
      <c r="AN13" s="14" t="str">
        <f>HYPERLINK(".\links\gpi\AGAP001752-PB-gpi.txt","N")</f>
        <v>N</v>
      </c>
      <c r="AO13" s="15" t="str">
        <f>HYPERLINK(".\links\netoglyc\AGAP001752-PB-netoglyc.txt","9")</f>
        <v>9</v>
      </c>
      <c r="AP13" s="14">
        <v>18</v>
      </c>
      <c r="AQ13" s="2">
        <v>10.3</v>
      </c>
      <c r="AR13" s="2">
        <v>4.5</v>
      </c>
      <c r="AS13" s="2" t="s">
        <v>94</v>
      </c>
      <c r="AT13" s="9" t="str">
        <f>HYPERLINK(".\links\NR-LIGHT\AGAP001752-PB-NR-LIGHT.txt","AGAP001752-PA")</f>
        <v>AGAP001752-PA</v>
      </c>
      <c r="AU13" s="2" t="str">
        <f>HYPERLINK("http://www.ncbi.nlm.nih.gov/sutils/blink.cgi?pid=XP_321330.5","0.0")</f>
        <v>0.0</v>
      </c>
      <c r="AV13" s="2" t="str">
        <f>HYPERLINK("http://www.ncbi.nlm.nih.gov/protein/XP_321330.5","XP_321330.5")</f>
        <v>XP_321330.5</v>
      </c>
      <c r="AW13" s="2">
        <v>100</v>
      </c>
      <c r="AX13" s="2">
        <v>100</v>
      </c>
      <c r="AY13" s="2">
        <v>100</v>
      </c>
      <c r="AZ13" s="2" t="s">
        <v>95</v>
      </c>
      <c r="BA13" s="9" t="str">
        <f>HYPERLINK(".\links\REFSEQ-INVERTEBRATE\AGAP001752-PB-REFSEQ-INVERTEBRATE.txt","AGAP001752-PA")</f>
        <v>AGAP001752-PA</v>
      </c>
      <c r="BB13" s="2" t="str">
        <f>HYPERLINK("http://www.ncbi.nlm.nih.gov/sutils/blink.cgi?pid=XP_321330.5","0.0")</f>
        <v>0.0</v>
      </c>
      <c r="BC13" s="2" t="str">
        <f>HYPERLINK("http://www.ncbi.nlm.nih.gov/protein/XP_321330.5","XP_321330.5")</f>
        <v>XP_321330.5</v>
      </c>
      <c r="BD13" s="2">
        <v>100</v>
      </c>
      <c r="BE13" s="2">
        <v>100</v>
      </c>
      <c r="BF13" s="2">
        <v>100</v>
      </c>
      <c r="BG13" s="2" t="s">
        <v>95</v>
      </c>
      <c r="BH13" s="9" t="str">
        <f>HYPERLINK(".\links\REFSEQ-PROTOZOA\AGAP001752-PB-REFSEQ-PROTOZOA.txt","snrk protein")</f>
        <v>snrk protein</v>
      </c>
      <c r="BI13" s="2" t="str">
        <f>HYPERLINK("http://www.ncbi.nlm.nih.gov/sutils/blink.cgi?pid=XP_004344393.2","1E-101")</f>
        <v>1E-101</v>
      </c>
      <c r="BJ13" s="2" t="str">
        <f>HYPERLINK("http://www.ncbi.nlm.nih.gov/protein/XP_004344393.2","XP_004344393.2")</f>
        <v>XP_004344393.2</v>
      </c>
      <c r="BK13" s="2">
        <v>52</v>
      </c>
      <c r="BL13" s="2">
        <v>70</v>
      </c>
      <c r="BM13" s="2">
        <v>20</v>
      </c>
      <c r="BN13" s="2" t="s">
        <v>150</v>
      </c>
      <c r="BO13" s="9" t="str">
        <f>HYPERLINK(".\links\SWISSP\AGAP001752-PB-SWISSP.txt","SNF-related serine/threonine-protein kinase")</f>
        <v>SNF-related serine/threonine-protein kinase</v>
      </c>
      <c r="BP13" s="2" t="str">
        <f>HYPERLINK("http://www.uniprot.org/uniprot/Q9NRH2","1E-149")</f>
        <v>1E-149</v>
      </c>
      <c r="BQ13" s="2" t="str">
        <f>HYPERLINK("http://www.uniprot.org/uniprot/Q9NRH2#expression","Q9NRH2")</f>
        <v>Q9NRH2</v>
      </c>
      <c r="BR13" s="2">
        <v>51</v>
      </c>
      <c r="BS13" s="2">
        <v>64</v>
      </c>
      <c r="BT13" s="2">
        <v>76</v>
      </c>
      <c r="BU13" s="2" t="s">
        <v>115</v>
      </c>
      <c r="BV13" s="9" t="str">
        <f>HYPERLINK(".\links\FLYBASE\AGAP001752-PB-FLYBASE.txt","FBpp0086698")</f>
        <v>FBpp0086698</v>
      </c>
      <c r="BW13" s="2" t="str">
        <f>HYPERLINK("http://flybase.org/reports/FBgn0033915#alliance_summary_container","0.0")</f>
        <v>0.0</v>
      </c>
      <c r="BX13" s="2">
        <v>860</v>
      </c>
      <c r="BY13" s="2">
        <v>66</v>
      </c>
      <c r="BZ13" s="2">
        <v>79</v>
      </c>
      <c r="CA13" s="2">
        <v>53</v>
      </c>
      <c r="CB13" s="9" t="str">
        <f>HYPERLINK(".\links\CDD\AGAP001752-PB-CDD.txt","STKc_SNRK, Catalytic domain of the Serine/Threonine Kinase, SNF1-related kinase")</f>
        <v>STKc_SNRK, Catalytic domain of the Serine/Threonine Kinase, SNF1-related kinase</v>
      </c>
      <c r="CC13" s="13">
        <v>9.9999999999999998E-172</v>
      </c>
      <c r="CD13" s="2">
        <v>100</v>
      </c>
      <c r="CE13" s="2" t="s">
        <v>514</v>
      </c>
      <c r="CF13" s="2" t="s">
        <v>515</v>
      </c>
      <c r="CG13" s="9" t="str">
        <f>HYPERLINK(".\links\KOG\AGAP001752-PB-KOG.txt","Serine/threonine protein kinase")</f>
        <v>Serine/threonine protein kinase</v>
      </c>
      <c r="CH13" s="13">
        <v>1E-175</v>
      </c>
      <c r="CI13" s="2">
        <v>99</v>
      </c>
      <c r="CJ13" s="2" t="s">
        <v>516</v>
      </c>
      <c r="CK13" s="2" t="s">
        <v>410</v>
      </c>
      <c r="CL13" s="9" t="str">
        <f>HYPERLINK(".\links\PFAM\AGAP001752-PB-PFAM.txt","Pkinase, Protein kinase domain")</f>
        <v>Pkinase, Protein kinase domain</v>
      </c>
      <c r="CM13" s="13">
        <v>4E-79</v>
      </c>
      <c r="CN13" s="2">
        <v>101.2</v>
      </c>
      <c r="CO13" s="2" t="s">
        <v>517</v>
      </c>
      <c r="CP13" s="9" t="str">
        <f>HYPERLINK(".\links\SMART\AGAP001752-PB-SMART.txt","S_TKc, Serine/Threonine protein kinases, catalytic domain")</f>
        <v>S_TKc, Serine/Threonine protein kinases, catalytic domain</v>
      </c>
      <c r="CQ13" s="13">
        <v>6.9999999999999997E-91</v>
      </c>
      <c r="CR13" s="2">
        <v>101.6</v>
      </c>
      <c r="CS13" s="2" t="s">
        <v>518</v>
      </c>
      <c r="CT13" s="2" t="s">
        <v>512</v>
      </c>
      <c r="CU13" s="2" t="s">
        <v>512</v>
      </c>
      <c r="CV13" s="2" t="s">
        <v>512</v>
      </c>
      <c r="CW13" s="2" t="str">
        <f>HYPERLINK(".\links\pep\AGAP001752-PB-pep.txt","AGAP001752-PB")</f>
        <v>AGAP001752-PB</v>
      </c>
      <c r="CX13" s="2" t="s">
        <v>88</v>
      </c>
      <c r="CY13" s="2">
        <v>1218</v>
      </c>
      <c r="CZ13" s="2" t="s">
        <v>103</v>
      </c>
      <c r="DA13" s="2" t="s">
        <v>519</v>
      </c>
      <c r="DB13" s="2">
        <v>0</v>
      </c>
      <c r="DC13" s="2">
        <v>1</v>
      </c>
      <c r="DD13" s="2" t="str">
        <f>HYPERLINK("https://www.kegg.jp/kegg-bin/search_pathway_text?map=aga&amp;keyword=AGAP001752&amp;mode=1&amp;viewImage=true","AGAP001752")</f>
        <v>AGAP001752</v>
      </c>
      <c r="DE13" s="2" t="s">
        <v>508</v>
      </c>
      <c r="DF13" s="2" t="s">
        <v>509</v>
      </c>
      <c r="DG13" s="2" t="s">
        <v>87</v>
      </c>
      <c r="DH13" s="2" t="str">
        <f>HYPERLINK("https://vectorbase.org/vectorbase/app/record/gene/AGAP001752","AGAP001752-RB")</f>
        <v>AGAP001752-RB</v>
      </c>
      <c r="DI13" s="2" t="s">
        <v>122</v>
      </c>
      <c r="DJ13" s="2">
        <v>6507</v>
      </c>
      <c r="DK13" s="2" t="str">
        <f>HYPERLINK(".\links\netoglyc\AGAP001752-PB-netoglyc.txt","9")</f>
        <v>9</v>
      </c>
      <c r="DL13" s="2">
        <v>18</v>
      </c>
      <c r="DM13" s="2">
        <v>10.3</v>
      </c>
      <c r="DN13" s="2">
        <v>4.5</v>
      </c>
      <c r="DO13" s="2" t="s">
        <v>94</v>
      </c>
      <c r="DP13" s="2" t="s">
        <v>520</v>
      </c>
      <c r="DQ13" s="2" t="str">
        <f>HYPERLINK(".\links\Sigp\AGAP001752-PB-SigP.txt","CYT")</f>
        <v>CYT</v>
      </c>
      <c r="DR13" s="2" t="s">
        <v>89</v>
      </c>
      <c r="DS13" s="2">
        <v>130.136</v>
      </c>
      <c r="DT13" s="2">
        <v>8.43</v>
      </c>
      <c r="DU13" s="2" t="s">
        <v>89</v>
      </c>
      <c r="DV13" s="2" t="s">
        <v>89</v>
      </c>
      <c r="DW13" s="2" t="s">
        <v>373</v>
      </c>
      <c r="DX13" s="2">
        <v>1218</v>
      </c>
      <c r="DY13" s="12">
        <v>0</v>
      </c>
      <c r="DZ13" s="2" t="s">
        <v>89</v>
      </c>
      <c r="EA13" s="2" t="s">
        <v>89</v>
      </c>
      <c r="EB13" s="2" t="s">
        <v>89</v>
      </c>
      <c r="EC13" s="2" t="str">
        <f>HYPERLINK(".\links\gpi\AGAP001752-PB-gpi.txt","Y-NoSP")</f>
        <v>Y-NoSP</v>
      </c>
      <c r="ED13" s="2">
        <v>0.19</v>
      </c>
      <c r="EF13" s="2">
        <v>18</v>
      </c>
      <c r="EG13" s="2" t="str">
        <f>HYPERLINK(".\links\pep\AGAP001752-PB-sulf.txt","1")</f>
        <v>1</v>
      </c>
      <c r="EH13" s="2" t="s">
        <v>89</v>
      </c>
      <c r="EI13" s="2">
        <v>17.980295566502502</v>
      </c>
      <c r="EJ13" s="2">
        <v>4.5155993431855501</v>
      </c>
      <c r="EK13" s="2">
        <v>10.3448275862069</v>
      </c>
      <c r="EL13" s="2">
        <v>14.8604269293924</v>
      </c>
      <c r="EM13" s="2" t="s">
        <v>89</v>
      </c>
      <c r="EN13" s="2">
        <v>3</v>
      </c>
      <c r="EO13" s="2">
        <v>3</v>
      </c>
      <c r="EP13" s="2" t="s">
        <v>89</v>
      </c>
      <c r="EQ13" s="2" t="s">
        <v>89</v>
      </c>
      <c r="ER13" s="2" t="s">
        <v>89</v>
      </c>
      <c r="ES13" s="2" t="s">
        <v>89</v>
      </c>
      <c r="ET13" s="2" t="str">
        <f>HYPERLINK(".\links\REFSEQ-INVERTEBRATE\AGAP001752-PB-REFSEQ-INVERTEBRATE.txt","AGAP001752-PA")</f>
        <v>AGAP001752-PA</v>
      </c>
      <c r="EU13" s="2" t="str">
        <f>HYPERLINK("http://www.ncbi.nlm.nih.gov/sutils/blink.cgi?pid=XP_321330.5","0.0")</f>
        <v>0.0</v>
      </c>
      <c r="EV13" s="2" t="str">
        <f>HYPERLINK("http://www.ncbi.nlm.nih.gov/protein/XP_321330.5","XP_321330.5")</f>
        <v>XP_321330.5</v>
      </c>
      <c r="EW13" s="2">
        <v>100</v>
      </c>
      <c r="EX13" s="2">
        <v>100</v>
      </c>
      <c r="EY13" s="2">
        <v>100</v>
      </c>
      <c r="EZ13" s="2" t="s">
        <v>95</v>
      </c>
    </row>
    <row r="14" spans="1:156" x14ac:dyDescent="0.25">
      <c r="A14" s="2" t="s">
        <v>628</v>
      </c>
      <c r="B14" s="2">
        <v>1.57037600646505</v>
      </c>
      <c r="C14" s="2">
        <f t="shared" si="0"/>
        <v>2.9698210583931193</v>
      </c>
      <c r="D14" s="2">
        <v>3.6385969666524201</v>
      </c>
      <c r="E14" s="2">
        <v>13.4963781335054</v>
      </c>
      <c r="F14" s="2">
        <v>2.3902435784653101E-4</v>
      </c>
      <c r="G14" s="2">
        <v>1.6106913531595001E-2</v>
      </c>
      <c r="H14" s="2" t="s">
        <v>629</v>
      </c>
      <c r="I14" s="2" t="s">
        <v>87</v>
      </c>
      <c r="J14" s="2" t="str">
        <f>HYPERLINK("https://vectorbase.org/vectorbase/app/record/gene/AGAP002638","AGAP002638-RA")</f>
        <v>AGAP002638-RA</v>
      </c>
      <c r="K14" s="2" t="str">
        <f>HYPERLINK(".\links\pep\AGAP002638-PA-pep.txt","AGAP002638-PA")</f>
        <v>AGAP002638-PA</v>
      </c>
      <c r="L14" s="12" t="s">
        <v>88</v>
      </c>
      <c r="M14" s="2">
        <v>776</v>
      </c>
      <c r="N14" s="2">
        <v>0</v>
      </c>
      <c r="O14" s="2">
        <v>3</v>
      </c>
      <c r="P14" s="2" t="s">
        <v>630</v>
      </c>
      <c r="Q14" s="9" t="s">
        <v>631</v>
      </c>
      <c r="R14" s="2" t="s">
        <v>128</v>
      </c>
      <c r="S14" s="2" t="str">
        <f>HYPERLINK(".\links\REFSEQ-INVERTEBRATE\AGAP002638-PA-REFSEQ-INVERTEBRATE.txt","REFSEQ-INVERTEBRATE")</f>
        <v>REFSEQ-INVERTEBRATE</v>
      </c>
      <c r="T14" s="2">
        <v>0</v>
      </c>
      <c r="U14" s="2">
        <v>100</v>
      </c>
      <c r="V14" s="2" t="s">
        <v>632</v>
      </c>
      <c r="W14" s="10" t="s">
        <v>633</v>
      </c>
      <c r="X14" s="2" t="s">
        <v>634</v>
      </c>
      <c r="Y14" s="2" t="str">
        <f>HYPERLINK(".\links\COG\AGAP002638-PA-COG.txt","COG")</f>
        <v>COG</v>
      </c>
      <c r="Z14" s="13">
        <v>1.0000000000000001E-43</v>
      </c>
      <c r="AA14" s="2">
        <v>78.8</v>
      </c>
      <c r="AB14" s="14" t="str">
        <f>HYPERLINK(".\links\pep\AGAP002638-PA-sulf.txt","1")</f>
        <v>1</v>
      </c>
      <c r="AC14" s="14" t="str">
        <f>HYPERLINK(".\links\Sigp\AGAP002638-PA-SigP.txt","CYT")</f>
        <v>CYT</v>
      </c>
      <c r="AD14" s="2" t="s">
        <v>89</v>
      </c>
      <c r="AE14" s="2">
        <v>86.206999999999994</v>
      </c>
      <c r="AF14" s="2">
        <v>5.53</v>
      </c>
      <c r="AG14" s="2" t="s">
        <v>89</v>
      </c>
      <c r="AH14" s="2" t="s">
        <v>89</v>
      </c>
      <c r="AI14" s="2" t="s">
        <v>635</v>
      </c>
      <c r="AJ14" s="14" t="str">
        <f>HYPERLINK(".\links\tmhmm\AGAP002638-PA-tmhmm.txt","7")</f>
        <v>7</v>
      </c>
      <c r="AK14" s="2">
        <v>19.2</v>
      </c>
      <c r="AL14" s="2">
        <v>56.8</v>
      </c>
      <c r="AM14" s="2">
        <v>24</v>
      </c>
      <c r="AN14" s="14" t="str">
        <f>HYPERLINK(".\links\gpi\AGAP002638-PA-gpi.txt","N")</f>
        <v>N</v>
      </c>
      <c r="AO14" s="15" t="str">
        <f>HYPERLINK(".\links\netoglyc\AGAP002638-PA-netoglyc.txt","0")</f>
        <v>0</v>
      </c>
      <c r="AP14" s="14">
        <v>12.9</v>
      </c>
      <c r="AQ14" s="2">
        <v>7.9</v>
      </c>
      <c r="AR14" s="2">
        <v>5.2</v>
      </c>
      <c r="AS14" s="2" t="s">
        <v>94</v>
      </c>
      <c r="AT14" s="9" t="str">
        <f>HYPERLINK(".\links\NR-LIGHT\AGAP002638-PA-NR-LIGHT.txt","AGAP002638-PA")</f>
        <v>AGAP002638-PA</v>
      </c>
      <c r="AU14" s="2" t="str">
        <f>HYPERLINK("http://www.ncbi.nlm.nih.gov/sutils/blink.cgi?pid=XP_312290.4","0.0")</f>
        <v>0.0</v>
      </c>
      <c r="AV14" s="2" t="str">
        <f>HYPERLINK("http://www.ncbi.nlm.nih.gov/protein/XP_312290.4","XP_312290.4")</f>
        <v>XP_312290.4</v>
      </c>
      <c r="AW14" s="2">
        <v>100</v>
      </c>
      <c r="AX14" s="2">
        <v>100</v>
      </c>
      <c r="AY14" s="2">
        <v>100</v>
      </c>
      <c r="AZ14" s="2" t="s">
        <v>95</v>
      </c>
      <c r="BA14" s="9" t="str">
        <f>HYPERLINK(".\links\REFSEQ-INVERTEBRATE\AGAP002638-PA-REFSEQ-INVERTEBRATE.txt","AGAP002638-PA")</f>
        <v>AGAP002638-PA</v>
      </c>
      <c r="BB14" s="2" t="str">
        <f>HYPERLINK("http://www.ncbi.nlm.nih.gov/sutils/blink.cgi?pid=XP_312290.4","0.0")</f>
        <v>0.0</v>
      </c>
      <c r="BC14" s="2" t="str">
        <f>HYPERLINK("http://www.ncbi.nlm.nih.gov/protein/XP_312290.4","XP_312290.4")</f>
        <v>XP_312290.4</v>
      </c>
      <c r="BD14" s="2">
        <v>100</v>
      </c>
      <c r="BE14" s="2">
        <v>100</v>
      </c>
      <c r="BF14" s="2">
        <v>100</v>
      </c>
      <c r="BG14" s="2" t="s">
        <v>95</v>
      </c>
      <c r="BH14" s="9" t="str">
        <f>HYPERLINK(".\links\REFSEQ-PROTOZOA\AGAP002638-PA-REFSEQ-PROTOZOA.txt","hypothetical protein CAOG_04710")</f>
        <v>hypothetical protein CAOG_04710</v>
      </c>
      <c r="BI14" s="2" t="str">
        <f>HYPERLINK("http://www.ncbi.nlm.nih.gov/sutils/blink.cgi?pid=XP_004347457.1","1E-137")</f>
        <v>1E-137</v>
      </c>
      <c r="BJ14" s="2" t="str">
        <f>HYPERLINK("http://www.ncbi.nlm.nih.gov/protein/XP_004347457.1","XP_004347457.1")</f>
        <v>XP_004347457.1</v>
      </c>
      <c r="BK14" s="2">
        <v>35</v>
      </c>
      <c r="BL14" s="2">
        <v>57</v>
      </c>
      <c r="BM14" s="2">
        <v>101</v>
      </c>
      <c r="BN14" s="2" t="s">
        <v>150</v>
      </c>
      <c r="BO14" s="9" t="str">
        <f>HYPERLINK(".\links\SWISSP\AGAP002638-PA-SWISSP.txt","ABC transporter G family member 20")</f>
        <v>ABC transporter G family member 20</v>
      </c>
      <c r="BP14" s="2" t="str">
        <f>HYPERLINK("http://www.uniprot.org/uniprot/Q8T674","9E-085")</f>
        <v>9E-085</v>
      </c>
      <c r="BQ14" s="2" t="str">
        <f>HYPERLINK("http://www.uniprot.org/uniprot/Q8T674#expression","Q8T674")</f>
        <v>Q8T674</v>
      </c>
      <c r="BR14" s="2">
        <v>28</v>
      </c>
      <c r="BS14" s="2">
        <v>49</v>
      </c>
      <c r="BT14" s="2">
        <v>104</v>
      </c>
      <c r="BU14" s="2" t="s">
        <v>636</v>
      </c>
      <c r="BV14" s="9" t="str">
        <f>HYPERLINK(".\links\FLYBASE\AGAP002638-PA-FLYBASE.txt","FBpp0311936")</f>
        <v>FBpp0311936</v>
      </c>
      <c r="BW14" s="2" t="str">
        <f>HYPERLINK("http://flybase.org/reports/FBgn0053970#alliance_summary_container","0.0")</f>
        <v>0.0</v>
      </c>
      <c r="BX14" s="2">
        <v>777</v>
      </c>
      <c r="BY14" s="2">
        <v>68</v>
      </c>
      <c r="BZ14" s="2">
        <v>82</v>
      </c>
      <c r="CA14" s="2">
        <v>100</v>
      </c>
      <c r="CB14" s="9" t="str">
        <f>HYPERLINK(".\links\CDD\AGAP002638-PA-CDD.txt","CcmA, ABC-type multidrug transport system, ATPase component")</f>
        <v>CcmA, ABC-type multidrug transport system, ATPase component</v>
      </c>
      <c r="CC14" s="13">
        <v>5.9999999999999996E-63</v>
      </c>
      <c r="CD14" s="2">
        <v>90.1</v>
      </c>
      <c r="CE14" s="2" t="s">
        <v>637</v>
      </c>
      <c r="CF14" s="2" t="s">
        <v>638</v>
      </c>
      <c r="CG14" s="9" t="str">
        <f>HYPERLINK(".\links\KOG\AGAP002638-PA-KOG.txt","ABC superfamily")</f>
        <v>ABC superfamily</v>
      </c>
      <c r="CH14" s="13">
        <v>6.9999999999999997E-34</v>
      </c>
      <c r="CI14" s="2">
        <v>25.5</v>
      </c>
      <c r="CJ14" s="2" t="s">
        <v>639</v>
      </c>
      <c r="CK14" s="2" t="s">
        <v>640</v>
      </c>
      <c r="CL14" s="9" t="str">
        <f>HYPERLINK(".\links\PFAM\AGAP002638-PA-PFAM.txt","ABC_tran, ABC transporter")</f>
        <v>ABC_tran, ABC transporter</v>
      </c>
      <c r="CM14" s="13">
        <v>3.0000000000000002E-33</v>
      </c>
      <c r="CN14" s="2">
        <v>100</v>
      </c>
      <c r="CO14" s="2" t="s">
        <v>641</v>
      </c>
      <c r="CP14" s="9" t="str">
        <f>HYPERLINK(".\links\SMART\AGAP002638-PA-SMART.txt","AAA, ATPases associated with a variety of cellular activities")</f>
        <v>AAA, ATPases associated with a variety of cellular activities</v>
      </c>
      <c r="CQ14" s="13">
        <v>4.9999999999999998E-7</v>
      </c>
      <c r="CR14" s="2">
        <v>123</v>
      </c>
      <c r="CS14" s="2" t="s">
        <v>642</v>
      </c>
      <c r="CT14" s="2" t="s">
        <v>632</v>
      </c>
      <c r="CU14" s="2" t="s">
        <v>632</v>
      </c>
      <c r="CV14" s="2" t="s">
        <v>632</v>
      </c>
      <c r="CW14" s="2" t="str">
        <f>HYPERLINK(".\links\pep\AGAP002638-PA-pep.txt","AGAP002638-PA")</f>
        <v>AGAP002638-PA</v>
      </c>
      <c r="CX14" s="2" t="s">
        <v>88</v>
      </c>
      <c r="CY14" s="2">
        <v>776</v>
      </c>
      <c r="CZ14" s="2" t="s">
        <v>103</v>
      </c>
      <c r="DA14" s="2" t="s">
        <v>643</v>
      </c>
      <c r="DB14" s="2">
        <v>0</v>
      </c>
      <c r="DC14" s="2">
        <v>3</v>
      </c>
      <c r="DD14" s="2" t="str">
        <f>HYPERLINK("https://www.kegg.jp/kegg-bin/search_pathway_text?map=aga&amp;keyword=AGAP002638&amp;mode=1&amp;viewImage=true","AGAP002638")</f>
        <v>AGAP002638</v>
      </c>
      <c r="DE14" s="2" t="s">
        <v>628</v>
      </c>
      <c r="DF14" s="2" t="s">
        <v>629</v>
      </c>
      <c r="DG14" s="2" t="s">
        <v>87</v>
      </c>
      <c r="DH14" s="2" t="str">
        <f>HYPERLINK("https://vectorbase.org/vectorbase/app/record/gene/AGAP002638","AGAP002638-RA")</f>
        <v>AGAP002638-RA</v>
      </c>
      <c r="DI14" s="2" t="s">
        <v>158</v>
      </c>
      <c r="DJ14" s="2">
        <v>3199</v>
      </c>
      <c r="DK14" s="2" t="str">
        <f>HYPERLINK(".\links\netoglyc\AGAP002638-PA-netoglyc.txt","0")</f>
        <v>0</v>
      </c>
      <c r="DL14" s="2">
        <v>12.9</v>
      </c>
      <c r="DM14" s="2">
        <v>7.9</v>
      </c>
      <c r="DN14" s="2">
        <v>5.2</v>
      </c>
      <c r="DO14" s="2" t="s">
        <v>94</v>
      </c>
      <c r="DP14" s="2" t="s">
        <v>89</v>
      </c>
      <c r="DQ14" s="2" t="str">
        <f>HYPERLINK(".\links\Sigp\AGAP002638-PA-SigP.txt","CYT")</f>
        <v>CYT</v>
      </c>
      <c r="DR14" s="2" t="s">
        <v>89</v>
      </c>
      <c r="DS14" s="2">
        <v>86.206999999999994</v>
      </c>
      <c r="DT14" s="2">
        <v>5.53</v>
      </c>
      <c r="DU14" s="2" t="s">
        <v>89</v>
      </c>
      <c r="DV14" s="2" t="s">
        <v>89</v>
      </c>
      <c r="DW14" s="2" t="s">
        <v>635</v>
      </c>
      <c r="DX14" s="2">
        <v>776</v>
      </c>
      <c r="DY14" s="12" t="str">
        <f>HYPERLINK(".\links\tmhmm\AGAP002638-PA-tmhmm.txt","7")</f>
        <v>7</v>
      </c>
      <c r="DZ14" s="2">
        <v>19.2</v>
      </c>
      <c r="EA14" s="2">
        <v>56.8</v>
      </c>
      <c r="EB14" s="2">
        <v>24</v>
      </c>
      <c r="EC14" s="2" t="str">
        <f>HYPERLINK(".\links\gpi\AGAP002638-PA-gpi.txt","Y-NoSP")</f>
        <v>Y-NoSP</v>
      </c>
      <c r="ED14" s="2">
        <v>0.21</v>
      </c>
      <c r="EF14" s="2">
        <v>16</v>
      </c>
      <c r="EG14" s="2" t="str">
        <f>HYPERLINK(".\links\pep\AGAP002638-PA-sulf.txt","1")</f>
        <v>1</v>
      </c>
      <c r="EH14" s="2" t="s">
        <v>89</v>
      </c>
      <c r="EI14" s="2">
        <v>12.8865979381443</v>
      </c>
      <c r="EJ14" s="2">
        <v>5.1546391752577296</v>
      </c>
      <c r="EK14" s="2">
        <v>7.86082474226804</v>
      </c>
      <c r="EL14" s="2">
        <v>13.0154639175258</v>
      </c>
      <c r="EM14" s="2">
        <v>1</v>
      </c>
      <c r="EN14" s="2">
        <v>1</v>
      </c>
      <c r="EO14" s="2">
        <v>1</v>
      </c>
      <c r="EP14" s="2" t="s">
        <v>89</v>
      </c>
      <c r="EQ14" s="2" t="s">
        <v>89</v>
      </c>
      <c r="ER14" s="2" t="s">
        <v>89</v>
      </c>
      <c r="ES14" s="2" t="s">
        <v>89</v>
      </c>
      <c r="ET14" s="2" t="str">
        <f>HYPERLINK(".\links\REFSEQ-INVERTEBRATE\AGAP002638-PA-REFSEQ-INVERTEBRATE.txt","AGAP002638-PA")</f>
        <v>AGAP002638-PA</v>
      </c>
      <c r="EU14" s="2" t="str">
        <f>HYPERLINK("http://www.ncbi.nlm.nih.gov/sutils/blink.cgi?pid=XP_312290.4","0.0")</f>
        <v>0.0</v>
      </c>
      <c r="EV14" s="2" t="str">
        <f>HYPERLINK("http://www.ncbi.nlm.nih.gov/protein/XP_312290.4","XP_312290.4")</f>
        <v>XP_312290.4</v>
      </c>
      <c r="EW14" s="2">
        <v>100</v>
      </c>
      <c r="EX14" s="2">
        <v>100</v>
      </c>
      <c r="EY14" s="2">
        <v>100</v>
      </c>
      <c r="EZ14" s="2" t="s">
        <v>95</v>
      </c>
    </row>
    <row r="15" spans="1:156" x14ac:dyDescent="0.25">
      <c r="A15" s="2" t="s">
        <v>1064</v>
      </c>
      <c r="B15" s="2">
        <v>1.40630147629661</v>
      </c>
      <c r="C15" s="2">
        <f t="shared" si="0"/>
        <v>2.6505678586159673</v>
      </c>
      <c r="D15" s="2">
        <v>5.4156333473488303</v>
      </c>
      <c r="E15" s="2">
        <v>14.827198855377199</v>
      </c>
      <c r="F15" s="2">
        <v>1.1782390292682801E-4</v>
      </c>
      <c r="G15" s="2">
        <v>9.9590870949578907E-3</v>
      </c>
      <c r="H15" s="2" t="s">
        <v>1065</v>
      </c>
      <c r="I15" s="2" t="s">
        <v>87</v>
      </c>
      <c r="J15" s="2" t="str">
        <f>HYPERLINK("https://vectorbase.org/vectorbase/app/record/gene/AGAP004251","AGAP004251-RA")</f>
        <v>AGAP004251-RA</v>
      </c>
      <c r="K15" s="2" t="str">
        <f>HYPERLINK(".\links\pep\AGAP004251-PA-pep.txt","AGAP004251-PA")</f>
        <v>AGAP004251-PA</v>
      </c>
      <c r="L15" s="12" t="s">
        <v>88</v>
      </c>
      <c r="M15" s="2">
        <v>685</v>
      </c>
      <c r="N15" s="2">
        <v>0</v>
      </c>
      <c r="O15" s="2">
        <v>2</v>
      </c>
      <c r="P15" s="2" t="s">
        <v>1066</v>
      </c>
      <c r="Q15" s="9" t="s">
        <v>1067</v>
      </c>
      <c r="R15" s="2" t="s">
        <v>128</v>
      </c>
      <c r="S15" s="2" t="str">
        <f>HYPERLINK(".\links\REFSEQ-INVERTEBRATE\AGAP004251-PA-REFSEQ-INVERTEBRATE.txt","REFSEQ-INVERTEBRATE")</f>
        <v>REFSEQ-INVERTEBRATE</v>
      </c>
      <c r="T15" s="2">
        <v>0</v>
      </c>
      <c r="U15" s="2">
        <v>101.8</v>
      </c>
      <c r="V15" s="2" t="s">
        <v>1068</v>
      </c>
      <c r="W15" s="10" t="s">
        <v>1069</v>
      </c>
      <c r="X15" s="2" t="s">
        <v>128</v>
      </c>
      <c r="Y15" s="2" t="str">
        <f>HYPERLINK(".\links\REFSEQVERTEBRATE95\AGAP004251-PA-REFSEQVERTEBRATE95.txt","REFSEQVERTEBRATE95")</f>
        <v>REFSEQVERTEBRATE95</v>
      </c>
      <c r="Z15" s="2">
        <v>0</v>
      </c>
      <c r="AA15" s="2">
        <v>106</v>
      </c>
      <c r="AB15" s="14" t="s">
        <v>89</v>
      </c>
      <c r="AC15" s="14" t="str">
        <f>HYPERLINK(".\links\Sigp\AGAP004251-PA-SigP.txt","SIG")</f>
        <v>SIG</v>
      </c>
      <c r="AD15" s="2" t="s">
        <v>1070</v>
      </c>
      <c r="AE15" s="2">
        <v>73.585999999999999</v>
      </c>
      <c r="AF15" s="2">
        <v>8.1199999999999992</v>
      </c>
      <c r="AG15" s="2">
        <v>70.897000000000006</v>
      </c>
      <c r="AH15" s="2">
        <v>8.73</v>
      </c>
      <c r="AI15" s="2" t="s">
        <v>1071</v>
      </c>
      <c r="AJ15" s="14" t="str">
        <f>HYPERLINK(".\links\tmhmm\AGAP004251-PA-tmhmm.txt","9")</f>
        <v>9</v>
      </c>
      <c r="AK15" s="2">
        <v>28.9</v>
      </c>
      <c r="AL15" s="2">
        <v>12.7</v>
      </c>
      <c r="AM15" s="2">
        <v>58.4</v>
      </c>
      <c r="AN15" s="14" t="str">
        <f>HYPERLINK(".\links\gpi\AGAP004251-PA-gpi.txt","N")</f>
        <v>N</v>
      </c>
      <c r="AO15" s="15" t="str">
        <f>HYPERLINK(".\links\netoglyc\AGAP004251-PA-netoglyc.txt","0")</f>
        <v>0</v>
      </c>
      <c r="AP15" s="14">
        <v>16.899999999999999</v>
      </c>
      <c r="AQ15" s="2">
        <v>8.9</v>
      </c>
      <c r="AR15" s="2">
        <v>5</v>
      </c>
      <c r="AS15" s="2" t="s">
        <v>94</v>
      </c>
      <c r="AT15" s="9" t="str">
        <f>HYPERLINK(".\links\NR-LIGHT\AGAP004251-PA-NR-LIGHT.txt","AGAP004251-PA")</f>
        <v>AGAP004251-PA</v>
      </c>
      <c r="AU15" s="2" t="str">
        <f>HYPERLINK("http://www.ncbi.nlm.nih.gov/sutils/blink.cgi?pid=XP_313171.5","0.0")</f>
        <v>0.0</v>
      </c>
      <c r="AV15" s="2" t="str">
        <f>HYPERLINK("http://www.ncbi.nlm.nih.gov/protein/XP_313171.5","XP_313171.5")</f>
        <v>XP_313171.5</v>
      </c>
      <c r="AW15" s="2">
        <v>100</v>
      </c>
      <c r="AX15" s="2">
        <v>100</v>
      </c>
      <c r="AY15" s="2">
        <v>100</v>
      </c>
      <c r="AZ15" s="2" t="s">
        <v>95</v>
      </c>
      <c r="BA15" s="9" t="str">
        <f>HYPERLINK(".\links\REFSEQ-INVERTEBRATE\AGAP004251-PA-REFSEQ-INVERTEBRATE.txt","AGAP004251-PB")</f>
        <v>AGAP004251-PB</v>
      </c>
      <c r="BB15" s="2" t="str">
        <f>HYPERLINK("http://www.ncbi.nlm.nih.gov/sutils/blink.cgi?pid=XP_003436758.1","0.0")</f>
        <v>0.0</v>
      </c>
      <c r="BC15" s="2" t="str">
        <f>HYPERLINK("http://www.ncbi.nlm.nih.gov/protein/XP_003436758.1","XP_003436758.1")</f>
        <v>XP_003436758.1</v>
      </c>
      <c r="BD15" s="2">
        <v>100</v>
      </c>
      <c r="BE15" s="2">
        <v>100</v>
      </c>
      <c r="BF15" s="2">
        <v>100</v>
      </c>
      <c r="BG15" s="2" t="s">
        <v>95</v>
      </c>
      <c r="BH15" s="9" t="str">
        <f>HYPERLINK(".\links\REFSEQ-PROTOZOA\AGAP004251-PA-REFSEQ-PROTOZOA.txt","hypothetical protein H696_00043")</f>
        <v>hypothetical protein H696_00043</v>
      </c>
      <c r="BI15" s="2" t="str">
        <f>HYPERLINK("http://www.ncbi.nlm.nih.gov/sutils/blink.cgi?pid=XP_009492152.1","3E-058")</f>
        <v>3E-058</v>
      </c>
      <c r="BJ15" s="2" t="str">
        <f>HYPERLINK("http://www.ncbi.nlm.nih.gov/protein/XP_009492152.1","XP_009492152.1")</f>
        <v>XP_009492152.1</v>
      </c>
      <c r="BK15" s="2">
        <v>46</v>
      </c>
      <c r="BL15" s="2">
        <v>66</v>
      </c>
      <c r="BM15" s="2">
        <v>45</v>
      </c>
      <c r="BN15" s="2" t="s">
        <v>1072</v>
      </c>
      <c r="BO15" s="9" t="str">
        <f>HYPERLINK(".\links\SWISSP\AGAP004251-PA-SWISSP.txt","Sodium-dependent phosphate transporter 2")</f>
        <v>Sodium-dependent phosphate transporter 2</v>
      </c>
      <c r="BP15" s="2" t="str">
        <f>HYPERLINK("http://www.uniprot.org/uniprot/Q28E01","1E-137")</f>
        <v>1E-137</v>
      </c>
      <c r="BQ15" s="2" t="str">
        <f>HYPERLINK("http://www.uniprot.org/uniprot/Q28E01#expression","Q28E01")</f>
        <v>Q28E01</v>
      </c>
      <c r="BR15" s="2">
        <v>42</v>
      </c>
      <c r="BS15" s="2">
        <v>58</v>
      </c>
      <c r="BT15" s="2">
        <v>106</v>
      </c>
      <c r="BU15" s="2" t="s">
        <v>97</v>
      </c>
      <c r="BV15" s="9" t="str">
        <f>HYPERLINK(".\links\FLYBASE\AGAP004251-PA-FLYBASE.txt","FBpp0304951")</f>
        <v>FBpp0304951</v>
      </c>
      <c r="BW15" s="2" t="str">
        <f>HYPERLINK("http://flybase.org/reports/FBgn0260795#alliance_summary_container","0.0")</f>
        <v>0.0</v>
      </c>
      <c r="BX15" s="2">
        <v>667</v>
      </c>
      <c r="BY15" s="2">
        <v>59</v>
      </c>
      <c r="BZ15" s="2">
        <v>71</v>
      </c>
      <c r="CA15" s="2">
        <v>107</v>
      </c>
      <c r="CB15" s="9" t="str">
        <f>HYPERLINK(".\links\CDD\AGAP004251-PA-CDD.txt","PHO4, Phosphate transporter family")</f>
        <v>PHO4, Phosphate transporter family</v>
      </c>
      <c r="CC15" s="13">
        <v>2E-55</v>
      </c>
      <c r="CD15" s="2">
        <v>66.400000000000006</v>
      </c>
      <c r="CE15" s="2" t="s">
        <v>1073</v>
      </c>
      <c r="CF15" s="2" t="s">
        <v>1074</v>
      </c>
      <c r="CG15" s="9" t="str">
        <f>HYPERLINK(".\links\KOG\AGAP004251-PA-KOG.txt","Na+/Pi symporter")</f>
        <v>Na+/Pi symporter</v>
      </c>
      <c r="CH15" s="13">
        <v>2.0000000000000001E-83</v>
      </c>
      <c r="CI15" s="2">
        <v>56.3</v>
      </c>
      <c r="CJ15" s="2" t="s">
        <v>1075</v>
      </c>
      <c r="CK15" s="2" t="s">
        <v>653</v>
      </c>
      <c r="CL15" s="9" t="str">
        <f>HYPERLINK(".\links\PFAM\AGAP004251-PA-PFAM.txt","PHO4, Phosphate transporter family")</f>
        <v>PHO4, Phosphate transporter family</v>
      </c>
      <c r="CM15" s="13">
        <v>5E-56</v>
      </c>
      <c r="CN15" s="2">
        <v>66.400000000000006</v>
      </c>
      <c r="CO15" s="2" t="s">
        <v>1073</v>
      </c>
      <c r="CP15" s="9" t="str">
        <f>HYPERLINK(".\links\SMART\AGAP004251-PA-SMART.txt","SHR3_chaperone, ER membrane protein SH3")</f>
        <v>SHR3_chaperone, ER membrane protein SH3</v>
      </c>
      <c r="CQ15" s="13">
        <v>1.5</v>
      </c>
      <c r="CR15" s="2">
        <v>12.8</v>
      </c>
      <c r="CS15" s="2" t="s">
        <v>1076</v>
      </c>
      <c r="CT15" s="2" t="s">
        <v>1068</v>
      </c>
      <c r="CU15" s="2" t="s">
        <v>1068</v>
      </c>
      <c r="CV15" s="2" t="s">
        <v>1068</v>
      </c>
      <c r="CW15" s="2" t="str">
        <f>HYPERLINK(".\links\pep\AGAP004251-PA-pep.txt","AGAP004251-PA")</f>
        <v>AGAP004251-PA</v>
      </c>
      <c r="CX15" s="2" t="s">
        <v>88</v>
      </c>
      <c r="CY15" s="2">
        <v>685</v>
      </c>
      <c r="CZ15" s="2" t="s">
        <v>103</v>
      </c>
      <c r="DA15" s="2" t="s">
        <v>1077</v>
      </c>
      <c r="DB15" s="2">
        <v>0</v>
      </c>
      <c r="DC15" s="2">
        <v>2</v>
      </c>
      <c r="DD15" s="2" t="str">
        <f>HYPERLINK("https://www.kegg.jp/kegg-bin/search_pathway_text?map=aga&amp;keyword=AGAP004251&amp;mode=1&amp;viewImage=true","AGAP004251")</f>
        <v>AGAP004251</v>
      </c>
      <c r="DE15" s="2" t="s">
        <v>1064</v>
      </c>
      <c r="DF15" s="2" t="s">
        <v>1065</v>
      </c>
      <c r="DG15" s="2" t="s">
        <v>87</v>
      </c>
      <c r="DH15" s="2" t="str">
        <f>HYPERLINK("https://vectorbase.org/vectorbase/app/record/gene/AGAP004251","AGAP004251-RA")</f>
        <v>AGAP004251-RA</v>
      </c>
      <c r="DI15" s="2" t="s">
        <v>158</v>
      </c>
      <c r="DJ15" s="2">
        <v>8897</v>
      </c>
      <c r="DK15" s="2" t="str">
        <f>HYPERLINK(".\links\netoglyc\AGAP004251-PA-netoglyc.txt","0")</f>
        <v>0</v>
      </c>
      <c r="DL15" s="2">
        <v>16.899999999999999</v>
      </c>
      <c r="DM15" s="2">
        <v>8.9</v>
      </c>
      <c r="DN15" s="2">
        <v>5</v>
      </c>
      <c r="DO15" s="2" t="s">
        <v>94</v>
      </c>
      <c r="DP15" s="2" t="s">
        <v>1078</v>
      </c>
      <c r="DQ15" s="2" t="str">
        <f>HYPERLINK(".\links\Sigp\AGAP004251-PA-SigP.txt","SIG")</f>
        <v>SIG</v>
      </c>
      <c r="DR15" s="2" t="s">
        <v>1070</v>
      </c>
      <c r="DS15" s="2">
        <v>73.585999999999999</v>
      </c>
      <c r="DT15" s="2">
        <v>8.1199999999999992</v>
      </c>
      <c r="DU15" s="2">
        <v>70.897000000000006</v>
      </c>
      <c r="DV15" s="2">
        <v>8.73</v>
      </c>
      <c r="DW15" s="2" t="s">
        <v>1071</v>
      </c>
      <c r="DX15" s="2">
        <v>685</v>
      </c>
      <c r="DY15" s="12" t="str">
        <f>HYPERLINK(".\links\tmhmm\AGAP004251-PA-tmhmm.txt","9")</f>
        <v>9</v>
      </c>
      <c r="DZ15" s="2">
        <v>28.9</v>
      </c>
      <c r="EA15" s="2">
        <v>12.7</v>
      </c>
      <c r="EB15" s="2">
        <v>58.4</v>
      </c>
      <c r="EC15" s="2" t="str">
        <f>HYPERLINK(".\links\gpi\AGAP004251-PA-gpi.txt","N")</f>
        <v>N</v>
      </c>
      <c r="ED15" s="2">
        <v>0.28000000000000003</v>
      </c>
      <c r="EF15" s="2">
        <v>5</v>
      </c>
      <c r="EG15" s="2" t="s">
        <v>89</v>
      </c>
      <c r="EH15" s="2" t="s">
        <v>89</v>
      </c>
      <c r="EI15" s="2">
        <v>16.9343065693431</v>
      </c>
      <c r="EJ15" s="2">
        <v>4.9635036496350402</v>
      </c>
      <c r="EK15" s="2">
        <v>8.9051094890510907</v>
      </c>
      <c r="EL15" s="2">
        <v>13.868613138686101</v>
      </c>
      <c r="EM15" s="2" t="s">
        <v>89</v>
      </c>
      <c r="EN15" s="2">
        <v>2</v>
      </c>
      <c r="EO15" s="2">
        <v>3</v>
      </c>
      <c r="EP15" s="2" t="s">
        <v>89</v>
      </c>
      <c r="EQ15" s="2" t="s">
        <v>89</v>
      </c>
      <c r="ER15" s="2" t="s">
        <v>89</v>
      </c>
      <c r="ES15" s="2" t="s">
        <v>89</v>
      </c>
      <c r="ET15" s="2" t="str">
        <f>HYPERLINK(".\links\REFSEQ-INVERTEBRATE\AGAP004251-PA-REFSEQ-INVERTEBRATE.txt","AGAP004251-PB")</f>
        <v>AGAP004251-PB</v>
      </c>
      <c r="EU15" s="2" t="str">
        <f>HYPERLINK("http://www.ncbi.nlm.nih.gov/sutils/blink.cgi?pid=XP_003436758.1","0.0")</f>
        <v>0.0</v>
      </c>
      <c r="EV15" s="2" t="str">
        <f>HYPERLINK("http://www.ncbi.nlm.nih.gov/protein/XP_003436758.1","XP_003436758.1")</f>
        <v>XP_003436758.1</v>
      </c>
      <c r="EW15" s="2">
        <v>100</v>
      </c>
      <c r="EX15" s="2">
        <v>100</v>
      </c>
      <c r="EY15" s="2">
        <v>100</v>
      </c>
      <c r="EZ15" s="2" t="s">
        <v>95</v>
      </c>
    </row>
    <row r="16" spans="1:156" x14ac:dyDescent="0.25">
      <c r="A16" s="2" t="s">
        <v>3110</v>
      </c>
      <c r="B16" s="2">
        <v>1.3845461176731699</v>
      </c>
      <c r="C16" s="2">
        <f t="shared" si="0"/>
        <v>2.6108980374888637</v>
      </c>
      <c r="D16" s="2">
        <v>1.7119545717756599</v>
      </c>
      <c r="E16" s="2">
        <v>12.813980333660799</v>
      </c>
      <c r="F16" s="2">
        <v>3.44038859097886E-4</v>
      </c>
      <c r="G16" s="2">
        <v>2.08123962091772E-2</v>
      </c>
      <c r="H16" s="2" t="s">
        <v>86</v>
      </c>
      <c r="I16" s="2" t="s">
        <v>87</v>
      </c>
      <c r="J16" s="2" t="str">
        <f>HYPERLINK("https://vectorbase.org/vectorbase/app/record/gene/AGAP028398","AGAP028398-RA")</f>
        <v>AGAP028398-RA</v>
      </c>
      <c r="K16" s="2" t="str">
        <f>HYPERLINK(".\links\pep\AGAP028398-PA-pep.txt","AGAP028398-PA")</f>
        <v>AGAP028398-PA</v>
      </c>
      <c r="L16" s="12" t="s">
        <v>88</v>
      </c>
      <c r="M16" s="2">
        <v>364</v>
      </c>
      <c r="N16" s="2">
        <v>0</v>
      </c>
      <c r="O16" s="2">
        <v>1</v>
      </c>
      <c r="P16" s="2" t="s">
        <v>89</v>
      </c>
      <c r="Q16" s="9" t="s">
        <v>3111</v>
      </c>
      <c r="R16" s="2" t="s">
        <v>3112</v>
      </c>
      <c r="V16" s="2" t="s">
        <v>3113</v>
      </c>
      <c r="W16" s="10" t="s">
        <v>3111</v>
      </c>
      <c r="X16" s="2" t="s">
        <v>3112</v>
      </c>
      <c r="AB16" s="14" t="s">
        <v>89</v>
      </c>
      <c r="AC16" s="14" t="str">
        <f>HYPERLINK(".\links\Sigp\AGAP028398-PA-SigP.txt","CYT")</f>
        <v>CYT</v>
      </c>
      <c r="AD16" s="2" t="s">
        <v>89</v>
      </c>
      <c r="AE16" s="2">
        <v>39.908000000000001</v>
      </c>
      <c r="AF16" s="2">
        <v>10.029999999999999</v>
      </c>
      <c r="AG16" s="2" t="s">
        <v>89</v>
      </c>
      <c r="AH16" s="2" t="s">
        <v>89</v>
      </c>
      <c r="AI16" s="2" t="s">
        <v>93</v>
      </c>
      <c r="AJ16" s="14">
        <v>0</v>
      </c>
      <c r="AK16" s="2" t="s">
        <v>89</v>
      </c>
      <c r="AL16" s="2" t="s">
        <v>89</v>
      </c>
      <c r="AM16" s="2" t="s">
        <v>89</v>
      </c>
      <c r="AN16" s="14" t="str">
        <f>HYPERLINK(".\links\gpi\AGAP028398-PA-gpi.txt","N")</f>
        <v>N</v>
      </c>
      <c r="AO16" s="15" t="str">
        <f>HYPERLINK(".\links\netoglyc\AGAP028398-PA-netoglyc.txt","0")</f>
        <v>0</v>
      </c>
      <c r="AP16" s="14">
        <v>19</v>
      </c>
      <c r="AQ16" s="2">
        <v>8.5</v>
      </c>
      <c r="AR16" s="2">
        <v>4.4000000000000004</v>
      </c>
      <c r="AS16" s="2" t="s">
        <v>94</v>
      </c>
      <c r="AT16" s="9" t="str">
        <f>HYPERLINK(".\links\NR-LIGHT\AGAP028398-PA-NR-LIGHT.txt","hypothetical protein ZHAS_00021138")</f>
        <v>hypothetical protein ZHAS_00021138</v>
      </c>
      <c r="AU16" s="2" t="str">
        <f>HYPERLINK("http://www.ncbi.nlm.nih.gov/sutils/blink.cgi?pid=KFB52865.1","1E-131")</f>
        <v>1E-131</v>
      </c>
      <c r="AV16" s="2" t="str">
        <f>HYPERLINK("http://www.ncbi.nlm.nih.gov/protein/KFB52865.1","KFB52865.1")</f>
        <v>KFB52865.1</v>
      </c>
      <c r="AW16" s="2">
        <v>77</v>
      </c>
      <c r="AX16" s="2">
        <v>84</v>
      </c>
      <c r="AY16" s="2">
        <v>67</v>
      </c>
      <c r="AZ16" s="2" t="s">
        <v>1982</v>
      </c>
      <c r="BA16" s="9" t="str">
        <f>HYPERLINK(".\links\REFSEQ-INVERTEBRATE\AGAP028398-PA-REFSEQ-INVERTEBRATE.txt","WD repeat-containing protein 47-like isoform X5")</f>
        <v>WD repeat-containing protein 47-like isoform X5</v>
      </c>
      <c r="BB16" s="2" t="str">
        <f>HYPERLINK("http://www.ncbi.nlm.nih.gov/sutils/blink.cgi?pid=XP_019562411.1","5E-097")</f>
        <v>5E-097</v>
      </c>
      <c r="BC16" s="2" t="str">
        <f>HYPERLINK("http://www.ncbi.nlm.nih.gov/protein/XP_019562411.1","XP_019562411.1")</f>
        <v>XP_019562411.1</v>
      </c>
      <c r="BD16" s="2">
        <v>60</v>
      </c>
      <c r="BE16" s="2">
        <v>71</v>
      </c>
      <c r="BF16" s="2">
        <v>54</v>
      </c>
      <c r="BG16" s="2" t="s">
        <v>2012</v>
      </c>
      <c r="BH16" s="9" t="str">
        <f>HYPERLINK(".\links\REFSEQ-PROTOZOA\AGAP028398-PA-REFSEQ-PROTOZOA.txt","hypothetical protein, conserved")</f>
        <v>hypothetical protein, conserved</v>
      </c>
      <c r="BI16" s="2" t="str">
        <f>HYPERLINK("http://www.ncbi.nlm.nih.gov/sutils/blink.cgi?pid=XP_013247065.1","8E-004")</f>
        <v>8E-004</v>
      </c>
      <c r="BJ16" s="2" t="str">
        <f>HYPERLINK("http://www.ncbi.nlm.nih.gov/protein/XP_013247065.1","XP_013247065.1")</f>
        <v>XP_013247065.1</v>
      </c>
      <c r="BK16" s="2">
        <v>20</v>
      </c>
      <c r="BL16" s="2">
        <v>34</v>
      </c>
      <c r="BM16" s="2">
        <v>28</v>
      </c>
      <c r="BN16" s="2" t="s">
        <v>3114</v>
      </c>
      <c r="BO16" s="9" t="str">
        <f>HYPERLINK(".\links\SWISSP\AGAP028398-PA-SWISSP.txt","Dentin sialophosphoprotein")</f>
        <v>Dentin sialophosphoprotein</v>
      </c>
      <c r="BP16" s="2" t="str">
        <f>HYPERLINK("http://www.uniprot.org/uniprot/Q9NZW4","0.004")</f>
        <v>0.004</v>
      </c>
      <c r="BQ16" s="2" t="str">
        <f>HYPERLINK("http://www.uniprot.org/uniprot/Q9NZW4#expression","Q9NZW4")</f>
        <v>Q9NZW4</v>
      </c>
      <c r="BR16" s="2">
        <v>29</v>
      </c>
      <c r="BS16" s="2">
        <v>38</v>
      </c>
      <c r="BT16" s="2">
        <v>12</v>
      </c>
      <c r="BU16" s="2" t="s">
        <v>115</v>
      </c>
      <c r="BV16" s="9" t="str">
        <f>HYPERLINK(".\links\FLYBASE\AGAP028398-PA-FLYBASE.txt","FBpp0082563")</f>
        <v>FBpp0082563</v>
      </c>
      <c r="BW16" s="2" t="str">
        <f>HYPERLINK("http://flybase.org/reports/FBgn0038330#alliance_summary_container","2.6")</f>
        <v>2.6</v>
      </c>
      <c r="BX16" s="2">
        <v>518</v>
      </c>
      <c r="BY16" s="2">
        <v>29</v>
      </c>
      <c r="BZ16" s="2">
        <v>44</v>
      </c>
      <c r="CA16" s="2">
        <v>23</v>
      </c>
      <c r="CB16" s="9" t="str">
        <f>HYPERLINK(".\links\CDD\AGAP028398-PA-CDD.txt","DUF111, Protein of unknown function DUF111")</f>
        <v>DUF111, Protein of unknown function DUF111</v>
      </c>
      <c r="CC16" s="13">
        <v>0.6</v>
      </c>
      <c r="CD16" s="2">
        <v>25.3</v>
      </c>
      <c r="CE16" s="2" t="s">
        <v>3115</v>
      </c>
      <c r="CF16" s="2" t="s">
        <v>3116</v>
      </c>
      <c r="CG16" s="9" t="str">
        <f>HYPERLINK(".\links\KOG\AGAP028398-PA-KOG.txt","Serine/threonine-protein kinase involved in autophagy")</f>
        <v>Serine/threonine-protein kinase involved in autophagy</v>
      </c>
      <c r="CH16" s="13">
        <v>0.62</v>
      </c>
      <c r="CI16" s="2">
        <v>25.2</v>
      </c>
      <c r="CJ16" s="2" t="s">
        <v>3117</v>
      </c>
      <c r="CK16" s="2" t="s">
        <v>3118</v>
      </c>
      <c r="CL16" s="9" t="str">
        <f>HYPERLINK(".\links\PFAM\AGAP028398-PA-PFAM.txt","DUF111, Protein of unknown function DUF111")</f>
        <v>DUF111, Protein of unknown function DUF111</v>
      </c>
      <c r="CM16" s="13">
        <v>0.12</v>
      </c>
      <c r="CN16" s="2">
        <v>25.3</v>
      </c>
      <c r="CO16" s="2" t="s">
        <v>3115</v>
      </c>
      <c r="CP16" s="9" t="str">
        <f>HYPERLINK(".\links\SMART\AGAP028398-PA-SMART.txt","CPSF73-100_C, This is the C-terminal conserved region of the pre-mRNA 3'-end-processing of the polyadenylation factor CPSF-73/CPSF-100 proteins")</f>
        <v>CPSF73-100_C, This is the C-terminal conserved region of the pre-mRNA 3'-end-processing of the polyadenylation factor CPSF-73/CPSF-100 proteins</v>
      </c>
      <c r="CQ16" s="13">
        <v>0.64</v>
      </c>
      <c r="CR16" s="2">
        <v>32.1</v>
      </c>
      <c r="CS16" s="2" t="s">
        <v>1434</v>
      </c>
      <c r="CT16" s="2" t="s">
        <v>3113</v>
      </c>
      <c r="CU16" s="2" t="s">
        <v>3113</v>
      </c>
      <c r="CV16" s="2" t="s">
        <v>3113</v>
      </c>
      <c r="CW16" s="2" t="str">
        <f>HYPERLINK(".\links\pep\AGAP028398-PA-pep.txt","AGAP028398-PA")</f>
        <v>AGAP028398-PA</v>
      </c>
      <c r="CX16" s="2" t="s">
        <v>88</v>
      </c>
      <c r="CY16" s="2">
        <v>364</v>
      </c>
      <c r="CZ16" s="2" t="s">
        <v>103</v>
      </c>
      <c r="DA16" s="2" t="s">
        <v>3119</v>
      </c>
      <c r="DB16" s="2">
        <v>0</v>
      </c>
      <c r="DC16" s="2">
        <v>1</v>
      </c>
      <c r="DD16" s="2" t="str">
        <f>HYPERLINK("https://www.kegg.jp/kegg-bin/search_pathway_text?map=aga&amp;keyword=AGAP028398&amp;mode=1&amp;viewImage=true","AGAP028398")</f>
        <v>AGAP028398</v>
      </c>
      <c r="DE16" s="2" t="s">
        <v>3110</v>
      </c>
      <c r="DF16" s="2" t="s">
        <v>86</v>
      </c>
      <c r="DG16" s="2" t="s">
        <v>87</v>
      </c>
      <c r="DH16" s="2" t="str">
        <f>HYPERLINK("https://vectorbase.org/vectorbase/app/record/gene/AGAP028398","AGAP028398-RA")</f>
        <v>AGAP028398-RA</v>
      </c>
      <c r="DI16" s="2" t="s">
        <v>140</v>
      </c>
      <c r="DJ16" s="2">
        <v>1095</v>
      </c>
      <c r="DK16" s="2" t="str">
        <f>HYPERLINK(".\links\netoglyc\AGAP028398-PA-netoglyc.txt","0")</f>
        <v>0</v>
      </c>
      <c r="DL16" s="2">
        <v>19</v>
      </c>
      <c r="DM16" s="2">
        <v>8.5</v>
      </c>
      <c r="DN16" s="2">
        <v>4.4000000000000004</v>
      </c>
      <c r="DO16" s="2" t="s">
        <v>94</v>
      </c>
      <c r="DP16" s="2" t="s">
        <v>89</v>
      </c>
      <c r="DQ16" s="2" t="str">
        <f>HYPERLINK(".\links\Sigp\AGAP028398-PA-SigP.txt","CYT")</f>
        <v>CYT</v>
      </c>
      <c r="DR16" s="2" t="s">
        <v>89</v>
      </c>
      <c r="DS16" s="2">
        <v>39.908000000000001</v>
      </c>
      <c r="DT16" s="2">
        <v>10.029999999999999</v>
      </c>
      <c r="DU16" s="2" t="s">
        <v>89</v>
      </c>
      <c r="DV16" s="2" t="s">
        <v>89</v>
      </c>
      <c r="DW16" s="2" t="s">
        <v>93</v>
      </c>
      <c r="DX16" s="2">
        <v>364</v>
      </c>
      <c r="DY16" s="12">
        <v>0</v>
      </c>
      <c r="DZ16" s="2" t="s">
        <v>89</v>
      </c>
      <c r="EA16" s="2" t="s">
        <v>89</v>
      </c>
      <c r="EB16" s="2" t="s">
        <v>89</v>
      </c>
      <c r="EC16" s="2" t="str">
        <f>HYPERLINK(".\links\gpi\AGAP028398-PA-gpi.txt","Y-NoSP")</f>
        <v>Y-NoSP</v>
      </c>
      <c r="ED16" s="2">
        <v>0.41</v>
      </c>
      <c r="EF16" s="2">
        <v>4</v>
      </c>
      <c r="EG16" s="2" t="s">
        <v>89</v>
      </c>
      <c r="EH16" s="2" t="s">
        <v>89</v>
      </c>
      <c r="EI16" s="2">
        <v>18.956043956043999</v>
      </c>
      <c r="EJ16" s="2">
        <v>4.3956043956044004</v>
      </c>
      <c r="EK16" s="2">
        <v>8.51648351648352</v>
      </c>
      <c r="EL16" s="2">
        <v>12.9120879120879</v>
      </c>
      <c r="EM16" s="2">
        <v>1</v>
      </c>
      <c r="EN16" s="2" t="s">
        <v>89</v>
      </c>
      <c r="EO16" s="2">
        <v>1</v>
      </c>
      <c r="EP16" s="2" t="s">
        <v>89</v>
      </c>
      <c r="EQ16" s="2" t="s">
        <v>89</v>
      </c>
      <c r="ER16" s="2" t="s">
        <v>89</v>
      </c>
      <c r="ES16" s="2" t="s">
        <v>89</v>
      </c>
      <c r="ET16" s="2" t="str">
        <f>HYPERLINK(".\links\REFSEQ-INVERTEBRATE\AGAP028398-PA-REFSEQ-INVERTEBRATE.txt","WD repeat-containing protein 47 isoform X5")</f>
        <v>WD repeat-containing protein 47 isoform X5</v>
      </c>
      <c r="EU16" s="2" t="str">
        <f>HYPERLINK("http://www.ncbi.nlm.nih.gov/sutils/blink.cgi?pid=XP_035908125.1","1E-178")</f>
        <v>1E-178</v>
      </c>
      <c r="EV16" s="2" t="str">
        <f>HYPERLINK("http://www.ncbi.nlm.nih.gov/protein/XP_035908125.1","XP_035908125.1")</f>
        <v>XP_035908125.1</v>
      </c>
      <c r="EW16" s="2">
        <v>85</v>
      </c>
      <c r="EX16" s="2">
        <v>89</v>
      </c>
      <c r="EY16" s="2">
        <v>52</v>
      </c>
      <c r="EZ16" s="2" t="s">
        <v>600</v>
      </c>
    </row>
    <row r="17" spans="1:156" x14ac:dyDescent="0.25">
      <c r="A17" s="2" t="s">
        <v>2200</v>
      </c>
      <c r="B17" s="2">
        <v>1.32476620554719</v>
      </c>
      <c r="C17" s="2">
        <f t="shared" si="0"/>
        <v>2.50492291166313</v>
      </c>
      <c r="D17" s="2">
        <v>3.6823879726691402</v>
      </c>
      <c r="E17" s="2">
        <v>11.708107096414199</v>
      </c>
      <c r="F17" s="2">
        <v>6.2228388443712505E-4</v>
      </c>
      <c r="G17" s="2">
        <v>3.0392002374321402E-2</v>
      </c>
      <c r="H17" s="2" t="s">
        <v>2201</v>
      </c>
      <c r="I17" s="2" t="s">
        <v>89</v>
      </c>
      <c r="J17" s="2" t="str">
        <f>HYPERLINK("https://vectorbase.org/vectorbase/app/record/gene/AGAP009276","AGAP009276-RC")</f>
        <v>AGAP009276-RC</v>
      </c>
      <c r="K17" s="2" t="str">
        <f>HYPERLINK(".\links\pep\AGAP009276-PC-pep.txt","AGAP009276-PC")</f>
        <v>AGAP009276-PC</v>
      </c>
      <c r="L17" s="12" t="s">
        <v>88</v>
      </c>
      <c r="M17" s="2">
        <v>2692</v>
      </c>
      <c r="N17" s="2">
        <v>0</v>
      </c>
      <c r="O17" s="2">
        <v>5</v>
      </c>
      <c r="P17" s="2" t="s">
        <v>2202</v>
      </c>
      <c r="Q17" s="9" t="s">
        <v>2203</v>
      </c>
      <c r="R17" s="2" t="s">
        <v>128</v>
      </c>
      <c r="S17" s="2" t="str">
        <f>HYPERLINK(".\links\REFSEQ-INVERTEBRATE\AGAP009276-PC-REFSEQ-INVERTEBRATE.txt","REFSEQ-INVERTEBRATE")</f>
        <v>REFSEQ-INVERTEBRATE</v>
      </c>
      <c r="T17" s="2">
        <v>0</v>
      </c>
      <c r="U17" s="2">
        <v>105.1</v>
      </c>
      <c r="V17" s="2" t="s">
        <v>2204</v>
      </c>
      <c r="W17" s="10" t="s">
        <v>2205</v>
      </c>
      <c r="X17" s="2" t="s">
        <v>128</v>
      </c>
      <c r="Y17" s="2" t="str">
        <f>HYPERLINK(".\links\REFSEQVERTEBRATE95\AGAP009276-PC-REFSEQVERTEBRATE95.txt","REFSEQVERTEBRATE95")</f>
        <v>REFSEQVERTEBRATE95</v>
      </c>
      <c r="Z17" s="2">
        <v>0</v>
      </c>
      <c r="AA17" s="2">
        <v>31.9</v>
      </c>
      <c r="AB17" s="14" t="str">
        <f>HYPERLINK(".\links\pep\AGAP009276-PC-sulf.txt","2")</f>
        <v>2</v>
      </c>
      <c r="AC17" s="14" t="str">
        <f>HYPERLINK(".\links\Sigp\AGAP009276-PC-SigP.txt","SIG")</f>
        <v>SIG</v>
      </c>
      <c r="AD17" s="2" t="s">
        <v>2206</v>
      </c>
      <c r="AE17" s="2">
        <v>307.95699999999999</v>
      </c>
      <c r="AF17" s="2">
        <v>6.06</v>
      </c>
      <c r="AG17" s="2">
        <v>304.55</v>
      </c>
      <c r="AH17" s="2">
        <v>6.01</v>
      </c>
      <c r="AI17" s="2" t="s">
        <v>2207</v>
      </c>
      <c r="AJ17" s="14" t="str">
        <f>HYPERLINK(".\links\tmhmm\AGAP009276-PC-tmhmm.txt","30")</f>
        <v>30</v>
      </c>
      <c r="AK17" s="2">
        <v>24</v>
      </c>
      <c r="AL17" s="2">
        <v>38.700000000000003</v>
      </c>
      <c r="AM17" s="2">
        <v>37.299999999999997</v>
      </c>
      <c r="AN17" s="14" t="str">
        <f>HYPERLINK(".\links\gpi\AGAP009276-PC-gpi.txt","N")</f>
        <v>N</v>
      </c>
      <c r="AO17" s="15" t="str">
        <f>HYPERLINK(".\links\netoglyc\AGAP009276-PC-netoglyc.txt","3")</f>
        <v>3</v>
      </c>
      <c r="AP17" s="14">
        <v>12.3</v>
      </c>
      <c r="AQ17" s="2">
        <v>4.9000000000000004</v>
      </c>
      <c r="AR17" s="2">
        <v>5.0999999999999996</v>
      </c>
      <c r="AS17" s="2" t="s">
        <v>94</v>
      </c>
      <c r="AT17" s="9" t="str">
        <f>HYPERLINK(".\links\NR-LIGHT\AGAP009276-PC-NR-LIGHT.txt","AGAP009276-PA-like protein")</f>
        <v>AGAP009276-PA-like protein</v>
      </c>
      <c r="AU17" s="2" t="str">
        <f>HYPERLINK("http://www.ncbi.nlm.nih.gov/sutils/blink.cgi?pid=KFB42311.1","0.0")</f>
        <v>0.0</v>
      </c>
      <c r="AV17" s="2" t="str">
        <f>HYPERLINK("http://www.ncbi.nlm.nih.gov/protein/KFB42311.1","KFB42311.1")</f>
        <v>KFB42311.1</v>
      </c>
      <c r="AW17" s="2">
        <v>72</v>
      </c>
      <c r="AX17" s="2">
        <v>79</v>
      </c>
      <c r="AY17" s="2">
        <v>67</v>
      </c>
      <c r="AZ17" s="2" t="s">
        <v>1982</v>
      </c>
      <c r="BA17" s="9" t="str">
        <f>HYPERLINK(".\links\REFSEQ-INVERTEBRATE\AGAP009276-PC-REFSEQ-INVERTEBRATE.txt","piezo-type mechanosensitive ion channel component isoform X13")</f>
        <v>piezo-type mechanosensitive ion channel component isoform X13</v>
      </c>
      <c r="BB17" s="2" t="str">
        <f>HYPERLINK("http://www.ncbi.nlm.nih.gov/sutils/blink.cgi?pid=XP_017132307.1","0.0")</f>
        <v>0.0</v>
      </c>
      <c r="BC17" s="2" t="str">
        <f>HYPERLINK("http://www.ncbi.nlm.nih.gov/protein/XP_017132307.1","XP_017132307.1")</f>
        <v>XP_017132307.1</v>
      </c>
      <c r="BD17" s="2">
        <v>38</v>
      </c>
      <c r="BE17" s="2">
        <v>57</v>
      </c>
      <c r="BF17" s="2">
        <v>105</v>
      </c>
      <c r="BG17" s="2" t="s">
        <v>2208</v>
      </c>
      <c r="BH17" s="9" t="str">
        <f>HYPERLINK(".\links\REFSEQ-PROTOZOA\AGAP009276-PC-REFSEQ-PROTOZOA.txt","hypothetical protein CAOG_04166")</f>
        <v>hypothetical protein CAOG_04166</v>
      </c>
      <c r="BI17" s="2" t="str">
        <f>HYPERLINK("http://www.ncbi.nlm.nih.gov/sutils/blink.cgi?pid=XP_004347991.1","9E-090")</f>
        <v>9E-090</v>
      </c>
      <c r="BJ17" s="2" t="str">
        <f>HYPERLINK("http://www.ncbi.nlm.nih.gov/protein/XP_004347991.1","XP_004347991.1")</f>
        <v>XP_004347991.1</v>
      </c>
      <c r="BK17" s="2">
        <v>27</v>
      </c>
      <c r="BL17" s="2">
        <v>47</v>
      </c>
      <c r="BM17" s="2">
        <v>31</v>
      </c>
      <c r="BN17" s="2" t="s">
        <v>150</v>
      </c>
      <c r="BO17" s="9" t="str">
        <f>HYPERLINK(".\links\SWISSP\AGAP009276-PC-SWISSP.txt","Piezo-type mechanosensitive ion channel component")</f>
        <v>Piezo-type mechanosensitive ion channel component</v>
      </c>
      <c r="BP17" s="2" t="str">
        <f>HYPERLINK("http://www.uniprot.org/uniprot/M9MSG8","0.0")</f>
        <v>0.0</v>
      </c>
      <c r="BQ17" s="2" t="str">
        <f>HYPERLINK("http://www.uniprot.org/uniprot/M9MSG8#expression","M9MSG8")</f>
        <v>M9MSG8</v>
      </c>
      <c r="BR17" s="2">
        <v>47</v>
      </c>
      <c r="BS17" s="2">
        <v>66</v>
      </c>
      <c r="BT17" s="2">
        <v>34</v>
      </c>
      <c r="BU17" s="2" t="s">
        <v>151</v>
      </c>
      <c r="BV17" s="9" t="str">
        <f>HYPERLINK(".\links\FLYBASE\AGAP009276-PC-FLYBASE.txt","FBpp0307169")</f>
        <v>FBpp0307169</v>
      </c>
      <c r="BW17" s="2" t="str">
        <f>HYPERLINK("http://flybase.org/reports/FBgn0264953#alliance_summary_container","0.0")</f>
        <v>0.0</v>
      </c>
      <c r="BX17" s="2">
        <v>2671</v>
      </c>
      <c r="BY17" s="2">
        <v>38</v>
      </c>
      <c r="BZ17" s="2">
        <v>56</v>
      </c>
      <c r="CA17" s="2">
        <v>105</v>
      </c>
      <c r="CB17" s="9" t="str">
        <f>HYPERLINK(".\links\CDD\AGAP009276-PC-CDD.txt","Piezo_RRas_bdg, Piezo non-specific cation channel, R-Ras-binding domain")</f>
        <v>Piezo_RRas_bdg, Piezo non-specific cation channel, R-Ras-binding domain</v>
      </c>
      <c r="CC17" s="13">
        <v>1E-134</v>
      </c>
      <c r="CD17" s="2">
        <v>103.9</v>
      </c>
      <c r="CE17" s="2" t="s">
        <v>2209</v>
      </c>
      <c r="CF17" s="2" t="s">
        <v>2210</v>
      </c>
      <c r="CG17" s="9" t="str">
        <f>HYPERLINK(".\links\KOG\AGAP009276-PC-KOG.txt","Uncharacterized conserved protein")</f>
        <v>Uncharacterized conserved protein</v>
      </c>
      <c r="CH17" s="13">
        <v>9.9999999999999994E-152</v>
      </c>
      <c r="CI17" s="2">
        <v>96.4</v>
      </c>
      <c r="CJ17" s="2" t="s">
        <v>2211</v>
      </c>
      <c r="CK17" s="2" t="s">
        <v>101</v>
      </c>
      <c r="CL17" s="9" t="str">
        <f>HYPERLINK(".\links\PFAM\AGAP009276-PC-PFAM.txt","Piezo_RRas_bdg, Piezo non-specific cation channel, R-Ras-binding domain")</f>
        <v>Piezo_RRas_bdg, Piezo non-specific cation channel, R-Ras-binding domain</v>
      </c>
      <c r="CM17" s="13">
        <v>1E-135</v>
      </c>
      <c r="CN17" s="2">
        <v>103.9</v>
      </c>
      <c r="CO17" s="2" t="s">
        <v>2209</v>
      </c>
      <c r="CP17" s="9" t="str">
        <f>HYPERLINK(".\links\SMART\AGAP009276-PC-SMART.txt","OSTEO, Osteopontin")</f>
        <v>OSTEO, Osteopontin</v>
      </c>
      <c r="CQ17" s="13">
        <v>0.03</v>
      </c>
      <c r="CR17" s="2">
        <v>61.3</v>
      </c>
      <c r="CS17" s="2" t="s">
        <v>2212</v>
      </c>
      <c r="CT17" s="2" t="s">
        <v>2204</v>
      </c>
      <c r="CU17" s="2" t="s">
        <v>2204</v>
      </c>
      <c r="CV17" s="2" t="s">
        <v>2204</v>
      </c>
      <c r="CW17" s="2" t="str">
        <f>HYPERLINK(".\links\pep\AGAP009276-PC-pep.txt","AGAP009276-PC")</f>
        <v>AGAP009276-PC</v>
      </c>
      <c r="CX17" s="2" t="s">
        <v>88</v>
      </c>
      <c r="CY17" s="2">
        <v>2692</v>
      </c>
      <c r="CZ17" s="2" t="s">
        <v>103</v>
      </c>
      <c r="DA17" s="2">
        <v>0</v>
      </c>
      <c r="DB17" s="2">
        <v>5</v>
      </c>
      <c r="DD17" s="2" t="str">
        <f>HYPERLINK("https://www.kegg.jp/kegg-bin/search_pathway_text?map=aga&amp;keyword=AGAP009276&amp;mode=1&amp;viewImage=true","AGAP009276")</f>
        <v>AGAP009276</v>
      </c>
      <c r="DE17" s="2" t="s">
        <v>2200</v>
      </c>
      <c r="DF17" s="2" t="s">
        <v>2201</v>
      </c>
      <c r="DG17" s="2" t="s">
        <v>89</v>
      </c>
      <c r="DH17" s="2" t="str">
        <f>HYPERLINK("https://vectorbase.org/vectorbase/app/record/gene/AGAP009276","AGAP009276-RC")</f>
        <v>AGAP009276-RC</v>
      </c>
      <c r="DI17" s="2" t="s">
        <v>105</v>
      </c>
      <c r="DJ17" s="2">
        <v>10947</v>
      </c>
      <c r="DK17" s="2" t="str">
        <f>HYPERLINK(".\links\netoglyc\AGAP009276-PC-netoglyc.txt","3")</f>
        <v>3</v>
      </c>
      <c r="DL17" s="2">
        <v>12.3</v>
      </c>
      <c r="DM17" s="2">
        <v>4.9000000000000004</v>
      </c>
      <c r="DN17" s="2">
        <v>5.0999999999999996</v>
      </c>
      <c r="DO17" s="2" t="s">
        <v>94</v>
      </c>
      <c r="DP17" s="2" t="s">
        <v>2213</v>
      </c>
      <c r="DQ17" s="2" t="str">
        <f>HYPERLINK(".\links\Sigp\AGAP009276-PC-SigP.txt","SIG")</f>
        <v>SIG</v>
      </c>
      <c r="DR17" s="2" t="s">
        <v>2206</v>
      </c>
      <c r="DS17" s="2">
        <v>307.95699999999999</v>
      </c>
      <c r="DT17" s="2">
        <v>6.06</v>
      </c>
      <c r="DU17" s="2">
        <v>304.55</v>
      </c>
      <c r="DV17" s="2">
        <v>6.01</v>
      </c>
      <c r="DW17" s="2" t="s">
        <v>2207</v>
      </c>
      <c r="DX17" s="2">
        <v>2692</v>
      </c>
      <c r="DY17" s="12" t="str">
        <f>HYPERLINK(".\links\tmhmm\AGAP009276-PC-tmhmm.txt","30")</f>
        <v>30</v>
      </c>
      <c r="DZ17" s="2">
        <v>24</v>
      </c>
      <c r="EA17" s="2">
        <v>38.700000000000003</v>
      </c>
      <c r="EB17" s="2">
        <v>37.299999999999997</v>
      </c>
      <c r="EC17" s="2" t="str">
        <f>HYPERLINK(".\links\gpi\AGAP009276-PC-gpi.txt","Y-NoSP")</f>
        <v>Y-NoSP</v>
      </c>
      <c r="ED17" s="2">
        <v>0.21</v>
      </c>
      <c r="EF17" s="2">
        <v>35</v>
      </c>
      <c r="EG17" s="2" t="str">
        <f>HYPERLINK(".\links\pep\AGAP009276-PC-sulf.txt","2")</f>
        <v>2</v>
      </c>
      <c r="EH17" s="2" t="s">
        <v>89</v>
      </c>
      <c r="EI17" s="2">
        <v>12.258543833580999</v>
      </c>
      <c r="EJ17" s="2">
        <v>5.0891530460624104</v>
      </c>
      <c r="EK17" s="2">
        <v>4.9405646359583999</v>
      </c>
      <c r="EL17" s="2">
        <v>10.0297176820208</v>
      </c>
      <c r="EM17" s="2">
        <v>1</v>
      </c>
      <c r="EN17" s="2">
        <v>2</v>
      </c>
      <c r="EO17" s="2">
        <v>3</v>
      </c>
      <c r="EP17" s="2" t="s">
        <v>89</v>
      </c>
      <c r="EQ17" s="2" t="s">
        <v>89</v>
      </c>
      <c r="ER17" s="2" t="s">
        <v>89</v>
      </c>
      <c r="ES17" s="2" t="s">
        <v>89</v>
      </c>
      <c r="ET17" s="2" t="str">
        <f>HYPERLINK(".\links\REFSEQ-INVERTEBRATE\AGAP009276-PC-REFSEQ-INVERTEBRATE.txt","piezo-type mechanosensitive ion channel component isoform X15")</f>
        <v>piezo-type mechanosensitive ion channel component isoform X15</v>
      </c>
      <c r="EU17" s="2" t="str">
        <f>HYPERLINK("http://www.ncbi.nlm.nih.gov/sutils/blink.cgi?pid=XP_035907442.1","0.0")</f>
        <v>0.0</v>
      </c>
      <c r="EV17" s="2" t="str">
        <f>HYPERLINK("http://www.ncbi.nlm.nih.gov/protein/XP_035907442.1","XP_035907442.1")</f>
        <v>XP_035907442.1</v>
      </c>
      <c r="EW17" s="2">
        <v>80</v>
      </c>
      <c r="EX17" s="2">
        <v>85</v>
      </c>
      <c r="EY17" s="2">
        <v>65</v>
      </c>
      <c r="EZ17" s="2" t="s">
        <v>600</v>
      </c>
    </row>
    <row r="18" spans="1:156" x14ac:dyDescent="0.25">
      <c r="A18" s="2" t="s">
        <v>671</v>
      </c>
      <c r="B18" s="2">
        <v>1.2831956660047401</v>
      </c>
      <c r="C18" s="2">
        <f t="shared" si="0"/>
        <v>2.4337747764157966</v>
      </c>
      <c r="D18" s="2">
        <v>5.3882447124706596</v>
      </c>
      <c r="E18" s="2">
        <v>14.4612908822753</v>
      </c>
      <c r="F18" s="2">
        <v>1.43069623014765E-4</v>
      </c>
      <c r="G18" s="2">
        <v>1.12834242684311E-2</v>
      </c>
      <c r="H18" s="2" t="s">
        <v>672</v>
      </c>
      <c r="I18" s="2" t="s">
        <v>89</v>
      </c>
      <c r="J18" s="2" t="str">
        <f>HYPERLINK("https://vectorbase.org/vectorbase/app/record/gene/AGAP002858","AGAP002858-RB")</f>
        <v>AGAP002858-RB</v>
      </c>
      <c r="K18" s="2" t="str">
        <f>HYPERLINK(".\links\pep\AGAP002858-PB-pep.txt","AGAP002858-PB")</f>
        <v>AGAP002858-PB</v>
      </c>
      <c r="L18" s="12" t="s">
        <v>88</v>
      </c>
      <c r="M18" s="2">
        <v>1000</v>
      </c>
      <c r="N18" s="2">
        <v>0</v>
      </c>
      <c r="O18" s="2">
        <v>3</v>
      </c>
      <c r="P18" s="2" t="s">
        <v>673</v>
      </c>
      <c r="Q18" s="9" t="s">
        <v>674</v>
      </c>
      <c r="R18" s="2" t="s">
        <v>128</v>
      </c>
      <c r="S18" s="2" t="str">
        <f>HYPERLINK(".\links\REFSEQ-PROTOZOA\AGAP002858-PB-REFSEQ-PROTOZOA.txt","REFSEQ-PROTOZOA")</f>
        <v>REFSEQ-PROTOZOA</v>
      </c>
      <c r="T18" s="2">
        <v>0</v>
      </c>
      <c r="U18" s="2">
        <v>89</v>
      </c>
      <c r="V18" s="2" t="s">
        <v>675</v>
      </c>
      <c r="W18" s="10" t="s">
        <v>676</v>
      </c>
      <c r="X18" s="2" t="s">
        <v>128</v>
      </c>
      <c r="Y18" s="2" t="str">
        <f>HYPERLINK(".\links\REFSEQ-PROTOZOA\AGAP002858-PB-REFSEQ-PROTOZOA.txt","REFSEQ-PROTOZOA")</f>
        <v>REFSEQ-PROTOZOA</v>
      </c>
      <c r="Z18" s="13">
        <v>0</v>
      </c>
      <c r="AA18" s="2">
        <v>88.9</v>
      </c>
      <c r="AB18" s="14" t="str">
        <f>HYPERLINK(".\links\pep\AGAP002858-PB-sulf.txt","3")</f>
        <v>3</v>
      </c>
      <c r="AC18" s="14" t="str">
        <f>HYPERLINK(".\links\Sigp\AGAP002858-PB-SigP.txt","CYT")</f>
        <v>CYT</v>
      </c>
      <c r="AD18" s="2" t="s">
        <v>89</v>
      </c>
      <c r="AE18" s="2">
        <v>110.98</v>
      </c>
      <c r="AF18" s="2">
        <v>5.29</v>
      </c>
      <c r="AG18" s="2" t="s">
        <v>89</v>
      </c>
      <c r="AH18" s="2" t="s">
        <v>89</v>
      </c>
      <c r="AI18" s="2" t="s">
        <v>677</v>
      </c>
      <c r="AJ18" s="14" t="str">
        <f>HYPERLINK(".\links\tmhmm\AGAP002858-PB-tmhmm.txt","8")</f>
        <v>8</v>
      </c>
      <c r="AK18" s="2">
        <v>16.5</v>
      </c>
      <c r="AL18" s="2">
        <v>7.2</v>
      </c>
      <c r="AM18" s="2">
        <v>76.3</v>
      </c>
      <c r="AN18" s="14" t="str">
        <f>HYPERLINK(".\links\gpi\AGAP002858-PB-gpi.txt","N")</f>
        <v>N</v>
      </c>
      <c r="AO18" s="15" t="str">
        <f>HYPERLINK(".\links\netoglyc\AGAP002858-PB-netoglyc.txt","0")</f>
        <v>0</v>
      </c>
      <c r="AP18" s="14">
        <v>11.7</v>
      </c>
      <c r="AQ18" s="2">
        <v>6.9</v>
      </c>
      <c r="AR18" s="2">
        <v>4.5</v>
      </c>
      <c r="AS18" s="2" t="s">
        <v>94</v>
      </c>
      <c r="AT18" s="9" t="str">
        <f>HYPERLINK(".\links\NR-LIGHT\AGAP002858-PB-NR-LIGHT.txt","AGAP002858-PB")</f>
        <v>AGAP002858-PB</v>
      </c>
      <c r="AU18" s="2" t="str">
        <f>HYPERLINK("http://www.ncbi.nlm.nih.gov/sutils/blink.cgi?pid=XP_003436270.1","0.0")</f>
        <v>0.0</v>
      </c>
      <c r="AV18" s="2" t="str">
        <f>HYPERLINK("http://www.ncbi.nlm.nih.gov/protein/XP_003436270.1","XP_003436270.1")</f>
        <v>XP_003436270.1</v>
      </c>
      <c r="AW18" s="2">
        <v>100</v>
      </c>
      <c r="AX18" s="2">
        <v>100</v>
      </c>
      <c r="AY18" s="2">
        <v>100</v>
      </c>
      <c r="AZ18" s="2" t="s">
        <v>95</v>
      </c>
      <c r="BA18" s="9" t="str">
        <f>HYPERLINK(".\links\REFSEQ-INVERTEBRATE\AGAP002858-PB-REFSEQ-INVERTEBRATE.txt","AGAP002858-PB")</f>
        <v>AGAP002858-PB</v>
      </c>
      <c r="BB18" s="2" t="str">
        <f>HYPERLINK("http://www.ncbi.nlm.nih.gov/sutils/blink.cgi?pid=XP_003436270.1","0.0")</f>
        <v>0.0</v>
      </c>
      <c r="BC18" s="2" t="str">
        <f>HYPERLINK("http://www.ncbi.nlm.nih.gov/protein/XP_003436270.1","XP_003436270.1")</f>
        <v>XP_003436270.1</v>
      </c>
      <c r="BD18" s="2">
        <v>100</v>
      </c>
      <c r="BE18" s="2">
        <v>100</v>
      </c>
      <c r="BF18" s="2">
        <v>100</v>
      </c>
      <c r="BG18" s="2" t="s">
        <v>95</v>
      </c>
      <c r="BH18" s="9" t="str">
        <f>HYPERLINK(".\links\REFSEQ-PROTOZOA\AGAP002858-PB-REFSEQ-PROTOZOA.txt","hypothetical protein")</f>
        <v>hypothetical protein</v>
      </c>
      <c r="BI18" s="2" t="str">
        <f>HYPERLINK("http://www.ncbi.nlm.nih.gov/sutils/blink.cgi?pid=XP_001742517.1","0.0")</f>
        <v>0.0</v>
      </c>
      <c r="BJ18" s="2" t="str">
        <f>HYPERLINK("http://www.ncbi.nlm.nih.gov/protein/XP_001742517.1","XP_001742517.1")</f>
        <v>XP_001742517.1</v>
      </c>
      <c r="BK18" s="2">
        <v>66</v>
      </c>
      <c r="BL18" s="2">
        <v>76</v>
      </c>
      <c r="BM18" s="2">
        <v>98</v>
      </c>
      <c r="BN18" s="2" t="s">
        <v>389</v>
      </c>
      <c r="BO18" s="9" t="str">
        <f>HYPERLINK(".\links\SWISSP\AGAP002858-PB-SWISSP.txt","Sodium/potassium-transporting ATPase subunit alpha")</f>
        <v>Sodium/potassium-transporting ATPase subunit alpha</v>
      </c>
      <c r="BP18" s="2" t="str">
        <f>HYPERLINK("http://www.uniprot.org/uniprot/P13607","0.0")</f>
        <v>0.0</v>
      </c>
      <c r="BQ18" s="2" t="str">
        <f>HYPERLINK("http://www.uniprot.org/uniprot/P13607#expression","P13607")</f>
        <v>P13607</v>
      </c>
      <c r="BR18" s="2">
        <v>94</v>
      </c>
      <c r="BS18" s="2">
        <v>97</v>
      </c>
      <c r="BT18" s="2">
        <v>96</v>
      </c>
      <c r="BU18" s="2" t="s">
        <v>151</v>
      </c>
      <c r="BV18" s="9" t="str">
        <f>HYPERLINK(".\links\FLYBASE\AGAP002858-PB-FLYBASE.txt","FBpp0088981")</f>
        <v>FBpp0088981</v>
      </c>
      <c r="BW18" s="2" t="str">
        <f>HYPERLINK("http://flybase.org/reports/FBgn0002921#alliance_summary_container","0.0")</f>
        <v>0.0</v>
      </c>
      <c r="BX18" s="2">
        <v>1002</v>
      </c>
      <c r="BY18" s="2">
        <v>94</v>
      </c>
      <c r="BZ18" s="2">
        <v>97</v>
      </c>
      <c r="CA18" s="2">
        <v>100</v>
      </c>
      <c r="CB18" s="9" t="str">
        <f>HYPERLINK(".\links\CDD\AGAP002858-PB-CDD.txt","Potassium-transporting_ATPase_alpha_chain, sodium or proton efflux -- potassium uptake antiporter, P-type ATPase, alpha subunit")</f>
        <v>Potassium-transporting_ATPase_alpha_chain, sodium or proton efflux -- potassium uptake antiporter, P-type ATPase, alpha subunit</v>
      </c>
      <c r="CC18" s="13">
        <v>0</v>
      </c>
      <c r="CD18" s="2">
        <v>100</v>
      </c>
      <c r="CE18" s="2" t="s">
        <v>678</v>
      </c>
      <c r="CF18" s="2" t="s">
        <v>679</v>
      </c>
      <c r="CG18" s="9" t="str">
        <f>HYPERLINK(".\links\KOG\AGAP002858-PB-KOG.txt","alpha subunit")</f>
        <v>alpha subunit</v>
      </c>
      <c r="CH18" s="13">
        <v>0</v>
      </c>
      <c r="CI18" s="2">
        <v>97.8</v>
      </c>
      <c r="CJ18" s="2" t="s">
        <v>680</v>
      </c>
      <c r="CK18" s="2" t="s">
        <v>653</v>
      </c>
      <c r="CL18" s="9" t="str">
        <f>HYPERLINK(".\links\PFAM\AGAP002858-PB-PFAM.txt","E1-E2_ATPase, E1-E2 ATPase")</f>
        <v>E1-E2_ATPase, E1-E2 ATPase</v>
      </c>
      <c r="CM18" s="13">
        <v>6E-49</v>
      </c>
      <c r="CN18" s="2">
        <v>105</v>
      </c>
      <c r="CO18" s="2" t="s">
        <v>681</v>
      </c>
      <c r="CP18" s="9" t="str">
        <f>HYPERLINK(".\links\SMART\AGAP002858-PB-SMART.txt","Cation_ATPase_N, Cation transporter/ATPase, N-terminus")</f>
        <v>Cation_ATPase_N, Cation transporter/ATPase, N-terminus</v>
      </c>
      <c r="CQ18" s="13">
        <v>2.9999999999999999E-22</v>
      </c>
      <c r="CR18" s="2">
        <v>100</v>
      </c>
      <c r="CS18" s="2" t="s">
        <v>682</v>
      </c>
      <c r="CT18" s="2" t="s">
        <v>675</v>
      </c>
      <c r="CU18" s="2" t="s">
        <v>675</v>
      </c>
      <c r="CV18" s="2" t="s">
        <v>675</v>
      </c>
      <c r="CW18" s="2" t="str">
        <f>HYPERLINK(".\links\pep\AGAP002858-PB-pep.txt","AGAP002858-PB")</f>
        <v>AGAP002858-PB</v>
      </c>
      <c r="CX18" s="2" t="s">
        <v>88</v>
      </c>
      <c r="CY18" s="2">
        <v>1000</v>
      </c>
      <c r="CZ18" s="2" t="s">
        <v>103</v>
      </c>
      <c r="DA18" s="2">
        <v>0</v>
      </c>
      <c r="DB18" s="2">
        <v>3</v>
      </c>
      <c r="DD18" s="2" t="str">
        <f>HYPERLINK("https://www.kegg.jp/kegg-bin/search_pathway_text?map=aga&amp;keyword=AGAP002858&amp;mode=1&amp;viewImage=true","AGAP002858")</f>
        <v>AGAP002858</v>
      </c>
      <c r="DE18" s="2" t="s">
        <v>671</v>
      </c>
      <c r="DF18" s="2" t="s">
        <v>672</v>
      </c>
      <c r="DG18" s="2" t="s">
        <v>89</v>
      </c>
      <c r="DH18" s="2" t="str">
        <f>HYPERLINK("https://vectorbase.org/vectorbase/app/record/gene/AGAP002858","AGAP002858-RB")</f>
        <v>AGAP002858-RB</v>
      </c>
      <c r="DI18" s="2" t="s">
        <v>122</v>
      </c>
      <c r="DJ18" s="2">
        <v>5790</v>
      </c>
      <c r="DK18" s="2" t="str">
        <f>HYPERLINK(".\links\netoglyc\AGAP002858-PB-netoglyc.txt","0")</f>
        <v>0</v>
      </c>
      <c r="DL18" s="2">
        <v>11.7</v>
      </c>
      <c r="DM18" s="2">
        <v>6.9</v>
      </c>
      <c r="DN18" s="2">
        <v>4.5</v>
      </c>
      <c r="DO18" s="2" t="s">
        <v>94</v>
      </c>
      <c r="DP18" s="2" t="s">
        <v>89</v>
      </c>
      <c r="DQ18" s="2" t="str">
        <f>HYPERLINK(".\links\Sigp\AGAP002858-PB-SigP.txt","CYT")</f>
        <v>CYT</v>
      </c>
      <c r="DR18" s="2" t="s">
        <v>89</v>
      </c>
      <c r="DS18" s="2">
        <v>110.98</v>
      </c>
      <c r="DT18" s="2">
        <v>5.29</v>
      </c>
      <c r="DU18" s="2" t="s">
        <v>89</v>
      </c>
      <c r="DV18" s="2" t="s">
        <v>89</v>
      </c>
      <c r="DW18" s="2" t="s">
        <v>677</v>
      </c>
      <c r="DX18" s="2">
        <v>1000</v>
      </c>
      <c r="DY18" s="12" t="str">
        <f>HYPERLINK(".\links\tmhmm\AGAP002858-PB-tmhmm.txt","8")</f>
        <v>8</v>
      </c>
      <c r="DZ18" s="2">
        <v>16.5</v>
      </c>
      <c r="EA18" s="2">
        <v>7.2</v>
      </c>
      <c r="EB18" s="2">
        <v>76.3</v>
      </c>
      <c r="EC18" s="2" t="str">
        <f>HYPERLINK(".\links\gpi\AGAP002858-PB-gpi.txt","N")</f>
        <v>N</v>
      </c>
      <c r="ED18" s="2">
        <v>0.18</v>
      </c>
      <c r="EF18" s="2">
        <v>17</v>
      </c>
      <c r="EG18" s="2" t="str">
        <f>HYPERLINK(".\links\pep\AGAP002858-PB-sulf.txt","3")</f>
        <v>3</v>
      </c>
      <c r="EH18" s="2" t="s">
        <v>89</v>
      </c>
      <c r="EI18" s="2">
        <v>11.7</v>
      </c>
      <c r="EJ18" s="2">
        <v>4.5</v>
      </c>
      <c r="EK18" s="2">
        <v>6.9</v>
      </c>
      <c r="EL18" s="2">
        <v>11.4</v>
      </c>
      <c r="EM18" s="2" t="s">
        <v>89</v>
      </c>
      <c r="EN18" s="2">
        <v>4</v>
      </c>
      <c r="EO18" s="2">
        <v>5</v>
      </c>
      <c r="EP18" s="2" t="s">
        <v>89</v>
      </c>
      <c r="EQ18" s="2" t="s">
        <v>89</v>
      </c>
      <c r="ER18" s="2" t="s">
        <v>89</v>
      </c>
      <c r="ES18" s="2" t="s">
        <v>89</v>
      </c>
      <c r="ET18" s="2" t="str">
        <f>HYPERLINK(".\links\REFSEQ-INVERTEBRATE\AGAP002858-PB-REFSEQ-INVERTEBRATE.txt","AGAP002858-PB")</f>
        <v>AGAP002858-PB</v>
      </c>
      <c r="EU18" s="2" t="str">
        <f>HYPERLINK("http://www.ncbi.nlm.nih.gov/sutils/blink.cgi?pid=XP_003436270.1","0.0")</f>
        <v>0.0</v>
      </c>
      <c r="EV18" s="2" t="str">
        <f>HYPERLINK("http://www.ncbi.nlm.nih.gov/protein/XP_003436270.1","XP_003436270.1")</f>
        <v>XP_003436270.1</v>
      </c>
      <c r="EW18" s="2">
        <v>100</v>
      </c>
      <c r="EX18" s="2">
        <v>100</v>
      </c>
      <c r="EY18" s="2">
        <v>100</v>
      </c>
      <c r="EZ18" s="2" t="s">
        <v>95</v>
      </c>
    </row>
    <row r="19" spans="1:156" x14ac:dyDescent="0.25">
      <c r="A19" s="2" t="s">
        <v>281</v>
      </c>
      <c r="B19" s="2">
        <v>1.2748260679374599</v>
      </c>
      <c r="C19" s="2">
        <f t="shared" si="0"/>
        <v>2.4196964409947652</v>
      </c>
      <c r="D19" s="2">
        <v>6.4700137484707501</v>
      </c>
      <c r="E19" s="2">
        <v>11.6481969267178</v>
      </c>
      <c r="F19" s="2">
        <v>6.4264794781261397E-4</v>
      </c>
      <c r="G19" s="2">
        <v>3.1101239547095001E-2</v>
      </c>
      <c r="H19" s="2" t="s">
        <v>86</v>
      </c>
      <c r="I19" s="2" t="s">
        <v>87</v>
      </c>
      <c r="J19" s="2" t="str">
        <f>HYPERLINK("https://vectorbase.org/vectorbase/app/record/gene/AGAP000810","AGAP000810-RB")</f>
        <v>AGAP000810-RB</v>
      </c>
      <c r="K19" s="2" t="str">
        <f>HYPERLINK(".\links\pep\AGAP000810-PB-pep.txt","AGAP000810-PB")</f>
        <v>AGAP000810-PB</v>
      </c>
      <c r="Q19" s="9"/>
      <c r="V19" s="2" t="s">
        <v>282</v>
      </c>
      <c r="W19" s="10" t="s">
        <v>283</v>
      </c>
      <c r="X19" s="2" t="s">
        <v>148</v>
      </c>
      <c r="Y19" s="2" t="str">
        <f>HYPERLINK(".\links\REFSEQVERTEBRATE95\AGAP000810-PB-REFSEQVERTEBRATE95.txt","REFSEQVERTEBRATE95")</f>
        <v>REFSEQVERTEBRATE95</v>
      </c>
      <c r="Z19" s="13">
        <v>0</v>
      </c>
      <c r="AA19" s="2">
        <v>66.7</v>
      </c>
      <c r="AB19" s="9"/>
      <c r="AC19" s="9"/>
      <c r="AJ19" s="9"/>
      <c r="AN19" s="9"/>
      <c r="AO19" s="11"/>
      <c r="AP19" s="9"/>
      <c r="AT19" s="9"/>
      <c r="BA19" s="9"/>
      <c r="BH19" s="9"/>
      <c r="BO19" s="9"/>
      <c r="BV19" s="9"/>
      <c r="CB19" s="9"/>
      <c r="CG19" s="9"/>
      <c r="CL19" s="9"/>
      <c r="CP19" s="9"/>
      <c r="CW19" s="2" t="str">
        <f>HYPERLINK(".\links\pep\AGAP000810-PB-pep.txt","AGAP000810-PB")</f>
        <v>AGAP000810-PB</v>
      </c>
      <c r="CX19" s="2" t="s">
        <v>88</v>
      </c>
      <c r="CY19" s="2">
        <v>2690</v>
      </c>
      <c r="CZ19" s="2" t="s">
        <v>103</v>
      </c>
      <c r="DA19" s="2" t="s">
        <v>284</v>
      </c>
      <c r="DB19" s="2">
        <v>0</v>
      </c>
      <c r="DC19" s="2">
        <v>10</v>
      </c>
      <c r="DD19" s="2" t="str">
        <f>HYPERLINK("https://www.kegg.jp/kegg-bin/search_pathway_text?map=aga&amp;keyword=AGAP000810&amp;mode=1&amp;viewImage=true","AGAP000810")</f>
        <v>AGAP000810</v>
      </c>
      <c r="DE19" s="2" t="s">
        <v>281</v>
      </c>
      <c r="DF19" s="2" t="s">
        <v>86</v>
      </c>
      <c r="DG19" s="2" t="s">
        <v>87</v>
      </c>
      <c r="DH19" s="2" t="str">
        <f>HYPERLINK("https://vectorbase.org/vectorbase/app/record/gene/AGAP000810","AGAP000810-RB")</f>
        <v>AGAP000810-RB</v>
      </c>
      <c r="DI19" s="2" t="s">
        <v>158</v>
      </c>
      <c r="DJ19" s="2">
        <v>8943</v>
      </c>
      <c r="DK19" s="2" t="str">
        <f>HYPERLINK(".\links\netoglyc\AGAP000810-PB-netoglyc.txt","4")</f>
        <v>4</v>
      </c>
      <c r="DL19" s="2">
        <v>14.1</v>
      </c>
      <c r="DM19" s="2">
        <v>8.9</v>
      </c>
      <c r="DN19" s="2">
        <v>5.8</v>
      </c>
      <c r="DO19" s="2" t="s">
        <v>94</v>
      </c>
      <c r="DP19" s="2" t="s">
        <v>285</v>
      </c>
      <c r="DQ19" s="2" t="str">
        <f>HYPERLINK(".\links\Sigp\AGAP000810-PB-SigP.txt","CYT")</f>
        <v>CYT</v>
      </c>
      <c r="DR19" s="2" t="s">
        <v>89</v>
      </c>
      <c r="DS19" s="2">
        <v>292.35300000000001</v>
      </c>
      <c r="DT19" s="2">
        <v>6.39</v>
      </c>
      <c r="DU19" s="2" t="s">
        <v>89</v>
      </c>
      <c r="DV19" s="2" t="s">
        <v>89</v>
      </c>
      <c r="DW19" s="2" t="s">
        <v>286</v>
      </c>
      <c r="DX19" s="2">
        <v>2690</v>
      </c>
      <c r="DY19" s="12">
        <v>0</v>
      </c>
      <c r="DZ19" s="2" t="s">
        <v>89</v>
      </c>
      <c r="EA19" s="2" t="s">
        <v>89</v>
      </c>
      <c r="EB19" s="2" t="s">
        <v>89</v>
      </c>
      <c r="EC19" s="2" t="str">
        <f>HYPERLINK(".\links\gpi\AGAP000810-PB-gpi.txt","N")</f>
        <v>N</v>
      </c>
      <c r="ED19" s="2">
        <v>0.17</v>
      </c>
      <c r="EF19" s="2">
        <v>63</v>
      </c>
      <c r="EG19" s="2" t="str">
        <f>HYPERLINK(".\links\pep\AGAP000810-PB-sulf.txt","1")</f>
        <v>1</v>
      </c>
      <c r="EH19" s="2" t="s">
        <v>89</v>
      </c>
      <c r="EI19" s="2">
        <v>14.126394052044599</v>
      </c>
      <c r="EJ19" s="2">
        <v>5.8364312267658001</v>
      </c>
      <c r="EK19" s="2">
        <v>8.8847583643122707</v>
      </c>
      <c r="EL19" s="2">
        <v>14.721189591078099</v>
      </c>
      <c r="EM19" s="2">
        <v>4</v>
      </c>
      <c r="EN19" s="2">
        <v>6</v>
      </c>
      <c r="EO19" s="2">
        <v>8</v>
      </c>
      <c r="EP19" s="2" t="s">
        <v>89</v>
      </c>
      <c r="EQ19" s="2" t="s">
        <v>89</v>
      </c>
      <c r="ER19" s="2" t="s">
        <v>89</v>
      </c>
      <c r="ES19" s="2" t="s">
        <v>89</v>
      </c>
      <c r="ET19" s="2" t="str">
        <f>HYPERLINK(".\links\REFSEQ-INVERTEBRATE\AGAP000810-PB-REFSEQ-INVERTEBRATE.txt","AGAP000810-PA")</f>
        <v>AGAP000810-PA</v>
      </c>
      <c r="EU19" s="2" t="str">
        <f>HYPERLINK("http://www.ncbi.nlm.nih.gov/sutils/blink.cgi?pid=XP_311349.5","0.0")</f>
        <v>0.0</v>
      </c>
      <c r="EV19" s="2" t="str">
        <f>HYPERLINK("http://www.ncbi.nlm.nih.gov/protein/XP_311349.5","XP_311349.5")</f>
        <v>XP_311349.5</v>
      </c>
      <c r="EW19" s="2">
        <v>100</v>
      </c>
      <c r="EX19" s="2">
        <v>100</v>
      </c>
      <c r="EY19" s="2">
        <v>94</v>
      </c>
      <c r="EZ19" s="2" t="s">
        <v>95</v>
      </c>
    </row>
    <row r="20" spans="1:156" x14ac:dyDescent="0.25">
      <c r="A20" s="2" t="s">
        <v>2347</v>
      </c>
      <c r="B20" s="2">
        <v>1.27411323611259</v>
      </c>
      <c r="C20" s="2">
        <f t="shared" si="0"/>
        <v>2.4185011706622666</v>
      </c>
      <c r="D20" s="2">
        <v>5.5374952023473396</v>
      </c>
      <c r="E20" s="2">
        <v>36.594060322512597</v>
      </c>
      <c r="F20" s="2">
        <v>1.4547431250543901E-9</v>
      </c>
      <c r="G20" s="2">
        <v>4.1587564287617501E-6</v>
      </c>
      <c r="H20" s="2" t="s">
        <v>2348</v>
      </c>
      <c r="I20" s="2" t="s">
        <v>87</v>
      </c>
      <c r="J20" s="2" t="str">
        <f>HYPERLINK("https://vectorbase.org/vectorbase/app/record/gene/AGAP009896","AGAP009896-RA")</f>
        <v>AGAP009896-RA</v>
      </c>
      <c r="K20" s="2" t="str">
        <f>HYPERLINK(".\links\pep\AGAP009896-PA-pep.txt","AGAP009896-PA")</f>
        <v>AGAP009896-PA</v>
      </c>
      <c r="L20" s="12" t="s">
        <v>88</v>
      </c>
      <c r="M20" s="2">
        <v>475</v>
      </c>
      <c r="N20" s="2">
        <v>0</v>
      </c>
      <c r="O20" s="2">
        <v>2</v>
      </c>
      <c r="P20" s="2" t="s">
        <v>2349</v>
      </c>
      <c r="Q20" s="9" t="s">
        <v>2350</v>
      </c>
      <c r="R20" s="2" t="s">
        <v>128</v>
      </c>
      <c r="S20" s="2" t="str">
        <f>HYPERLINK(".\links\KOG\AGAP009896-PA-KOG.txt","KOG")</f>
        <v>KOG</v>
      </c>
      <c r="T20" s="2">
        <v>0</v>
      </c>
      <c r="U20" s="2">
        <v>93.7</v>
      </c>
      <c r="V20" s="2" t="s">
        <v>2351</v>
      </c>
      <c r="W20" s="10" t="s">
        <v>2352</v>
      </c>
      <c r="X20" s="2" t="s">
        <v>128</v>
      </c>
      <c r="Y20" s="2" t="str">
        <f>HYPERLINK(".\links\KOG\AGAP009896-PA-KOG.txt","KOG")</f>
        <v>KOG</v>
      </c>
      <c r="Z20" s="2">
        <v>0</v>
      </c>
      <c r="AA20" s="2">
        <v>95.9</v>
      </c>
      <c r="AB20" s="14" t="str">
        <f>HYPERLINK(".\links\pep\AGAP009896-PA-sulf.txt","3")</f>
        <v>3</v>
      </c>
      <c r="AC20" s="14" t="str">
        <f>HYPERLINK(".\links\Sigp\AGAP009896-PA-SigP.txt","CYT")</f>
        <v>CYT</v>
      </c>
      <c r="AD20" s="2" t="s">
        <v>89</v>
      </c>
      <c r="AE20" s="2">
        <v>52.784999999999997</v>
      </c>
      <c r="AF20" s="2">
        <v>6.64</v>
      </c>
      <c r="AG20" s="2" t="s">
        <v>89</v>
      </c>
      <c r="AH20" s="2" t="s">
        <v>89</v>
      </c>
      <c r="AI20" s="2" t="s">
        <v>2353</v>
      </c>
      <c r="AJ20" s="14" t="str">
        <f>HYPERLINK(".\links\tmhmm\AGAP009896-PA-tmhmm.txt","10")</f>
        <v>10</v>
      </c>
      <c r="AK20" s="2">
        <v>45.3</v>
      </c>
      <c r="AL20" s="2">
        <v>31.6</v>
      </c>
      <c r="AM20" s="2">
        <v>23.2</v>
      </c>
      <c r="AN20" s="14" t="str">
        <f>HYPERLINK(".\links\gpi\AGAP009896-PA-gpi.txt","N")</f>
        <v>N</v>
      </c>
      <c r="AO20" s="15" t="str">
        <f>HYPERLINK(".\links\netoglyc\AGAP009896-PA-netoglyc.txt","0")</f>
        <v>0</v>
      </c>
      <c r="AP20" s="14">
        <v>11.2</v>
      </c>
      <c r="AQ20" s="2">
        <v>7.6</v>
      </c>
      <c r="AR20" s="2">
        <v>4.2</v>
      </c>
      <c r="AS20" s="2" t="s">
        <v>94</v>
      </c>
      <c r="AT20" s="9" t="str">
        <f>HYPERLINK(".\links\NR-LIGHT\AGAP009896-PA-NR-LIGHT.txt","AGAP009896-PA, partial")</f>
        <v>AGAP009896-PA, partial</v>
      </c>
      <c r="AU20" s="2" t="str">
        <f>HYPERLINK("http://www.ncbi.nlm.nih.gov/sutils/blink.cgi?pid=XP_319018.3","0.0")</f>
        <v>0.0</v>
      </c>
      <c r="AV20" s="2" t="str">
        <f>HYPERLINK("http://www.ncbi.nlm.nih.gov/protein/XP_319018.3","XP_319018.3")</f>
        <v>XP_319018.3</v>
      </c>
      <c r="AW20" s="2">
        <v>100</v>
      </c>
      <c r="AX20" s="2">
        <v>100</v>
      </c>
      <c r="AY20" s="2">
        <v>100</v>
      </c>
      <c r="AZ20" s="2" t="s">
        <v>95</v>
      </c>
      <c r="BA20" s="9" t="str">
        <f>HYPERLINK(".\links\REFSEQ-INVERTEBRATE\AGAP009896-PA-REFSEQ-INVERTEBRATE.txt","AGAP009896-PA, partial")</f>
        <v>AGAP009896-PA, partial</v>
      </c>
      <c r="BB20" s="2" t="str">
        <f>HYPERLINK("http://www.ncbi.nlm.nih.gov/sutils/blink.cgi?pid=XP_319018.3","0.0")</f>
        <v>0.0</v>
      </c>
      <c r="BC20" s="2" t="str">
        <f>HYPERLINK("http://www.ncbi.nlm.nih.gov/protein/XP_319018.3","XP_319018.3")</f>
        <v>XP_319018.3</v>
      </c>
      <c r="BD20" s="2">
        <v>100</v>
      </c>
      <c r="BE20" s="2">
        <v>100</v>
      </c>
      <c r="BF20" s="2">
        <v>100</v>
      </c>
      <c r="BG20" s="2" t="s">
        <v>95</v>
      </c>
      <c r="BH20" s="9" t="str">
        <f>HYPERLINK(".\links\REFSEQ-PROTOZOA\AGAP009896-PA-REFSEQ-PROTOZOA.txt","hypothetical protein, partial")</f>
        <v>hypothetical protein, partial</v>
      </c>
      <c r="BI20" s="2" t="str">
        <f>HYPERLINK("http://www.ncbi.nlm.nih.gov/sutils/blink.cgi?pid=XP_001744195.1","1E-047")</f>
        <v>1E-047</v>
      </c>
      <c r="BJ20" s="2" t="str">
        <f>HYPERLINK("http://www.ncbi.nlm.nih.gov/protein/XP_001744195.1","XP_001744195.1")</f>
        <v>XP_001744195.1</v>
      </c>
      <c r="BK20" s="2">
        <v>31</v>
      </c>
      <c r="BL20" s="2">
        <v>52</v>
      </c>
      <c r="BM20" s="2">
        <v>99</v>
      </c>
      <c r="BN20" s="2" t="s">
        <v>389</v>
      </c>
      <c r="BO20" s="9" t="str">
        <f>HYPERLINK(".\links\SWISSP\AGAP009896-PA-SWISSP.txt","Proton-coupled amino acid transporter-like protein CG1139")</f>
        <v>Proton-coupled amino acid transporter-like protein CG1139</v>
      </c>
      <c r="BP20" s="2" t="str">
        <f>HYPERLINK("http://www.uniprot.org/uniprot/Q9W056","1E-107")</f>
        <v>1E-107</v>
      </c>
      <c r="BQ20" s="2" t="str">
        <f>HYPERLINK("http://www.uniprot.org/uniprot/Q9W056#expression","Q9W056")</f>
        <v>Q9W056</v>
      </c>
      <c r="BR20" s="2">
        <v>46</v>
      </c>
      <c r="BS20" s="2">
        <v>63</v>
      </c>
      <c r="BT20" s="2">
        <v>99</v>
      </c>
      <c r="BU20" s="2" t="s">
        <v>151</v>
      </c>
      <c r="BV20" s="9" t="str">
        <f>HYPERLINK(".\links\FLYBASE\AGAP009896-PA-FLYBASE.txt","FBpp0075930")</f>
        <v>FBpp0075930</v>
      </c>
      <c r="BW20" s="2" t="str">
        <f>HYPERLINK("http://flybase.org/reports/FBgn0036116#alliance_summary_container","0.0")</f>
        <v>0.0</v>
      </c>
      <c r="BX20" s="2">
        <v>462</v>
      </c>
      <c r="BY20" s="2">
        <v>66</v>
      </c>
      <c r="BZ20" s="2">
        <v>79</v>
      </c>
      <c r="CA20" s="2">
        <v>102</v>
      </c>
      <c r="CB20" s="9" t="str">
        <f>HYPERLINK(".\links\CDD\AGAP009896-PA-CDD.txt","Aa_trans, Transmembrane amino acid transporter protein")</f>
        <v>Aa_trans, Transmembrane amino acid transporter protein</v>
      </c>
      <c r="CC20" s="13">
        <v>6.9999999999999999E-53</v>
      </c>
      <c r="CD20" s="2">
        <v>103.2</v>
      </c>
      <c r="CE20" s="2" t="s">
        <v>2354</v>
      </c>
      <c r="CF20" s="2" t="s">
        <v>2355</v>
      </c>
      <c r="CG20" s="9" t="str">
        <f>HYPERLINK(".\links\KOG\AGAP009896-PA-KOG.txt","Amino acid transporters")</f>
        <v>Amino acid transporters</v>
      </c>
      <c r="CH20" s="13">
        <v>1E-139</v>
      </c>
      <c r="CI20" s="2">
        <v>93.8</v>
      </c>
      <c r="CJ20" s="2" t="s">
        <v>2356</v>
      </c>
      <c r="CK20" s="2" t="s">
        <v>393</v>
      </c>
      <c r="CL20" s="9" t="str">
        <f>HYPERLINK(".\links\PFAM\AGAP009896-PA-PFAM.txt","Aa_trans, Transmembrane amino acid transporter protein")</f>
        <v>Aa_trans, Transmembrane amino acid transporter protein</v>
      </c>
      <c r="CM20" s="13">
        <v>1E-53</v>
      </c>
      <c r="CN20" s="2">
        <v>103.2</v>
      </c>
      <c r="CO20" s="2" t="s">
        <v>2354</v>
      </c>
      <c r="CP20" s="9" t="str">
        <f>HYPERLINK(".\links\SMART\AGAP009896-PA-SMART.txt","VIT, Vault protein Inter-alpha-Trypsin domain")</f>
        <v>VIT, Vault protein Inter-alpha-Trypsin domain</v>
      </c>
      <c r="CQ20" s="13">
        <v>0.66</v>
      </c>
      <c r="CR20" s="2">
        <v>24.6</v>
      </c>
      <c r="CS20" s="2" t="s">
        <v>2357</v>
      </c>
      <c r="CT20" s="2" t="s">
        <v>2351</v>
      </c>
      <c r="CU20" s="2" t="s">
        <v>2351</v>
      </c>
      <c r="CV20" s="2" t="s">
        <v>2351</v>
      </c>
      <c r="CW20" s="2" t="str">
        <f>HYPERLINK(".\links\pep\AGAP009896-PA-pep.txt","AGAP009896-PA")</f>
        <v>AGAP009896-PA</v>
      </c>
      <c r="CX20" s="2" t="s">
        <v>88</v>
      </c>
      <c r="CY20" s="2">
        <v>475</v>
      </c>
      <c r="CZ20" s="2" t="s">
        <v>103</v>
      </c>
      <c r="DA20" s="2" t="s">
        <v>2358</v>
      </c>
      <c r="DB20" s="2">
        <v>0</v>
      </c>
      <c r="DC20" s="2">
        <v>2</v>
      </c>
      <c r="DD20" s="2" t="str">
        <f>HYPERLINK("https://www.kegg.jp/kegg-bin/search_pathway_text?map=aga&amp;keyword=AGAP009896&amp;mode=1&amp;viewImage=true","AGAP009896")</f>
        <v>AGAP009896</v>
      </c>
      <c r="DE20" s="2" t="s">
        <v>2347</v>
      </c>
      <c r="DF20" s="2" t="s">
        <v>2348</v>
      </c>
      <c r="DG20" s="2" t="s">
        <v>87</v>
      </c>
      <c r="DH20" s="2" t="str">
        <f>HYPERLINK("https://vectorbase.org/vectorbase/app/record/gene/AGAP009896","AGAP009896-RA")</f>
        <v>AGAP009896-RA</v>
      </c>
      <c r="DI20" s="2" t="s">
        <v>105</v>
      </c>
      <c r="DJ20" s="2">
        <v>3285</v>
      </c>
      <c r="DK20" s="2" t="str">
        <f>HYPERLINK(".\links\netoglyc\AGAP009896-PA-netoglyc.txt","0")</f>
        <v>0</v>
      </c>
      <c r="DL20" s="2">
        <v>11.2</v>
      </c>
      <c r="DM20" s="2">
        <v>7.6</v>
      </c>
      <c r="DN20" s="2">
        <v>4.2</v>
      </c>
      <c r="DO20" s="2" t="s">
        <v>94</v>
      </c>
      <c r="DP20" s="2" t="s">
        <v>89</v>
      </c>
      <c r="DQ20" s="2" t="str">
        <f>HYPERLINK(".\links\Sigp\AGAP009896-PA-SigP.txt","CYT")</f>
        <v>CYT</v>
      </c>
      <c r="DR20" s="2" t="s">
        <v>89</v>
      </c>
      <c r="DS20" s="2">
        <v>52.784999999999997</v>
      </c>
      <c r="DT20" s="2">
        <v>6.64</v>
      </c>
      <c r="DU20" s="2" t="s">
        <v>89</v>
      </c>
      <c r="DV20" s="2" t="s">
        <v>89</v>
      </c>
      <c r="DW20" s="2" t="s">
        <v>2353</v>
      </c>
      <c r="DX20" s="2">
        <v>475</v>
      </c>
      <c r="DY20" s="12" t="str">
        <f>HYPERLINK(".\links\tmhmm\AGAP009896-PA-tmhmm.txt","10")</f>
        <v>10</v>
      </c>
      <c r="DZ20" s="2">
        <v>45.3</v>
      </c>
      <c r="EA20" s="2">
        <v>31.6</v>
      </c>
      <c r="EB20" s="2">
        <v>23.2</v>
      </c>
      <c r="EC20" s="2" t="str">
        <f>HYPERLINK(".\links\gpi\AGAP009896-PA-gpi.txt","N")</f>
        <v>N</v>
      </c>
      <c r="ED20" s="2">
        <v>0.35</v>
      </c>
      <c r="EF20" s="2">
        <v>9</v>
      </c>
      <c r="EG20" s="2" t="str">
        <f>HYPERLINK(".\links\pep\AGAP009896-PA-sulf.txt","3")</f>
        <v>3</v>
      </c>
      <c r="EH20" s="2" t="s">
        <v>89</v>
      </c>
      <c r="EI20" s="2">
        <v>11.157894736842101</v>
      </c>
      <c r="EJ20" s="2">
        <v>4.2105263157894699</v>
      </c>
      <c r="EK20" s="2">
        <v>7.5789473684210504</v>
      </c>
      <c r="EL20" s="2">
        <v>11.789473684210501</v>
      </c>
      <c r="EM20" s="2" t="s">
        <v>89</v>
      </c>
      <c r="EN20" s="2">
        <v>5</v>
      </c>
      <c r="EO20" s="2">
        <v>5</v>
      </c>
      <c r="EP20" s="2" t="s">
        <v>89</v>
      </c>
      <c r="EQ20" s="2" t="s">
        <v>89</v>
      </c>
      <c r="ER20" s="2" t="s">
        <v>89</v>
      </c>
      <c r="ES20" s="2" t="s">
        <v>89</v>
      </c>
      <c r="ET20" s="2" t="str">
        <f>HYPERLINK(".\links\REFSEQ-INVERTEBRATE\AGAP009896-PA-REFSEQ-INVERTEBRATE.txt","proton-coupled amino acid transporter-like protein CG1139")</f>
        <v>proton-coupled amino acid transporter-like protein CG1139</v>
      </c>
      <c r="EU20" s="2" t="str">
        <f>HYPERLINK("http://www.ncbi.nlm.nih.gov/sutils/blink.cgi?pid=XP_035905115.1","0.0")</f>
        <v>0.0</v>
      </c>
      <c r="EV20" s="2" t="str">
        <f>HYPERLINK("http://www.ncbi.nlm.nih.gov/protein/XP_035905115.1","XP_035905115.1")</f>
        <v>XP_035905115.1</v>
      </c>
      <c r="EW20" s="2">
        <v>96</v>
      </c>
      <c r="EX20" s="2">
        <v>98</v>
      </c>
      <c r="EY20" s="2">
        <v>100</v>
      </c>
      <c r="EZ20" s="2" t="s">
        <v>600</v>
      </c>
    </row>
    <row r="21" spans="1:156" x14ac:dyDescent="0.25">
      <c r="A21" s="2" t="s">
        <v>1457</v>
      </c>
      <c r="B21" s="2">
        <v>1.2665494725058499</v>
      </c>
      <c r="C21" s="2">
        <f t="shared" si="0"/>
        <v>2.4058546299130308</v>
      </c>
      <c r="D21" s="2">
        <v>2.5088610149154098</v>
      </c>
      <c r="E21" s="2">
        <v>12.535112375991099</v>
      </c>
      <c r="F21" s="2">
        <v>3.9937559302686599E-4</v>
      </c>
      <c r="G21" s="2">
        <v>2.2744723335808702E-2</v>
      </c>
      <c r="H21" s="2" t="s">
        <v>1458</v>
      </c>
      <c r="I21" s="2" t="s">
        <v>87</v>
      </c>
      <c r="J21" s="2" t="str">
        <f>HYPERLINK("https://vectorbase.org/vectorbase/app/record/gene/AGAP005124","AGAP005124-RE")</f>
        <v>AGAP005124-RE</v>
      </c>
      <c r="K21" s="2" t="str">
        <f>HYPERLINK(".\links\pep\AGAP005124-PE-pep.txt","AGAP005124-PE")</f>
        <v>AGAP005124-PE</v>
      </c>
      <c r="L21" s="12" t="s">
        <v>88</v>
      </c>
      <c r="M21" s="2">
        <v>609</v>
      </c>
      <c r="N21" s="2">
        <v>0</v>
      </c>
      <c r="O21" s="2">
        <v>3</v>
      </c>
      <c r="P21" s="2" t="s">
        <v>1459</v>
      </c>
      <c r="Q21" s="9" t="s">
        <v>1460</v>
      </c>
      <c r="R21" s="2" t="s">
        <v>145</v>
      </c>
      <c r="S21" s="2" t="str">
        <f>HYPERLINK(".\links\KOG\AGAP005124-PE-KOG.txt","KOG")</f>
        <v>KOG</v>
      </c>
      <c r="T21" s="2">
        <v>2E-46</v>
      </c>
      <c r="U21" s="2">
        <v>89</v>
      </c>
      <c r="V21" s="2" t="s">
        <v>1461</v>
      </c>
      <c r="W21" s="10" t="s">
        <v>564</v>
      </c>
      <c r="X21" s="2" t="s">
        <v>145</v>
      </c>
      <c r="Y21" s="2" t="str">
        <f>HYPERLINK(".\links\COG\AGAP005124-PE-COG.txt","COG")</f>
        <v>COG</v>
      </c>
      <c r="Z21" s="13">
        <v>1.9999999999999999E-48</v>
      </c>
      <c r="AA21" s="2">
        <v>89.8</v>
      </c>
      <c r="AB21" s="14" t="s">
        <v>89</v>
      </c>
      <c r="AC21" s="14" t="str">
        <f>HYPERLINK(".\links\Sigp\AGAP005124-PE-SigP.txt","CYT")</f>
        <v>CYT</v>
      </c>
      <c r="AD21" s="2" t="s">
        <v>89</v>
      </c>
      <c r="AE21" s="2">
        <v>67.147000000000006</v>
      </c>
      <c r="AF21" s="2">
        <v>5.77</v>
      </c>
      <c r="AG21" s="2" t="s">
        <v>89</v>
      </c>
      <c r="AH21" s="2" t="s">
        <v>89</v>
      </c>
      <c r="AI21" s="2" t="s">
        <v>1462</v>
      </c>
      <c r="AJ21" s="14" t="str">
        <f>HYPERLINK(".\links\tmhmm\AGAP005124-PE-tmhmm.txt","1")</f>
        <v>1</v>
      </c>
      <c r="AK21" s="2">
        <v>3.6</v>
      </c>
      <c r="AL21" s="2">
        <v>95.7</v>
      </c>
      <c r="AM21" s="2">
        <v>0.7</v>
      </c>
      <c r="AN21" s="14" t="str">
        <f>HYPERLINK(".\links\gpi\AGAP005124-PE-gpi.txt","N")</f>
        <v>N</v>
      </c>
      <c r="AO21" s="15" t="str">
        <f>HYPERLINK(".\links\netoglyc\AGAP005124-PE-netoglyc.txt","1")</f>
        <v>1</v>
      </c>
      <c r="AP21" s="14">
        <v>14.1</v>
      </c>
      <c r="AQ21" s="2">
        <v>6.6</v>
      </c>
      <c r="AR21" s="2">
        <v>5.4</v>
      </c>
      <c r="AS21" s="2" t="s">
        <v>94</v>
      </c>
      <c r="AT21" s="9" t="str">
        <f>HYPERLINK(".\links\NR-LIGHT\AGAP005124-PE-NR-LIGHT.txt","AGAP005124-PB")</f>
        <v>AGAP005124-PB</v>
      </c>
      <c r="AU21" s="2" t="str">
        <f>HYPERLINK("http://www.ncbi.nlm.nih.gov/sutils/blink.cgi?pid=XP_001688504.1","0.0")</f>
        <v>0.0</v>
      </c>
      <c r="AV21" s="2" t="str">
        <f>HYPERLINK("http://www.ncbi.nlm.nih.gov/protein/XP_001688504.1","XP_001688504.1")</f>
        <v>XP_001688504.1</v>
      </c>
      <c r="AW21" s="2">
        <v>100</v>
      </c>
      <c r="AX21" s="2">
        <v>100</v>
      </c>
      <c r="AY21" s="2">
        <v>100</v>
      </c>
      <c r="AZ21" s="2" t="s">
        <v>95</v>
      </c>
      <c r="BA21" s="9" t="str">
        <f>HYPERLINK(".\links\REFSEQ-INVERTEBRATE\AGAP005124-PE-REFSEQ-INVERTEBRATE.txt","AGAP005124-PB")</f>
        <v>AGAP005124-PB</v>
      </c>
      <c r="BB21" s="2" t="str">
        <f>HYPERLINK("http://www.ncbi.nlm.nih.gov/sutils/blink.cgi?pid=XP_001688504.1","0.0")</f>
        <v>0.0</v>
      </c>
      <c r="BC21" s="2" t="str">
        <f>HYPERLINK("http://www.ncbi.nlm.nih.gov/protein/XP_001688504.1","XP_001688504.1")</f>
        <v>XP_001688504.1</v>
      </c>
      <c r="BD21" s="2">
        <v>100</v>
      </c>
      <c r="BE21" s="2">
        <v>100</v>
      </c>
      <c r="BF21" s="2">
        <v>100</v>
      </c>
      <c r="BG21" s="2" t="s">
        <v>95</v>
      </c>
      <c r="BH21" s="9" t="str">
        <f>HYPERLINK(".\links\REFSEQ-PROTOZOA\AGAP005124-PE-REFSEQ-PROTOZOA.txt","aldehyde dehydrogenase type III-PG")</f>
        <v>aldehyde dehydrogenase type III-PG</v>
      </c>
      <c r="BI21" s="2" t="str">
        <f>HYPERLINK("http://www.ncbi.nlm.nih.gov/sutils/blink.cgi?pid=XP_004343114.1","1E-131")</f>
        <v>1E-131</v>
      </c>
      <c r="BJ21" s="2" t="str">
        <f>HYPERLINK("http://www.ncbi.nlm.nih.gov/protein/XP_004343114.1","XP_004343114.1")</f>
        <v>XP_004343114.1</v>
      </c>
      <c r="BK21" s="2">
        <v>51</v>
      </c>
      <c r="BL21" s="2">
        <v>69</v>
      </c>
      <c r="BM21" s="2">
        <v>84</v>
      </c>
      <c r="BN21" s="2" t="s">
        <v>150</v>
      </c>
      <c r="BO21" s="9" t="str">
        <f>HYPERLINK(".\links\SWISSP\AGAP005124-PE-SWISSP.txt","Aldehyde dehydrogenase family 3 member B1")</f>
        <v>Aldehyde dehydrogenase family 3 member B1</v>
      </c>
      <c r="BP21" s="2" t="str">
        <f>HYPERLINK("http://www.uniprot.org/uniprot/Q5XI42","1E-136")</f>
        <v>1E-136</v>
      </c>
      <c r="BQ21" s="2" t="str">
        <f>HYPERLINK("http://www.uniprot.org/uniprot/Q5XI42#expression","Q5XI42")</f>
        <v>Q5XI42</v>
      </c>
      <c r="BR21" s="2">
        <v>50</v>
      </c>
      <c r="BS21" s="2">
        <v>69</v>
      </c>
      <c r="BT21" s="2">
        <v>99</v>
      </c>
      <c r="BU21" s="2" t="s">
        <v>198</v>
      </c>
      <c r="BV21" s="9" t="str">
        <f>HYPERLINK(".\links\FLYBASE\AGAP005124-PE-FLYBASE.txt","FBpp0289706")</f>
        <v>FBpp0289706</v>
      </c>
      <c r="BW21" s="2" t="str">
        <f>HYPERLINK("http://flybase.org/reports/FBgn0010548#alliance_summary_container","0.0")</f>
        <v>0.0</v>
      </c>
      <c r="BX21" s="2">
        <v>498</v>
      </c>
      <c r="BY21" s="2">
        <v>62</v>
      </c>
      <c r="BZ21" s="2">
        <v>78</v>
      </c>
      <c r="CA21" s="2">
        <v>99</v>
      </c>
      <c r="CB21" s="9" t="str">
        <f>HYPERLINK(".\links\CDD\AGAP005124-PE-CDD.txt","ALDH_F3AB, Aldehyde dehydrogenase family 3 members A1, A2, and B1 and related proteins")</f>
        <v>ALDH_F3AB, Aldehyde dehydrogenase family 3 members A1, A2, and B1 and related proteins</v>
      </c>
      <c r="CC21" s="13">
        <v>0</v>
      </c>
      <c r="CD21" s="2">
        <v>100.5</v>
      </c>
      <c r="CE21" s="2" t="s">
        <v>1463</v>
      </c>
      <c r="CF21" s="2" t="s">
        <v>1464</v>
      </c>
      <c r="CG21" s="9" t="str">
        <f>HYPERLINK(".\links\KOG\AGAP005124-PE-KOG.txt","Aldehyde dehydrogenase")</f>
        <v>Aldehyde dehydrogenase</v>
      </c>
      <c r="CH21" s="13">
        <v>0</v>
      </c>
      <c r="CI21" s="2">
        <v>101.3</v>
      </c>
      <c r="CJ21" s="2" t="s">
        <v>1465</v>
      </c>
      <c r="CK21" s="2" t="s">
        <v>155</v>
      </c>
      <c r="CL21" s="9" t="str">
        <f>HYPERLINK(".\links\PFAM\AGAP005124-PE-PFAM.txt","Aldedh, Aldehyde dehydrogenase family")</f>
        <v>Aldedh, Aldehyde dehydrogenase family</v>
      </c>
      <c r="CM21" s="13">
        <v>3.0000000000000001E-73</v>
      </c>
      <c r="CN21" s="2">
        <v>91.5</v>
      </c>
      <c r="CO21" s="2" t="s">
        <v>1466</v>
      </c>
      <c r="CP21" s="9" t="str">
        <f>HYPERLINK(".\links\SMART\AGAP005124-PE-SMART.txt","RA, Ras association (RalGDS/AF-6) domain")</f>
        <v>RA, Ras association (RalGDS/AF-6) domain</v>
      </c>
      <c r="CQ21" s="13">
        <v>0.79</v>
      </c>
      <c r="CR21" s="2">
        <v>70</v>
      </c>
      <c r="CS21" s="2" t="s">
        <v>1467</v>
      </c>
      <c r="CT21" s="2" t="s">
        <v>1461</v>
      </c>
      <c r="CU21" s="2" t="s">
        <v>1461</v>
      </c>
      <c r="CV21" s="2" t="s">
        <v>1461</v>
      </c>
      <c r="CW21" s="2" t="str">
        <f>HYPERLINK(".\links\pep\AGAP005124-PE-pep.txt","AGAP005124-PE")</f>
        <v>AGAP005124-PE</v>
      </c>
      <c r="CX21" s="2" t="s">
        <v>88</v>
      </c>
      <c r="CY21" s="2">
        <v>609</v>
      </c>
      <c r="CZ21" s="2" t="s">
        <v>103</v>
      </c>
      <c r="DA21" s="2" t="s">
        <v>1468</v>
      </c>
      <c r="DB21" s="2">
        <v>0</v>
      </c>
      <c r="DC21" s="2">
        <v>3</v>
      </c>
      <c r="DD21" s="2" t="str">
        <f>HYPERLINK("https://www.kegg.jp/kegg-bin/search_pathway_text?map=aga&amp;keyword=AGAP005124&amp;mode=1&amp;viewImage=true","AGAP005124")</f>
        <v>AGAP005124</v>
      </c>
      <c r="DE21" s="2" t="s">
        <v>1457</v>
      </c>
      <c r="DF21" s="2" t="s">
        <v>1458</v>
      </c>
      <c r="DG21" s="2" t="s">
        <v>87</v>
      </c>
      <c r="DH21" s="2" t="str">
        <f>HYPERLINK("https://vectorbase.org/vectorbase/app/record/gene/AGAP005124","AGAP005124-RE")</f>
        <v>AGAP005124-RE</v>
      </c>
      <c r="DI21" s="2" t="s">
        <v>105</v>
      </c>
      <c r="DJ21" s="2">
        <v>2950</v>
      </c>
      <c r="DK21" s="2" t="str">
        <f>HYPERLINK(".\links\netoglyc\AGAP005124-PE-netoglyc.txt","1")</f>
        <v>1</v>
      </c>
      <c r="DL21" s="2">
        <v>14.1</v>
      </c>
      <c r="DM21" s="2">
        <v>6.6</v>
      </c>
      <c r="DN21" s="2">
        <v>5.4</v>
      </c>
      <c r="DO21" s="2" t="s">
        <v>94</v>
      </c>
      <c r="DP21" s="2" t="s">
        <v>89</v>
      </c>
      <c r="DQ21" s="2" t="str">
        <f>HYPERLINK(".\links\Sigp\AGAP005124-PE-SigP.txt","CYT")</f>
        <v>CYT</v>
      </c>
      <c r="DR21" s="2" t="s">
        <v>89</v>
      </c>
      <c r="DS21" s="2">
        <v>67.147000000000006</v>
      </c>
      <c r="DT21" s="2">
        <v>5.77</v>
      </c>
      <c r="DU21" s="2" t="s">
        <v>89</v>
      </c>
      <c r="DV21" s="2" t="s">
        <v>89</v>
      </c>
      <c r="DW21" s="2" t="s">
        <v>1462</v>
      </c>
      <c r="DX21" s="2">
        <v>609</v>
      </c>
      <c r="DY21" s="12" t="str">
        <f>HYPERLINK(".\links\tmhmm\AGAP005124-PE-tmhmm.txt","1")</f>
        <v>1</v>
      </c>
      <c r="DZ21" s="2">
        <v>3.6</v>
      </c>
      <c r="EA21" s="2">
        <v>95.7</v>
      </c>
      <c r="EB21" s="2">
        <v>0.7</v>
      </c>
      <c r="EC21" s="2" t="str">
        <f>HYPERLINK(".\links\gpi\AGAP005124-PE-gpi.txt","Y-NoSP")</f>
        <v>Y-NoSP</v>
      </c>
      <c r="ED21" s="2">
        <v>0.16</v>
      </c>
      <c r="EF21" s="2">
        <v>13</v>
      </c>
      <c r="EG21" s="2" t="s">
        <v>89</v>
      </c>
      <c r="EH21" s="2" t="s">
        <v>89</v>
      </c>
      <c r="EI21" s="2">
        <v>14.1215106732348</v>
      </c>
      <c r="EJ21" s="2">
        <v>5.4187192118226601</v>
      </c>
      <c r="EK21" s="2">
        <v>6.5681444991789801</v>
      </c>
      <c r="EL21" s="2">
        <v>11.9868637110016</v>
      </c>
      <c r="EM21" s="2" t="s">
        <v>89</v>
      </c>
      <c r="EN21" s="2">
        <v>1</v>
      </c>
      <c r="EO21" s="2">
        <v>1</v>
      </c>
      <c r="EP21" s="2" t="s">
        <v>89</v>
      </c>
      <c r="EQ21" s="2" t="s">
        <v>89</v>
      </c>
      <c r="ER21" s="2" t="s">
        <v>89</v>
      </c>
      <c r="ES21" s="2" t="s">
        <v>89</v>
      </c>
      <c r="ET21" s="2" t="str">
        <f>HYPERLINK(".\links\REFSEQ-INVERTEBRATE\AGAP005124-PE-REFSEQ-INVERTEBRATE.txt","aldehyde dehydrogenase family 3 member B1 isoform X5")</f>
        <v>aldehyde dehydrogenase family 3 member B1 isoform X5</v>
      </c>
      <c r="EU21" s="2" t="str">
        <f>HYPERLINK("http://www.ncbi.nlm.nih.gov/sutils/blink.cgi?pid=XP_035906578.1","0.0")</f>
        <v>0.0</v>
      </c>
      <c r="EV21" s="2" t="str">
        <f>HYPERLINK("http://www.ncbi.nlm.nih.gov/protein/XP_035906578.1","XP_035906578.1")</f>
        <v>XP_035906578.1</v>
      </c>
      <c r="EW21" s="2">
        <v>88</v>
      </c>
      <c r="EX21" s="2">
        <v>91</v>
      </c>
      <c r="EY21" s="2">
        <v>100</v>
      </c>
      <c r="EZ21" s="2" t="s">
        <v>600</v>
      </c>
    </row>
    <row r="22" spans="1:156" x14ac:dyDescent="0.25">
      <c r="A22" s="2" t="s">
        <v>464</v>
      </c>
      <c r="B22" s="2">
        <v>1.2597043459219699</v>
      </c>
      <c r="C22" s="2">
        <f t="shared" si="0"/>
        <v>2.3944666566146777</v>
      </c>
      <c r="D22" s="2">
        <v>3.7652101057449601</v>
      </c>
      <c r="E22" s="2">
        <v>11.5232968005018</v>
      </c>
      <c r="F22" s="2">
        <v>6.8729392054718899E-4</v>
      </c>
      <c r="G22" s="2">
        <v>3.2522748320292998E-2</v>
      </c>
      <c r="H22" s="2" t="s">
        <v>465</v>
      </c>
      <c r="I22" s="2" t="s">
        <v>466</v>
      </c>
      <c r="J22" s="8" t="s">
        <v>467</v>
      </c>
      <c r="Q22" s="9"/>
      <c r="W22" s="10"/>
      <c r="AB22" s="9"/>
      <c r="AC22" s="9"/>
      <c r="AJ22" s="9"/>
      <c r="AN22" s="9"/>
      <c r="AO22" s="11"/>
      <c r="AP22" s="9"/>
      <c r="AT22" s="9"/>
      <c r="BA22" s="9"/>
      <c r="BH22" s="9"/>
      <c r="BO22" s="9"/>
      <c r="BV22" s="9"/>
      <c r="CB22" s="9"/>
      <c r="CG22" s="9"/>
      <c r="CL22" s="9"/>
      <c r="CP22" s="9"/>
      <c r="DE22" s="2" t="s">
        <v>464</v>
      </c>
      <c r="DF22" s="2" t="s">
        <v>465</v>
      </c>
      <c r="DG22" s="2" t="s">
        <v>466</v>
      </c>
      <c r="DH22" s="8" t="s">
        <v>467</v>
      </c>
      <c r="DI22" s="2" t="s">
        <v>105</v>
      </c>
      <c r="DJ22" s="2">
        <v>6417</v>
      </c>
      <c r="DQ22" s="2" t="s">
        <v>468</v>
      </c>
      <c r="DS22" s="2">
        <v>200975</v>
      </c>
      <c r="DT22" s="2">
        <v>5.37</v>
      </c>
      <c r="DX22" s="2">
        <v>1906</v>
      </c>
      <c r="DY22" s="12"/>
    </row>
    <row r="23" spans="1:156" x14ac:dyDescent="0.25">
      <c r="A23" s="2" t="s">
        <v>2763</v>
      </c>
      <c r="B23" s="2">
        <v>1.22483902166391</v>
      </c>
      <c r="C23" s="2">
        <f t="shared" si="0"/>
        <v>2.3372936834163829</v>
      </c>
      <c r="D23" s="2">
        <v>4.6032573588207102</v>
      </c>
      <c r="E23" s="2">
        <v>19.6768345652901</v>
      </c>
      <c r="F23" s="2">
        <v>9.1706365252980194E-6</v>
      </c>
      <c r="G23" s="2">
        <v>1.6273294514141301E-3</v>
      </c>
      <c r="H23" s="2" t="s">
        <v>86</v>
      </c>
      <c r="I23" s="2" t="s">
        <v>87</v>
      </c>
      <c r="J23" s="2" t="str">
        <f>HYPERLINK("https://vectorbase.org/vectorbase/app/record/gene/AGAP012008","AGAP012008-RA")</f>
        <v>AGAP012008-RA</v>
      </c>
      <c r="K23" s="2" t="str">
        <f>HYPERLINK(".\links\pep\AGAP012008-PA-pep.txt","AGAP012008-PA")</f>
        <v>AGAP012008-PA</v>
      </c>
      <c r="L23" s="12" t="s">
        <v>88</v>
      </c>
      <c r="M23" s="2">
        <v>302</v>
      </c>
      <c r="N23" s="2">
        <v>0</v>
      </c>
      <c r="O23" s="2">
        <v>2</v>
      </c>
      <c r="P23" s="2" t="s">
        <v>89</v>
      </c>
      <c r="Q23" s="9" t="s">
        <v>2764</v>
      </c>
      <c r="R23" s="2" t="s">
        <v>148</v>
      </c>
      <c r="S23" s="2" t="str">
        <f>HYPERLINK(".\links\REFSEQ-INVERTEBRATE\AGAP012008-PA-REFSEQ-INVERTEBRATE.txt","REFSEQ-INVERTEBRATE")</f>
        <v>REFSEQ-INVERTEBRATE</v>
      </c>
      <c r="T23" s="2">
        <v>9.0000000000000001E-78</v>
      </c>
      <c r="U23" s="2">
        <v>109.3</v>
      </c>
      <c r="V23" s="2" t="s">
        <v>2765</v>
      </c>
      <c r="W23" s="10" t="s">
        <v>2766</v>
      </c>
      <c r="X23" s="2" t="s">
        <v>148</v>
      </c>
      <c r="Y23" s="2" t="str">
        <f>HYPERLINK(".\links\REFSEQ-INVERTEBRATE\AGAP012008-PA-REFSEQ-INVERTEBRATE.txt","REFSEQ-INVERTEBRATE")</f>
        <v>REFSEQ-INVERTEBRATE</v>
      </c>
      <c r="Z23" s="2">
        <v>0</v>
      </c>
      <c r="AA23" s="2">
        <v>107.2</v>
      </c>
      <c r="AB23" s="14" t="s">
        <v>89</v>
      </c>
      <c r="AC23" s="14" t="str">
        <f>HYPERLINK(".\links\Sigp\AGAP012008-PA-SigP.txt","CYT")</f>
        <v>CYT</v>
      </c>
      <c r="AD23" s="2" t="s">
        <v>89</v>
      </c>
      <c r="AE23" s="2">
        <v>32.045999999999999</v>
      </c>
      <c r="AF23" s="2">
        <v>9.27</v>
      </c>
      <c r="AG23" s="2" t="s">
        <v>89</v>
      </c>
      <c r="AH23" s="2" t="s">
        <v>89</v>
      </c>
      <c r="AI23" s="2" t="s">
        <v>93</v>
      </c>
      <c r="AJ23" s="14">
        <v>0</v>
      </c>
      <c r="AK23" s="2" t="s">
        <v>89</v>
      </c>
      <c r="AL23" s="2" t="s">
        <v>89</v>
      </c>
      <c r="AM23" s="2" t="s">
        <v>89</v>
      </c>
      <c r="AN23" s="14" t="str">
        <f>HYPERLINK(".\links\gpi\AGAP012008-PA-gpi.txt","N")</f>
        <v>N</v>
      </c>
      <c r="AO23" s="15" t="str">
        <f>HYPERLINK(".\links\netoglyc\AGAP012008-PA-netoglyc.txt","7")</f>
        <v>7</v>
      </c>
      <c r="AP23" s="14">
        <v>12.6</v>
      </c>
      <c r="AQ23" s="2">
        <v>9.6</v>
      </c>
      <c r="AR23" s="2">
        <v>5.3</v>
      </c>
      <c r="AS23" s="2" t="s">
        <v>94</v>
      </c>
      <c r="AT23" s="9" t="str">
        <f>HYPERLINK(".\links\NR-LIGHT\AGAP012008-PA-NR-LIGHT.txt","AGAP012008-PA, partial")</f>
        <v>AGAP012008-PA, partial</v>
      </c>
      <c r="AU23" s="2" t="str">
        <f>HYPERLINK("http://www.ncbi.nlm.nih.gov/sutils/blink.cgi?pid=XP_320525.4","1E-172")</f>
        <v>1E-172</v>
      </c>
      <c r="AV23" s="2" t="str">
        <f>HYPERLINK("http://www.ncbi.nlm.nih.gov/protein/XP_320525.4","XP_320525.4")</f>
        <v>XP_320525.4</v>
      </c>
      <c r="AW23" s="2">
        <v>100</v>
      </c>
      <c r="AX23" s="2">
        <v>100</v>
      </c>
      <c r="AY23" s="2">
        <v>99</v>
      </c>
      <c r="AZ23" s="2" t="s">
        <v>95</v>
      </c>
      <c r="BA23" s="9" t="str">
        <f>HYPERLINK(".\links\REFSEQ-INVERTEBRATE\AGAP012008-PA-REFSEQ-INVERTEBRATE.txt","AGAP012008-PA, partial")</f>
        <v>AGAP012008-PA, partial</v>
      </c>
      <c r="BB23" s="2" t="str">
        <f>HYPERLINK("http://www.ncbi.nlm.nih.gov/sutils/blink.cgi?pid=XP_320525.4","1E-172")</f>
        <v>1E-172</v>
      </c>
      <c r="BC23" s="2" t="str">
        <f>HYPERLINK("http://www.ncbi.nlm.nih.gov/protein/XP_320525.4","XP_320525.4")</f>
        <v>XP_320525.4</v>
      </c>
      <c r="BD23" s="2">
        <v>100</v>
      </c>
      <c r="BE23" s="2">
        <v>100</v>
      </c>
      <c r="BF23" s="2">
        <v>99</v>
      </c>
      <c r="BG23" s="2" t="s">
        <v>95</v>
      </c>
      <c r="BH23" s="9" t="str">
        <f>HYPERLINK(".\links\REFSEQ-PROTOZOA\AGAP012008-PA-REFSEQ-PROTOZOA.txt","hypothetical protein DFA_12334")</f>
        <v>hypothetical protein DFA_12334</v>
      </c>
      <c r="BI23" s="2" t="str">
        <f>HYPERLINK("http://www.ncbi.nlm.nih.gov/sutils/blink.cgi?pid=XP_004366078.1","2E-008")</f>
        <v>2E-008</v>
      </c>
      <c r="BJ23" s="2" t="str">
        <f>HYPERLINK("http://www.ncbi.nlm.nih.gov/protein/XP_004366078.1","XP_004366078.1")</f>
        <v>XP_004366078.1</v>
      </c>
      <c r="BK23" s="2">
        <v>24</v>
      </c>
      <c r="BL23" s="2">
        <v>40</v>
      </c>
      <c r="BM23" s="2">
        <v>19</v>
      </c>
      <c r="BN23" s="2" t="s">
        <v>2767</v>
      </c>
      <c r="BO23" s="9" t="str">
        <f>HYPERLINK(".\links\SWISSP\AGAP012008-PA-SWISSP.txt","Na(+)/H(+) exchange regulatory cofactor NHE-RF2")</f>
        <v>Na(+)/H(+) exchange regulatory cofactor NHE-RF2</v>
      </c>
      <c r="BP23" s="2" t="str">
        <f>HYPERLINK("http://www.uniprot.org/uniprot/Q920G2","3E-022")</f>
        <v>3E-022</v>
      </c>
      <c r="BQ23" s="2" t="str">
        <f>HYPERLINK("http://www.uniprot.org/uniprot/Q920G2#expression","Q920G2")</f>
        <v>Q920G2</v>
      </c>
      <c r="BR23" s="2">
        <v>48</v>
      </c>
      <c r="BS23" s="2">
        <v>60</v>
      </c>
      <c r="BT23" s="2">
        <v>35</v>
      </c>
      <c r="BU23" s="2" t="s">
        <v>198</v>
      </c>
      <c r="BV23" s="9" t="str">
        <f>HYPERLINK(".\links\FLYBASE\AGAP012008-PA-FLYBASE.txt","FBpp0086065")</f>
        <v>FBpp0086065</v>
      </c>
      <c r="BW23" s="2" t="str">
        <f>HYPERLINK("http://flybase.org/reports/FBgn0010620#alliance_summary_container","8E-38")</f>
        <v>8E-38</v>
      </c>
      <c r="BX23" s="2">
        <v>296</v>
      </c>
      <c r="BY23" s="2">
        <v>62</v>
      </c>
      <c r="BZ23" s="2">
        <v>78</v>
      </c>
      <c r="CA23" s="2">
        <v>34</v>
      </c>
      <c r="CB23" s="9" t="str">
        <f>HYPERLINK(".\links\CDD\AGAP012008-PA-CDD.txt","PDZ_signaling, PDZ domain found in a variety of Eumetazoan signaling molecules, often in tandem arrangements")</f>
        <v>PDZ_signaling, PDZ domain found in a variety of Eumetazoan signaling molecules, often in tandem arrangements</v>
      </c>
      <c r="CC23" s="13">
        <v>6.9999999999999997E-18</v>
      </c>
      <c r="CD23" s="2">
        <v>100</v>
      </c>
      <c r="CE23" s="2" t="s">
        <v>2768</v>
      </c>
      <c r="CF23" s="2" t="s">
        <v>2769</v>
      </c>
      <c r="CG23" s="9" t="str">
        <f>HYPERLINK(".\links\KOG\AGAP012008-PA-KOG.txt","WW domain-containing protein")</f>
        <v>WW domain-containing protein</v>
      </c>
      <c r="CH23" s="13">
        <v>4.0000000000000003E-15</v>
      </c>
      <c r="CI23" s="2">
        <v>18.7</v>
      </c>
      <c r="CJ23" s="2" t="s">
        <v>2770</v>
      </c>
      <c r="CK23" s="2" t="s">
        <v>187</v>
      </c>
      <c r="CL23" s="9" t="str">
        <f>HYPERLINK(".\links\PFAM\AGAP012008-PA-PFAM.txt","PDZ, PDZ domain (Also known as DHR or GLGF)")</f>
        <v>PDZ, PDZ domain (Also known as DHR or GLGF)</v>
      </c>
      <c r="CM23" s="13">
        <v>2.0000000000000001E-10</v>
      </c>
      <c r="CN23" s="2">
        <v>87.7</v>
      </c>
      <c r="CO23" s="2" t="s">
        <v>2771</v>
      </c>
      <c r="CP23" s="9" t="str">
        <f>HYPERLINK(".\links\SMART\AGAP012008-PA-SMART.txt","PDZ, Domain present in PSD-95, Dlg, and ZO-1/2")</f>
        <v>PDZ, Domain present in PSD-95, Dlg, and ZO-1/2</v>
      </c>
      <c r="CQ23" s="13">
        <v>2.0000000000000001E-17</v>
      </c>
      <c r="CR23" s="2">
        <v>95.3</v>
      </c>
      <c r="CS23" s="2" t="s">
        <v>2772</v>
      </c>
      <c r="CT23" s="2" t="s">
        <v>2765</v>
      </c>
      <c r="CU23" s="2" t="s">
        <v>2765</v>
      </c>
      <c r="CV23" s="2" t="s">
        <v>2765</v>
      </c>
      <c r="CW23" s="2" t="str">
        <f>HYPERLINK(".\links\pep\AGAP012008-PA-pep.txt","AGAP012008-PA")</f>
        <v>AGAP012008-PA</v>
      </c>
      <c r="CX23" s="2" t="s">
        <v>88</v>
      </c>
      <c r="CY23" s="2">
        <v>302</v>
      </c>
      <c r="CZ23" s="2" t="s">
        <v>103</v>
      </c>
      <c r="DA23" s="2" t="s">
        <v>2773</v>
      </c>
      <c r="DB23" s="2">
        <v>0</v>
      </c>
      <c r="DC23" s="2">
        <v>2</v>
      </c>
      <c r="DD23" s="2" t="str">
        <f>HYPERLINK("https://www.kegg.jp/kegg-bin/search_pathway_text?map=aga&amp;keyword=AGAP012008&amp;mode=1&amp;viewImage=true","AGAP012008")</f>
        <v>AGAP012008</v>
      </c>
      <c r="DE23" s="2" t="s">
        <v>2763</v>
      </c>
      <c r="DF23" s="2" t="s">
        <v>86</v>
      </c>
      <c r="DG23" s="2" t="s">
        <v>87</v>
      </c>
      <c r="DH23" s="2" t="str">
        <f>HYPERLINK("https://vectorbase.org/vectorbase/app/record/gene/AGAP012008","AGAP012008-RA")</f>
        <v>AGAP012008-RA</v>
      </c>
      <c r="DI23" s="2" t="s">
        <v>158</v>
      </c>
      <c r="DJ23" s="2">
        <v>3186</v>
      </c>
      <c r="DK23" s="2" t="str">
        <f>HYPERLINK(".\links\netoglyc\AGAP012008-PA-netoglyc.txt","7")</f>
        <v>7</v>
      </c>
      <c r="DL23" s="2">
        <v>12.6</v>
      </c>
      <c r="DM23" s="2">
        <v>9.6</v>
      </c>
      <c r="DN23" s="2">
        <v>5.3</v>
      </c>
      <c r="DO23" s="2" t="s">
        <v>94</v>
      </c>
      <c r="DP23" s="2" t="s">
        <v>89</v>
      </c>
      <c r="DQ23" s="2" t="str">
        <f>HYPERLINK(".\links\Sigp\AGAP012008-PA-SigP.txt","CYT")</f>
        <v>CYT</v>
      </c>
      <c r="DR23" s="2" t="s">
        <v>89</v>
      </c>
      <c r="DS23" s="2">
        <v>32.045999999999999</v>
      </c>
      <c r="DT23" s="2">
        <v>9.27</v>
      </c>
      <c r="DU23" s="2" t="s">
        <v>89</v>
      </c>
      <c r="DV23" s="2" t="s">
        <v>89</v>
      </c>
      <c r="DW23" s="2" t="s">
        <v>93</v>
      </c>
      <c r="DX23" s="2">
        <v>302</v>
      </c>
      <c r="DY23" s="12">
        <v>0</v>
      </c>
      <c r="DZ23" s="2" t="s">
        <v>89</v>
      </c>
      <c r="EA23" s="2" t="s">
        <v>89</v>
      </c>
      <c r="EB23" s="2" t="s">
        <v>89</v>
      </c>
      <c r="EC23" s="2" t="str">
        <f>HYPERLINK(".\links\gpi\AGAP012008-PA-gpi.txt","N")</f>
        <v>N</v>
      </c>
      <c r="ED23" s="2">
        <v>0.43</v>
      </c>
      <c r="EF23" s="2">
        <v>2</v>
      </c>
      <c r="EG23" s="2" t="s">
        <v>89</v>
      </c>
      <c r="EH23" s="2" t="s">
        <v>89</v>
      </c>
      <c r="EI23" s="2">
        <v>12.582781456953599</v>
      </c>
      <c r="EJ23" s="2">
        <v>5.2980132450331103</v>
      </c>
      <c r="EK23" s="2">
        <v>9.6026490066225207</v>
      </c>
      <c r="EL23" s="2">
        <v>14.9006622516556</v>
      </c>
      <c r="EM23" s="2" t="s">
        <v>89</v>
      </c>
      <c r="EN23" s="2">
        <v>1</v>
      </c>
      <c r="EO23" s="2">
        <v>2</v>
      </c>
      <c r="EP23" s="2" t="s">
        <v>89</v>
      </c>
      <c r="EQ23" s="2" t="s">
        <v>89</v>
      </c>
      <c r="ER23" s="2" t="s">
        <v>89</v>
      </c>
      <c r="ES23" s="2" t="s">
        <v>89</v>
      </c>
      <c r="ET23" s="2" t="str">
        <f>HYPERLINK(".\links\REFSEQ-INVERTEBRATE\AGAP012008-PA-REFSEQ-INVERTEBRATE.txt","AGAP012008-PA, partial")</f>
        <v>AGAP012008-PA, partial</v>
      </c>
      <c r="EU23" s="2" t="str">
        <f>HYPERLINK("http://www.ncbi.nlm.nih.gov/sutils/blink.cgi?pid=XP_320525.4","0.0")</f>
        <v>0.0</v>
      </c>
      <c r="EV23" s="2" t="str">
        <f>HYPERLINK("http://www.ncbi.nlm.nih.gov/protein/XP_320525.4","XP_320525.4")</f>
        <v>XP_320525.4</v>
      </c>
      <c r="EW23" s="2">
        <v>100</v>
      </c>
      <c r="EX23" s="2">
        <v>100</v>
      </c>
      <c r="EY23" s="2">
        <v>99</v>
      </c>
      <c r="EZ23" s="2" t="s">
        <v>95</v>
      </c>
    </row>
    <row r="24" spans="1:156" x14ac:dyDescent="0.25">
      <c r="A24" s="2" t="s">
        <v>1708</v>
      </c>
      <c r="B24" s="2">
        <v>1.20315350260332</v>
      </c>
      <c r="C24" s="2">
        <f t="shared" si="0"/>
        <v>2.3024239472933394</v>
      </c>
      <c r="D24" s="2">
        <v>5.6863185835302996</v>
      </c>
      <c r="E24" s="2">
        <v>20.518367063146901</v>
      </c>
      <c r="F24" s="2">
        <v>5.90617894826588E-6</v>
      </c>
      <c r="G24" s="2">
        <v>1.25766174524374E-3</v>
      </c>
      <c r="H24" s="2" t="s">
        <v>1709</v>
      </c>
      <c r="I24" s="2" t="s">
        <v>87</v>
      </c>
      <c r="J24" s="2" t="str">
        <f>HYPERLINK("https://vectorbase.org/vectorbase/app/record/gene/AGAP006768","AGAP006768-RA")</f>
        <v>AGAP006768-RA</v>
      </c>
      <c r="K24" s="2" t="str">
        <f>HYPERLINK(".\links\pep\AGAP006768-PA-pep.txt","AGAP006768-PA")</f>
        <v>AGAP006768-PA</v>
      </c>
      <c r="L24" s="12" t="s">
        <v>88</v>
      </c>
      <c r="M24" s="2">
        <v>550</v>
      </c>
      <c r="N24" s="2">
        <v>0</v>
      </c>
      <c r="O24" s="2">
        <v>1</v>
      </c>
      <c r="P24" s="2" t="s">
        <v>1710</v>
      </c>
      <c r="Q24" s="9" t="s">
        <v>1711</v>
      </c>
      <c r="R24" s="2" t="s">
        <v>148</v>
      </c>
      <c r="S24" s="2" t="str">
        <f>HYPERLINK(".\links\KOG\AGAP006768-PA-KOG.txt","KOG")</f>
        <v>KOG</v>
      </c>
      <c r="T24" s="2">
        <v>3.0000000000000001E-62</v>
      </c>
      <c r="U24" s="2">
        <v>42.8</v>
      </c>
      <c r="V24" s="2" t="s">
        <v>1712</v>
      </c>
      <c r="W24" s="10" t="s">
        <v>1713</v>
      </c>
      <c r="X24" s="2" t="s">
        <v>164</v>
      </c>
      <c r="Y24" s="2" t="str">
        <f>HYPERLINK(".\links\EC\AGAP006768-PA-EC.txt","EC")</f>
        <v>EC</v>
      </c>
      <c r="Z24" s="13">
        <v>0</v>
      </c>
      <c r="AA24" s="2">
        <v>88.6</v>
      </c>
      <c r="AB24" s="14" t="s">
        <v>89</v>
      </c>
      <c r="AC24" s="14" t="str">
        <f>HYPERLINK(".\links\Sigp\AGAP006768-PA-SigP.txt","CYT")</f>
        <v>CYT</v>
      </c>
      <c r="AD24" s="2" t="s">
        <v>89</v>
      </c>
      <c r="AE24" s="2">
        <v>61.527999999999999</v>
      </c>
      <c r="AF24" s="2">
        <v>7.98</v>
      </c>
      <c r="AG24" s="2" t="s">
        <v>89</v>
      </c>
      <c r="AH24" s="2" t="s">
        <v>89</v>
      </c>
      <c r="AI24" s="2" t="s">
        <v>1714</v>
      </c>
      <c r="AJ24" s="14" t="str">
        <f>HYPERLINK(".\links\tmhmm\AGAP006768-PA-tmhmm.txt","1")</f>
        <v>1</v>
      </c>
      <c r="AK24" s="2">
        <v>4</v>
      </c>
      <c r="AL24" s="2">
        <v>93.6</v>
      </c>
      <c r="AM24" s="2">
        <v>2.4</v>
      </c>
      <c r="AN24" s="14" t="str">
        <f>HYPERLINK(".\links\gpi\AGAP006768-PA-gpi.txt","N")</f>
        <v>N</v>
      </c>
      <c r="AO24" s="15" t="str">
        <f>HYPERLINK(".\links\netoglyc\AGAP006768-PA-netoglyc.txt","0")</f>
        <v>0</v>
      </c>
      <c r="AP24" s="14">
        <v>12.2</v>
      </c>
      <c r="AQ24" s="2">
        <v>7.3</v>
      </c>
      <c r="AR24" s="2">
        <v>4.5</v>
      </c>
      <c r="AS24" s="2" t="s">
        <v>94</v>
      </c>
      <c r="AT24" s="9" t="str">
        <f>HYPERLINK(".\links\NR-LIGHT\AGAP006768-PA-NR-LIGHT.txt","AGAP006768-PA")</f>
        <v>AGAP006768-PA</v>
      </c>
      <c r="AU24" s="2" t="str">
        <f>HYPERLINK("http://www.ncbi.nlm.nih.gov/sutils/blink.cgi?pid=XP_308977.4","0.0")</f>
        <v>0.0</v>
      </c>
      <c r="AV24" s="2" t="str">
        <f>HYPERLINK("http://www.ncbi.nlm.nih.gov/protein/XP_308977.4","XP_308977.4")</f>
        <v>XP_308977.4</v>
      </c>
      <c r="AW24" s="2">
        <v>97</v>
      </c>
      <c r="AX24" s="2">
        <v>97</v>
      </c>
      <c r="AY24" s="2">
        <v>100</v>
      </c>
      <c r="AZ24" s="2" t="s">
        <v>95</v>
      </c>
      <c r="BA24" s="9" t="str">
        <f>HYPERLINK(".\links\REFSEQ-INVERTEBRATE\AGAP006768-PA-REFSEQ-INVERTEBRATE.txt","AGAP006768-PA")</f>
        <v>AGAP006768-PA</v>
      </c>
      <c r="BB24" s="2" t="str">
        <f>HYPERLINK("http://www.ncbi.nlm.nih.gov/sutils/blink.cgi?pid=XP_308977.4","0.0")</f>
        <v>0.0</v>
      </c>
      <c r="BC24" s="2" t="str">
        <f>HYPERLINK("http://www.ncbi.nlm.nih.gov/protein/XP_308977.4","XP_308977.4")</f>
        <v>XP_308977.4</v>
      </c>
      <c r="BD24" s="2">
        <v>97</v>
      </c>
      <c r="BE24" s="2">
        <v>97</v>
      </c>
      <c r="BF24" s="2">
        <v>100</v>
      </c>
      <c r="BG24" s="2" t="s">
        <v>95</v>
      </c>
      <c r="BH24" s="9" t="str">
        <f>HYPERLINK(".\links\REFSEQ-PROTOZOA\AGAP006768-PA-REFSEQ-PROTOZOA.txt","hypothetical protein H310_00929")</f>
        <v>hypothetical protein H310_00929</v>
      </c>
      <c r="BI24" s="2" t="str">
        <f>HYPERLINK("http://www.ncbi.nlm.nih.gov/sutils/blink.cgi?pid=XP_008862123.1","8E-073")</f>
        <v>8E-073</v>
      </c>
      <c r="BJ24" s="2" t="str">
        <f>HYPERLINK("http://www.ncbi.nlm.nih.gov/protein/XP_008862123.1","XP_008862123.1")</f>
        <v>XP_008862123.1</v>
      </c>
      <c r="BK24" s="2">
        <v>32</v>
      </c>
      <c r="BL24" s="2">
        <v>48</v>
      </c>
      <c r="BM24" s="2">
        <v>81</v>
      </c>
      <c r="BN24" s="2" t="s">
        <v>1350</v>
      </c>
      <c r="BO24" s="9" t="str">
        <f>HYPERLINK(".\links\SWISSP\AGAP006768-PA-SWISSP.txt","Diacylglycerol kinase epsilon")</f>
        <v>Diacylglycerol kinase epsilon</v>
      </c>
      <c r="BP24" s="2" t="str">
        <f>HYPERLINK("http://www.uniprot.org/uniprot/P52429","1E-105")</f>
        <v>1E-105</v>
      </c>
      <c r="BQ24" s="2" t="str">
        <f>HYPERLINK("http://www.uniprot.org/uniprot/P52429#expression","P52429")</f>
        <v>P52429</v>
      </c>
      <c r="BR24" s="2">
        <v>40</v>
      </c>
      <c r="BS24" s="2">
        <v>58</v>
      </c>
      <c r="BT24" s="2">
        <v>88</v>
      </c>
      <c r="BU24" s="2" t="s">
        <v>115</v>
      </c>
      <c r="BV24" s="9" t="str">
        <f>HYPERLINK(".\links\FLYBASE\AGAP006768-PA-FLYBASE.txt","FBpp0308762")</f>
        <v>FBpp0308762</v>
      </c>
      <c r="BW24" s="2" t="str">
        <f>HYPERLINK("http://flybase.org/reports/FBgn0020930#alliance_summary_container","0.0")</f>
        <v>0.0</v>
      </c>
      <c r="BX24" s="2">
        <v>534</v>
      </c>
      <c r="BY24" s="2">
        <v>51</v>
      </c>
      <c r="BZ24" s="2">
        <v>67</v>
      </c>
      <c r="CA24" s="2">
        <v>101</v>
      </c>
      <c r="CB24" s="9" t="str">
        <f>HYPERLINK(".\links\CDD\AGAP006768-PA-CDD.txt","DAGK_acc, Diacylglycerol kinase accessory domain")</f>
        <v>DAGK_acc, Diacylglycerol kinase accessory domain</v>
      </c>
      <c r="CC24" s="13">
        <v>2.0000000000000001E-54</v>
      </c>
      <c r="CD24" s="2">
        <v>101.3</v>
      </c>
      <c r="CE24" s="2" t="s">
        <v>1715</v>
      </c>
      <c r="CF24" s="2" t="s">
        <v>1716</v>
      </c>
      <c r="CG24" s="9" t="str">
        <f>HYPERLINK(".\links\KOG\AGAP006768-PA-KOG.txt","Diacylglycerol kinase")</f>
        <v>Diacylglycerol kinase</v>
      </c>
      <c r="CH24" s="13">
        <v>1.0000000000000001E-123</v>
      </c>
      <c r="CI24" s="2">
        <v>82.8</v>
      </c>
      <c r="CJ24" s="2" t="s">
        <v>1717</v>
      </c>
      <c r="CK24" s="2" t="s">
        <v>1718</v>
      </c>
      <c r="CL24" s="9" t="str">
        <f>HYPERLINK(".\links\PFAM\AGAP006768-PA-PFAM.txt","DAGK_acc, Diacylglycerol kinase accessory domain")</f>
        <v>DAGK_acc, Diacylglycerol kinase accessory domain</v>
      </c>
      <c r="CM24" s="13">
        <v>3.0000000000000002E-55</v>
      </c>
      <c r="CN24" s="2">
        <v>101.3</v>
      </c>
      <c r="CO24" s="2" t="s">
        <v>1715</v>
      </c>
      <c r="CP24" s="9" t="str">
        <f>HYPERLINK(".\links\SMART\AGAP006768-PA-SMART.txt","DAGKa, Diacylglycerol kinase accessory domain (presumed)")</f>
        <v>DAGKa, Diacylglycerol kinase accessory domain (presumed)</v>
      </c>
      <c r="CQ24" s="13">
        <v>2E-45</v>
      </c>
      <c r="CR24" s="2">
        <v>101.9</v>
      </c>
      <c r="CS24" s="2" t="s">
        <v>1719</v>
      </c>
      <c r="CT24" s="2" t="s">
        <v>1712</v>
      </c>
      <c r="CU24" s="2" t="s">
        <v>1712</v>
      </c>
      <c r="CV24" s="2" t="s">
        <v>1712</v>
      </c>
      <c r="CW24" s="2" t="str">
        <f>HYPERLINK(".\links\pep\AGAP006768-PA-pep.txt","AGAP006768-PA")</f>
        <v>AGAP006768-PA</v>
      </c>
      <c r="CX24" s="2" t="s">
        <v>88</v>
      </c>
      <c r="CY24" s="2">
        <v>550</v>
      </c>
      <c r="CZ24" s="2" t="s">
        <v>103</v>
      </c>
      <c r="DA24" s="2" t="s">
        <v>1720</v>
      </c>
      <c r="DB24" s="2">
        <v>0</v>
      </c>
      <c r="DC24" s="2">
        <v>1</v>
      </c>
      <c r="DD24" s="2" t="str">
        <f>HYPERLINK("https://www.kegg.jp/kegg-bin/search_pathway_text?map=aga&amp;keyword=AGAP006768&amp;mode=1&amp;viewImage=true","AGAP006768")</f>
        <v>AGAP006768</v>
      </c>
      <c r="DE24" s="2" t="s">
        <v>1708</v>
      </c>
      <c r="DF24" s="2" t="s">
        <v>1709</v>
      </c>
      <c r="DG24" s="2" t="s">
        <v>87</v>
      </c>
      <c r="DH24" s="2" t="str">
        <f>HYPERLINK("https://vectorbase.org/vectorbase/app/record/gene/AGAP006768","AGAP006768-RA")</f>
        <v>AGAP006768-RA</v>
      </c>
      <c r="DI24" s="2" t="s">
        <v>122</v>
      </c>
      <c r="DJ24" s="2">
        <v>3014</v>
      </c>
      <c r="DK24" s="2" t="str">
        <f>HYPERLINK(".\links\netoglyc\AGAP006768-PA-netoglyc.txt","0")</f>
        <v>0</v>
      </c>
      <c r="DL24" s="2">
        <v>12.2</v>
      </c>
      <c r="DM24" s="2">
        <v>7.3</v>
      </c>
      <c r="DN24" s="2">
        <v>4.5</v>
      </c>
      <c r="DO24" s="2" t="s">
        <v>94</v>
      </c>
      <c r="DP24" s="2" t="s">
        <v>89</v>
      </c>
      <c r="DQ24" s="2" t="str">
        <f>HYPERLINK(".\links\Sigp\AGAP006768-PA-SigP.txt","CYT")</f>
        <v>CYT</v>
      </c>
      <c r="DR24" s="2" t="s">
        <v>89</v>
      </c>
      <c r="DS24" s="2">
        <v>61.527999999999999</v>
      </c>
      <c r="DT24" s="2">
        <v>7.98</v>
      </c>
      <c r="DU24" s="2" t="s">
        <v>89</v>
      </c>
      <c r="DV24" s="2" t="s">
        <v>89</v>
      </c>
      <c r="DW24" s="2" t="s">
        <v>1714</v>
      </c>
      <c r="DX24" s="2">
        <v>550</v>
      </c>
      <c r="DY24" s="12" t="str">
        <f>HYPERLINK(".\links\tmhmm\AGAP006768-PA-tmhmm.txt","1")</f>
        <v>1</v>
      </c>
      <c r="DZ24" s="2">
        <v>4</v>
      </c>
      <c r="EA24" s="2">
        <v>93.6</v>
      </c>
      <c r="EB24" s="2">
        <v>2.4</v>
      </c>
      <c r="EC24" s="2" t="str">
        <f>HYPERLINK(".\links\gpi\AGAP006768-PA-gpi.txt","N")</f>
        <v>N</v>
      </c>
      <c r="ED24" s="2">
        <v>0.22</v>
      </c>
      <c r="EF24" s="2">
        <v>22</v>
      </c>
      <c r="EG24" s="2" t="s">
        <v>89</v>
      </c>
      <c r="EH24" s="2" t="s">
        <v>89</v>
      </c>
      <c r="EI24" s="2">
        <v>12.181818181818199</v>
      </c>
      <c r="EJ24" s="2">
        <v>4.5454545454545503</v>
      </c>
      <c r="EK24" s="2">
        <v>7.2727272727272698</v>
      </c>
      <c r="EL24" s="2">
        <v>11.818181818181801</v>
      </c>
      <c r="EM24" s="2" t="s">
        <v>89</v>
      </c>
      <c r="EN24" s="2">
        <v>1</v>
      </c>
      <c r="EO24" s="2">
        <v>2</v>
      </c>
      <c r="EP24" s="2" t="s">
        <v>89</v>
      </c>
      <c r="EQ24" s="2" t="s">
        <v>89</v>
      </c>
      <c r="ER24" s="2" t="s">
        <v>89</v>
      </c>
      <c r="ES24" s="2" t="s">
        <v>89</v>
      </c>
      <c r="ET24" s="2" t="str">
        <f>HYPERLINK(".\links\REFSEQ-INVERTEBRATE\AGAP006768-PA-REFSEQ-INVERTEBRATE.txt","AGAP006768-PA")</f>
        <v>AGAP006768-PA</v>
      </c>
      <c r="EU24" s="2" t="str">
        <f>HYPERLINK("http://www.ncbi.nlm.nih.gov/sutils/blink.cgi?pid=XP_308977.4","0.0")</f>
        <v>0.0</v>
      </c>
      <c r="EV24" s="2" t="str">
        <f>HYPERLINK("http://www.ncbi.nlm.nih.gov/protein/XP_308977.4","XP_308977.4")</f>
        <v>XP_308977.4</v>
      </c>
      <c r="EW24" s="2">
        <v>97</v>
      </c>
      <c r="EX24" s="2">
        <v>97</v>
      </c>
      <c r="EY24" s="2">
        <v>100</v>
      </c>
      <c r="EZ24" s="2" t="s">
        <v>95</v>
      </c>
    </row>
    <row r="25" spans="1:156" x14ac:dyDescent="0.25">
      <c r="A25" s="2" t="s">
        <v>2226</v>
      </c>
      <c r="B25" s="2">
        <v>1.20021127081877</v>
      </c>
      <c r="C25" s="2">
        <f t="shared" si="0"/>
        <v>2.2977331694753671</v>
      </c>
      <c r="D25" s="2">
        <v>7.0125215593255898</v>
      </c>
      <c r="E25" s="2">
        <v>15.3315833753399</v>
      </c>
      <c r="F25" s="2">
        <v>9.0195886251199001E-5</v>
      </c>
      <c r="G25" s="2">
        <v>8.4983681497036792E-3</v>
      </c>
      <c r="H25" s="2" t="s">
        <v>2227</v>
      </c>
      <c r="I25" s="2" t="s">
        <v>87</v>
      </c>
      <c r="J25" s="2" t="str">
        <f>HYPERLINK("https://vectorbase.org/vectorbase/app/record/gene/AGAP009464","AGAP009464-RA")</f>
        <v>AGAP009464-RA</v>
      </c>
      <c r="K25" s="2" t="str">
        <f>HYPERLINK(".\links\pep\AGAP009464-PA-pep.txt","AGAP009464-PA")</f>
        <v>AGAP009464-PA</v>
      </c>
      <c r="L25" s="12" t="s">
        <v>88</v>
      </c>
      <c r="M25" s="2">
        <v>711</v>
      </c>
      <c r="N25" s="2">
        <v>0</v>
      </c>
      <c r="O25" s="2">
        <v>0</v>
      </c>
      <c r="P25" s="2" t="s">
        <v>2228</v>
      </c>
      <c r="Q25" s="9" t="s">
        <v>2229</v>
      </c>
      <c r="R25" s="2" t="s">
        <v>128</v>
      </c>
      <c r="S25" s="2" t="str">
        <f>HYPERLINK(".\links\CDD\AGAP009464-PA-CDD.txt","CDD")</f>
        <v>CDD</v>
      </c>
      <c r="T25" s="2">
        <v>0</v>
      </c>
      <c r="U25" s="2">
        <v>98</v>
      </c>
      <c r="V25" s="2" t="s">
        <v>2230</v>
      </c>
      <c r="W25" s="10" t="s">
        <v>2231</v>
      </c>
      <c r="X25" s="2" t="s">
        <v>128</v>
      </c>
      <c r="Y25" s="2" t="str">
        <f>HYPERLINK(".\links\TIGR\AGAP009464-PA-TIGR.txt","TIGR")</f>
        <v>TIGR</v>
      </c>
      <c r="Z25" s="13">
        <v>9.0000000000000006E-79</v>
      </c>
      <c r="AA25" s="2">
        <v>86.8</v>
      </c>
      <c r="AB25" s="14" t="str">
        <f>HYPERLINK(".\links\pep\AGAP009464-PA-sulf.txt","1")</f>
        <v>1</v>
      </c>
      <c r="AC25" s="14" t="str">
        <f>HYPERLINK(".\links\Sigp\AGAP009464-PA-SigP.txt","CYT")</f>
        <v>CYT</v>
      </c>
      <c r="AD25" s="2" t="s">
        <v>89</v>
      </c>
      <c r="AE25" s="2">
        <v>79.754000000000005</v>
      </c>
      <c r="AF25" s="2">
        <v>7.76</v>
      </c>
      <c r="AG25" s="2" t="s">
        <v>89</v>
      </c>
      <c r="AH25" s="2" t="s">
        <v>89</v>
      </c>
      <c r="AI25" s="2" t="s">
        <v>2232</v>
      </c>
      <c r="AJ25" s="14" t="str">
        <f>HYPERLINK(".\links\tmhmm\AGAP009464-PA-tmhmm.txt","6")</f>
        <v>6</v>
      </c>
      <c r="AK25" s="2">
        <v>18.600000000000001</v>
      </c>
      <c r="AL25" s="2">
        <v>12.8</v>
      </c>
      <c r="AM25" s="2">
        <v>68.599999999999994</v>
      </c>
      <c r="AN25" s="14" t="str">
        <f>HYPERLINK(".\links\gpi\AGAP009464-PA-gpi.txt","N")</f>
        <v>N</v>
      </c>
      <c r="AO25" s="15" t="str">
        <f>HYPERLINK(".\links\netoglyc\AGAP009464-PA-netoglyc.txt","0")</f>
        <v>0</v>
      </c>
      <c r="AP25" s="14">
        <v>13.1</v>
      </c>
      <c r="AQ25" s="2">
        <v>7.3</v>
      </c>
      <c r="AR25" s="2">
        <v>3.7</v>
      </c>
      <c r="AS25" s="2" t="s">
        <v>94</v>
      </c>
      <c r="AT25" s="9" t="str">
        <f>HYPERLINK(".\links\NR-LIGHT\AGAP009464-PA-NR-LIGHT.txt","AGAP009464-PA")</f>
        <v>AGAP009464-PA</v>
      </c>
      <c r="AU25" s="2" t="str">
        <f>HYPERLINK("http://www.ncbi.nlm.nih.gov/sutils/blink.cgi?pid=XP_310232.4","0.0")</f>
        <v>0.0</v>
      </c>
      <c r="AV25" s="2" t="str">
        <f>HYPERLINK("http://www.ncbi.nlm.nih.gov/protein/XP_310232.4","XP_310232.4")</f>
        <v>XP_310232.4</v>
      </c>
      <c r="AW25" s="2">
        <v>91</v>
      </c>
      <c r="AX25" s="2">
        <v>92</v>
      </c>
      <c r="AY25" s="2">
        <v>100</v>
      </c>
      <c r="AZ25" s="2" t="s">
        <v>95</v>
      </c>
      <c r="BA25" s="9" t="str">
        <f>HYPERLINK(".\links\REFSEQ-INVERTEBRATE\AGAP009464-PA-REFSEQ-INVERTEBRATE.txt","AGAP009464-PA")</f>
        <v>AGAP009464-PA</v>
      </c>
      <c r="BB25" s="2" t="str">
        <f>HYPERLINK("http://www.ncbi.nlm.nih.gov/sutils/blink.cgi?pid=XP_310232.4","0.0")</f>
        <v>0.0</v>
      </c>
      <c r="BC25" s="2" t="str">
        <f>HYPERLINK("http://www.ncbi.nlm.nih.gov/protein/XP_310232.4","XP_310232.4")</f>
        <v>XP_310232.4</v>
      </c>
      <c r="BD25" s="2">
        <v>91</v>
      </c>
      <c r="BE25" s="2">
        <v>92</v>
      </c>
      <c r="BF25" s="2">
        <v>100</v>
      </c>
      <c r="BG25" s="2" t="s">
        <v>95</v>
      </c>
      <c r="BH25" s="9" t="str">
        <f>HYPERLINK(".\links\REFSEQ-PROTOZOA\AGAP009464-PA-REFSEQ-PROTOZOA.txt","ABC2 type transporter superfamily protein")</f>
        <v>ABC2 type transporter superfamily protein</v>
      </c>
      <c r="BI25" s="2" t="str">
        <f>HYPERLINK("http://www.ncbi.nlm.nih.gov/sutils/blink.cgi?pid=XP_004340384.1","5E-070")</f>
        <v>5E-070</v>
      </c>
      <c r="BJ25" s="2" t="str">
        <f>HYPERLINK("http://www.ncbi.nlm.nih.gov/protein/XP_004340384.1","XP_004340384.1")</f>
        <v>XP_004340384.1</v>
      </c>
      <c r="BK25" s="2">
        <v>31</v>
      </c>
      <c r="BL25" s="2">
        <v>51</v>
      </c>
      <c r="BM25" s="2">
        <v>80</v>
      </c>
      <c r="BN25" s="2" t="s">
        <v>114</v>
      </c>
      <c r="BO25" s="9" t="str">
        <f>HYPERLINK(".\links\SWISSP\AGAP009464-PA-SWISSP.txt","ATP-binding cassette sub-family G member 1")</f>
        <v>ATP-binding cassette sub-family G member 1</v>
      </c>
      <c r="BP25" s="2" t="str">
        <f>HYPERLINK("http://www.uniprot.org/uniprot/Q64343","1E-131")</f>
        <v>1E-131</v>
      </c>
      <c r="BQ25" s="2" t="str">
        <f>HYPERLINK("http://www.uniprot.org/uniprot/Q64343#expression","Q64343")</f>
        <v>Q64343</v>
      </c>
      <c r="BR25" s="2">
        <v>39</v>
      </c>
      <c r="BS25" s="2">
        <v>56</v>
      </c>
      <c r="BT25" s="2">
        <v>105</v>
      </c>
      <c r="BU25" s="2" t="s">
        <v>566</v>
      </c>
      <c r="BV25" s="9" t="str">
        <f>HYPERLINK(".\links\FLYBASE\AGAP009464-PA-FLYBASE.txt","FBpp0077554")</f>
        <v>FBpp0077554</v>
      </c>
      <c r="BW25" s="2" t="str">
        <f>HYPERLINK("http://flybase.org/reports/FBgn0264494#alliance_summary_container","0.0")</f>
        <v>0.0</v>
      </c>
      <c r="BX25" s="2">
        <v>766</v>
      </c>
      <c r="BY25" s="2">
        <v>52</v>
      </c>
      <c r="BZ25" s="2">
        <v>67</v>
      </c>
      <c r="CA25" s="2">
        <v>95</v>
      </c>
      <c r="CB25" s="9" t="str">
        <f>HYPERLINK(".\links\CDD\AGAP009464-PA-CDD.txt","Protein_white, The Eye Pigment Precursor Transporter (EPP) Family protein")</f>
        <v>Protein_white, The Eye Pigment Precursor Transporter (EPP) Family protein</v>
      </c>
      <c r="CC25" s="13">
        <v>1.0000000000000001E-111</v>
      </c>
      <c r="CD25" s="2">
        <v>98.1</v>
      </c>
      <c r="CE25" s="2" t="s">
        <v>2233</v>
      </c>
      <c r="CF25" s="2" t="s">
        <v>2234</v>
      </c>
      <c r="CG25" s="9" t="str">
        <f>HYPERLINK(".\links\KOG\AGAP009464-PA-KOG.txt","ABC superfamily (Breast cancer resistance protein)")</f>
        <v>ABC superfamily (Breast cancer resistance protein)</v>
      </c>
      <c r="CH25" s="13">
        <v>9.9999999999999993E-130</v>
      </c>
      <c r="CI25" s="2">
        <v>109.7</v>
      </c>
      <c r="CJ25" s="2" t="s">
        <v>2235</v>
      </c>
      <c r="CK25" s="2" t="s">
        <v>2060</v>
      </c>
      <c r="CL25" s="9" t="str">
        <f>HYPERLINK(".\links\PFAM\AGAP009464-PA-PFAM.txt","ABC_tran, ABC transporter")</f>
        <v>ABC_tran, ABC transporter</v>
      </c>
      <c r="CM25" s="13">
        <v>1.9999999999999999E-28</v>
      </c>
      <c r="CN25" s="2">
        <v>102.7</v>
      </c>
      <c r="CO25" s="2" t="s">
        <v>641</v>
      </c>
      <c r="CP25" s="9" t="str">
        <f>HYPERLINK(".\links\SMART\AGAP009464-PA-SMART.txt","AAA, ATPases associated with a variety of cellular activities")</f>
        <v>AAA, ATPases associated with a variety of cellular activities</v>
      </c>
      <c r="CQ25" s="13">
        <v>1.9999999999999999E-7</v>
      </c>
      <c r="CR25" s="2">
        <v>128.4</v>
      </c>
      <c r="CS25" s="2" t="s">
        <v>642</v>
      </c>
      <c r="CT25" s="2" t="s">
        <v>2230</v>
      </c>
      <c r="CU25" s="2" t="s">
        <v>2230</v>
      </c>
      <c r="CV25" s="2" t="s">
        <v>2230</v>
      </c>
      <c r="CW25" s="2" t="str">
        <f>HYPERLINK(".\links\pep\AGAP009464-PA-pep.txt","AGAP009464-PA")</f>
        <v>AGAP009464-PA</v>
      </c>
      <c r="CX25" s="2" t="s">
        <v>88</v>
      </c>
      <c r="CY25" s="2">
        <v>711</v>
      </c>
      <c r="CZ25" s="2" t="s">
        <v>103</v>
      </c>
      <c r="DA25" s="2" t="s">
        <v>2236</v>
      </c>
      <c r="DB25" s="2">
        <v>0</v>
      </c>
      <c r="DC25" s="2">
        <v>0</v>
      </c>
      <c r="DD25" s="2" t="str">
        <f>HYPERLINK("https://www.kegg.jp/kegg-bin/search_pathway_text?map=aga&amp;keyword=AGAP009464&amp;mode=1&amp;viewImage=true","AGAP009464")</f>
        <v>AGAP009464</v>
      </c>
      <c r="DE25" s="2" t="s">
        <v>2226</v>
      </c>
      <c r="DF25" s="2" t="s">
        <v>2227</v>
      </c>
      <c r="DG25" s="2" t="s">
        <v>87</v>
      </c>
      <c r="DH25" s="2" t="str">
        <f>HYPERLINK("https://vectorbase.org/vectorbase/app/record/gene/AGAP009464","AGAP009464-RA")</f>
        <v>AGAP009464-RA</v>
      </c>
      <c r="DI25" s="2" t="s">
        <v>105</v>
      </c>
      <c r="DJ25" s="2">
        <v>3214</v>
      </c>
      <c r="DK25" s="2" t="str">
        <f>HYPERLINK(".\links\netoglyc\AGAP009464-PA-netoglyc.txt","0")</f>
        <v>0</v>
      </c>
      <c r="DL25" s="2">
        <v>13.1</v>
      </c>
      <c r="DM25" s="2">
        <v>7.3</v>
      </c>
      <c r="DN25" s="2">
        <v>3.7</v>
      </c>
      <c r="DO25" s="2" t="s">
        <v>94</v>
      </c>
      <c r="DP25" s="2" t="s">
        <v>89</v>
      </c>
      <c r="DQ25" s="2" t="str">
        <f>HYPERLINK(".\links\Sigp\AGAP009464-PA-SigP.txt","CYT")</f>
        <v>CYT</v>
      </c>
      <c r="DR25" s="2" t="s">
        <v>89</v>
      </c>
      <c r="DS25" s="2">
        <v>79.754000000000005</v>
      </c>
      <c r="DT25" s="2">
        <v>7.76</v>
      </c>
      <c r="DU25" s="2" t="s">
        <v>89</v>
      </c>
      <c r="DV25" s="2" t="s">
        <v>89</v>
      </c>
      <c r="DW25" s="2" t="s">
        <v>2232</v>
      </c>
      <c r="DX25" s="2">
        <v>711</v>
      </c>
      <c r="DY25" s="12" t="str">
        <f>HYPERLINK(".\links\tmhmm\AGAP009464-PA-tmhmm.txt","6")</f>
        <v>6</v>
      </c>
      <c r="DZ25" s="2">
        <v>18.600000000000001</v>
      </c>
      <c r="EA25" s="2">
        <v>12.8</v>
      </c>
      <c r="EB25" s="2">
        <v>68.599999999999994</v>
      </c>
      <c r="EC25" s="2" t="str">
        <f>HYPERLINK(".\links\gpi\AGAP009464-PA-gpi.txt","N")</f>
        <v>N</v>
      </c>
      <c r="ED25" s="2">
        <v>0.23</v>
      </c>
      <c r="EF25" s="2">
        <v>20</v>
      </c>
      <c r="EG25" s="2" t="str">
        <f>HYPERLINK(".\links\pep\AGAP009464-PA-sulf.txt","1")</f>
        <v>1</v>
      </c>
      <c r="EH25" s="2" t="s">
        <v>89</v>
      </c>
      <c r="EI25" s="2">
        <v>13.0801687763713</v>
      </c>
      <c r="EJ25" s="2">
        <v>3.65682137834037</v>
      </c>
      <c r="EK25" s="2">
        <v>7.3136427566807303</v>
      </c>
      <c r="EL25" s="2">
        <v>10.9704641350211</v>
      </c>
      <c r="EM25" s="2" t="s">
        <v>89</v>
      </c>
      <c r="EN25" s="2">
        <v>1</v>
      </c>
      <c r="EO25" s="2">
        <v>1</v>
      </c>
      <c r="EP25" s="2" t="s">
        <v>89</v>
      </c>
      <c r="EQ25" s="2" t="s">
        <v>89</v>
      </c>
      <c r="ER25" s="2" t="s">
        <v>89</v>
      </c>
      <c r="ES25" s="2" t="s">
        <v>89</v>
      </c>
      <c r="ET25" s="2" t="str">
        <f>HYPERLINK(".\links\REFSEQ-INVERTEBRATE\AGAP009464-PA-REFSEQ-INVERTEBRATE.txt","AGAP009464-PA")</f>
        <v>AGAP009464-PA</v>
      </c>
      <c r="EU25" s="2" t="str">
        <f>HYPERLINK("http://www.ncbi.nlm.nih.gov/sutils/blink.cgi?pid=XP_310232.4","0.0")</f>
        <v>0.0</v>
      </c>
      <c r="EV25" s="2" t="str">
        <f>HYPERLINK("http://www.ncbi.nlm.nih.gov/protein/XP_310232.4","XP_310232.4")</f>
        <v>XP_310232.4</v>
      </c>
      <c r="EW25" s="2">
        <v>91</v>
      </c>
      <c r="EX25" s="2">
        <v>92</v>
      </c>
      <c r="EY25" s="2">
        <v>100</v>
      </c>
      <c r="EZ25" s="2" t="s">
        <v>95</v>
      </c>
    </row>
    <row r="26" spans="1:156" x14ac:dyDescent="0.25">
      <c r="A26" s="2" t="s">
        <v>583</v>
      </c>
      <c r="B26" s="2">
        <v>1.19918016343601</v>
      </c>
      <c r="C26" s="2">
        <f t="shared" si="0"/>
        <v>2.2960915452087907</v>
      </c>
      <c r="D26" s="2">
        <v>3.720413625555</v>
      </c>
      <c r="E26" s="2">
        <v>14.6060215628628</v>
      </c>
      <c r="F26" s="2">
        <v>1.3249051571579299E-4</v>
      </c>
      <c r="G26" s="2">
        <v>1.0829090819464E-2</v>
      </c>
      <c r="H26" s="2" t="s">
        <v>86</v>
      </c>
      <c r="I26" s="2" t="s">
        <v>87</v>
      </c>
      <c r="J26" s="2" t="str">
        <f>HYPERLINK("https://vectorbase.org/vectorbase/app/record/gene/AGAP002434","AGAP002434-RB")</f>
        <v>AGAP002434-RB</v>
      </c>
      <c r="K26" s="2" t="str">
        <f>HYPERLINK(".\links\pep\AGAP002434-PB-pep.txt","AGAP002434-PB")</f>
        <v>AGAP002434-PB</v>
      </c>
      <c r="Q26" s="9"/>
      <c r="V26" s="2" t="s">
        <v>584</v>
      </c>
      <c r="W26" s="10" t="s">
        <v>585</v>
      </c>
      <c r="X26" s="2" t="s">
        <v>586</v>
      </c>
      <c r="Y26" s="2" t="str">
        <f>HYPERLINK(".\links\UNIPROTKB\AGAP002434-PB-UNIPROTKB.txt","UNIPROTKB")</f>
        <v>UNIPROTKB</v>
      </c>
      <c r="Z26" s="13">
        <v>3.0000000000000001E-86</v>
      </c>
      <c r="AA26" s="2">
        <v>68.8</v>
      </c>
      <c r="AB26" s="9"/>
      <c r="AC26" s="9"/>
      <c r="AJ26" s="9"/>
      <c r="AN26" s="9"/>
      <c r="AO26" s="11"/>
      <c r="AP26" s="9"/>
      <c r="AT26" s="9"/>
      <c r="BA26" s="9"/>
      <c r="BH26" s="9"/>
      <c r="BO26" s="9"/>
      <c r="BV26" s="9"/>
      <c r="CB26" s="9"/>
      <c r="CG26" s="9"/>
      <c r="CL26" s="9"/>
      <c r="CP26" s="9"/>
      <c r="CW26" s="2" t="str">
        <f>HYPERLINK(".\links\pep\AGAP002434-PB-pep.txt","AGAP002434-PB")</f>
        <v>AGAP002434-PB</v>
      </c>
      <c r="CX26" s="2" t="s">
        <v>88</v>
      </c>
      <c r="CY26" s="2">
        <v>1230</v>
      </c>
      <c r="CZ26" s="2" t="s">
        <v>103</v>
      </c>
      <c r="DA26" s="2" t="s">
        <v>587</v>
      </c>
      <c r="DB26" s="2">
        <v>0</v>
      </c>
      <c r="DC26" s="2">
        <v>2</v>
      </c>
      <c r="DD26" s="2" t="str">
        <f>HYPERLINK("https://www.kegg.jp/kegg-bin/search_pathway_text?map=aga&amp;keyword=AGAP002434&amp;mode=1&amp;viewImage=true","AGAP002434")</f>
        <v>AGAP002434</v>
      </c>
      <c r="DE26" s="2" t="s">
        <v>583</v>
      </c>
      <c r="DF26" s="2" t="s">
        <v>86</v>
      </c>
      <c r="DG26" s="2" t="s">
        <v>87</v>
      </c>
      <c r="DH26" s="2" t="str">
        <f>HYPERLINK("https://vectorbase.org/vectorbase/app/record/gene/AGAP002434","AGAP002434-RB")</f>
        <v>AGAP002434-RB</v>
      </c>
      <c r="DI26" s="2" t="s">
        <v>122</v>
      </c>
      <c r="DJ26" s="2">
        <v>5182</v>
      </c>
      <c r="DK26" s="2" t="str">
        <f>HYPERLINK(".\links\netoglyc\AGAP002434-PB-netoglyc.txt","0")</f>
        <v>0</v>
      </c>
      <c r="DL26" s="2">
        <v>13.4</v>
      </c>
      <c r="DM26" s="2">
        <v>5.8</v>
      </c>
      <c r="DN26" s="2">
        <v>2.1</v>
      </c>
      <c r="DO26" s="2" t="s">
        <v>94</v>
      </c>
      <c r="DP26" s="2" t="s">
        <v>588</v>
      </c>
      <c r="DQ26" s="2" t="str">
        <f>HYPERLINK(".\links\Sigp\AGAP002434-PB-SigP.txt","CYT")</f>
        <v>CYT</v>
      </c>
      <c r="DR26" s="2" t="s">
        <v>89</v>
      </c>
      <c r="DS26" s="2">
        <v>137.76</v>
      </c>
      <c r="DT26" s="2">
        <v>5.68</v>
      </c>
      <c r="DU26" s="2" t="s">
        <v>89</v>
      </c>
      <c r="DV26" s="2" t="s">
        <v>89</v>
      </c>
      <c r="DW26" s="2" t="s">
        <v>93</v>
      </c>
      <c r="DX26" s="2">
        <v>1230</v>
      </c>
      <c r="DY26" s="12">
        <v>0</v>
      </c>
      <c r="DZ26" s="2" t="s">
        <v>89</v>
      </c>
      <c r="EA26" s="2" t="s">
        <v>89</v>
      </c>
      <c r="EB26" s="2" t="s">
        <v>89</v>
      </c>
      <c r="EC26" s="2" t="str">
        <f>HYPERLINK(".\links\gpi\AGAP002434-PB-gpi.txt","N")</f>
        <v>N</v>
      </c>
      <c r="ED26" s="2">
        <v>0.28999999999999998</v>
      </c>
      <c r="EF26" s="2">
        <v>12</v>
      </c>
      <c r="EG26" s="2" t="s">
        <v>89</v>
      </c>
      <c r="EH26" s="2" t="s">
        <v>89</v>
      </c>
      <c r="EI26" s="2">
        <v>13.4146341463415</v>
      </c>
      <c r="EJ26" s="2">
        <v>2.1138211382113798</v>
      </c>
      <c r="EK26" s="2">
        <v>5.7723577235772403</v>
      </c>
      <c r="EL26" s="2">
        <v>7.8861788617886202</v>
      </c>
      <c r="EM26" s="2" t="s">
        <v>89</v>
      </c>
      <c r="EN26" s="2">
        <v>2</v>
      </c>
      <c r="EO26" s="2">
        <v>2</v>
      </c>
      <c r="EP26" s="2" t="s">
        <v>89</v>
      </c>
      <c r="EQ26" s="2" t="s">
        <v>89</v>
      </c>
      <c r="ER26" s="2" t="s">
        <v>89</v>
      </c>
      <c r="ES26" s="2" t="s">
        <v>89</v>
      </c>
      <c r="ET26" s="2" t="str">
        <f>HYPERLINK(".\links\REFSEQ-INVERTEBRATE\AGAP002434-PB-REFSEQ-INVERTEBRATE.txt","AGAP002434-PA")</f>
        <v>AGAP002434-PA</v>
      </c>
      <c r="EU26" s="2" t="str">
        <f>HYPERLINK("http://www.ncbi.nlm.nih.gov/sutils/blink.cgi?pid=XP_312510.5","0.0")</f>
        <v>0.0</v>
      </c>
      <c r="EV26" s="2" t="str">
        <f>HYPERLINK("http://www.ncbi.nlm.nih.gov/protein/XP_312510.5","XP_312510.5")</f>
        <v>XP_312510.5</v>
      </c>
      <c r="EW26" s="2">
        <v>99</v>
      </c>
      <c r="EX26" s="2">
        <v>99</v>
      </c>
      <c r="EY26" s="2">
        <v>98</v>
      </c>
      <c r="EZ26" s="2" t="s">
        <v>95</v>
      </c>
    </row>
    <row r="27" spans="1:156" x14ac:dyDescent="0.25">
      <c r="A27" s="2" t="s">
        <v>2924</v>
      </c>
      <c r="B27" s="2">
        <v>1.1305940512272901</v>
      </c>
      <c r="C27" s="2">
        <f t="shared" si="0"/>
        <v>2.1894887716306686</v>
      </c>
      <c r="D27" s="2">
        <v>4.3401953826554198</v>
      </c>
      <c r="E27" s="2">
        <v>16.044129514023801</v>
      </c>
      <c r="F27" s="2">
        <v>6.1883189569994295E-5</v>
      </c>
      <c r="G27" s="2">
        <v>6.2480582990797296E-3</v>
      </c>
      <c r="H27" s="2" t="s">
        <v>2925</v>
      </c>
      <c r="I27" s="2" t="s">
        <v>87</v>
      </c>
      <c r="J27" s="2" t="str">
        <f>HYPERLINK("https://vectorbase.org/vectorbase/app/record/gene/AGAP012924","AGAP012924-RA")</f>
        <v>AGAP012924-RA</v>
      </c>
      <c r="K27" s="2" t="str">
        <f>HYPERLINK(".\links\pep\AGAP012924-PA-pep.txt","AGAP012924-PA")</f>
        <v>AGAP012924-PA</v>
      </c>
      <c r="L27" s="12" t="s">
        <v>2926</v>
      </c>
      <c r="M27" s="2">
        <v>236</v>
      </c>
      <c r="N27" s="2">
        <v>0</v>
      </c>
      <c r="O27" s="2">
        <v>2</v>
      </c>
      <c r="P27" s="2" t="s">
        <v>2927</v>
      </c>
      <c r="Q27" s="9" t="s">
        <v>2928</v>
      </c>
      <c r="R27" s="2" t="s">
        <v>145</v>
      </c>
      <c r="S27" s="2" t="str">
        <f>HYPERLINK(".\links\KOG\AGAP012924-PA-KOG.txt","KOG")</f>
        <v>KOG</v>
      </c>
      <c r="T27" s="2">
        <v>0</v>
      </c>
      <c r="U27" s="2">
        <v>61.9</v>
      </c>
      <c r="V27" s="2" t="s">
        <v>2929</v>
      </c>
      <c r="W27" s="10" t="s">
        <v>2930</v>
      </c>
      <c r="X27" s="2" t="s">
        <v>145</v>
      </c>
      <c r="Y27" s="2" t="str">
        <f>HYPERLINK(".\links\KOG\AGAP012924-PA-KOG.txt","KOG")</f>
        <v>KOG</v>
      </c>
      <c r="Z27" s="2">
        <v>0</v>
      </c>
      <c r="AA27" s="2">
        <v>61.4</v>
      </c>
      <c r="AB27" s="14" t="str">
        <f>HYPERLINK(".\links\pep\AGAP012924-PA-sulf.txt","2")</f>
        <v>2</v>
      </c>
      <c r="AC27" s="14" t="str">
        <f>HYPERLINK(".\links\Sigp\AGAP012924-PA-SigP.txt","CYT")</f>
        <v>CYT</v>
      </c>
      <c r="AD27" s="2" t="s">
        <v>89</v>
      </c>
      <c r="AE27" s="2">
        <v>26.451000000000001</v>
      </c>
      <c r="AF27" s="2">
        <v>5.32</v>
      </c>
      <c r="AG27" s="2" t="s">
        <v>89</v>
      </c>
      <c r="AH27" s="2" t="s">
        <v>89</v>
      </c>
      <c r="AI27" s="2" t="s">
        <v>93</v>
      </c>
      <c r="AJ27" s="14">
        <v>0</v>
      </c>
      <c r="AK27" s="2" t="s">
        <v>89</v>
      </c>
      <c r="AL27" s="2" t="s">
        <v>89</v>
      </c>
      <c r="AM27" s="2" t="s">
        <v>89</v>
      </c>
      <c r="AN27" s="14" t="str">
        <f>HYPERLINK(".\links\gpi\AGAP012924-PA-gpi.txt","N")</f>
        <v>N</v>
      </c>
      <c r="AO27" s="15" t="str">
        <f>HYPERLINK(".\links\netoglyc\AGAP012924-PA-netoglyc.txt","0")</f>
        <v>0</v>
      </c>
      <c r="AP27" s="14">
        <v>11.4</v>
      </c>
      <c r="AQ27" s="2">
        <v>8.1</v>
      </c>
      <c r="AR27" s="2">
        <v>3.8</v>
      </c>
      <c r="AS27" s="2" t="s">
        <v>94</v>
      </c>
      <c r="AT27" s="9" t="str">
        <f>HYPERLINK(".\links\NR-LIGHT\AGAP012924-PA-NR-LIGHT.txt","AGAP012924-PA, partial")</f>
        <v>AGAP012924-PA, partial</v>
      </c>
      <c r="AU27" s="2" t="str">
        <f>HYPERLINK("http://www.ncbi.nlm.nih.gov/sutils/blink.cgi?pid=XP_306771.3","1E-136")</f>
        <v>1E-136</v>
      </c>
      <c r="AV27" s="2" t="str">
        <f>HYPERLINK("http://www.ncbi.nlm.nih.gov/protein/XP_306771.3","XP_306771.3")</f>
        <v>XP_306771.3</v>
      </c>
      <c r="AW27" s="2">
        <v>100</v>
      </c>
      <c r="AX27" s="2">
        <v>100</v>
      </c>
      <c r="AY27" s="2">
        <v>100</v>
      </c>
      <c r="AZ27" s="2" t="s">
        <v>95</v>
      </c>
      <c r="BA27" s="9" t="str">
        <f>HYPERLINK(".\links\REFSEQ-INVERTEBRATE\AGAP012924-PA-REFSEQ-INVERTEBRATE.txt","AGAP012924-PA, partial")</f>
        <v>AGAP012924-PA, partial</v>
      </c>
      <c r="BB27" s="2" t="str">
        <f>HYPERLINK("http://www.ncbi.nlm.nih.gov/sutils/blink.cgi?pid=XP_306771.3","1E-136")</f>
        <v>1E-136</v>
      </c>
      <c r="BC27" s="2" t="str">
        <f>HYPERLINK("http://www.ncbi.nlm.nih.gov/protein/XP_306771.3","XP_306771.3")</f>
        <v>XP_306771.3</v>
      </c>
      <c r="BD27" s="2">
        <v>100</v>
      </c>
      <c r="BE27" s="2">
        <v>100</v>
      </c>
      <c r="BF27" s="2">
        <v>100</v>
      </c>
      <c r="BG27" s="2" t="s">
        <v>95</v>
      </c>
      <c r="BH27" s="9" t="str">
        <f>HYPERLINK(".\links\REFSEQ-PROTOZOA\AGAP012924-PA-REFSEQ-PROTOZOA.txt","arginine kinase")</f>
        <v>arginine kinase</v>
      </c>
      <c r="BI27" s="2" t="str">
        <f>HYPERLINK("http://www.ncbi.nlm.nih.gov/sutils/blink.cgi?pid=XP_806409.1","5E-095")</f>
        <v>5E-095</v>
      </c>
      <c r="BJ27" s="2" t="str">
        <f>HYPERLINK("http://www.ncbi.nlm.nih.gov/protein/XP_806409.1","XP_806409.1")</f>
        <v>XP_806409.1</v>
      </c>
      <c r="BK27" s="2">
        <v>70</v>
      </c>
      <c r="BL27" s="2">
        <v>82</v>
      </c>
      <c r="BM27" s="2">
        <v>65</v>
      </c>
      <c r="BN27" s="2" t="s">
        <v>2931</v>
      </c>
      <c r="BO27" s="9" t="str">
        <f>HYPERLINK(".\links\SWISSP\AGAP012924-PA-SWISSP.txt","Arginine kinase")</f>
        <v>Arginine kinase</v>
      </c>
      <c r="BP27" s="2" t="str">
        <f>HYPERLINK("http://www.uniprot.org/uniprot/P48610","1E-117")</f>
        <v>1E-117</v>
      </c>
      <c r="BQ27" s="2" t="str">
        <f>HYPERLINK("http://www.uniprot.org/uniprot/P48610#expression","P48610")</f>
        <v>P48610</v>
      </c>
      <c r="BR27" s="2">
        <v>87</v>
      </c>
      <c r="BS27" s="2">
        <v>93</v>
      </c>
      <c r="BT27" s="2">
        <v>65</v>
      </c>
      <c r="BU27" s="2" t="s">
        <v>151</v>
      </c>
      <c r="BV27" s="9" t="str">
        <f>HYPERLINK(".\links\FLYBASE\AGAP012924-PA-FLYBASE.txt","FBpp0111703")</f>
        <v>FBpp0111703</v>
      </c>
      <c r="BW27" s="2" t="str">
        <f>HYPERLINK("http://flybase.org/reports/FBgn0000116#alliance_summary_container","1E-155")</f>
        <v>1E-155</v>
      </c>
      <c r="BX27" s="2">
        <v>375</v>
      </c>
      <c r="BY27" s="2">
        <v>87</v>
      </c>
      <c r="BZ27" s="2">
        <v>93</v>
      </c>
      <c r="CA27" s="2">
        <v>63</v>
      </c>
      <c r="CB27" s="9" t="str">
        <f>HYPERLINK(".\links\CDD\AGAP012924-PA-CDD.txt","arginine_kinase_like, Phosphagen (guanidino) kinases such as arginine kinase and similar enzymes")</f>
        <v>arginine_kinase_like, Phosphagen (guanidino) kinases such as arginine kinase and similar enzymes</v>
      </c>
      <c r="CC27" s="13">
        <v>9.9999999999999998E-121</v>
      </c>
      <c r="CD27" s="2">
        <v>64.3</v>
      </c>
      <c r="CE27" s="2" t="s">
        <v>2932</v>
      </c>
      <c r="CF27" s="2" t="s">
        <v>2933</v>
      </c>
      <c r="CG27" s="9" t="str">
        <f>HYPERLINK(".\links\KOG\AGAP012924-PA-KOG.txt","Creatine kinases")</f>
        <v>Creatine kinases</v>
      </c>
      <c r="CH27" s="13">
        <v>9.9999999999999999E-117</v>
      </c>
      <c r="CI27" s="2">
        <v>62</v>
      </c>
      <c r="CJ27" s="2" t="s">
        <v>2934</v>
      </c>
      <c r="CK27" s="2" t="s">
        <v>155</v>
      </c>
      <c r="CL27" s="9" t="str">
        <f>HYPERLINK(".\links\PFAM\AGAP012924-PA-PFAM.txt","ATP-gua_Ptrans, ATP:guanido phosphotransferase, C-terminal catalytic domain")</f>
        <v>ATP-gua_Ptrans, ATP:guanido phosphotransferase, C-terminal catalytic domain</v>
      </c>
      <c r="CM27" s="13">
        <v>2E-50</v>
      </c>
      <c r="CN27" s="2">
        <v>48.6</v>
      </c>
      <c r="CO27" s="2" t="s">
        <v>2935</v>
      </c>
      <c r="CP27" s="9" t="str">
        <f>HYPERLINK(".\links\SMART\AGAP012924-PA-SMART.txt","CO_deh_flav_C, CO dehydrogenase flavoprotein C-terminal domain")</f>
        <v>CO_deh_flav_C, CO dehydrogenase flavoprotein C-terminal domain</v>
      </c>
      <c r="CQ27" s="13">
        <v>0.83</v>
      </c>
      <c r="CR27" s="2">
        <v>33.299999999999997</v>
      </c>
      <c r="CS27" s="2" t="s">
        <v>2936</v>
      </c>
      <c r="CT27" s="2" t="s">
        <v>2929</v>
      </c>
      <c r="CU27" s="2" t="s">
        <v>2929</v>
      </c>
      <c r="CV27" s="2" t="s">
        <v>2929</v>
      </c>
      <c r="CW27" s="2" t="str">
        <f>HYPERLINK(".\links\pep\AGAP012924-PA-pep.txt","AGAP012924-PA")</f>
        <v>AGAP012924-PA</v>
      </c>
      <c r="CX27" s="2" t="s">
        <v>2926</v>
      </c>
      <c r="CY27" s="2">
        <v>236</v>
      </c>
      <c r="CZ27" s="2" t="s">
        <v>103</v>
      </c>
      <c r="DA27" s="2" t="s">
        <v>2937</v>
      </c>
      <c r="DB27" s="2">
        <v>0</v>
      </c>
      <c r="DC27" s="2">
        <v>2</v>
      </c>
      <c r="DD27" s="2" t="str">
        <f>HYPERLINK("https://www.kegg.jp/kegg-bin/search_pathway_text?map=aga&amp;keyword=AGAP012924&amp;mode=1&amp;viewImage=true","AGAP012924")</f>
        <v>AGAP012924</v>
      </c>
      <c r="DE27" s="2" t="s">
        <v>2924</v>
      </c>
      <c r="DF27" s="2" t="s">
        <v>2925</v>
      </c>
      <c r="DG27" s="2" t="s">
        <v>87</v>
      </c>
      <c r="DH27" s="2" t="str">
        <f>HYPERLINK("https://vectorbase.org/vectorbase/app/record/gene/AGAP012924","AGAP012924-RA")</f>
        <v>AGAP012924-RA</v>
      </c>
      <c r="DI27" s="2" t="s">
        <v>158</v>
      </c>
      <c r="DJ27" s="2">
        <v>709</v>
      </c>
      <c r="DK27" s="2" t="str">
        <f>HYPERLINK(".\links\netoglyc\AGAP012924-PA-netoglyc.txt","0")</f>
        <v>0</v>
      </c>
      <c r="DL27" s="2">
        <v>11.4</v>
      </c>
      <c r="DM27" s="2">
        <v>8.1</v>
      </c>
      <c r="DN27" s="2">
        <v>3.8</v>
      </c>
      <c r="DO27" s="2" t="s">
        <v>94</v>
      </c>
      <c r="DP27" s="2" t="s">
        <v>2938</v>
      </c>
      <c r="DQ27" s="2" t="str">
        <f>HYPERLINK(".\links\Sigp\AGAP012924-PA-SigP.txt","CYT")</f>
        <v>CYT</v>
      </c>
      <c r="DR27" s="2" t="s">
        <v>89</v>
      </c>
      <c r="DS27" s="2">
        <v>26.451000000000001</v>
      </c>
      <c r="DT27" s="2">
        <v>5.32</v>
      </c>
      <c r="DU27" s="2" t="s">
        <v>89</v>
      </c>
      <c r="DV27" s="2" t="s">
        <v>89</v>
      </c>
      <c r="DW27" s="2" t="s">
        <v>93</v>
      </c>
      <c r="DX27" s="2">
        <v>236</v>
      </c>
      <c r="DY27" s="12">
        <v>0</v>
      </c>
      <c r="DZ27" s="2" t="s">
        <v>89</v>
      </c>
      <c r="EA27" s="2" t="s">
        <v>89</v>
      </c>
      <c r="EB27" s="2" t="s">
        <v>89</v>
      </c>
      <c r="EC27" s="2" t="str">
        <f>HYPERLINK(".\links\gpi\AGAP012924-PA-gpi.txt","Y-NoSP")</f>
        <v>Y-NoSP</v>
      </c>
      <c r="ED27" s="2">
        <v>0.26</v>
      </c>
      <c r="EF27" s="2">
        <v>5</v>
      </c>
      <c r="EG27" s="2" t="str">
        <f>HYPERLINK(".\links\pep\AGAP012924-PA-sulf.txt","2")</f>
        <v>2</v>
      </c>
      <c r="EH27" s="2" t="s">
        <v>89</v>
      </c>
      <c r="EI27" s="2">
        <v>11.440677966101701</v>
      </c>
      <c r="EJ27" s="2">
        <v>3.8135593220339001</v>
      </c>
      <c r="EK27" s="2">
        <v>8.0508474576271194</v>
      </c>
      <c r="EL27" s="2">
        <v>11.864406779661</v>
      </c>
      <c r="EM27" s="2" t="s">
        <v>89</v>
      </c>
      <c r="EN27" s="2">
        <v>2</v>
      </c>
      <c r="EO27" s="2">
        <v>2</v>
      </c>
      <c r="EP27" s="2" t="s">
        <v>2939</v>
      </c>
      <c r="EQ27" s="2" t="s">
        <v>89</v>
      </c>
      <c r="ER27" s="2" t="s">
        <v>89</v>
      </c>
      <c r="ES27" s="2" t="s">
        <v>89</v>
      </c>
      <c r="ET27" s="2" t="str">
        <f>HYPERLINK(".\links\REFSEQ-INVERTEBRATE\AGAP012924-PA-REFSEQ-INVERTEBRATE.txt","AGAP012924-PA, partial")</f>
        <v>AGAP012924-PA, partial</v>
      </c>
      <c r="EU27" s="2" t="str">
        <f>HYPERLINK("http://www.ncbi.nlm.nih.gov/sutils/blink.cgi?pid=XP_306771.3","1E-178")</f>
        <v>1E-178</v>
      </c>
      <c r="EV27" s="2" t="str">
        <f>HYPERLINK("http://www.ncbi.nlm.nih.gov/protein/XP_306771.3","XP_306771.3")</f>
        <v>XP_306771.3</v>
      </c>
      <c r="EW27" s="2">
        <v>100</v>
      </c>
      <c r="EX27" s="2">
        <v>100</v>
      </c>
      <c r="EY27" s="2">
        <v>100</v>
      </c>
      <c r="EZ27" s="2" t="s">
        <v>95</v>
      </c>
    </row>
    <row r="28" spans="1:156" x14ac:dyDescent="0.25">
      <c r="A28" s="2" t="s">
        <v>2719</v>
      </c>
      <c r="B28" s="2">
        <v>1.1219155326941901</v>
      </c>
      <c r="C28" s="2">
        <f t="shared" si="0"/>
        <v>2.1763574576367177</v>
      </c>
      <c r="D28" s="2">
        <v>3.8532505847948002</v>
      </c>
      <c r="E28" s="2">
        <v>11.237082705358</v>
      </c>
      <c r="F28" s="2">
        <v>8.0179082595506902E-4</v>
      </c>
      <c r="G28" s="2">
        <v>3.5868348419931202E-2</v>
      </c>
      <c r="H28" s="2" t="s">
        <v>2720</v>
      </c>
      <c r="I28" s="2" t="s">
        <v>89</v>
      </c>
      <c r="J28" s="2" t="str">
        <f>HYPERLINK("https://vectorbase.org/vectorbase/app/record/gene/AGAP011731","AGAP011731-RA")</f>
        <v>AGAP011731-RA</v>
      </c>
      <c r="K28" s="2" t="str">
        <f>HYPERLINK(".\links\pep\AGAP011731-PA-pep.txt","AGAP011731-PA")</f>
        <v>AGAP011731-PA</v>
      </c>
      <c r="L28" s="12" t="s">
        <v>88</v>
      </c>
      <c r="M28" s="2">
        <v>1093</v>
      </c>
      <c r="N28" s="2">
        <v>0</v>
      </c>
      <c r="O28" s="2">
        <v>7</v>
      </c>
      <c r="P28" s="2" t="s">
        <v>2721</v>
      </c>
      <c r="Q28" s="9" t="s">
        <v>2722</v>
      </c>
      <c r="R28" s="2" t="s">
        <v>372</v>
      </c>
      <c r="S28" s="2" t="str">
        <f>HYPERLINK(".\links\CDD\AGAP011731-PA-CDD.txt","CDD")</f>
        <v>CDD</v>
      </c>
      <c r="T28" s="2">
        <v>0</v>
      </c>
      <c r="U28" s="2">
        <v>98</v>
      </c>
      <c r="V28" s="2" t="s">
        <v>2723</v>
      </c>
      <c r="W28" s="10" t="s">
        <v>2724</v>
      </c>
      <c r="X28" s="2" t="s">
        <v>372</v>
      </c>
      <c r="Y28" s="2" t="str">
        <f>HYPERLINK(".\links\REFSEQ-VIRUS\AGAP011731-PA-REFSEQ-VIRUS.txt","REFSEQ-VIRUS")</f>
        <v>REFSEQ-VIRUS</v>
      </c>
      <c r="Z28" s="13">
        <v>0</v>
      </c>
      <c r="AA28" s="2">
        <v>93.2</v>
      </c>
      <c r="AB28" s="14" t="str">
        <f>HYPERLINK(".\links\pep\AGAP011731-PA-sulf.txt","5")</f>
        <v>5</v>
      </c>
      <c r="AC28" s="14" t="str">
        <f>HYPERLINK(".\links\Sigp\AGAP011731-PA-SigP.txt","CYT")</f>
        <v>CYT</v>
      </c>
      <c r="AD28" s="2" t="s">
        <v>89</v>
      </c>
      <c r="AE28" s="2">
        <v>123.501</v>
      </c>
      <c r="AF28" s="2">
        <v>7.65</v>
      </c>
      <c r="AG28" s="2" t="s">
        <v>89</v>
      </c>
      <c r="AH28" s="2" t="s">
        <v>89</v>
      </c>
      <c r="AI28" s="2" t="s">
        <v>2725</v>
      </c>
      <c r="AJ28" s="14">
        <v>0</v>
      </c>
      <c r="AK28" s="2" t="s">
        <v>89</v>
      </c>
      <c r="AL28" s="2" t="s">
        <v>89</v>
      </c>
      <c r="AM28" s="2" t="s">
        <v>89</v>
      </c>
      <c r="AN28" s="14" t="str">
        <f>HYPERLINK(".\links\gpi\AGAP011731-PA-gpi.txt","N")</f>
        <v>N</v>
      </c>
      <c r="AO28" s="15" t="str">
        <f>HYPERLINK(".\links\netoglyc\AGAP011731-PA-netoglyc.txt","1")</f>
        <v>1</v>
      </c>
      <c r="AP28" s="14">
        <v>9.3000000000000007</v>
      </c>
      <c r="AQ28" s="2">
        <v>5.5</v>
      </c>
      <c r="AR28" s="2">
        <v>5.3</v>
      </c>
      <c r="AS28" s="2" t="s">
        <v>94</v>
      </c>
      <c r="AT28" s="9" t="str">
        <f>HYPERLINK(".\links\NR-LIGHT\AGAP011731-PA-NR-LIGHT.txt","hypothetical protein ZHAS_00005005")</f>
        <v>hypothetical protein ZHAS_00005005</v>
      </c>
      <c r="AU28" s="2" t="str">
        <f>HYPERLINK("http://www.ncbi.nlm.nih.gov/sutils/blink.cgi?pid=KFB37835.1","0.0")</f>
        <v>0.0</v>
      </c>
      <c r="AV28" s="2" t="str">
        <f>HYPERLINK("http://www.ncbi.nlm.nih.gov/protein/KFB37835.1","KFB37835.1")</f>
        <v>KFB37835.1</v>
      </c>
      <c r="AW28" s="2">
        <v>93</v>
      </c>
      <c r="AX28" s="2">
        <v>96</v>
      </c>
      <c r="AY28" s="2">
        <v>100</v>
      </c>
      <c r="AZ28" s="2" t="s">
        <v>1982</v>
      </c>
      <c r="BA28" s="9" t="str">
        <f>HYPERLINK(".\links\REFSEQ-INVERTEBRATE\AGAP011731-PA-REFSEQ-INVERTEBRATE.txt","DNA polymerase delta catalytic subunit")</f>
        <v>DNA polymerase delta catalytic subunit</v>
      </c>
      <c r="BB28" s="2" t="str">
        <f>HYPERLINK("http://www.ncbi.nlm.nih.gov/sutils/blink.cgi?pid=XP_001868453.1","0.0")</f>
        <v>0.0</v>
      </c>
      <c r="BC28" s="2" t="str">
        <f>HYPERLINK("http://www.ncbi.nlm.nih.gov/protein/XP_001868453.1","XP_001868453.1")</f>
        <v>XP_001868453.1</v>
      </c>
      <c r="BD28" s="2">
        <v>87</v>
      </c>
      <c r="BE28" s="2">
        <v>94</v>
      </c>
      <c r="BF28" s="2">
        <v>100</v>
      </c>
      <c r="BG28" s="2" t="s">
        <v>487</v>
      </c>
      <c r="BH28" s="9" t="str">
        <f>HYPERLINK(".\links\REFSEQ-PROTOZOA\AGAP011731-PA-REFSEQ-PROTOZOA.txt","DNA polymerase delta1 catalytic subunit")</f>
        <v>DNA polymerase delta1 catalytic subunit</v>
      </c>
      <c r="BI28" s="2" t="str">
        <f>HYPERLINK("http://www.ncbi.nlm.nih.gov/sutils/blink.cgi?pid=XP_004365086.2","0.0")</f>
        <v>0.0</v>
      </c>
      <c r="BJ28" s="2" t="str">
        <f>HYPERLINK("http://www.ncbi.nlm.nih.gov/protein/XP_004365086.2","XP_004365086.2")</f>
        <v>XP_004365086.2</v>
      </c>
      <c r="BK28" s="2">
        <v>57</v>
      </c>
      <c r="BL28" s="2">
        <v>70</v>
      </c>
      <c r="BM28" s="2">
        <v>89</v>
      </c>
      <c r="BN28" s="2" t="s">
        <v>150</v>
      </c>
      <c r="BO28" s="9" t="str">
        <f>HYPERLINK(".\links\SWISSP\AGAP011731-PA-SWISSP.txt","DNA polymerase delta catalytic subunit")</f>
        <v>DNA polymerase delta catalytic subunit</v>
      </c>
      <c r="BP28" s="2" t="str">
        <f>HYPERLINK("http://www.uniprot.org/uniprot/P54358","0.0")</f>
        <v>0.0</v>
      </c>
      <c r="BQ28" s="2" t="str">
        <f>HYPERLINK("http://www.uniprot.org/uniprot/P54358#expression","P54358")</f>
        <v>P54358</v>
      </c>
      <c r="BR28" s="2">
        <v>75</v>
      </c>
      <c r="BS28" s="2">
        <v>85</v>
      </c>
      <c r="BT28" s="2">
        <v>99</v>
      </c>
      <c r="BU28" s="2" t="s">
        <v>151</v>
      </c>
      <c r="BV28" s="9" t="str">
        <f>HYPERLINK(".\links\FLYBASE\AGAP011731-PA-FLYBASE.txt","FBpp0075277")</f>
        <v>FBpp0075277</v>
      </c>
      <c r="BW28" s="2" t="str">
        <f>HYPERLINK("http://flybase.org/reports/FBgn0263600#alliance_summary_container","0.0")</f>
        <v>0.0</v>
      </c>
      <c r="BX28" s="2">
        <v>1092</v>
      </c>
      <c r="BY28" s="2">
        <v>75</v>
      </c>
      <c r="BZ28" s="2">
        <v>84</v>
      </c>
      <c r="CA28" s="2">
        <v>101</v>
      </c>
      <c r="CB28" s="9" t="str">
        <f>HYPERLINK(".\links\CDD\AGAP011731-PA-CDD.txt","PTZ00166, DNA polymerase delta catalytic subunit")</f>
        <v>PTZ00166, DNA polymerase delta catalytic subunit</v>
      </c>
      <c r="CC28" s="13">
        <v>0</v>
      </c>
      <c r="CD28" s="2">
        <v>98.2</v>
      </c>
      <c r="CE28" s="2" t="s">
        <v>2726</v>
      </c>
      <c r="CF28" s="2" t="s">
        <v>2727</v>
      </c>
      <c r="CG28" s="9" t="str">
        <f>HYPERLINK(".\links\KOG\AGAP011731-PA-KOG.txt","catalytic subunit")</f>
        <v>catalytic subunit</v>
      </c>
      <c r="CH28" s="13">
        <v>0</v>
      </c>
      <c r="CI28" s="2">
        <v>103</v>
      </c>
      <c r="CJ28" s="2" t="s">
        <v>2728</v>
      </c>
      <c r="CK28" s="2" t="s">
        <v>2729</v>
      </c>
      <c r="CL28" s="9" t="str">
        <f>HYPERLINK(".\links\PFAM\AGAP011731-PA-PFAM.txt","DNA_pol_B, DNA polymerase family B")</f>
        <v>DNA_pol_B, DNA polymerase family B</v>
      </c>
      <c r="CM28" s="13">
        <v>1E-169</v>
      </c>
      <c r="CN28" s="2">
        <v>100.4</v>
      </c>
      <c r="CO28" s="2" t="s">
        <v>2730</v>
      </c>
      <c r="CP28" s="9" t="str">
        <f>HYPERLINK(".\links\SMART\AGAP011731-PA-SMART.txt","POLBc, DNA polymerase type-B family")</f>
        <v>POLBc, DNA polymerase type-B family</v>
      </c>
      <c r="CQ28" s="13">
        <v>1E-125</v>
      </c>
      <c r="CR28" s="2">
        <v>100.6</v>
      </c>
      <c r="CS28" s="2" t="s">
        <v>2731</v>
      </c>
      <c r="CT28" s="2" t="s">
        <v>2723</v>
      </c>
      <c r="CU28" s="2" t="s">
        <v>2723</v>
      </c>
      <c r="CV28" s="2" t="s">
        <v>2723</v>
      </c>
      <c r="CW28" s="2" t="str">
        <f>HYPERLINK(".\links\pep\AGAP011731-PA-pep.txt","AGAP011731-PA")</f>
        <v>AGAP011731-PA</v>
      </c>
      <c r="CX28" s="2" t="s">
        <v>88</v>
      </c>
      <c r="CY28" s="2">
        <v>1093</v>
      </c>
      <c r="CZ28" s="2" t="s">
        <v>103</v>
      </c>
      <c r="DA28" s="2">
        <v>0</v>
      </c>
      <c r="DB28" s="2">
        <v>7</v>
      </c>
      <c r="DD28" s="2" t="str">
        <f>HYPERLINK("https://www.kegg.jp/kegg-bin/search_pathway_text?map=aga&amp;keyword=AGAP011731&amp;mode=1&amp;viewImage=true","AGAP011731")</f>
        <v>AGAP011731</v>
      </c>
      <c r="DE28" s="2" t="s">
        <v>2719</v>
      </c>
      <c r="DF28" s="2" t="s">
        <v>2720</v>
      </c>
      <c r="DG28" s="2" t="s">
        <v>89</v>
      </c>
      <c r="DH28" s="2" t="str">
        <f>HYPERLINK("https://vectorbase.org/vectorbase/app/record/gene/AGAP011731","AGAP011731-RA")</f>
        <v>AGAP011731-RA</v>
      </c>
      <c r="DI28" s="2" t="s">
        <v>140</v>
      </c>
      <c r="DJ28" s="2">
        <v>3739</v>
      </c>
      <c r="DK28" s="2" t="str">
        <f>HYPERLINK(".\links\netoglyc\AGAP011731-PA-netoglyc.txt","1")</f>
        <v>1</v>
      </c>
      <c r="DL28" s="2">
        <v>9.3000000000000007</v>
      </c>
      <c r="DM28" s="2">
        <v>5.5</v>
      </c>
      <c r="DN28" s="2">
        <v>5.3</v>
      </c>
      <c r="DO28" s="2" t="s">
        <v>94</v>
      </c>
      <c r="DP28" s="2" t="s">
        <v>89</v>
      </c>
      <c r="DQ28" s="2" t="str">
        <f>HYPERLINK(".\links\Sigp\AGAP011731-PA-SigP.txt","CYT")</f>
        <v>CYT</v>
      </c>
      <c r="DR28" s="2" t="s">
        <v>89</v>
      </c>
      <c r="DS28" s="2">
        <v>123.501</v>
      </c>
      <c r="DT28" s="2">
        <v>7.65</v>
      </c>
      <c r="DU28" s="2" t="s">
        <v>89</v>
      </c>
      <c r="DV28" s="2" t="s">
        <v>89</v>
      </c>
      <c r="DW28" s="2" t="s">
        <v>2725</v>
      </c>
      <c r="DX28" s="2">
        <v>1093</v>
      </c>
      <c r="DY28" s="12">
        <v>0</v>
      </c>
      <c r="DZ28" s="2" t="s">
        <v>89</v>
      </c>
      <c r="EA28" s="2" t="s">
        <v>89</v>
      </c>
      <c r="EB28" s="2" t="s">
        <v>89</v>
      </c>
      <c r="EC28" s="2" t="str">
        <f>HYPERLINK(".\links\gpi\AGAP011731-PA-gpi.txt","N")</f>
        <v>N</v>
      </c>
      <c r="ED28" s="2">
        <v>0.16</v>
      </c>
      <c r="EF28" s="2">
        <v>26</v>
      </c>
      <c r="EG28" s="2" t="str">
        <f>HYPERLINK(".\links\pep\AGAP011731-PA-sulf.txt","5")</f>
        <v>5</v>
      </c>
      <c r="EH28" s="2" t="s">
        <v>89</v>
      </c>
      <c r="EI28" s="2">
        <v>9.3321134492223194</v>
      </c>
      <c r="EJ28" s="2">
        <v>5.3064958828911299</v>
      </c>
      <c r="EK28" s="2">
        <v>5.4894784995425399</v>
      </c>
      <c r="EL28" s="2">
        <v>10.7959743824337</v>
      </c>
      <c r="EM28" s="2" t="s">
        <v>89</v>
      </c>
      <c r="EN28" s="2">
        <v>4</v>
      </c>
      <c r="EO28" s="2">
        <v>5</v>
      </c>
      <c r="EP28" s="2" t="s">
        <v>89</v>
      </c>
      <c r="EQ28" s="2" t="s">
        <v>89</v>
      </c>
      <c r="ER28" s="2" t="s">
        <v>89</v>
      </c>
      <c r="ES28" s="2" t="s">
        <v>89</v>
      </c>
      <c r="ET28" s="2" t="str">
        <f>HYPERLINK(".\links\REFSEQ-INVERTEBRATE\AGAP011731-PA-REFSEQ-INVERTEBRATE.txt","DNA polymerase delta catalytic subunit")</f>
        <v>DNA polymerase delta catalytic subunit</v>
      </c>
      <c r="EU28" s="2" t="str">
        <f>HYPERLINK("http://www.ncbi.nlm.nih.gov/sutils/blink.cgi?pid=XP_035898388.1","0.0")</f>
        <v>0.0</v>
      </c>
      <c r="EV28" s="2" t="str">
        <f>HYPERLINK("http://www.ncbi.nlm.nih.gov/protein/XP_035898388.1","XP_035898388.1")</f>
        <v>XP_035898388.1</v>
      </c>
      <c r="EW28" s="2">
        <v>94</v>
      </c>
      <c r="EX28" s="2">
        <v>97</v>
      </c>
      <c r="EY28" s="2">
        <v>100</v>
      </c>
      <c r="EZ28" s="2" t="s">
        <v>600</v>
      </c>
    </row>
    <row r="29" spans="1:156" x14ac:dyDescent="0.25">
      <c r="A29" s="2" t="s">
        <v>1978</v>
      </c>
      <c r="B29" s="2">
        <v>1.10456736022372</v>
      </c>
      <c r="C29" s="2">
        <f t="shared" si="0"/>
        <v>2.1503438325670756</v>
      </c>
      <c r="D29" s="2">
        <v>5.19591545392122</v>
      </c>
      <c r="E29" s="2">
        <v>17.291144959480199</v>
      </c>
      <c r="F29" s="2">
        <v>3.2067774932292601E-5</v>
      </c>
      <c r="G29" s="2">
        <v>4.0645904726680903E-3</v>
      </c>
      <c r="H29" s="2" t="s">
        <v>86</v>
      </c>
      <c r="I29" s="2" t="s">
        <v>87</v>
      </c>
      <c r="J29" s="2" t="str">
        <f>HYPERLINK("https://vectorbase.org/vectorbase/app/record/gene/AGAP007888","AGAP007888-RA")</f>
        <v>AGAP007888-RA</v>
      </c>
      <c r="K29" s="2" t="str">
        <f>HYPERLINK(".\links\pep\AGAP007888-PA-pep.txt","AGAP007888-PA")</f>
        <v>AGAP007888-PA</v>
      </c>
      <c r="L29" s="12" t="s">
        <v>88</v>
      </c>
      <c r="M29" s="2">
        <v>1429</v>
      </c>
      <c r="N29" s="2">
        <v>0</v>
      </c>
      <c r="O29" s="2">
        <v>0</v>
      </c>
      <c r="P29" s="2" t="s">
        <v>89</v>
      </c>
      <c r="Q29" s="9" t="s">
        <v>1979</v>
      </c>
      <c r="R29" s="2" t="s">
        <v>333</v>
      </c>
      <c r="S29" s="2" t="str">
        <f>HYPERLINK(".\links\KOG\AGAP007888-PA-KOG.txt","KOG")</f>
        <v>KOG</v>
      </c>
      <c r="T29" s="2">
        <v>2.0000000000000002E-5</v>
      </c>
      <c r="U29" s="2">
        <v>30.9</v>
      </c>
      <c r="V29" s="2" t="s">
        <v>1980</v>
      </c>
      <c r="W29" s="10" t="s">
        <v>1981</v>
      </c>
      <c r="X29" s="2" t="s">
        <v>1788</v>
      </c>
      <c r="Y29" s="2" t="str">
        <f>HYPERLINK(".\links\UNIPROTKB\AGAP007888-PA-UNIPROTKB.txt","UNIPROTKB")</f>
        <v>UNIPROTKB</v>
      </c>
      <c r="Z29" s="2">
        <v>4.0000000000000003E-15</v>
      </c>
      <c r="AA29" s="2">
        <v>30.9</v>
      </c>
      <c r="AB29" s="14" t="str">
        <f>HYPERLINK(".\links\pep\AGAP007888-PA-sulf.txt","3")</f>
        <v>3</v>
      </c>
      <c r="AC29" s="14" t="str">
        <f>HYPERLINK(".\links\Sigp\AGAP007888-PA-SigP.txt","CYT")</f>
        <v>CYT</v>
      </c>
      <c r="AD29" s="2" t="s">
        <v>89</v>
      </c>
      <c r="AE29" s="2">
        <v>158.83000000000001</v>
      </c>
      <c r="AF29" s="2">
        <v>5.21</v>
      </c>
      <c r="AG29" s="2" t="s">
        <v>89</v>
      </c>
      <c r="AH29" s="2" t="s">
        <v>89</v>
      </c>
      <c r="AI29" s="2" t="s">
        <v>93</v>
      </c>
      <c r="AJ29" s="14">
        <v>0</v>
      </c>
      <c r="AK29" s="2" t="s">
        <v>89</v>
      </c>
      <c r="AL29" s="2" t="s">
        <v>89</v>
      </c>
      <c r="AM29" s="2" t="s">
        <v>89</v>
      </c>
      <c r="AN29" s="14" t="str">
        <f>HYPERLINK(".\links\gpi\AGAP007888-PA-gpi.txt","N")</f>
        <v>N</v>
      </c>
      <c r="AO29" s="15" t="str">
        <f>HYPERLINK(".\links\netoglyc\AGAP007888-PA-netoglyc.txt","4")</f>
        <v>4</v>
      </c>
      <c r="AP29" s="14">
        <v>16.8</v>
      </c>
      <c r="AQ29" s="2">
        <v>4.5</v>
      </c>
      <c r="AR29" s="2">
        <v>3.9</v>
      </c>
      <c r="AS29" s="2" t="s">
        <v>94</v>
      </c>
      <c r="AT29" s="9" t="str">
        <f>HYPERLINK(".\links\NR-LIGHT\AGAP007888-PA-NR-LIGHT.txt","AGAP007888-PA-like protein")</f>
        <v>AGAP007888-PA-like protein</v>
      </c>
      <c r="AU29" s="2" t="str">
        <f>HYPERLINK("http://www.ncbi.nlm.nih.gov/sutils/blink.cgi?pid=KFB39747.1","0.0")</f>
        <v>0.0</v>
      </c>
      <c r="AV29" s="2" t="str">
        <f>HYPERLINK("http://www.ncbi.nlm.nih.gov/protein/KFB39747.1","KFB39747.1")</f>
        <v>KFB39747.1</v>
      </c>
      <c r="AW29" s="2">
        <v>64</v>
      </c>
      <c r="AX29" s="2">
        <v>73</v>
      </c>
      <c r="AY29" s="2">
        <v>105</v>
      </c>
      <c r="AZ29" s="2" t="s">
        <v>1982</v>
      </c>
      <c r="BA29" s="9" t="str">
        <f>HYPERLINK(".\links\REFSEQ-INVERTEBRATE\AGAP007888-PA-REFSEQ-INVERTEBRATE.txt","AGAP007888-PA")</f>
        <v>AGAP007888-PA</v>
      </c>
      <c r="BB29" s="2" t="str">
        <f>HYPERLINK("http://www.ncbi.nlm.nih.gov/sutils/blink.cgi?pid=XP_317603.4","0.0")</f>
        <v>0.0</v>
      </c>
      <c r="BC29" s="2" t="str">
        <f>HYPERLINK("http://www.ncbi.nlm.nih.gov/protein/XP_317603.4","XP_317603.4")</f>
        <v>XP_317603.4</v>
      </c>
      <c r="BD29" s="2">
        <v>79</v>
      </c>
      <c r="BE29" s="2">
        <v>80</v>
      </c>
      <c r="BF29" s="2">
        <v>89</v>
      </c>
      <c r="BG29" s="2" t="s">
        <v>95</v>
      </c>
      <c r="BH29" s="9" t="str">
        <f>HYPERLINK(".\links\REFSEQ-PROTOZOA\AGAP007888-PA-REFSEQ-PROTOZOA.txt","viral A-type inclusion protein")</f>
        <v>viral A-type inclusion protein</v>
      </c>
      <c r="BI29" s="2" t="str">
        <f>HYPERLINK("http://www.ncbi.nlm.nih.gov/sutils/blink.cgi?pid=XP_001582404.1","3E-022")</f>
        <v>3E-022</v>
      </c>
      <c r="BJ29" s="2" t="str">
        <f>HYPERLINK("http://www.ncbi.nlm.nih.gov/protein/XP_001582404.1","XP_001582404.1")</f>
        <v>XP_001582404.1</v>
      </c>
      <c r="BK29" s="2">
        <v>18</v>
      </c>
      <c r="BL29" s="2">
        <v>41</v>
      </c>
      <c r="BM29" s="2">
        <v>43</v>
      </c>
      <c r="BN29" s="2" t="s">
        <v>879</v>
      </c>
      <c r="BO29" s="9" t="str">
        <f>HYPERLINK(".\links\SWISSP\AGAP007888-PA-SWISSP.txt","Blastoderm-specific protein 25D")</f>
        <v>Blastoderm-specific protein 25D</v>
      </c>
      <c r="BP29" s="2" t="str">
        <f>HYPERLINK("http://www.uniprot.org/uniprot/P11929","1E-105")</f>
        <v>1E-105</v>
      </c>
      <c r="BQ29" s="2" t="str">
        <f>HYPERLINK("http://www.uniprot.org/uniprot/P11929#expression","P11929")</f>
        <v>P11929</v>
      </c>
      <c r="BR29" s="2">
        <v>35</v>
      </c>
      <c r="BS29" s="2">
        <v>52</v>
      </c>
      <c r="BT29" s="2">
        <v>94</v>
      </c>
      <c r="BU29" s="2" t="s">
        <v>151</v>
      </c>
      <c r="BV29" s="9" t="str">
        <f>HYPERLINK(".\links\FLYBASE\AGAP007888-PA-FLYBASE.txt","FBpp0078719")</f>
        <v>FBpp0078719</v>
      </c>
      <c r="BW29" s="2" t="str">
        <f>HYPERLINK("http://flybase.org/reports/FBgn0000228#alliance_summary_container","1E-158")</f>
        <v>1E-158</v>
      </c>
      <c r="BX29" s="2">
        <v>1032</v>
      </c>
      <c r="BY29" s="2">
        <v>37</v>
      </c>
      <c r="BZ29" s="2">
        <v>54</v>
      </c>
      <c r="CA29" s="2">
        <v>95</v>
      </c>
      <c r="CB29" s="9" t="str">
        <f>HYPERLINK(".\links\CDD\AGAP007888-PA-CDD.txt","SbcC, ATPase involved in DNA repair")</f>
        <v>SbcC, ATPase involved in DNA repair</v>
      </c>
      <c r="CC29" s="13">
        <v>9.9999999999999998E-13</v>
      </c>
      <c r="CD29" s="2">
        <v>58.9</v>
      </c>
      <c r="CE29" s="2" t="s">
        <v>1983</v>
      </c>
      <c r="CF29" s="2" t="s">
        <v>1984</v>
      </c>
      <c r="CG29" s="9" t="str">
        <f>HYPERLINK(".\links\KOG\AGAP007888-PA-KOG.txt","Myosin class II heavy chain")</f>
        <v>Myosin class II heavy chain</v>
      </c>
      <c r="CH29" s="13">
        <v>2.0000000000000001E-9</v>
      </c>
      <c r="CI29" s="2">
        <v>30.1</v>
      </c>
      <c r="CJ29" s="2" t="s">
        <v>1985</v>
      </c>
      <c r="CK29" s="2" t="s">
        <v>461</v>
      </c>
      <c r="CL29" s="9" t="str">
        <f>HYPERLINK(".\links\PFAM\AGAP007888-PA-PFAM.txt","HOOK, HOOK protein")</f>
        <v>HOOK, HOOK protein</v>
      </c>
      <c r="CM29" s="13">
        <v>3.0000000000000001E-5</v>
      </c>
      <c r="CN29" s="2">
        <v>73.599999999999994</v>
      </c>
      <c r="CO29" s="2" t="s">
        <v>1986</v>
      </c>
      <c r="CP29" s="9" t="str">
        <f>HYPERLINK(".\links\SMART\AGAP007888-PA-SMART.txt","Spc7, Spc7 kinetochore protein")</f>
        <v>Spc7, Spc7 kinetochore protein</v>
      </c>
      <c r="CQ29" s="13">
        <v>3.0000000000000001E-5</v>
      </c>
      <c r="CR29" s="2">
        <v>38.799999999999997</v>
      </c>
      <c r="CS29" s="2" t="s">
        <v>1987</v>
      </c>
      <c r="CT29" s="2" t="s">
        <v>1980</v>
      </c>
      <c r="CU29" s="2" t="s">
        <v>1980</v>
      </c>
      <c r="CV29" s="2" t="s">
        <v>1980</v>
      </c>
      <c r="CW29" s="2" t="str">
        <f>HYPERLINK(".\links\pep\AGAP007888-PA-pep.txt","AGAP007888-PA")</f>
        <v>AGAP007888-PA</v>
      </c>
      <c r="CX29" s="2" t="s">
        <v>88</v>
      </c>
      <c r="CY29" s="2">
        <v>1429</v>
      </c>
      <c r="CZ29" s="2" t="s">
        <v>103</v>
      </c>
      <c r="DA29" s="2" t="s">
        <v>1988</v>
      </c>
      <c r="DB29" s="2">
        <v>0</v>
      </c>
      <c r="DC29" s="2">
        <v>0</v>
      </c>
      <c r="DD29" s="2" t="str">
        <f>HYPERLINK("https://www.kegg.jp/kegg-bin/search_pathway_text?map=aga&amp;keyword=AGAP007888&amp;mode=1&amp;viewImage=true","AGAP007888")</f>
        <v>AGAP007888</v>
      </c>
      <c r="DE29" s="2" t="s">
        <v>1978</v>
      </c>
      <c r="DF29" s="2" t="s">
        <v>86</v>
      </c>
      <c r="DG29" s="2" t="s">
        <v>87</v>
      </c>
      <c r="DH29" s="2" t="str">
        <f>HYPERLINK("https://vectorbase.org/vectorbase/app/record/gene/AGAP007888","AGAP007888-RA")</f>
        <v>AGAP007888-RA</v>
      </c>
      <c r="DI29" s="2" t="s">
        <v>105</v>
      </c>
      <c r="DJ29" s="2">
        <v>7840</v>
      </c>
      <c r="DK29" s="2" t="str">
        <f>HYPERLINK(".\links\netoglyc\AGAP007888-PA-netoglyc.txt","4")</f>
        <v>4</v>
      </c>
      <c r="DL29" s="2">
        <v>16.8</v>
      </c>
      <c r="DM29" s="2">
        <v>4.5</v>
      </c>
      <c r="DN29" s="2">
        <v>3.9</v>
      </c>
      <c r="DO29" s="2" t="s">
        <v>94</v>
      </c>
      <c r="DP29" s="2" t="s">
        <v>1989</v>
      </c>
      <c r="DQ29" s="2" t="str">
        <f>HYPERLINK(".\links\Sigp\AGAP007888-PA-SigP.txt","CYT")</f>
        <v>CYT</v>
      </c>
      <c r="DR29" s="2" t="s">
        <v>89</v>
      </c>
      <c r="DS29" s="2">
        <v>158.83000000000001</v>
      </c>
      <c r="DT29" s="2">
        <v>5.21</v>
      </c>
      <c r="DU29" s="2" t="s">
        <v>89</v>
      </c>
      <c r="DV29" s="2" t="s">
        <v>89</v>
      </c>
      <c r="DW29" s="2" t="s">
        <v>93</v>
      </c>
      <c r="DX29" s="2">
        <v>1429</v>
      </c>
      <c r="DY29" s="12">
        <v>0</v>
      </c>
      <c r="DZ29" s="2" t="s">
        <v>89</v>
      </c>
      <c r="EA29" s="2" t="s">
        <v>89</v>
      </c>
      <c r="EB29" s="2" t="s">
        <v>89</v>
      </c>
      <c r="EC29" s="2" t="str">
        <f>HYPERLINK(".\links\gpi\AGAP007888-PA-gpi.txt","Y-NoSP")</f>
        <v>Y-NoSP</v>
      </c>
      <c r="ED29" s="2">
        <v>0.21</v>
      </c>
      <c r="EF29" s="2">
        <v>17</v>
      </c>
      <c r="EG29" s="2" t="str">
        <f>HYPERLINK(".\links\pep\AGAP007888-PA-sulf.txt","3")</f>
        <v>3</v>
      </c>
      <c r="EH29" s="2" t="s">
        <v>89</v>
      </c>
      <c r="EI29" s="2">
        <v>16.7949615115465</v>
      </c>
      <c r="EJ29" s="2">
        <v>3.9188243526941902</v>
      </c>
      <c r="EK29" s="2">
        <v>4.4786564030790803</v>
      </c>
      <c r="EL29" s="2">
        <v>8.3974807557732696</v>
      </c>
      <c r="EM29" s="2" t="s">
        <v>89</v>
      </c>
      <c r="EN29" s="2" t="s">
        <v>89</v>
      </c>
      <c r="EO29" s="2">
        <v>3</v>
      </c>
      <c r="EP29" s="2" t="s">
        <v>89</v>
      </c>
      <c r="EQ29" s="2" t="s">
        <v>89</v>
      </c>
      <c r="ER29" s="2" t="s">
        <v>89</v>
      </c>
      <c r="ES29" s="2" t="s">
        <v>89</v>
      </c>
      <c r="ET29" s="2" t="str">
        <f>HYPERLINK(".\links\REFSEQ-INVERTEBRATE\AGAP007888-PA-REFSEQ-INVERTEBRATE.txt","uncharacterized protein LOC118514104 isoform X2")</f>
        <v>uncharacterized protein LOC118514104 isoform X2</v>
      </c>
      <c r="EU29" s="2" t="str">
        <f>HYPERLINK("http://www.ncbi.nlm.nih.gov/sutils/blink.cgi?pid=XP_035916571.1","0.0")</f>
        <v>0.0</v>
      </c>
      <c r="EV29" s="2" t="str">
        <f>HYPERLINK("http://www.ncbi.nlm.nih.gov/protein/XP_035916571.1","XP_035916571.1")</f>
        <v>XP_035916571.1</v>
      </c>
      <c r="EW29" s="2">
        <v>75</v>
      </c>
      <c r="EX29" s="2">
        <v>81</v>
      </c>
      <c r="EY29" s="2">
        <v>103</v>
      </c>
      <c r="EZ29" s="2" t="s">
        <v>600</v>
      </c>
    </row>
    <row r="30" spans="1:156" x14ac:dyDescent="0.25">
      <c r="A30" s="2" t="s">
        <v>3184</v>
      </c>
      <c r="B30" s="2">
        <v>1.06841199285773</v>
      </c>
      <c r="C30" s="2">
        <f t="shared" si="0"/>
        <v>2.0971237446977158</v>
      </c>
      <c r="D30" s="2">
        <v>5.9900100621057097</v>
      </c>
      <c r="E30" s="2">
        <v>10.704426010392</v>
      </c>
      <c r="F30" s="2">
        <v>1.06879540610085E-3</v>
      </c>
      <c r="G30" s="2">
        <v>4.2741958768824397E-2</v>
      </c>
      <c r="H30" s="2" t="s">
        <v>86</v>
      </c>
      <c r="I30" s="2" t="s">
        <v>87</v>
      </c>
      <c r="J30" s="2" t="str">
        <f>HYPERLINK("https://vectorbase.org/vectorbase/app/record/gene/AGAP029464","AGAP029464-RA")</f>
        <v>AGAP029464-RA</v>
      </c>
      <c r="K30" s="2" t="str">
        <f>HYPERLINK(".\links\pep\AGAP029464-PA-pep.txt","AGAP029464-PA")</f>
        <v>AGAP029464-PA</v>
      </c>
      <c r="L30" s="12" t="s">
        <v>88</v>
      </c>
      <c r="M30" s="2">
        <v>692</v>
      </c>
      <c r="N30" s="2">
        <v>0</v>
      </c>
      <c r="O30" s="2">
        <v>2</v>
      </c>
      <c r="P30" s="2" t="s">
        <v>89</v>
      </c>
      <c r="Q30" s="9" t="s">
        <v>3185</v>
      </c>
      <c r="R30" s="2" t="s">
        <v>128</v>
      </c>
      <c r="S30" s="2" t="str">
        <f>HYPERLINK(".\links\KOG\AGAP029464-PA-KOG.txt","KOG")</f>
        <v>KOG</v>
      </c>
      <c r="T30" s="2">
        <v>0</v>
      </c>
      <c r="U30" s="2">
        <v>99.2</v>
      </c>
      <c r="V30" s="2" t="s">
        <v>3186</v>
      </c>
      <c r="W30" s="10" t="s">
        <v>3187</v>
      </c>
      <c r="X30" s="2" t="s">
        <v>128</v>
      </c>
      <c r="Y30" s="2" t="str">
        <f>HYPERLINK(".\links\REFSEQVERTEBRATE95\AGAP029464-PA-REFSEQVERTEBRATE95.txt","REFSEQVERTEBRATE95")</f>
        <v>REFSEQVERTEBRATE95</v>
      </c>
      <c r="Z30" s="2">
        <v>0</v>
      </c>
      <c r="AA30" s="2">
        <v>94.4</v>
      </c>
      <c r="AB30" s="14" t="s">
        <v>89</v>
      </c>
      <c r="AC30" s="14" t="str">
        <f>HYPERLINK(".\links\Sigp\AGAP029464-PA-SigP.txt","CYT")</f>
        <v>CYT</v>
      </c>
      <c r="AD30" s="2" t="s">
        <v>89</v>
      </c>
      <c r="AE30" s="2">
        <v>75.81</v>
      </c>
      <c r="AF30" s="2">
        <v>8.16</v>
      </c>
      <c r="AG30" s="2" t="s">
        <v>89</v>
      </c>
      <c r="AH30" s="2" t="s">
        <v>89</v>
      </c>
      <c r="AI30" s="2" t="s">
        <v>3188</v>
      </c>
      <c r="AJ30" s="14" t="str">
        <f>HYPERLINK(".\links\tmhmm\AGAP029464-PA-tmhmm.txt","11")</f>
        <v>11</v>
      </c>
      <c r="AK30" s="2">
        <v>33.700000000000003</v>
      </c>
      <c r="AL30" s="2">
        <v>32.9</v>
      </c>
      <c r="AM30" s="2">
        <v>33.4</v>
      </c>
      <c r="AN30" s="9" t="str">
        <f>HYPERLINK(".\links\gpi\AGAP029464-PA-gpi.txt","N")</f>
        <v>N</v>
      </c>
      <c r="AO30" s="15" t="str">
        <f>HYPERLINK(".\links\netoglyc\AGAP029464-PA-netoglyc.txt","2")</f>
        <v>2</v>
      </c>
      <c r="AP30" s="14">
        <v>14</v>
      </c>
      <c r="AQ30" s="2">
        <v>7.2</v>
      </c>
      <c r="AR30" s="2">
        <v>5.3</v>
      </c>
      <c r="AS30" s="2" t="s">
        <v>94</v>
      </c>
      <c r="AT30" s="9" t="str">
        <f>HYPERLINK(".\links\NR-LIGHT\AGAP029464-PA-NR-LIGHT.txt","Slc26a5")</f>
        <v>Slc26a5</v>
      </c>
      <c r="AU30" s="2" t="str">
        <f>HYPERLINK("http://www.ncbi.nlm.nih.gov/sutils/blink.cgi?pid=ADE05544.1","0.0")</f>
        <v>0.0</v>
      </c>
      <c r="AV30" s="2" t="str">
        <f>HYPERLINK("http://www.ncbi.nlm.nih.gov/protein/ADE05544.1","ADE05544.1")</f>
        <v>ADE05544.1</v>
      </c>
      <c r="AW30" s="2">
        <v>99</v>
      </c>
      <c r="AX30" s="2">
        <v>100</v>
      </c>
      <c r="AY30" s="2">
        <v>100</v>
      </c>
      <c r="AZ30" s="2" t="s">
        <v>215</v>
      </c>
      <c r="BA30" s="9" t="str">
        <f>HYPERLINK(".\links\REFSEQ-INVERTEBRATE\AGAP029464-PA-REFSEQ-INVERTEBRATE.txt","AGAP010725-PA, partial")</f>
        <v>AGAP010725-PA, partial</v>
      </c>
      <c r="BB30" s="2" t="str">
        <f>HYPERLINK("http://www.ncbi.nlm.nih.gov/sutils/blink.cgi?pid=XP_559235.3","0.0")</f>
        <v>0.0</v>
      </c>
      <c r="BC30" s="2" t="str">
        <f>HYPERLINK("http://www.ncbi.nlm.nih.gov/protein/XP_559235.3","XP_559235.3")</f>
        <v>XP_559235.3</v>
      </c>
      <c r="BD30" s="2">
        <v>95</v>
      </c>
      <c r="BE30" s="2">
        <v>95</v>
      </c>
      <c r="BF30" s="2">
        <v>100</v>
      </c>
      <c r="BG30" s="2" t="s">
        <v>95</v>
      </c>
      <c r="BH30" s="9" t="str">
        <f>HYPERLINK(".\links\REFSEQ-PROTOZOA\AGAP029464-PA-REFSEQ-PROTOZOA.txt","hypothetical protein SARC_00293")</f>
        <v>hypothetical protein SARC_00293</v>
      </c>
      <c r="BI30" s="2" t="str">
        <f>HYPERLINK("http://www.ncbi.nlm.nih.gov/sutils/blink.cgi?pid=XP_014161494.1","5E-086")</f>
        <v>5E-086</v>
      </c>
      <c r="BJ30" s="2" t="str">
        <f>HYPERLINK("http://www.ncbi.nlm.nih.gov/protein/XP_014161494.1","XP_014161494.1")</f>
        <v>XP_014161494.1</v>
      </c>
      <c r="BK30" s="2">
        <v>33</v>
      </c>
      <c r="BL30" s="2">
        <v>52</v>
      </c>
      <c r="BM30" s="2">
        <v>73</v>
      </c>
      <c r="BN30" s="2" t="s">
        <v>168</v>
      </c>
      <c r="BO30" s="9" t="str">
        <f>HYPERLINK(".\links\SWISSP\AGAP029464-PA-SWISSP.txt","Sulfate transporter")</f>
        <v>Sulfate transporter</v>
      </c>
      <c r="BP30" s="2" t="str">
        <f>HYPERLINK("http://www.uniprot.org/uniprot/Q62273","1E-103")</f>
        <v>1E-103</v>
      </c>
      <c r="BQ30" s="2" t="str">
        <f>HYPERLINK("http://www.uniprot.org/uniprot/Q62273#expression","Q62273")</f>
        <v>Q62273</v>
      </c>
      <c r="BR30" s="2">
        <v>32</v>
      </c>
      <c r="BS30" s="2">
        <v>55</v>
      </c>
      <c r="BT30" s="2">
        <v>92</v>
      </c>
      <c r="BU30" s="2" t="s">
        <v>566</v>
      </c>
      <c r="BV30" s="9" t="str">
        <f>HYPERLINK(".\links\FLYBASE\AGAP029464-PA-FLYBASE.txt","FBpp0074919")</f>
        <v>FBpp0074919</v>
      </c>
      <c r="BW30" s="2" t="str">
        <f>HYPERLINK("http://flybase.org/reports/FBgn0036770#alliance_summary_container","1E-149")</f>
        <v>1E-149</v>
      </c>
      <c r="BX30" s="2">
        <v>742</v>
      </c>
      <c r="BY30" s="2">
        <v>37</v>
      </c>
      <c r="BZ30" s="2">
        <v>55</v>
      </c>
      <c r="CA30" s="2">
        <v>96</v>
      </c>
      <c r="CB30" s="9" t="str">
        <f>HYPERLINK(".\links\CDD\AGAP029464-PA-CDD.txt","Sulfate_transporter, high affinity sulphate transporter 1")</f>
        <v>Sulfate_transporter, high affinity sulphate transporter 1</v>
      </c>
      <c r="CC30" s="13">
        <v>1.0000000000000001E-110</v>
      </c>
      <c r="CD30" s="2">
        <v>105.6</v>
      </c>
      <c r="CE30" s="2" t="s">
        <v>3189</v>
      </c>
      <c r="CF30" s="2" t="s">
        <v>3190</v>
      </c>
      <c r="CG30" s="9" t="str">
        <f>HYPERLINK(".\links\KOG\AGAP029464-PA-KOG.txt","Sulfate/bicarbonate/oxalate exchanger SAT-1 and related transporters (SLC26 family)")</f>
        <v>Sulfate/bicarbonate/oxalate exchanger SAT-1 and related transporters (SLC26 family)</v>
      </c>
      <c r="CH30" s="13">
        <v>9.9999999999999998E-150</v>
      </c>
      <c r="CI30" s="2">
        <v>99.2</v>
      </c>
      <c r="CJ30" s="2" t="s">
        <v>3191</v>
      </c>
      <c r="CK30" s="2" t="s">
        <v>653</v>
      </c>
      <c r="CL30" s="9" t="str">
        <f>HYPERLINK(".\links\PFAM\AGAP029464-PA-PFAM.txt","Sulfate_transp, Sulfate permease family")</f>
        <v>Sulfate_transp, Sulfate permease family</v>
      </c>
      <c r="CM30" s="13">
        <v>1.9999999999999998E-96</v>
      </c>
      <c r="CN30" s="2">
        <v>101.6</v>
      </c>
      <c r="CO30" s="2" t="s">
        <v>3192</v>
      </c>
      <c r="CP30" s="9" t="str">
        <f>HYPERLINK(".\links\SMART\AGAP029464-PA-SMART.txt","Transket_pyr, Transketolase, pyrimidine binding domain")</f>
        <v>Transket_pyr, Transketolase, pyrimidine binding domain</v>
      </c>
      <c r="CQ30" s="13">
        <v>2.7</v>
      </c>
      <c r="CR30" s="2">
        <v>15.4</v>
      </c>
      <c r="CS30" s="2" t="s">
        <v>3193</v>
      </c>
      <c r="CT30" s="2" t="s">
        <v>3186</v>
      </c>
      <c r="CU30" s="2" t="s">
        <v>3186</v>
      </c>
      <c r="CV30" s="2" t="s">
        <v>3186</v>
      </c>
      <c r="CW30" s="2" t="str">
        <f>HYPERLINK(".\links\pep\AGAP029464-PA-pep.txt","AGAP029464-PA")</f>
        <v>AGAP029464-PA</v>
      </c>
      <c r="CX30" s="2" t="s">
        <v>88</v>
      </c>
      <c r="CY30" s="2">
        <v>692</v>
      </c>
      <c r="CZ30" s="2" t="s">
        <v>103</v>
      </c>
      <c r="DA30" s="2" t="s">
        <v>3194</v>
      </c>
      <c r="DB30" s="2">
        <v>0</v>
      </c>
      <c r="DC30" s="2">
        <v>2</v>
      </c>
      <c r="DD30" s="2" t="str">
        <f>HYPERLINK("https://www.kegg.jp/kegg-bin/search_pathway_text?map=aga&amp;keyword=AGAP029464&amp;mode=1&amp;viewImage=true","AGAP029464")</f>
        <v>AGAP029464</v>
      </c>
      <c r="DE30" s="2" t="s">
        <v>3184</v>
      </c>
      <c r="DF30" s="2" t="s">
        <v>86</v>
      </c>
      <c r="DG30" s="2" t="s">
        <v>87</v>
      </c>
      <c r="DH30" s="2" t="str">
        <f>HYPERLINK("https://vectorbase.org/vectorbase/app/record/gene/AGAP029464","AGAP029464-RA")</f>
        <v>AGAP029464-RA</v>
      </c>
      <c r="DI30" s="2" t="s">
        <v>122</v>
      </c>
      <c r="DJ30" s="2">
        <v>2947</v>
      </c>
      <c r="DK30" s="2" t="str">
        <f>HYPERLINK(".\links\netoglyc\AGAP029464-PA-netoglyc.txt","2")</f>
        <v>2</v>
      </c>
      <c r="DL30" s="2">
        <v>14</v>
      </c>
      <c r="DM30" s="2">
        <v>7.2</v>
      </c>
      <c r="DN30" s="2">
        <v>5.3</v>
      </c>
      <c r="DO30" s="2" t="s">
        <v>94</v>
      </c>
      <c r="DP30" s="2" t="s">
        <v>3195</v>
      </c>
      <c r="DQ30" s="2" t="str">
        <f>HYPERLINK(".\links\Sigp\AGAP029464-PA-SigP.txt","CYT")</f>
        <v>CYT</v>
      </c>
      <c r="DR30" s="2" t="s">
        <v>89</v>
      </c>
      <c r="DS30" s="2">
        <v>75.81</v>
      </c>
      <c r="DT30" s="2">
        <v>8.16</v>
      </c>
      <c r="DU30" s="2" t="s">
        <v>89</v>
      </c>
      <c r="DV30" s="2" t="s">
        <v>89</v>
      </c>
      <c r="DW30" s="2" t="s">
        <v>3188</v>
      </c>
      <c r="DX30" s="2">
        <v>692</v>
      </c>
      <c r="DY30" s="12" t="str">
        <f>HYPERLINK(".\links\tmhmm\AGAP029464-PA-tmhmm.txt","11")</f>
        <v>11</v>
      </c>
      <c r="DZ30" s="2">
        <v>33.700000000000003</v>
      </c>
      <c r="EA30" s="2">
        <v>32.9</v>
      </c>
      <c r="EB30" s="2">
        <v>33.4</v>
      </c>
      <c r="EC30" s="2" t="str">
        <f>HYPERLINK(".\links\gpi\AGAP029464-PA-gpi.txt","N")</f>
        <v>N</v>
      </c>
      <c r="ED30" s="2">
        <v>0.28000000000000003</v>
      </c>
      <c r="EF30" s="2">
        <v>19</v>
      </c>
      <c r="EG30" s="2" t="s">
        <v>89</v>
      </c>
      <c r="EH30" s="2" t="s">
        <v>89</v>
      </c>
      <c r="EI30" s="2">
        <v>14.0173410404624</v>
      </c>
      <c r="EJ30" s="2">
        <v>5.3468208092485501</v>
      </c>
      <c r="EK30" s="2">
        <v>7.2254335260115603</v>
      </c>
      <c r="EL30" s="2">
        <v>12.5722543352601</v>
      </c>
      <c r="EM30" s="2" t="s">
        <v>89</v>
      </c>
      <c r="EN30" s="2">
        <v>1</v>
      </c>
      <c r="EO30" s="2">
        <v>1</v>
      </c>
      <c r="EP30" s="2" t="s">
        <v>89</v>
      </c>
      <c r="EQ30" s="2" t="s">
        <v>89</v>
      </c>
      <c r="ER30" s="2" t="s">
        <v>89</v>
      </c>
      <c r="ES30" s="2" t="s">
        <v>89</v>
      </c>
      <c r="ET30" s="2" t="str">
        <f>HYPERLINK(".\links\REFSEQ-INVERTEBRATE\AGAP029464-PA-REFSEQ-INVERTEBRATE.txt","solute carrier family 26 member 10-like")</f>
        <v>solute carrier family 26 member 10-like</v>
      </c>
      <c r="EU30" s="2" t="str">
        <f>HYPERLINK("http://www.ncbi.nlm.nih.gov/sutils/blink.cgi?pid=XP_035893216.1","0.0")</f>
        <v>0.0</v>
      </c>
      <c r="EV30" s="2" t="str">
        <f>HYPERLINK("http://www.ncbi.nlm.nih.gov/protein/XP_035893216.1","XP_035893216.1")</f>
        <v>XP_035893216.1</v>
      </c>
      <c r="EW30" s="2">
        <v>90</v>
      </c>
      <c r="EX30" s="2">
        <v>94</v>
      </c>
      <c r="EY30" s="2">
        <v>100</v>
      </c>
      <c r="EZ30" s="2" t="s">
        <v>600</v>
      </c>
    </row>
    <row r="31" spans="1:156" x14ac:dyDescent="0.25">
      <c r="A31" s="2" t="s">
        <v>1483</v>
      </c>
      <c r="B31" s="2">
        <v>1.0550859068481</v>
      </c>
      <c r="C31" s="2">
        <f t="shared" si="0"/>
        <v>2.0778419302733151</v>
      </c>
      <c r="D31" s="2">
        <v>5.8683577638475501</v>
      </c>
      <c r="E31" s="2">
        <v>15.2455394446815</v>
      </c>
      <c r="F31" s="2">
        <v>9.4399437743308902E-5</v>
      </c>
      <c r="G31" s="2">
        <v>8.6644035659742304E-3</v>
      </c>
      <c r="H31" s="2" t="s">
        <v>86</v>
      </c>
      <c r="I31" s="2" t="s">
        <v>87</v>
      </c>
      <c r="J31" s="2" t="str">
        <f>HYPERLINK("https://vectorbase.org/vectorbase/app/record/gene/AGAP005170","AGAP005170-RA")</f>
        <v>AGAP005170-RA</v>
      </c>
      <c r="K31" s="2" t="str">
        <f>HYPERLINK(".\links\pep\AGAP005170-PA-pep.txt","AGAP005170-PA")</f>
        <v>AGAP005170-PA</v>
      </c>
      <c r="L31" s="12" t="s">
        <v>88</v>
      </c>
      <c r="M31" s="2">
        <v>631</v>
      </c>
      <c r="N31" s="2">
        <v>0</v>
      </c>
      <c r="O31" s="2">
        <v>2</v>
      </c>
      <c r="P31" s="2" t="s">
        <v>89</v>
      </c>
      <c r="Q31" s="9" t="s">
        <v>1484</v>
      </c>
      <c r="R31" s="2" t="s">
        <v>347</v>
      </c>
      <c r="S31" s="2" t="str">
        <f>HYPERLINK(".\links\CDD\AGAP005170-PA-CDD.txt","CDD")</f>
        <v>CDD</v>
      </c>
      <c r="T31" s="2">
        <v>2E-46</v>
      </c>
      <c r="U31" s="2">
        <v>101.1</v>
      </c>
      <c r="V31" s="2" t="s">
        <v>1485</v>
      </c>
      <c r="W31" s="10" t="s">
        <v>1486</v>
      </c>
      <c r="X31" s="2" t="s">
        <v>347</v>
      </c>
      <c r="Y31" s="2" t="str">
        <f>HYPERLINK(".\links\UNIPROTKB\AGAP005170-PA-UNIPROTKB.txt","UNIPROTKB")</f>
        <v>UNIPROTKB</v>
      </c>
      <c r="Z31" s="13">
        <v>1.9999999999999998E-65</v>
      </c>
      <c r="AA31" s="2">
        <v>95.2</v>
      </c>
      <c r="AB31" s="14" t="str">
        <f>HYPERLINK(".\links\pep\AGAP005170-PA-sulf.txt","1")</f>
        <v>1</v>
      </c>
      <c r="AC31" s="14" t="str">
        <f>HYPERLINK(".\links\Sigp\AGAP005170-PA-SigP.txt","SIG")</f>
        <v>SIG</v>
      </c>
      <c r="AD31" s="2" t="s">
        <v>350</v>
      </c>
      <c r="AE31" s="2">
        <v>68.632000000000005</v>
      </c>
      <c r="AF31" s="2">
        <v>7.56</v>
      </c>
      <c r="AG31" s="2">
        <v>66.688999999999993</v>
      </c>
      <c r="AH31" s="2">
        <v>7.67</v>
      </c>
      <c r="AI31" s="2" t="s">
        <v>1487</v>
      </c>
      <c r="AJ31" s="14" t="str">
        <f>HYPERLINK(".\links\tmhmm\AGAP005170-PA-tmhmm.txt","6")</f>
        <v>6</v>
      </c>
      <c r="AK31" s="2">
        <v>20.3</v>
      </c>
      <c r="AL31" s="2">
        <v>67.7</v>
      </c>
      <c r="AM31" s="2">
        <v>12</v>
      </c>
      <c r="AN31" s="14" t="str">
        <f>HYPERLINK(".\links\gpi\AGAP005170-PA-gpi.txt","N")</f>
        <v>N</v>
      </c>
      <c r="AO31" s="15" t="str">
        <f>HYPERLINK(".\links\netoglyc\AGAP005170-PA-netoglyc.txt","10")</f>
        <v>10</v>
      </c>
      <c r="AP31" s="14">
        <v>13.6</v>
      </c>
      <c r="AQ31" s="2">
        <v>8.1</v>
      </c>
      <c r="AR31" s="2">
        <v>6.2</v>
      </c>
      <c r="AS31" s="2" t="s">
        <v>94</v>
      </c>
      <c r="AT31" s="9" t="str">
        <f>HYPERLINK(".\links\NR-LIGHT\AGAP005170-PA-NR-LIGHT.txt","AGAP005170-PA")</f>
        <v>AGAP005170-PA</v>
      </c>
      <c r="AU31" s="2" t="str">
        <f>HYPERLINK("http://www.ncbi.nlm.nih.gov/sutils/blink.cgi?pid=XP_314066.4","0.0")</f>
        <v>0.0</v>
      </c>
      <c r="AV31" s="2" t="str">
        <f>HYPERLINK("http://www.ncbi.nlm.nih.gov/protein/XP_314066.4","XP_314066.4")</f>
        <v>XP_314066.4</v>
      </c>
      <c r="AW31" s="2">
        <v>100</v>
      </c>
      <c r="AX31" s="2">
        <v>100</v>
      </c>
      <c r="AY31" s="2">
        <v>100</v>
      </c>
      <c r="AZ31" s="2" t="s">
        <v>95</v>
      </c>
      <c r="BA31" s="9" t="str">
        <f>HYPERLINK(".\links\REFSEQ-INVERTEBRATE\AGAP005170-PA-REFSEQ-INVERTEBRATE.txt","AGAP005170-PA")</f>
        <v>AGAP005170-PA</v>
      </c>
      <c r="BB31" s="2" t="str">
        <f>HYPERLINK("http://www.ncbi.nlm.nih.gov/sutils/blink.cgi?pid=XP_314066.4","0.0")</f>
        <v>0.0</v>
      </c>
      <c r="BC31" s="2" t="str">
        <f>HYPERLINK("http://www.ncbi.nlm.nih.gov/protein/XP_314066.4","XP_314066.4")</f>
        <v>XP_314066.4</v>
      </c>
      <c r="BD31" s="2">
        <v>100</v>
      </c>
      <c r="BE31" s="2">
        <v>100</v>
      </c>
      <c r="BF31" s="2">
        <v>100</v>
      </c>
      <c r="BG31" s="2" t="s">
        <v>95</v>
      </c>
      <c r="BH31" s="9" t="str">
        <f>HYPERLINK(".\links\REFSEQ-PROTOZOA\AGAP005170-PA-REFSEQ-PROTOZOA.txt","hypothetical protein AMSG_07677")</f>
        <v>hypothetical protein AMSG_07677</v>
      </c>
      <c r="BI31" s="2" t="str">
        <f>HYPERLINK("http://www.ncbi.nlm.nih.gov/sutils/blink.cgi?pid=XP_013756141.1","2E-013")</f>
        <v>2E-013</v>
      </c>
      <c r="BJ31" s="2" t="str">
        <f>HYPERLINK("http://www.ncbi.nlm.nih.gov/protein/XP_013756141.1","XP_013756141.1")</f>
        <v>XP_013756141.1</v>
      </c>
      <c r="BK31" s="2">
        <v>34</v>
      </c>
      <c r="BL31" s="2">
        <v>51</v>
      </c>
      <c r="BM31" s="2">
        <v>22</v>
      </c>
      <c r="BN31" s="2" t="s">
        <v>858</v>
      </c>
      <c r="BO31" s="9" t="str">
        <f>HYPERLINK(".\links\SWISSP\AGAP005170-PA-SWISSP.txt","Putative ferric-chelate reductase 1 homolog")</f>
        <v>Putative ferric-chelate reductase 1 homolog</v>
      </c>
      <c r="BP31" s="2" t="str">
        <f>HYPERLINK("http://www.uniprot.org/uniprot/Q8MSU3","0.0")</f>
        <v>0.0</v>
      </c>
      <c r="BQ31" s="2" t="str">
        <f>HYPERLINK("http://www.uniprot.org/uniprot/Q8MSU3#expression","Q8MSU3")</f>
        <v>Q8MSU3</v>
      </c>
      <c r="BR31" s="2">
        <v>53</v>
      </c>
      <c r="BS31" s="2">
        <v>70</v>
      </c>
      <c r="BT31" s="2">
        <v>96</v>
      </c>
      <c r="BU31" s="2" t="s">
        <v>151</v>
      </c>
      <c r="BV31" s="9" t="str">
        <f>HYPERLINK(".\links\FLYBASE\AGAP005170-PA-FLYBASE.txt","FBpp0086349")</f>
        <v>FBpp0086349</v>
      </c>
      <c r="BW31" s="2" t="str">
        <f>HYPERLINK("http://flybase.org/reports/FBgn0034067#alliance_summary_container","0.0")</f>
        <v>0.0</v>
      </c>
      <c r="BX31" s="2">
        <v>647</v>
      </c>
      <c r="BY31" s="2">
        <v>53</v>
      </c>
      <c r="BZ31" s="2">
        <v>70</v>
      </c>
      <c r="CA31" s="2">
        <v>96</v>
      </c>
      <c r="CB31" s="9" t="str">
        <f>HYPERLINK(".\links\CDD\AGAP005170-PA-CDD.txt","DOMON_SDR_2_like, DOMON domain of stromal cell-derived receptor 2 (ferric chelate reductase 1) and related proteins")</f>
        <v>DOMON_SDR_2_like, DOMON domain of stromal cell-derived receptor 2 (ferric chelate reductase 1) and related proteins</v>
      </c>
      <c r="CC31" s="13">
        <v>2E-46</v>
      </c>
      <c r="CD31" s="2">
        <v>101.2</v>
      </c>
      <c r="CE31" s="2" t="s">
        <v>1488</v>
      </c>
      <c r="CF31" s="2" t="s">
        <v>1489</v>
      </c>
      <c r="CG31" s="9" t="str">
        <f>HYPERLINK(".\links\KOG\AGAP005170-PA-KOG.txt","contains DoH and Cytochrome b-561/ferric reductase transmembrane domains")</f>
        <v>contains DoH and Cytochrome b-561/ferric reductase transmembrane domains</v>
      </c>
      <c r="CH31" s="13">
        <v>1E-35</v>
      </c>
      <c r="CI31" s="2">
        <v>81.599999999999994</v>
      </c>
      <c r="CJ31" s="2" t="s">
        <v>1490</v>
      </c>
      <c r="CK31" s="2" t="s">
        <v>410</v>
      </c>
      <c r="CL31" s="9" t="str">
        <f>HYPERLINK(".\links\PFAM\AGAP005170-PA-PFAM.txt","Reeler, Reeler domain")</f>
        <v>Reeler, Reeler domain</v>
      </c>
      <c r="CM31" s="13">
        <v>3.0000000000000002E-36</v>
      </c>
      <c r="CN31" s="2">
        <v>100.8</v>
      </c>
      <c r="CO31" s="2" t="s">
        <v>1491</v>
      </c>
      <c r="CP31" s="9" t="str">
        <f>HYPERLINK(".\links\SMART\AGAP005170-PA-SMART.txt","B561, Cytochrome b-561 / ferric reductase transmembrane domain")</f>
        <v>B561, Cytochrome b-561 / ferric reductase transmembrane domain</v>
      </c>
      <c r="CQ31" s="13">
        <v>8.9999999999999996E-28</v>
      </c>
      <c r="CR31" s="2">
        <v>103.9</v>
      </c>
      <c r="CS31" s="2" t="s">
        <v>813</v>
      </c>
      <c r="CT31" s="2" t="s">
        <v>1485</v>
      </c>
      <c r="CU31" s="2" t="s">
        <v>1485</v>
      </c>
      <c r="CV31" s="2" t="s">
        <v>1485</v>
      </c>
      <c r="CW31" s="2" t="str">
        <f>HYPERLINK(".\links\pep\AGAP005170-PA-pep.txt","AGAP005170-PA")</f>
        <v>AGAP005170-PA</v>
      </c>
      <c r="CX31" s="2" t="s">
        <v>88</v>
      </c>
      <c r="CY31" s="2">
        <v>631</v>
      </c>
      <c r="CZ31" s="2" t="s">
        <v>103</v>
      </c>
      <c r="DA31" s="2" t="s">
        <v>1492</v>
      </c>
      <c r="DB31" s="2">
        <v>0</v>
      </c>
      <c r="DC31" s="2">
        <v>2</v>
      </c>
      <c r="DD31" s="2" t="str">
        <f>HYPERLINK("https://www.kegg.jp/kegg-bin/search_pathway_text?map=aga&amp;keyword=AGAP005170&amp;mode=1&amp;viewImage=true","AGAP005170")</f>
        <v>AGAP005170</v>
      </c>
      <c r="DE31" s="2" t="s">
        <v>1483</v>
      </c>
      <c r="DF31" s="2" t="s">
        <v>86</v>
      </c>
      <c r="DG31" s="2" t="s">
        <v>87</v>
      </c>
      <c r="DH31" s="2" t="str">
        <f>HYPERLINK("https://vectorbase.org/vectorbase/app/record/gene/AGAP005170","AGAP005170-RA")</f>
        <v>AGAP005170-RA</v>
      </c>
      <c r="DI31" s="2" t="s">
        <v>105</v>
      </c>
      <c r="DJ31" s="2">
        <v>2692</v>
      </c>
      <c r="DK31" s="2" t="str">
        <f>HYPERLINK(".\links\netoglyc\AGAP005170-PA-netoglyc.txt","10")</f>
        <v>10</v>
      </c>
      <c r="DL31" s="2">
        <v>13.6</v>
      </c>
      <c r="DM31" s="2">
        <v>8.1</v>
      </c>
      <c r="DN31" s="2">
        <v>6.2</v>
      </c>
      <c r="DO31" s="2" t="s">
        <v>94</v>
      </c>
      <c r="DP31" s="2" t="s">
        <v>89</v>
      </c>
      <c r="DQ31" s="2" t="str">
        <f>HYPERLINK(".\links\Sigp\AGAP005170-PA-SigP.txt","SIG")</f>
        <v>SIG</v>
      </c>
      <c r="DR31" s="2" t="s">
        <v>350</v>
      </c>
      <c r="DS31" s="2">
        <v>68.632000000000005</v>
      </c>
      <c r="DT31" s="2">
        <v>7.56</v>
      </c>
      <c r="DU31" s="2">
        <v>66.688999999999993</v>
      </c>
      <c r="DV31" s="2">
        <v>7.67</v>
      </c>
      <c r="DW31" s="2" t="s">
        <v>1487</v>
      </c>
      <c r="DX31" s="2">
        <v>631</v>
      </c>
      <c r="DY31" s="12" t="str">
        <f>HYPERLINK(".\links\tmhmm\AGAP005170-PA-tmhmm.txt","6")</f>
        <v>6</v>
      </c>
      <c r="DZ31" s="2">
        <v>20.3</v>
      </c>
      <c r="EA31" s="2">
        <v>67.7</v>
      </c>
      <c r="EB31" s="2">
        <v>12</v>
      </c>
      <c r="EC31" s="2" t="str">
        <f>HYPERLINK(".\links\gpi\AGAP005170-PA-gpi.txt","N")</f>
        <v>N</v>
      </c>
      <c r="ED31" s="2">
        <v>0.25</v>
      </c>
      <c r="EF31" s="2">
        <v>12</v>
      </c>
      <c r="EG31" s="2" t="str">
        <f>HYPERLINK(".\links\pep\AGAP005170-PA-sulf.txt","1")</f>
        <v>1</v>
      </c>
      <c r="EH31" s="2" t="s">
        <v>89</v>
      </c>
      <c r="EI31" s="2">
        <v>13.629160063391399</v>
      </c>
      <c r="EJ31" s="2">
        <v>6.1806656101426301</v>
      </c>
      <c r="EK31" s="2">
        <v>8.0824088748018994</v>
      </c>
      <c r="EL31" s="2">
        <v>14.2630744849445</v>
      </c>
      <c r="EM31" s="2">
        <v>1</v>
      </c>
      <c r="EN31" s="2">
        <v>3</v>
      </c>
      <c r="EO31" s="2">
        <v>4</v>
      </c>
      <c r="EP31" s="2" t="s">
        <v>89</v>
      </c>
      <c r="EQ31" s="2" t="s">
        <v>89</v>
      </c>
      <c r="ER31" s="2" t="s">
        <v>89</v>
      </c>
      <c r="ES31" s="2" t="s">
        <v>89</v>
      </c>
      <c r="ET31" s="2" t="str">
        <f>HYPERLINK(".\links\REFSEQ-INVERTEBRATE\AGAP005170-PA-REFSEQ-INVERTEBRATE.txt","AGAP005170-PA")</f>
        <v>AGAP005170-PA</v>
      </c>
      <c r="EU31" s="2" t="str">
        <f>HYPERLINK("http://www.ncbi.nlm.nih.gov/sutils/blink.cgi?pid=XP_314066.4","0.0")</f>
        <v>0.0</v>
      </c>
      <c r="EV31" s="2" t="str">
        <f>HYPERLINK("http://www.ncbi.nlm.nih.gov/protein/XP_314066.4","XP_314066.4")</f>
        <v>XP_314066.4</v>
      </c>
      <c r="EW31" s="2">
        <v>100</v>
      </c>
      <c r="EX31" s="2">
        <v>100</v>
      </c>
      <c r="EY31" s="2">
        <v>100</v>
      </c>
      <c r="EZ31" s="2" t="s">
        <v>95</v>
      </c>
    </row>
    <row r="32" spans="1:156" x14ac:dyDescent="0.25">
      <c r="A32" s="2" t="s">
        <v>3236</v>
      </c>
      <c r="B32" s="2">
        <v>1.0465192895761799</v>
      </c>
      <c r="C32" s="2">
        <f t="shared" si="0"/>
        <v>2.0655404162748416</v>
      </c>
      <c r="D32" s="2">
        <v>4.6068138215565098</v>
      </c>
      <c r="E32" s="2">
        <v>11.2172738143648</v>
      </c>
      <c r="F32" s="2">
        <v>8.1039454598263604E-4</v>
      </c>
      <c r="G32" s="2">
        <v>3.6101551176054902E-2</v>
      </c>
      <c r="H32" s="2" t="s">
        <v>86</v>
      </c>
      <c r="I32" s="2" t="s">
        <v>87</v>
      </c>
      <c r="J32" s="2" t="str">
        <f>HYPERLINK("https://vectorbase.org/vectorbase/app/record/gene/AGAP029899","AGAP029899-RA")</f>
        <v>AGAP029899-RA</v>
      </c>
      <c r="K32" s="2" t="str">
        <f>HYPERLINK(".\links\pep\AGAP029899-PA-pep.txt","AGAP029899-PA")</f>
        <v>AGAP029899-PA</v>
      </c>
      <c r="Q32" s="9"/>
      <c r="V32" s="2" t="s">
        <v>3237</v>
      </c>
      <c r="W32" s="10" t="s">
        <v>3238</v>
      </c>
      <c r="X32" s="2" t="s">
        <v>3239</v>
      </c>
      <c r="Y32" s="2" t="str">
        <f>HYPERLINK(".\links\REFSEQVERTEBRATE95\AGAP029899-PA-REFSEQVERTEBRATE95.txt","REFSEQVERTEBRATE95")</f>
        <v>REFSEQVERTEBRATE95</v>
      </c>
      <c r="Z32" s="13">
        <v>0</v>
      </c>
      <c r="AA32" s="2">
        <v>84</v>
      </c>
      <c r="AB32" s="9"/>
      <c r="AC32" s="9"/>
      <c r="AJ32" s="9"/>
      <c r="AN32" s="9"/>
      <c r="AO32" s="11"/>
      <c r="AP32" s="9"/>
      <c r="AT32" s="9"/>
      <c r="BA32" s="9"/>
      <c r="BH32" s="9"/>
      <c r="BO32" s="9"/>
      <c r="BV32" s="9"/>
      <c r="CB32" s="9"/>
      <c r="CG32" s="9"/>
      <c r="CL32" s="9"/>
      <c r="CP32" s="9"/>
      <c r="CW32" s="2" t="str">
        <f>HYPERLINK(".\links\pep\AGAP029899-PA-pep.txt","AGAP029899-PA")</f>
        <v>AGAP029899-PA</v>
      </c>
      <c r="CX32" s="2" t="s">
        <v>88</v>
      </c>
      <c r="CY32" s="2">
        <v>1023</v>
      </c>
      <c r="CZ32" s="2" t="s">
        <v>103</v>
      </c>
      <c r="DA32" s="2" t="s">
        <v>3240</v>
      </c>
      <c r="DB32" s="2">
        <v>0</v>
      </c>
      <c r="DC32" s="2">
        <v>3</v>
      </c>
      <c r="DD32" s="2" t="str">
        <f>HYPERLINK("https://www.kegg.jp/kegg-bin/search_pathway_text?map=aga&amp;keyword=AGAP029899&amp;mode=1&amp;viewImage=true","AGAP029899")</f>
        <v>AGAP029899</v>
      </c>
      <c r="DE32" s="2" t="s">
        <v>3236</v>
      </c>
      <c r="DF32" s="2" t="s">
        <v>86</v>
      </c>
      <c r="DG32" s="2" t="s">
        <v>87</v>
      </c>
      <c r="DH32" s="2" t="str">
        <f>HYPERLINK("https://vectorbase.org/vectorbase/app/record/gene/AGAP029899","AGAP029899-RA")</f>
        <v>AGAP029899-RA</v>
      </c>
      <c r="DI32" s="2" t="s">
        <v>122</v>
      </c>
      <c r="DJ32" s="2">
        <v>6623</v>
      </c>
      <c r="DK32" s="2" t="str">
        <f>HYPERLINK(".\links\netoglyc\AGAP029899-PA-netoglyc.txt","41")</f>
        <v>41</v>
      </c>
      <c r="DL32" s="2">
        <v>15.4</v>
      </c>
      <c r="DM32" s="2">
        <v>8</v>
      </c>
      <c r="DN32" s="2">
        <v>9.6999999999999993</v>
      </c>
      <c r="DO32" s="2">
        <v>0.3</v>
      </c>
      <c r="DP32" s="2" t="s">
        <v>89</v>
      </c>
      <c r="DQ32" s="2" t="str">
        <f>HYPERLINK(".\links\Sigp\AGAP029899-PA-SigP.txt","CYT")</f>
        <v>CYT</v>
      </c>
      <c r="DR32" s="2" t="s">
        <v>89</v>
      </c>
      <c r="DS32" s="2">
        <v>108.892</v>
      </c>
      <c r="DT32" s="2">
        <v>6.64</v>
      </c>
      <c r="DU32" s="2" t="s">
        <v>89</v>
      </c>
      <c r="DV32" s="2" t="s">
        <v>89</v>
      </c>
      <c r="DW32" s="2" t="s">
        <v>3241</v>
      </c>
      <c r="DX32" s="2">
        <v>1023</v>
      </c>
      <c r="DY32" s="12">
        <v>0</v>
      </c>
      <c r="DZ32" s="2" t="s">
        <v>89</v>
      </c>
      <c r="EA32" s="2" t="s">
        <v>89</v>
      </c>
      <c r="EB32" s="2" t="s">
        <v>89</v>
      </c>
      <c r="EC32" s="2" t="str">
        <f>HYPERLINK(".\links\gpi\AGAP029899-PA-gpi.txt","")</f>
        <v/>
      </c>
      <c r="ED32" s="2">
        <v>0.27</v>
      </c>
      <c r="EF32" s="2">
        <v>15</v>
      </c>
      <c r="EG32" s="2" t="s">
        <v>89</v>
      </c>
      <c r="EH32" s="2" t="s">
        <v>89</v>
      </c>
      <c r="EI32" s="2">
        <v>15.44477028348</v>
      </c>
      <c r="EJ32" s="2">
        <v>9.67741935483871</v>
      </c>
      <c r="EK32" s="2">
        <v>8.0156402737047898</v>
      </c>
      <c r="EL32" s="2">
        <v>17.693059628543502</v>
      </c>
      <c r="EM32" s="2">
        <v>5</v>
      </c>
      <c r="EN32" s="2">
        <v>2</v>
      </c>
      <c r="EO32" s="2">
        <v>8</v>
      </c>
      <c r="EP32" s="2" t="s">
        <v>89</v>
      </c>
      <c r="EQ32" s="2" t="s">
        <v>89</v>
      </c>
      <c r="ER32" s="2" t="s">
        <v>89</v>
      </c>
      <c r="ES32" s="2" t="s">
        <v>89</v>
      </c>
      <c r="ET32" s="2" t="str">
        <f>HYPERLINK(".\links\REFSEQ-INVERTEBRATE\AGAP029899-PA-REFSEQ-INVERTEBRATE.txt","RNA-binding protein fusilli-like isoform X2")</f>
        <v>RNA-binding protein fusilli-like isoform X2</v>
      </c>
      <c r="EU32" s="2" t="str">
        <f>HYPERLINK("http://www.ncbi.nlm.nih.gov/sutils/blink.cgi?pid=XP_035793821.1","0.0")</f>
        <v>0.0</v>
      </c>
      <c r="EV32" s="2" t="str">
        <f>HYPERLINK("http://www.ncbi.nlm.nih.gov/protein/XP_035793821.1","XP_035793821.1")</f>
        <v>XP_035793821.1</v>
      </c>
      <c r="EW32" s="2">
        <v>74</v>
      </c>
      <c r="EX32" s="2">
        <v>80</v>
      </c>
      <c r="EY32" s="2">
        <v>104</v>
      </c>
      <c r="EZ32" s="2" t="s">
        <v>2650</v>
      </c>
    </row>
    <row r="33" spans="1:156" x14ac:dyDescent="0.25">
      <c r="A33" s="2" t="s">
        <v>2709</v>
      </c>
      <c r="B33" s="2">
        <v>1.0432007230407401</v>
      </c>
      <c r="C33" s="2">
        <f t="shared" si="0"/>
        <v>2.0607946069055907</v>
      </c>
      <c r="D33" s="2">
        <v>5.6532735937455998</v>
      </c>
      <c r="E33" s="2">
        <v>19.878778807055699</v>
      </c>
      <c r="F33" s="2">
        <v>8.2511171890089507E-6</v>
      </c>
      <c r="G33" s="2">
        <v>1.56874365556033E-3</v>
      </c>
      <c r="H33" s="2" t="s">
        <v>86</v>
      </c>
      <c r="I33" s="2" t="s">
        <v>87</v>
      </c>
      <c r="J33" s="2" t="str">
        <f>HYPERLINK("https://vectorbase.org/vectorbase/app/record/gene/AGAP011584","AGAP011584-RA")</f>
        <v>AGAP011584-RA</v>
      </c>
      <c r="K33" s="2" t="str">
        <f>HYPERLINK(".\links\pep\AGAP011584-PA-pep.txt","AGAP011584-PA")</f>
        <v>AGAP011584-PA</v>
      </c>
      <c r="L33" s="12" t="s">
        <v>88</v>
      </c>
      <c r="M33" s="2">
        <v>803</v>
      </c>
      <c r="N33" s="2">
        <v>0</v>
      </c>
      <c r="O33" s="2">
        <v>2</v>
      </c>
      <c r="P33" s="2" t="s">
        <v>89</v>
      </c>
      <c r="Q33" s="9" t="s">
        <v>2710</v>
      </c>
      <c r="R33" s="2" t="s">
        <v>2711</v>
      </c>
      <c r="S33" s="2" t="str">
        <f>HYPERLINK(".\links\REFSEQ-INVERTEBRATE\AGAP011584-PA-REFSEQ-INVERTEBRATE.txt","REFSEQ-INVERTEBRATE")</f>
        <v>REFSEQ-INVERTEBRATE</v>
      </c>
      <c r="T33" s="2">
        <v>0</v>
      </c>
      <c r="U33" s="2">
        <v>100.3</v>
      </c>
      <c r="V33" s="2" t="s">
        <v>2712</v>
      </c>
      <c r="W33" s="10" t="s">
        <v>2713</v>
      </c>
      <c r="X33" s="2" t="s">
        <v>703</v>
      </c>
      <c r="Y33" s="2" t="str">
        <f>HYPERLINK(".\links\REFSEQVERTEBRATE95\AGAP011584-PA-REFSEQVERTEBRATE95.txt","REFSEQVERTEBRATE95")</f>
        <v>REFSEQVERTEBRATE95</v>
      </c>
      <c r="Z33" s="13">
        <v>0</v>
      </c>
      <c r="AA33" s="2">
        <v>102.4</v>
      </c>
      <c r="AB33" s="14" t="str">
        <f>HYPERLINK(".\links\pep\AGAP011584-PA-sulf.txt","2")</f>
        <v>2</v>
      </c>
      <c r="AC33" s="14" t="str">
        <f>HYPERLINK(".\links\Sigp\AGAP011584-PA-SigP.txt","CYT")</f>
        <v>CYT</v>
      </c>
      <c r="AD33" s="2" t="s">
        <v>89</v>
      </c>
      <c r="AE33" s="2">
        <v>89.816999999999993</v>
      </c>
      <c r="AF33" s="2">
        <v>5.81</v>
      </c>
      <c r="AG33" s="2" t="s">
        <v>89</v>
      </c>
      <c r="AH33" s="2" t="s">
        <v>89</v>
      </c>
      <c r="AI33" s="2" t="s">
        <v>2714</v>
      </c>
      <c r="AJ33" s="14" t="str">
        <f>HYPERLINK(".\links\tmhmm\AGAP011584-PA-tmhmm.txt","1")</f>
        <v>1</v>
      </c>
      <c r="AK33" s="2">
        <v>2.7</v>
      </c>
      <c r="AL33" s="2">
        <v>93.6</v>
      </c>
      <c r="AM33" s="2">
        <v>3.6</v>
      </c>
      <c r="AN33" s="14" t="str">
        <f>HYPERLINK(".\links\gpi\AGAP011584-PA-gpi.txt","N")</f>
        <v>N</v>
      </c>
      <c r="AO33" s="15" t="str">
        <f>HYPERLINK(".\links\netoglyc\AGAP011584-PA-netoglyc.txt","0")</f>
        <v>0</v>
      </c>
      <c r="AP33" s="14">
        <v>13.7</v>
      </c>
      <c r="AQ33" s="2">
        <v>7.8</v>
      </c>
      <c r="AR33" s="2">
        <v>5.0999999999999996</v>
      </c>
      <c r="AS33" s="2">
        <v>0.4</v>
      </c>
      <c r="AT33" s="9" t="str">
        <f>HYPERLINK(".\links\NR-LIGHT\AGAP011584-PA-NR-LIGHT.txt","AGAP011584-PA, partial")</f>
        <v>AGAP011584-PA, partial</v>
      </c>
      <c r="AU33" s="2" t="str">
        <f>HYPERLINK("http://www.ncbi.nlm.nih.gov/sutils/blink.cgi?pid=XP_309924.4","0.0")</f>
        <v>0.0</v>
      </c>
      <c r="AV33" s="2" t="str">
        <f>HYPERLINK("http://www.ncbi.nlm.nih.gov/protein/XP_309924.4","XP_309924.4")</f>
        <v>XP_309924.4</v>
      </c>
      <c r="AW33" s="2">
        <v>100</v>
      </c>
      <c r="AX33" s="2">
        <v>100</v>
      </c>
      <c r="AY33" s="2">
        <v>98</v>
      </c>
      <c r="AZ33" s="2" t="s">
        <v>95</v>
      </c>
      <c r="BA33" s="9" t="str">
        <f>HYPERLINK(".\links\REFSEQ-INVERTEBRATE\AGAP011584-PA-REFSEQ-INVERTEBRATE.txt","AGAP011584-PA, partial")</f>
        <v>AGAP011584-PA, partial</v>
      </c>
      <c r="BB33" s="2" t="str">
        <f>HYPERLINK("http://www.ncbi.nlm.nih.gov/sutils/blink.cgi?pid=XP_309924.4","0.0")</f>
        <v>0.0</v>
      </c>
      <c r="BC33" s="2" t="str">
        <f>HYPERLINK("http://www.ncbi.nlm.nih.gov/protein/XP_309924.4","XP_309924.4")</f>
        <v>XP_309924.4</v>
      </c>
      <c r="BD33" s="2">
        <v>100</v>
      </c>
      <c r="BE33" s="2">
        <v>100</v>
      </c>
      <c r="BF33" s="2">
        <v>98</v>
      </c>
      <c r="BG33" s="2" t="s">
        <v>95</v>
      </c>
      <c r="BH33" s="9" t="str">
        <f>HYPERLINK(".\links\REFSEQ-PROTOZOA\AGAP011584-PA-REFSEQ-PROTOZOA.txt","hypothetical protein CAOG_00473")</f>
        <v>hypothetical protein CAOG_00473</v>
      </c>
      <c r="BI33" s="2" t="str">
        <f>HYPERLINK("http://www.ncbi.nlm.nih.gov/sutils/blink.cgi?pid=XP_004365344.2","3E-093")</f>
        <v>3E-093</v>
      </c>
      <c r="BJ33" s="2" t="str">
        <f>HYPERLINK("http://www.ncbi.nlm.nih.gov/protein/XP_004365344.2","XP_004365344.2")</f>
        <v>XP_004365344.2</v>
      </c>
      <c r="BK33" s="2">
        <v>32</v>
      </c>
      <c r="BL33" s="2">
        <v>47</v>
      </c>
      <c r="BM33" s="2">
        <v>99</v>
      </c>
      <c r="BN33" s="2" t="s">
        <v>150</v>
      </c>
      <c r="BO33" s="9" t="str">
        <f>HYPERLINK(".\links\SWISSP\AGAP011584-PA-SWISSP.txt","Prolyl endopeptidase FAP")</f>
        <v>Prolyl endopeptidase FAP</v>
      </c>
      <c r="BP33" s="2" t="str">
        <f>HYPERLINK("http://www.uniprot.org/uniprot/A5D7B7","1E-134")</f>
        <v>1E-134</v>
      </c>
      <c r="BQ33" s="2" t="str">
        <f>HYPERLINK("http://www.uniprot.org/uniprot/A5D7B7#expression","A5D7B7")</f>
        <v>A5D7B7</v>
      </c>
      <c r="BR33" s="2">
        <v>36</v>
      </c>
      <c r="BS33" s="2">
        <v>54</v>
      </c>
      <c r="BT33" s="2">
        <v>103</v>
      </c>
      <c r="BU33" s="2" t="s">
        <v>183</v>
      </c>
      <c r="BV33" s="9" t="str">
        <f>HYPERLINK(".\links\FLYBASE\AGAP011584-PA-FLYBASE.txt","FBpp0288925")</f>
        <v>FBpp0288925</v>
      </c>
      <c r="BW33" s="2" t="str">
        <f>HYPERLINK("http://flybase.org/reports/FBgn0259175#alliance_summary_container","0.0")</f>
        <v>0.0</v>
      </c>
      <c r="BX33" s="2">
        <v>802</v>
      </c>
      <c r="BY33" s="2">
        <v>42</v>
      </c>
      <c r="BZ33" s="2">
        <v>63</v>
      </c>
      <c r="CA33" s="2">
        <v>101</v>
      </c>
      <c r="CB33" s="9" t="str">
        <f>HYPERLINK(".\links\CDD\AGAP011584-PA-CDD.txt","DPPIV_N, Dipeptidyl peptidase IV (DPP IV) N-terminal region")</f>
        <v>DPPIV_N, Dipeptidyl peptidase IV (DPP IV) N-terminal region</v>
      </c>
      <c r="CC33" s="13">
        <v>9.9999999999999999E-110</v>
      </c>
      <c r="CD33" s="2">
        <v>106.3</v>
      </c>
      <c r="CE33" s="2" t="s">
        <v>2715</v>
      </c>
      <c r="CF33" s="2" t="s">
        <v>2716</v>
      </c>
      <c r="CG33" s="9" t="str">
        <f>HYPERLINK(".\links\KOG\AGAP011584-PA-KOG.txt","Dipeptidyl aminopeptidase")</f>
        <v>Dipeptidyl aminopeptidase</v>
      </c>
      <c r="CH33" s="13">
        <v>9.9999999999999995E-163</v>
      </c>
      <c r="CI33" s="2">
        <v>102.8</v>
      </c>
      <c r="CJ33" s="2" t="s">
        <v>2717</v>
      </c>
      <c r="CK33" s="2" t="s">
        <v>264</v>
      </c>
      <c r="CL33" s="9" t="str">
        <f>HYPERLINK(".\links\PFAM\AGAP011584-PA-PFAM.txt","DPPIV_N, Dipeptidyl peptidase IV (DPP IV) N-terminal region")</f>
        <v>DPPIV_N, Dipeptidyl peptidase IV (DPP IV) N-terminal region</v>
      </c>
      <c r="CM33" s="13">
        <v>1.0000000000000001E-110</v>
      </c>
      <c r="CN33" s="2">
        <v>106.3</v>
      </c>
      <c r="CO33" s="2" t="s">
        <v>2715</v>
      </c>
      <c r="CP33" s="9" t="str">
        <f>HYPERLINK(".\links\SMART\AGAP011584-PA-SMART.txt","INB, Integrin beta subunits (N-terminal portion of extracellular region)")</f>
        <v>INB, Integrin beta subunits (N-terminal portion of extracellular region)</v>
      </c>
      <c r="CQ33" s="13">
        <v>1</v>
      </c>
      <c r="CR33" s="2">
        <v>13.7</v>
      </c>
      <c r="CS33" s="2" t="s">
        <v>612</v>
      </c>
      <c r="CT33" s="2" t="s">
        <v>2712</v>
      </c>
      <c r="CU33" s="2" t="s">
        <v>2712</v>
      </c>
      <c r="CV33" s="2" t="s">
        <v>2712</v>
      </c>
      <c r="CW33" s="2" t="str">
        <f>HYPERLINK(".\links\pep\AGAP011584-PA-pep.txt","AGAP011584-PA")</f>
        <v>AGAP011584-PA</v>
      </c>
      <c r="CX33" s="2" t="s">
        <v>88</v>
      </c>
      <c r="CY33" s="2">
        <v>803</v>
      </c>
      <c r="CZ33" s="2" t="s">
        <v>103</v>
      </c>
      <c r="DA33" s="2" t="s">
        <v>2718</v>
      </c>
      <c r="DB33" s="2">
        <v>0</v>
      </c>
      <c r="DC33" s="2">
        <v>2</v>
      </c>
      <c r="DD33" s="2" t="str">
        <f>HYPERLINK("https://www.kegg.jp/kegg-bin/search_pathway_text?map=aga&amp;keyword=AGAP011584&amp;mode=1&amp;viewImage=true","AGAP011584")</f>
        <v>AGAP011584</v>
      </c>
      <c r="DE33" s="2" t="s">
        <v>2709</v>
      </c>
      <c r="DF33" s="2" t="s">
        <v>86</v>
      </c>
      <c r="DG33" s="2" t="s">
        <v>87</v>
      </c>
      <c r="DH33" s="2" t="str">
        <f>HYPERLINK("https://vectorbase.org/vectorbase/app/record/gene/AGAP011584","AGAP011584-RA")</f>
        <v>AGAP011584-RA</v>
      </c>
      <c r="DI33" s="2" t="s">
        <v>105</v>
      </c>
      <c r="DJ33" s="2">
        <v>3467</v>
      </c>
      <c r="DK33" s="2" t="str">
        <f>HYPERLINK(".\links\netoglyc\AGAP011584-PA-netoglyc.txt","0")</f>
        <v>0</v>
      </c>
      <c r="DL33" s="2">
        <v>13.7</v>
      </c>
      <c r="DM33" s="2">
        <v>7.8</v>
      </c>
      <c r="DN33" s="2">
        <v>5.0999999999999996</v>
      </c>
      <c r="DO33" s="2">
        <v>0.4</v>
      </c>
      <c r="DP33" s="2" t="s">
        <v>89</v>
      </c>
      <c r="DQ33" s="2" t="str">
        <f>HYPERLINK(".\links\Sigp\AGAP011584-PA-SigP.txt","CYT")</f>
        <v>CYT</v>
      </c>
      <c r="DR33" s="2" t="s">
        <v>89</v>
      </c>
      <c r="DS33" s="2">
        <v>89.816999999999993</v>
      </c>
      <c r="DT33" s="2">
        <v>5.81</v>
      </c>
      <c r="DU33" s="2" t="s">
        <v>89</v>
      </c>
      <c r="DV33" s="2" t="s">
        <v>89</v>
      </c>
      <c r="DW33" s="2" t="s">
        <v>2714</v>
      </c>
      <c r="DX33" s="2">
        <v>803</v>
      </c>
      <c r="DY33" s="12" t="str">
        <f>HYPERLINK(".\links\tmhmm\AGAP011584-PA-tmhmm.txt","1")</f>
        <v>1</v>
      </c>
      <c r="DZ33" s="2">
        <v>2.7</v>
      </c>
      <c r="EA33" s="2">
        <v>93.6</v>
      </c>
      <c r="EB33" s="2">
        <v>3.6</v>
      </c>
      <c r="EC33" s="2" t="str">
        <f>HYPERLINK(".\links\gpi\AGAP011584-PA-gpi.txt","Y-NoSP")</f>
        <v>Y-NoSP</v>
      </c>
      <c r="ED33" s="2">
        <v>0.17</v>
      </c>
      <c r="EF33" s="2">
        <v>6</v>
      </c>
      <c r="EG33" s="2" t="str">
        <f>HYPERLINK(".\links\pep\AGAP011584-PA-sulf.txt","2")</f>
        <v>2</v>
      </c>
      <c r="EH33" s="2" t="s">
        <v>89</v>
      </c>
      <c r="EI33" s="2">
        <v>13.698630136986299</v>
      </c>
      <c r="EJ33" s="2">
        <v>5.1058530510585296</v>
      </c>
      <c r="EK33" s="2">
        <v>7.8455790784557902</v>
      </c>
      <c r="EL33" s="2">
        <v>12.9514321295143</v>
      </c>
      <c r="EM33" s="2">
        <v>2</v>
      </c>
      <c r="EN33" s="2">
        <v>1</v>
      </c>
      <c r="EO33" s="2">
        <v>2</v>
      </c>
      <c r="EP33" s="2" t="s">
        <v>89</v>
      </c>
      <c r="EQ33" s="2" t="s">
        <v>89</v>
      </c>
      <c r="ER33" s="2" t="s">
        <v>89</v>
      </c>
      <c r="ES33" s="2" t="s">
        <v>89</v>
      </c>
      <c r="ET33" s="2" t="str">
        <f>HYPERLINK(".\links\REFSEQ-INVERTEBRATE\AGAP011584-PA-REFSEQ-INVERTEBRATE.txt","AGAP011584-PA, partial")</f>
        <v>AGAP011584-PA, partial</v>
      </c>
      <c r="EU33" s="2" t="str">
        <f>HYPERLINK("http://www.ncbi.nlm.nih.gov/sutils/blink.cgi?pid=XP_309924.4","0.0")</f>
        <v>0.0</v>
      </c>
      <c r="EV33" s="2" t="str">
        <f>HYPERLINK("http://www.ncbi.nlm.nih.gov/protein/XP_309924.4","XP_309924.4")</f>
        <v>XP_309924.4</v>
      </c>
      <c r="EW33" s="2">
        <v>100</v>
      </c>
      <c r="EX33" s="2">
        <v>100</v>
      </c>
      <c r="EY33" s="2">
        <v>98</v>
      </c>
      <c r="EZ33" s="2" t="s">
        <v>95</v>
      </c>
    </row>
    <row r="34" spans="1:156" x14ac:dyDescent="0.25">
      <c r="A34" s="2" t="s">
        <v>2250</v>
      </c>
      <c r="B34" s="2">
        <v>1.04169854645051</v>
      </c>
      <c r="C34" s="2">
        <f t="shared" si="0"/>
        <v>2.0586499635596156</v>
      </c>
      <c r="D34" s="2">
        <v>4.7788443468840196</v>
      </c>
      <c r="E34" s="2">
        <v>12.4327211145061</v>
      </c>
      <c r="F34" s="2">
        <v>4.2187677793282901E-4</v>
      </c>
      <c r="G34" s="2">
        <v>2.3640642392899099E-2</v>
      </c>
      <c r="H34" s="2" t="s">
        <v>2251</v>
      </c>
      <c r="I34" s="2" t="s">
        <v>89</v>
      </c>
      <c r="J34" s="2" t="str">
        <f>HYPERLINK("https://vectorbase.org/vectorbase/app/record/gene/AGAP009472","AGAP009472-RA")</f>
        <v>AGAP009472-RA</v>
      </c>
      <c r="K34" s="2" t="str">
        <f>HYPERLINK(".\links\pep\AGAP009472-PA-pep.txt","AGAP009472-PA")</f>
        <v>AGAP009472-PA</v>
      </c>
      <c r="L34" s="12" t="s">
        <v>88</v>
      </c>
      <c r="M34" s="2">
        <v>596</v>
      </c>
      <c r="N34" s="2">
        <v>0</v>
      </c>
      <c r="O34" s="2">
        <v>0</v>
      </c>
      <c r="P34" s="2" t="s">
        <v>2252</v>
      </c>
      <c r="Q34" s="9" t="s">
        <v>2229</v>
      </c>
      <c r="R34" s="2" t="s">
        <v>128</v>
      </c>
      <c r="S34" s="2" t="str">
        <f>HYPERLINK(".\links\CDD\AGAP009472-PA-CDD.txt","CDD")</f>
        <v>CDD</v>
      </c>
      <c r="T34" s="2">
        <v>0</v>
      </c>
      <c r="U34" s="2">
        <v>95.1</v>
      </c>
      <c r="V34" s="2" t="s">
        <v>2253</v>
      </c>
      <c r="W34" s="10" t="s">
        <v>2231</v>
      </c>
      <c r="X34" s="2" t="s">
        <v>128</v>
      </c>
      <c r="Y34" s="2" t="str">
        <f>HYPERLINK(".\links\TIGR\AGAP009472-PA-TIGR.txt","TIGR")</f>
        <v>TIGR</v>
      </c>
      <c r="Z34" s="13">
        <v>0</v>
      </c>
      <c r="AA34" s="2">
        <v>96.2</v>
      </c>
      <c r="AB34" s="14" t="str">
        <f>HYPERLINK(".\links\pep\AGAP009472-PA-sulf.txt","1")</f>
        <v>1</v>
      </c>
      <c r="AC34" s="14" t="str">
        <f>HYPERLINK(".\links\Sigp\AGAP009472-PA-SigP.txt","BL")</f>
        <v>BL</v>
      </c>
      <c r="AD34" s="2" t="s">
        <v>2254</v>
      </c>
      <c r="AE34" s="2">
        <v>67.433000000000007</v>
      </c>
      <c r="AF34" s="2">
        <v>8.23</v>
      </c>
      <c r="AG34" s="2">
        <v>24.184999999999999</v>
      </c>
      <c r="AH34" s="2">
        <v>8.3000000000000007</v>
      </c>
      <c r="AI34" s="2" t="s">
        <v>2255</v>
      </c>
      <c r="AJ34" s="14" t="str">
        <f>HYPERLINK(".\links\tmhmm\AGAP009472-PA-tmhmm.txt","6")</f>
        <v>6</v>
      </c>
      <c r="AK34" s="2">
        <v>22.1</v>
      </c>
      <c r="AL34" s="2">
        <v>14.4</v>
      </c>
      <c r="AM34" s="2">
        <v>63.4</v>
      </c>
      <c r="AN34" s="14" t="str">
        <f>HYPERLINK(".\links\gpi\AGAP009472-PA-gpi.txt","N")</f>
        <v>N</v>
      </c>
      <c r="AO34" s="15" t="str">
        <f>HYPERLINK(".\links\netoglyc\AGAP009472-PA-netoglyc.txt","0")</f>
        <v>0</v>
      </c>
      <c r="AP34" s="14">
        <v>12.8</v>
      </c>
      <c r="AQ34" s="2">
        <v>6.9</v>
      </c>
      <c r="AR34" s="2">
        <v>3.5</v>
      </c>
      <c r="AS34" s="2" t="s">
        <v>94</v>
      </c>
      <c r="AT34" s="9" t="str">
        <f>HYPERLINK(".\links\NR-LIGHT\AGAP009472-PA-NR-LIGHT.txt","ATP-binding cassette sub-family G member 4")</f>
        <v>ATP-binding cassette sub-family G member 4</v>
      </c>
      <c r="AU34" s="2" t="str">
        <f>HYPERLINK("http://www.ncbi.nlm.nih.gov/sutils/blink.cgi?pid=ETN68007.1","0.0")</f>
        <v>0.0</v>
      </c>
      <c r="AV34" s="2" t="str">
        <f>HYPERLINK("http://www.ncbi.nlm.nih.gov/protein/ETN68007.1","ETN68007.1")</f>
        <v>ETN68007.1</v>
      </c>
      <c r="AW34" s="2">
        <v>81</v>
      </c>
      <c r="AX34" s="2">
        <v>90</v>
      </c>
      <c r="AY34" s="2">
        <v>100</v>
      </c>
      <c r="AZ34" s="2" t="s">
        <v>2245</v>
      </c>
      <c r="BA34" s="9" t="str">
        <f>HYPERLINK(".\links\REFSEQ-INVERTEBRATE\AGAP009472-PA-REFSEQ-INVERTEBRATE.txt","AGAP009471-PA")</f>
        <v>AGAP009471-PA</v>
      </c>
      <c r="BB34" s="2" t="str">
        <f>HYPERLINK("http://www.ncbi.nlm.nih.gov/sutils/blink.cgi?pid=XP_310228.4","0.0")</f>
        <v>0.0</v>
      </c>
      <c r="BC34" s="2" t="str">
        <f>HYPERLINK("http://www.ncbi.nlm.nih.gov/protein/XP_310228.4","XP_310228.4")</f>
        <v>XP_310228.4</v>
      </c>
      <c r="BD34" s="2">
        <v>68</v>
      </c>
      <c r="BE34" s="2">
        <v>82</v>
      </c>
      <c r="BF34" s="2">
        <v>100</v>
      </c>
      <c r="BG34" s="2" t="s">
        <v>95</v>
      </c>
      <c r="BH34" s="9" t="str">
        <f>HYPERLINK(".\links\REFSEQ-PROTOZOA\AGAP009472-PA-REFSEQ-PROTOZOA.txt","abc transporter family protein")</f>
        <v>abc transporter family protein</v>
      </c>
      <c r="BI34" s="2" t="str">
        <f>HYPERLINK("http://www.ncbi.nlm.nih.gov/sutils/blink.cgi?pid=XP_002680638.1","2E-074")</f>
        <v>2E-074</v>
      </c>
      <c r="BJ34" s="2" t="str">
        <f>HYPERLINK("http://www.ncbi.nlm.nih.gov/protein/XP_002680638.1","XP_002680638.1")</f>
        <v>XP_002680638.1</v>
      </c>
      <c r="BK34" s="2">
        <v>31</v>
      </c>
      <c r="BL34" s="2">
        <v>53</v>
      </c>
      <c r="BM34" s="2">
        <v>88</v>
      </c>
      <c r="BN34" s="2" t="s">
        <v>1037</v>
      </c>
      <c r="BO34" s="9" t="str">
        <f>HYPERLINK(".\links\SWISSP\AGAP009472-PA-SWISSP.txt","ATP-binding cassette sub-family G member 4")</f>
        <v>ATP-binding cassette sub-family G member 4</v>
      </c>
      <c r="BP34" s="2" t="str">
        <f>HYPERLINK("http://www.uniprot.org/uniprot/Q9H172","1E-118")</f>
        <v>1E-118</v>
      </c>
      <c r="BQ34" s="2" t="str">
        <f>HYPERLINK("http://www.uniprot.org/uniprot/Q9H172#expression","Q9H172")</f>
        <v>Q9H172</v>
      </c>
      <c r="BR34" s="2">
        <v>39</v>
      </c>
      <c r="BS34" s="2">
        <v>59</v>
      </c>
      <c r="BT34" s="2">
        <v>93</v>
      </c>
      <c r="BU34" s="2" t="s">
        <v>115</v>
      </c>
      <c r="BV34" s="9" t="str">
        <f>HYPERLINK(".\links\FLYBASE\AGAP009472-PA-FLYBASE.txt","FBpp0077294")</f>
        <v>FBpp0077294</v>
      </c>
      <c r="BW34" s="2" t="str">
        <f>HYPERLINK("http://flybase.org/reports/FBgn0031515#alliance_summary_container","1E-147")</f>
        <v>1E-147</v>
      </c>
      <c r="BX34" s="2">
        <v>609</v>
      </c>
      <c r="BY34" s="2">
        <v>41</v>
      </c>
      <c r="BZ34" s="2">
        <v>61</v>
      </c>
      <c r="CA34" s="2">
        <v>94</v>
      </c>
      <c r="CB34" s="9" t="str">
        <f>HYPERLINK(".\links\CDD\AGAP009472-PA-CDD.txt","Protein_white, The Eye Pigment Precursor Transporter (EPP) Family protein")</f>
        <v>Protein_white, The Eye Pigment Precursor Transporter (EPP) Family protein</v>
      </c>
      <c r="CC34" s="13">
        <v>1.0000000000000001E-123</v>
      </c>
      <c r="CD34" s="2">
        <v>95.1</v>
      </c>
      <c r="CE34" s="2" t="s">
        <v>2233</v>
      </c>
      <c r="CF34" s="2" t="s">
        <v>2256</v>
      </c>
      <c r="CG34" s="9" t="str">
        <f>HYPERLINK(".\links\KOG\AGAP009472-PA-KOG.txt","ABC superfamily (Breast cancer resistance protein)")</f>
        <v>ABC superfamily (Breast cancer resistance protein)</v>
      </c>
      <c r="CH34" s="13">
        <v>1.0000000000000001E-130</v>
      </c>
      <c r="CI34" s="2">
        <v>101.6</v>
      </c>
      <c r="CJ34" s="2" t="s">
        <v>2235</v>
      </c>
      <c r="CK34" s="2" t="s">
        <v>2060</v>
      </c>
      <c r="CL34" s="9" t="str">
        <f>HYPERLINK(".\links\PFAM\AGAP009472-PA-PFAM.txt","ABC2_membrane, ABC-2 type transporter")</f>
        <v>ABC2_membrane, ABC-2 type transporter</v>
      </c>
      <c r="CM34" s="13">
        <v>9.0000000000000001E-32</v>
      </c>
      <c r="CN34" s="2">
        <v>100.5</v>
      </c>
      <c r="CO34" s="2" t="s">
        <v>2247</v>
      </c>
      <c r="CP34" s="9" t="str">
        <f>HYPERLINK(".\links\SMART\AGAP009472-PA-SMART.txt","AAA, ATPases associated with a variety of cellular activities")</f>
        <v>AAA, ATPases associated with a variety of cellular activities</v>
      </c>
      <c r="CQ34" s="13">
        <v>5.0000000000000001E-4</v>
      </c>
      <c r="CR34" s="2">
        <v>33.1</v>
      </c>
      <c r="CS34" s="2" t="s">
        <v>642</v>
      </c>
      <c r="CT34" s="2" t="s">
        <v>2253</v>
      </c>
      <c r="CU34" s="2" t="s">
        <v>2253</v>
      </c>
      <c r="CV34" s="2" t="s">
        <v>2253</v>
      </c>
      <c r="CW34" s="2" t="str">
        <f>HYPERLINK(".\links\pep\AGAP009472-PA-pep.txt","AGAP009472-PA")</f>
        <v>AGAP009472-PA</v>
      </c>
      <c r="CX34" s="2" t="s">
        <v>88</v>
      </c>
      <c r="CY34" s="2">
        <v>596</v>
      </c>
      <c r="CZ34" s="2" t="s">
        <v>103</v>
      </c>
      <c r="DA34" s="2">
        <v>0</v>
      </c>
      <c r="DB34" s="2">
        <v>0</v>
      </c>
      <c r="DD34" s="2" t="str">
        <f>HYPERLINK("https://www.kegg.jp/kegg-bin/search_pathway_text?map=aga&amp;keyword=AGAP009472&amp;mode=1&amp;viewImage=true","AGAP009472")</f>
        <v>AGAP009472</v>
      </c>
      <c r="DE34" s="2" t="s">
        <v>2250</v>
      </c>
      <c r="DF34" s="2" t="s">
        <v>2251</v>
      </c>
      <c r="DG34" s="2" t="s">
        <v>89</v>
      </c>
      <c r="DH34" s="2" t="str">
        <f>HYPERLINK("https://vectorbase.org/vectorbase/app/record/gene/AGAP009472","AGAP009472-RA")</f>
        <v>AGAP009472-RA</v>
      </c>
      <c r="DI34" s="2" t="s">
        <v>105</v>
      </c>
      <c r="DJ34" s="2">
        <v>2963</v>
      </c>
      <c r="DK34" s="2" t="str">
        <f>HYPERLINK(".\links\netoglyc\AGAP009472-PA-netoglyc.txt","0")</f>
        <v>0</v>
      </c>
      <c r="DL34" s="2">
        <v>12.8</v>
      </c>
      <c r="DM34" s="2">
        <v>6.9</v>
      </c>
      <c r="DN34" s="2">
        <v>3.5</v>
      </c>
      <c r="DO34" s="2" t="s">
        <v>94</v>
      </c>
      <c r="DP34" s="2" t="s">
        <v>2257</v>
      </c>
      <c r="DQ34" s="2" t="str">
        <f>HYPERLINK(".\links\Sigp\AGAP009472-PA-SigP.txt","BL")</f>
        <v>BL</v>
      </c>
      <c r="DR34" s="2" t="s">
        <v>2254</v>
      </c>
      <c r="DS34" s="2">
        <v>67.433000000000007</v>
      </c>
      <c r="DT34" s="2">
        <v>8.23</v>
      </c>
      <c r="DU34" s="2">
        <v>24.184999999999999</v>
      </c>
      <c r="DV34" s="2">
        <v>8.3000000000000007</v>
      </c>
      <c r="DW34" s="2" t="s">
        <v>2255</v>
      </c>
      <c r="DX34" s="2">
        <v>596</v>
      </c>
      <c r="DY34" s="12" t="str">
        <f>HYPERLINK(".\links\tmhmm\AGAP009472-PA-tmhmm.txt","6")</f>
        <v>6</v>
      </c>
      <c r="DZ34" s="2">
        <v>22.1</v>
      </c>
      <c r="EA34" s="2">
        <v>14.4</v>
      </c>
      <c r="EB34" s="2">
        <v>63.4</v>
      </c>
      <c r="EC34" s="2" t="str">
        <f>HYPERLINK(".\links\gpi\AGAP009472-PA-gpi.txt","N")</f>
        <v>N</v>
      </c>
      <c r="ED34" s="2">
        <v>0.25</v>
      </c>
      <c r="EF34" s="2">
        <v>9</v>
      </c>
      <c r="EG34" s="2" t="str">
        <f>HYPERLINK(".\links\pep\AGAP009472-PA-sulf.txt","1")</f>
        <v>1</v>
      </c>
      <c r="EH34" s="2" t="s">
        <v>89</v>
      </c>
      <c r="EI34" s="2">
        <v>12.751677852348999</v>
      </c>
      <c r="EJ34" s="2">
        <v>3.5234899328859099</v>
      </c>
      <c r="EK34" s="2">
        <v>6.8791946308724796</v>
      </c>
      <c r="EL34" s="2">
        <v>10.402684563758401</v>
      </c>
      <c r="EM34" s="2" t="s">
        <v>89</v>
      </c>
      <c r="EN34" s="2" t="s">
        <v>89</v>
      </c>
      <c r="EO34" s="2" t="s">
        <v>89</v>
      </c>
      <c r="EP34" s="2" t="s">
        <v>89</v>
      </c>
      <c r="EQ34" s="2" t="s">
        <v>89</v>
      </c>
      <c r="ER34" s="2" t="s">
        <v>89</v>
      </c>
      <c r="ES34" s="2" t="s">
        <v>89</v>
      </c>
      <c r="ET34" s="2" t="str">
        <f>HYPERLINK(".\links\REFSEQ-INVERTEBRATE\AGAP009472-PA-REFSEQ-INVERTEBRATE.txt","ATP-binding cassette sub-family G member 4-like")</f>
        <v>ATP-binding cassette sub-family G member 4-like</v>
      </c>
      <c r="EU34" s="2" t="str">
        <f>HYPERLINK("http://www.ncbi.nlm.nih.gov/sutils/blink.cgi?pid=XP_035908873.1","0.0")</f>
        <v>0.0</v>
      </c>
      <c r="EV34" s="2" t="str">
        <f>HYPERLINK("http://www.ncbi.nlm.nih.gov/protein/XP_035908873.1","XP_035908873.1")</f>
        <v>XP_035908873.1</v>
      </c>
      <c r="EW34" s="2">
        <v>91</v>
      </c>
      <c r="EX34" s="2">
        <v>96</v>
      </c>
      <c r="EY34" s="2">
        <v>100</v>
      </c>
      <c r="EZ34" s="2" t="s">
        <v>600</v>
      </c>
    </row>
    <row r="35" spans="1:156" x14ac:dyDescent="0.25">
      <c r="A35" s="2" t="s">
        <v>533</v>
      </c>
      <c r="B35" s="2">
        <v>1.0379675087465701</v>
      </c>
      <c r="C35" s="2">
        <f t="shared" si="0"/>
        <v>2.0533328473570212</v>
      </c>
      <c r="D35" s="2">
        <v>4.8773566388506202</v>
      </c>
      <c r="E35" s="2">
        <v>14.299244853890199</v>
      </c>
      <c r="F35" s="2">
        <v>1.55927418306052E-4</v>
      </c>
      <c r="G35" s="2">
        <v>1.1943591530248401E-2</v>
      </c>
      <c r="H35" s="2" t="s">
        <v>534</v>
      </c>
      <c r="I35" s="2" t="s">
        <v>87</v>
      </c>
      <c r="J35" s="2" t="str">
        <f>HYPERLINK("https://vectorbase.org/vectorbase/app/record/gene/AGAP001936","AGAP001936-RA")</f>
        <v>AGAP001936-RA</v>
      </c>
      <c r="K35" s="2" t="str">
        <f>HYPERLINK(".\links\pep\AGAP001936-PA-pep.txt","AGAP001936-PA")</f>
        <v>AGAP001936-PA</v>
      </c>
      <c r="L35" s="12" t="s">
        <v>88</v>
      </c>
      <c r="M35" s="2">
        <v>1089</v>
      </c>
      <c r="N35" s="2">
        <v>0</v>
      </c>
      <c r="O35" s="2">
        <v>6</v>
      </c>
      <c r="P35" s="2" t="s">
        <v>535</v>
      </c>
      <c r="Q35" s="9" t="s">
        <v>536</v>
      </c>
      <c r="R35" s="2" t="s">
        <v>148</v>
      </c>
      <c r="S35" s="2" t="str">
        <f>HYPERLINK(".\links\KOG\AGAP001936-PA-KOG.txt","KOG")</f>
        <v>KOG</v>
      </c>
      <c r="T35" s="2">
        <v>0</v>
      </c>
      <c r="U35" s="2">
        <v>104.6</v>
      </c>
      <c r="V35" s="2" t="s">
        <v>537</v>
      </c>
      <c r="W35" s="10" t="s">
        <v>538</v>
      </c>
      <c r="X35" s="2" t="s">
        <v>164</v>
      </c>
      <c r="Y35" s="2" t="str">
        <f>HYPERLINK(".\links\EC\AGAP001936-PA-EC.txt","EC")</f>
        <v>EC</v>
      </c>
      <c r="Z35" s="13">
        <v>0</v>
      </c>
      <c r="AA35" s="2">
        <v>99.1</v>
      </c>
      <c r="AB35" s="14" t="str">
        <f>HYPERLINK(".\links\pep\AGAP001936-PA-sulf.txt","2")</f>
        <v>2</v>
      </c>
      <c r="AC35" s="14" t="str">
        <f>HYPERLINK(".\links\Sigp\AGAP001936-PA-SigP.txt","CYT")</f>
        <v>CYT</v>
      </c>
      <c r="AD35" s="2" t="s">
        <v>89</v>
      </c>
      <c r="AE35" s="2">
        <v>124.907</v>
      </c>
      <c r="AF35" s="2">
        <v>5.98</v>
      </c>
      <c r="AG35" s="2" t="s">
        <v>89</v>
      </c>
      <c r="AH35" s="2" t="s">
        <v>89</v>
      </c>
      <c r="AI35" s="2" t="s">
        <v>93</v>
      </c>
      <c r="AJ35" s="14">
        <v>0</v>
      </c>
      <c r="AK35" s="2" t="s">
        <v>89</v>
      </c>
      <c r="AL35" s="2" t="s">
        <v>89</v>
      </c>
      <c r="AM35" s="2" t="s">
        <v>89</v>
      </c>
      <c r="AN35" s="14" t="str">
        <f>HYPERLINK(".\links\gpi\AGAP001936-PA-gpi.txt","N")</f>
        <v>N</v>
      </c>
      <c r="AO35" s="15" t="str">
        <f>HYPERLINK(".\links\netoglyc\AGAP001936-PA-netoglyc.txt","0")</f>
        <v>0</v>
      </c>
      <c r="AP35" s="14">
        <v>8.6</v>
      </c>
      <c r="AQ35" s="2">
        <v>5.0999999999999996</v>
      </c>
      <c r="AR35" s="2">
        <v>4.7</v>
      </c>
      <c r="AS35" s="2">
        <v>0.3</v>
      </c>
      <c r="AT35" s="9" t="str">
        <f>HYPERLINK(".\links\NR-LIGHT\AGAP001936-PA-NR-LIGHT.txt","AGAP001936-PA")</f>
        <v>AGAP001936-PA</v>
      </c>
      <c r="AU35" s="2" t="str">
        <f>HYPERLINK("http://www.ncbi.nlm.nih.gov/sutils/blink.cgi?pid=XP_321126.5","0.0")</f>
        <v>0.0</v>
      </c>
      <c r="AV35" s="2" t="str">
        <f>HYPERLINK("http://www.ncbi.nlm.nih.gov/protein/XP_321126.5","XP_321126.5")</f>
        <v>XP_321126.5</v>
      </c>
      <c r="AW35" s="2">
        <v>100</v>
      </c>
      <c r="AX35" s="2">
        <v>100</v>
      </c>
      <c r="AY35" s="2">
        <v>100</v>
      </c>
      <c r="AZ35" s="2" t="s">
        <v>95</v>
      </c>
      <c r="BA35" s="9" t="str">
        <f>HYPERLINK(".\links\REFSEQ-INVERTEBRATE\AGAP001936-PA-REFSEQ-INVERTEBRATE.txt","AGAP001936-PA")</f>
        <v>AGAP001936-PA</v>
      </c>
      <c r="BB35" s="2" t="str">
        <f>HYPERLINK("http://www.ncbi.nlm.nih.gov/sutils/blink.cgi?pid=XP_321126.5","0.0")</f>
        <v>0.0</v>
      </c>
      <c r="BC35" s="2" t="str">
        <f>HYPERLINK("http://www.ncbi.nlm.nih.gov/protein/XP_321126.5","XP_321126.5")</f>
        <v>XP_321126.5</v>
      </c>
      <c r="BD35" s="2">
        <v>100</v>
      </c>
      <c r="BE35" s="2">
        <v>100</v>
      </c>
      <c r="BF35" s="2">
        <v>100</v>
      </c>
      <c r="BG35" s="2" t="s">
        <v>95</v>
      </c>
      <c r="BH35" s="9" t="str">
        <f>HYPERLINK(".\links\REFSEQ-PROTOZOA\AGAP001936-PA-REFSEQ-PROTOZOA.txt","phospholipase C gamma 1")</f>
        <v>phospholipase C gamma 1</v>
      </c>
      <c r="BI35" s="2" t="str">
        <f>HYPERLINK("http://www.ncbi.nlm.nih.gov/sutils/blink.cgi?pid=XP_004990035.1","1E-127")</f>
        <v>1E-127</v>
      </c>
      <c r="BJ35" s="2" t="str">
        <f>HYPERLINK("http://www.ncbi.nlm.nih.gov/protein/XP_004990035.1","XP_004990035.1")</f>
        <v>XP_004990035.1</v>
      </c>
      <c r="BK35" s="2">
        <v>30</v>
      </c>
      <c r="BL35" s="2">
        <v>48</v>
      </c>
      <c r="BM35" s="2">
        <v>95</v>
      </c>
      <c r="BN35" s="2" t="s">
        <v>182</v>
      </c>
      <c r="BO35" s="9" t="str">
        <f>HYPERLINK(".\links\SWISSP\AGAP001936-PA-SWISSP.txt","1-phosphatidylinositol 4,5-bisphosphate phosphodiesterase")</f>
        <v>1-phosphatidylinositol 4,5-bisphosphate phosphodiesterase</v>
      </c>
      <c r="BP35" s="2" t="str">
        <f>HYPERLINK("http://www.uniprot.org/uniprot/P13217","0.0")</f>
        <v>0.0</v>
      </c>
      <c r="BQ35" s="2" t="str">
        <f>HYPERLINK("http://www.uniprot.org/uniprot/P13217#expression","P13217")</f>
        <v>P13217</v>
      </c>
      <c r="BR35" s="2">
        <v>70</v>
      </c>
      <c r="BS35" s="2">
        <v>82</v>
      </c>
      <c r="BT35" s="2">
        <v>100</v>
      </c>
      <c r="BU35" s="2" t="s">
        <v>151</v>
      </c>
      <c r="BV35" s="9" t="str">
        <f>HYPERLINK(".\links\FLYBASE\AGAP001936-PA-FLYBASE.txt","FBpp0100136")</f>
        <v>FBpp0100136</v>
      </c>
      <c r="BW35" s="2" t="str">
        <f>HYPERLINK("http://flybase.org/reports/FBgn0262738#alliance_summary_container","0.0")</f>
        <v>0.0</v>
      </c>
      <c r="BX35" s="2">
        <v>1095</v>
      </c>
      <c r="BY35" s="2">
        <v>70</v>
      </c>
      <c r="BZ35" s="2">
        <v>82</v>
      </c>
      <c r="CA35" s="2">
        <v>100</v>
      </c>
      <c r="CB35" s="9" t="str">
        <f>HYPERLINK(".\links\CDD\AGAP001936-PA-CDD.txt","PI-PLCc_beta4, Catalytic domain of metazoan phosphoinositide-specific phospholipase C-beta4")</f>
        <v>PI-PLCc_beta4, Catalytic domain of metazoan phosphoinositide-specific phospholipase C-beta4</v>
      </c>
      <c r="CC35" s="13">
        <v>1.9999999999999999E-94</v>
      </c>
      <c r="CD35" s="2">
        <v>59.9</v>
      </c>
      <c r="CE35" s="2" t="s">
        <v>539</v>
      </c>
      <c r="CF35" s="2" t="s">
        <v>540</v>
      </c>
      <c r="CG35" s="9" t="str">
        <f>HYPERLINK(".\links\KOG\AGAP001936-PA-KOG.txt","Phospholipase C")</f>
        <v>Phospholipase C</v>
      </c>
      <c r="CH35" s="13">
        <v>0</v>
      </c>
      <c r="CI35" s="2">
        <v>99</v>
      </c>
      <c r="CJ35" s="2" t="s">
        <v>541</v>
      </c>
      <c r="CK35" s="2" t="s">
        <v>172</v>
      </c>
      <c r="CL35" s="9" t="str">
        <f>HYPERLINK(".\links\PFAM\AGAP001936-PA-PFAM.txt","PI-PLC-X, Phosphatidylinositol-specific phospholipase C, X domain")</f>
        <v>PI-PLC-X, Phosphatidylinositol-specific phospholipase C, X domain</v>
      </c>
      <c r="CM35" s="13">
        <v>7.9999999999999998E-66</v>
      </c>
      <c r="CN35" s="2">
        <v>104.2</v>
      </c>
      <c r="CO35" s="2" t="s">
        <v>542</v>
      </c>
      <c r="CP35" s="9" t="str">
        <f>HYPERLINK(".\links\SMART\AGAP001936-PA-SMART.txt","PLCYc, Phospholipase C, catalytic domain (part)")</f>
        <v>PLCYc, Phospholipase C, catalytic domain (part)</v>
      </c>
      <c r="CQ35" s="13">
        <v>2.9999999999999999E-56</v>
      </c>
      <c r="CR35" s="2">
        <v>100</v>
      </c>
      <c r="CS35" s="2" t="s">
        <v>543</v>
      </c>
      <c r="CT35" s="2" t="s">
        <v>537</v>
      </c>
      <c r="CU35" s="2" t="s">
        <v>537</v>
      </c>
      <c r="CV35" s="2" t="s">
        <v>537</v>
      </c>
      <c r="CW35" s="2" t="str">
        <f>HYPERLINK(".\links\pep\AGAP001936-PA-pep.txt","AGAP001936-PA")</f>
        <v>AGAP001936-PA</v>
      </c>
      <c r="CX35" s="2" t="s">
        <v>88</v>
      </c>
      <c r="CY35" s="2">
        <v>1089</v>
      </c>
      <c r="CZ35" s="2" t="s">
        <v>103</v>
      </c>
      <c r="DA35" s="2" t="s">
        <v>544</v>
      </c>
      <c r="DB35" s="2">
        <v>0</v>
      </c>
      <c r="DC35" s="2">
        <v>6</v>
      </c>
      <c r="DD35" s="2" t="str">
        <f>HYPERLINK("https://www.kegg.jp/kegg-bin/search_pathway_text?map=aga&amp;keyword=AGAP001936&amp;mode=1&amp;viewImage=true","AGAP001936")</f>
        <v>AGAP001936</v>
      </c>
      <c r="DE35" s="2" t="s">
        <v>533</v>
      </c>
      <c r="DF35" s="2" t="s">
        <v>534</v>
      </c>
      <c r="DG35" s="2" t="s">
        <v>87</v>
      </c>
      <c r="DH35" s="2" t="str">
        <f>HYPERLINK("https://vectorbase.org/vectorbase/app/record/gene/AGAP001936","AGAP001936-RA")</f>
        <v>AGAP001936-RA</v>
      </c>
      <c r="DI35" s="2" t="s">
        <v>105</v>
      </c>
      <c r="DJ35" s="2">
        <v>4106</v>
      </c>
      <c r="DK35" s="2" t="str">
        <f>HYPERLINK(".\links\netoglyc\AGAP001936-PA-netoglyc.txt","0")</f>
        <v>0</v>
      </c>
      <c r="DL35" s="2">
        <v>8.6</v>
      </c>
      <c r="DM35" s="2">
        <v>5.0999999999999996</v>
      </c>
      <c r="DN35" s="2">
        <v>4.7</v>
      </c>
      <c r="DO35" s="2">
        <v>0.3</v>
      </c>
      <c r="DP35" s="2" t="s">
        <v>545</v>
      </c>
      <c r="DQ35" s="2" t="str">
        <f>HYPERLINK(".\links\Sigp\AGAP001936-PA-SigP.txt","CYT")</f>
        <v>CYT</v>
      </c>
      <c r="DR35" s="2" t="s">
        <v>89</v>
      </c>
      <c r="DS35" s="2">
        <v>124.907</v>
      </c>
      <c r="DT35" s="2">
        <v>5.98</v>
      </c>
      <c r="DU35" s="2" t="s">
        <v>89</v>
      </c>
      <c r="DV35" s="2" t="s">
        <v>89</v>
      </c>
      <c r="DW35" s="2" t="s">
        <v>93</v>
      </c>
      <c r="DX35" s="2">
        <v>1089</v>
      </c>
      <c r="DY35" s="12">
        <v>0</v>
      </c>
      <c r="DZ35" s="2" t="s">
        <v>89</v>
      </c>
      <c r="EA35" s="2" t="s">
        <v>89</v>
      </c>
      <c r="EB35" s="2" t="s">
        <v>89</v>
      </c>
      <c r="EC35" s="2" t="str">
        <f>HYPERLINK(".\links\gpi\AGAP001936-PA-gpi.txt","N")</f>
        <v>N</v>
      </c>
      <c r="ED35" s="2">
        <v>0.22</v>
      </c>
      <c r="EF35" s="2">
        <v>19</v>
      </c>
      <c r="EG35" s="2" t="str">
        <f>HYPERLINK(".\links\pep\AGAP001936-PA-sulf.txt","2")</f>
        <v>2</v>
      </c>
      <c r="EH35" s="2" t="s">
        <v>89</v>
      </c>
      <c r="EI35" s="2">
        <v>8.6317722681359008</v>
      </c>
      <c r="EJ35" s="2">
        <v>4.6831955922865003</v>
      </c>
      <c r="EK35" s="2">
        <v>5.0505050505050502</v>
      </c>
      <c r="EL35" s="2">
        <v>9.7337006427915505</v>
      </c>
      <c r="EM35" s="2" t="s">
        <v>89</v>
      </c>
      <c r="EN35" s="2">
        <v>5</v>
      </c>
      <c r="EO35" s="2">
        <v>5</v>
      </c>
      <c r="EP35" s="2" t="s">
        <v>89</v>
      </c>
      <c r="EQ35" s="2" t="s">
        <v>89</v>
      </c>
      <c r="ER35" s="2" t="s">
        <v>89</v>
      </c>
      <c r="ES35" s="2" t="s">
        <v>89</v>
      </c>
      <c r="ET35" s="2" t="str">
        <f>HYPERLINK(".\links\REFSEQ-INVERTEBRATE\AGAP001936-PA-REFSEQ-INVERTEBRATE.txt","AGAP001936-PA")</f>
        <v>AGAP001936-PA</v>
      </c>
      <c r="EU35" s="2" t="str">
        <f>HYPERLINK("http://www.ncbi.nlm.nih.gov/sutils/blink.cgi?pid=XP_321126.5","0.0")</f>
        <v>0.0</v>
      </c>
      <c r="EV35" s="2" t="str">
        <f>HYPERLINK("http://www.ncbi.nlm.nih.gov/protein/XP_321126.5","XP_321126.5")</f>
        <v>XP_321126.5</v>
      </c>
      <c r="EW35" s="2">
        <v>100</v>
      </c>
      <c r="EX35" s="2">
        <v>100</v>
      </c>
      <c r="EY35" s="2">
        <v>100</v>
      </c>
      <c r="EZ35" s="2" t="s">
        <v>95</v>
      </c>
    </row>
    <row r="36" spans="1:156" x14ac:dyDescent="0.25">
      <c r="A36" s="2" t="s">
        <v>1523</v>
      </c>
      <c r="B36" s="2">
        <v>1.03743669480197</v>
      </c>
      <c r="C36" s="2">
        <f t="shared" si="0"/>
        <v>2.052577499074534</v>
      </c>
      <c r="D36" s="2">
        <v>3.5182991038887201</v>
      </c>
      <c r="E36" s="2">
        <v>10.8752065284437</v>
      </c>
      <c r="F36" s="2">
        <v>9.7460160447270395E-4</v>
      </c>
      <c r="G36" s="2">
        <v>4.03895275747541E-2</v>
      </c>
      <c r="H36" s="2" t="s">
        <v>86</v>
      </c>
      <c r="I36" s="2" t="s">
        <v>87</v>
      </c>
      <c r="J36" s="2" t="str">
        <f>HYPERLINK("https://vectorbase.org/vectorbase/app/record/gene/AGAP005635","AGAP005635-RA")</f>
        <v>AGAP005635-RA</v>
      </c>
      <c r="K36" s="2" t="str">
        <f>HYPERLINK(".\links\pep\AGAP005635-PA-pep.txt","AGAP005635-PA")</f>
        <v>AGAP005635-PA</v>
      </c>
      <c r="L36" s="12" t="s">
        <v>88</v>
      </c>
      <c r="M36" s="2">
        <v>667</v>
      </c>
      <c r="N36" s="2">
        <v>0</v>
      </c>
      <c r="O36" s="2">
        <v>4</v>
      </c>
      <c r="P36" s="2" t="s">
        <v>89</v>
      </c>
      <c r="Q36" s="9" t="s">
        <v>1524</v>
      </c>
      <c r="R36" s="2" t="s">
        <v>586</v>
      </c>
      <c r="S36" s="2" t="str">
        <f>HYPERLINK(".\links\PFAM\AGAP005635-PA-PFAM.txt","PFAM")</f>
        <v>PFAM</v>
      </c>
      <c r="T36" s="2">
        <v>6.9999999999999998E-9</v>
      </c>
      <c r="U36" s="2">
        <v>58.7</v>
      </c>
      <c r="V36" s="2" t="s">
        <v>1525</v>
      </c>
      <c r="W36" s="10" t="s">
        <v>1526</v>
      </c>
      <c r="X36" s="2" t="s">
        <v>586</v>
      </c>
      <c r="Y36" s="2" t="str">
        <f>HYPERLINK(".\links\PFAM\AGAP005635-PA-PFAM.txt","PFAM")</f>
        <v>PFAM</v>
      </c>
      <c r="Z36" s="13">
        <v>5.9999999999999995E-8</v>
      </c>
      <c r="AA36" s="2">
        <v>51</v>
      </c>
      <c r="AB36" s="14" t="str">
        <f>HYPERLINK(".\links\pep\AGAP005635-PA-sulf.txt","1")</f>
        <v>1</v>
      </c>
      <c r="AC36" s="14" t="str">
        <f>HYPERLINK(".\links\Sigp\AGAP005635-PA-SigP.txt","CYT")</f>
        <v>CYT</v>
      </c>
      <c r="AD36" s="2" t="s">
        <v>89</v>
      </c>
      <c r="AE36" s="2">
        <v>72.561999999999998</v>
      </c>
      <c r="AF36" s="2">
        <v>5.54</v>
      </c>
      <c r="AG36" s="2" t="s">
        <v>89</v>
      </c>
      <c r="AH36" s="2" t="s">
        <v>89</v>
      </c>
      <c r="AI36" s="2" t="s">
        <v>93</v>
      </c>
      <c r="AJ36" s="14">
        <v>0</v>
      </c>
      <c r="AK36" s="2" t="s">
        <v>89</v>
      </c>
      <c r="AL36" s="2" t="s">
        <v>89</v>
      </c>
      <c r="AM36" s="2" t="s">
        <v>89</v>
      </c>
      <c r="AN36" s="14" t="str">
        <f>HYPERLINK(".\links\gpi\AGAP005635-PA-gpi.txt","N")</f>
        <v>N</v>
      </c>
      <c r="AO36" s="15" t="str">
        <f>HYPERLINK(".\links\netoglyc\AGAP005635-PA-netoglyc.txt","8")</f>
        <v>8</v>
      </c>
      <c r="AP36" s="14">
        <v>18.399999999999999</v>
      </c>
      <c r="AQ36" s="2">
        <v>6.9</v>
      </c>
      <c r="AR36" s="2">
        <v>8.8000000000000007</v>
      </c>
      <c r="AS36" s="2" t="s">
        <v>94</v>
      </c>
      <c r="AT36" s="9" t="str">
        <f>HYPERLINK(".\links\NR-LIGHT\AGAP005635-PA-NR-LIGHT.txt","AGAP005635-PA")</f>
        <v>AGAP005635-PA</v>
      </c>
      <c r="AU36" s="2" t="str">
        <f>HYPERLINK("http://www.ncbi.nlm.nih.gov/sutils/blink.cgi?pid=XP_001237691.2","0.0")</f>
        <v>0.0</v>
      </c>
      <c r="AV36" s="2" t="str">
        <f>HYPERLINK("http://www.ncbi.nlm.nih.gov/protein/XP_001237691.2","XP_001237691.2")</f>
        <v>XP_001237691.2</v>
      </c>
      <c r="AW36" s="2">
        <v>100</v>
      </c>
      <c r="AX36" s="2">
        <v>100</v>
      </c>
      <c r="AY36" s="2">
        <v>100</v>
      </c>
      <c r="AZ36" s="2" t="s">
        <v>95</v>
      </c>
      <c r="BA36" s="9" t="str">
        <f>HYPERLINK(".\links\REFSEQ-INVERTEBRATE\AGAP005635-PA-REFSEQ-INVERTEBRATE.txt","AGAP005635-PA")</f>
        <v>AGAP005635-PA</v>
      </c>
      <c r="BB36" s="2" t="str">
        <f>HYPERLINK("http://www.ncbi.nlm.nih.gov/sutils/blink.cgi?pid=XP_001237691.2","0.0")</f>
        <v>0.0</v>
      </c>
      <c r="BC36" s="2" t="str">
        <f>HYPERLINK("http://www.ncbi.nlm.nih.gov/protein/XP_001237691.2","XP_001237691.2")</f>
        <v>XP_001237691.2</v>
      </c>
      <c r="BD36" s="2">
        <v>100</v>
      </c>
      <c r="BE36" s="2">
        <v>100</v>
      </c>
      <c r="BF36" s="2">
        <v>100</v>
      </c>
      <c r="BG36" s="2" t="s">
        <v>95</v>
      </c>
      <c r="BH36" s="9" t="str">
        <f>HYPERLINK(".\links\REFSEQ-PROTOZOA\AGAP005635-PA-REFSEQ-PROTOZOA.txt","proteophosphoglycan 5")</f>
        <v>proteophosphoglycan 5</v>
      </c>
      <c r="BI36" s="2" t="str">
        <f>HYPERLINK("http://www.ncbi.nlm.nih.gov/sutils/blink.cgi?pid=XP_003722449.1","2E-005")</f>
        <v>2E-005</v>
      </c>
      <c r="BJ36" s="2" t="str">
        <f>HYPERLINK("http://www.ncbi.nlm.nih.gov/protein/XP_003722449.1","XP_003722449.1")</f>
        <v>XP_003722449.1</v>
      </c>
      <c r="BK36" s="2">
        <v>18</v>
      </c>
      <c r="BL36" s="2">
        <v>31</v>
      </c>
      <c r="BM36" s="2">
        <v>3</v>
      </c>
      <c r="BN36" s="2" t="s">
        <v>1429</v>
      </c>
      <c r="BO36" s="9" t="str">
        <f>HYPERLINK(".\links\SWISSP\AGAP005635-PA-SWISSP.txt","Sperm-specific antigen 2 homolog")</f>
        <v>Sperm-specific antigen 2 homolog</v>
      </c>
      <c r="BP36" s="2" t="str">
        <f>HYPERLINK("http://www.uniprot.org/uniprot/Q922B9","9E-006")</f>
        <v>9E-006</v>
      </c>
      <c r="BQ36" s="2" t="str">
        <f>HYPERLINK("http://www.uniprot.org/uniprot/Q922B9#expression","Q922B9")</f>
        <v>Q922B9</v>
      </c>
      <c r="BR36" s="2">
        <v>33</v>
      </c>
      <c r="BS36" s="2">
        <v>44</v>
      </c>
      <c r="BT36" s="2">
        <v>9</v>
      </c>
      <c r="BU36" s="2" t="s">
        <v>566</v>
      </c>
      <c r="BV36" s="9" t="str">
        <f>HYPERLINK(".\links\FLYBASE\AGAP005635-PA-FLYBASE.txt","FBpp0085978")</f>
        <v>FBpp0085978</v>
      </c>
      <c r="BW36" s="2" t="str">
        <f>HYPERLINK("http://flybase.org/reports/FBgn0015522#alliance_summary_container","3E-34")</f>
        <v>3E-34</v>
      </c>
      <c r="BX36" s="2">
        <v>254</v>
      </c>
      <c r="BY36" s="2">
        <v>63</v>
      </c>
      <c r="BZ36" s="2">
        <v>81</v>
      </c>
      <c r="CA36" s="2">
        <v>39</v>
      </c>
      <c r="CB36" s="9" t="str">
        <f>HYPERLINK(".\links\CDD\AGAP005635-PA-CDD.txt","KRAP_IP3R_bind, Ki-ras-induced actin-interacting protein-IP3R-interacting domain")</f>
        <v>KRAP_IP3R_bind, Ki-ras-induced actin-interacting protein-IP3R-interacting domain</v>
      </c>
      <c r="CC36" s="13">
        <v>2.9999999999999997E-8</v>
      </c>
      <c r="CD36" s="2">
        <v>58.7</v>
      </c>
      <c r="CE36" s="2" t="s">
        <v>1527</v>
      </c>
      <c r="CF36" s="2" t="s">
        <v>1528</v>
      </c>
      <c r="CG36" s="9" t="str">
        <f>HYPERLINK(".\links\KOG\AGAP005635-PA-KOG.txt","Axon guidance receptor Dscam")</f>
        <v>Axon guidance receptor Dscam</v>
      </c>
      <c r="CH36" s="13">
        <v>0.17</v>
      </c>
      <c r="CI36" s="2">
        <v>8.4</v>
      </c>
      <c r="CJ36" s="2" t="s">
        <v>1529</v>
      </c>
      <c r="CK36" s="2" t="s">
        <v>410</v>
      </c>
      <c r="CL36" s="9" t="str">
        <f>HYPERLINK(".\links\PFAM\AGAP005635-PA-PFAM.txt","KRAP_IP3R_bind, Ki-ras-induced actin-interacting protein-IP3R-interacting domain")</f>
        <v>KRAP_IP3R_bind, Ki-ras-induced actin-interacting protein-IP3R-interacting domain</v>
      </c>
      <c r="CM36" s="13">
        <v>6.9999999999999998E-9</v>
      </c>
      <c r="CN36" s="2">
        <v>58.7</v>
      </c>
      <c r="CO36" s="2" t="s">
        <v>1527</v>
      </c>
      <c r="CP36" s="9" t="str">
        <f>HYPERLINK(".\links\SMART\AGAP005635-PA-SMART.txt","Amelogenin, Amelogenins, cell adhesion proteins, play a role in the biomineralisation of teeth")</f>
        <v>Amelogenin, Amelogenins, cell adhesion proteins, play a role in the biomineralisation of teeth</v>
      </c>
      <c r="CQ36" s="13">
        <v>9.5000000000000001E-2</v>
      </c>
      <c r="CR36" s="2">
        <v>23</v>
      </c>
      <c r="CS36" s="2" t="s">
        <v>1530</v>
      </c>
      <c r="CT36" s="2" t="s">
        <v>1525</v>
      </c>
      <c r="CU36" s="2" t="s">
        <v>1525</v>
      </c>
      <c r="CV36" s="2" t="s">
        <v>1525</v>
      </c>
      <c r="CW36" s="2" t="str">
        <f>HYPERLINK(".\links\pep\AGAP005635-PA-pep.txt","AGAP005635-PA")</f>
        <v>AGAP005635-PA</v>
      </c>
      <c r="CX36" s="2" t="s">
        <v>88</v>
      </c>
      <c r="CY36" s="2">
        <v>667</v>
      </c>
      <c r="CZ36" s="2" t="s">
        <v>103</v>
      </c>
      <c r="DA36" s="2" t="s">
        <v>1531</v>
      </c>
      <c r="DB36" s="2">
        <v>0</v>
      </c>
      <c r="DC36" s="2">
        <v>4</v>
      </c>
      <c r="DD36" s="2" t="str">
        <f>HYPERLINK("https://www.kegg.jp/kegg-bin/search_pathway_text?map=aga&amp;keyword=AGAP005635&amp;mode=1&amp;viewImage=true","AGAP005635")</f>
        <v>AGAP005635</v>
      </c>
      <c r="DE36" s="2" t="s">
        <v>1523</v>
      </c>
      <c r="DF36" s="2" t="s">
        <v>86</v>
      </c>
      <c r="DG36" s="2" t="s">
        <v>87</v>
      </c>
      <c r="DH36" s="2" t="str">
        <f>HYPERLINK("https://vectorbase.org/vectorbase/app/record/gene/AGAP005635","AGAP005635-RA")</f>
        <v>AGAP005635-RA</v>
      </c>
      <c r="DI36" s="2" t="s">
        <v>158</v>
      </c>
      <c r="DJ36" s="2">
        <v>4064</v>
      </c>
      <c r="DK36" s="2" t="str">
        <f>HYPERLINK(".\links\netoglyc\AGAP005635-PA-netoglyc.txt","8")</f>
        <v>8</v>
      </c>
      <c r="DL36" s="2">
        <v>18.399999999999999</v>
      </c>
      <c r="DM36" s="2">
        <v>6.9</v>
      </c>
      <c r="DN36" s="2">
        <v>8.8000000000000007</v>
      </c>
      <c r="DO36" s="2" t="s">
        <v>94</v>
      </c>
      <c r="DP36" s="2" t="s">
        <v>1532</v>
      </c>
      <c r="DQ36" s="2" t="str">
        <f>HYPERLINK(".\links\Sigp\AGAP005635-PA-SigP.txt","CYT")</f>
        <v>CYT</v>
      </c>
      <c r="DR36" s="2" t="s">
        <v>89</v>
      </c>
      <c r="DS36" s="2">
        <v>72.561999999999998</v>
      </c>
      <c r="DT36" s="2">
        <v>5.54</v>
      </c>
      <c r="DU36" s="2" t="s">
        <v>89</v>
      </c>
      <c r="DV36" s="2" t="s">
        <v>89</v>
      </c>
      <c r="DW36" s="2" t="s">
        <v>93</v>
      </c>
      <c r="DX36" s="2">
        <v>667</v>
      </c>
      <c r="DY36" s="12">
        <v>0</v>
      </c>
      <c r="DZ36" s="2" t="s">
        <v>89</v>
      </c>
      <c r="EA36" s="2" t="s">
        <v>89</v>
      </c>
      <c r="EB36" s="2" t="s">
        <v>89</v>
      </c>
      <c r="EC36" s="2" t="str">
        <f>HYPERLINK(".\links\gpi\AGAP005635-PA-gpi.txt","Y-NoSP")</f>
        <v>Y-NoSP</v>
      </c>
      <c r="ED36" s="2">
        <v>0.24</v>
      </c>
      <c r="EF36" s="2">
        <v>3</v>
      </c>
      <c r="EG36" s="2" t="str">
        <f>HYPERLINK(".\links\pep\AGAP005635-PA-sulf.txt","1")</f>
        <v>1</v>
      </c>
      <c r="EH36" s="2" t="s">
        <v>89</v>
      </c>
      <c r="EI36" s="2">
        <v>18.440779610194902</v>
      </c>
      <c r="EJ36" s="2">
        <v>8.8455772113942999</v>
      </c>
      <c r="EK36" s="2">
        <v>6.8965517241379297</v>
      </c>
      <c r="EL36" s="2">
        <v>15.7421289355322</v>
      </c>
      <c r="EM36" s="2">
        <v>1</v>
      </c>
      <c r="EN36" s="2">
        <v>1</v>
      </c>
      <c r="EO36" s="2">
        <v>3</v>
      </c>
      <c r="EP36" s="2" t="s">
        <v>89</v>
      </c>
      <c r="EQ36" s="2" t="s">
        <v>89</v>
      </c>
      <c r="ER36" s="2" t="s">
        <v>89</v>
      </c>
      <c r="ES36" s="2" t="s">
        <v>89</v>
      </c>
      <c r="ET36" s="2" t="str">
        <f>HYPERLINK(".\links\REFSEQ-INVERTEBRATE\AGAP005635-PA-REFSEQ-INVERTEBRATE.txt","AGAP005635-PA")</f>
        <v>AGAP005635-PA</v>
      </c>
      <c r="EU36" s="2" t="str">
        <f>HYPERLINK("http://www.ncbi.nlm.nih.gov/sutils/blink.cgi?pid=XP_001237691.2","0.0")</f>
        <v>0.0</v>
      </c>
      <c r="EV36" s="2" t="str">
        <f>HYPERLINK("http://www.ncbi.nlm.nih.gov/protein/XP_001237691.2","XP_001237691.2")</f>
        <v>XP_001237691.2</v>
      </c>
      <c r="EW36" s="2">
        <v>100</v>
      </c>
      <c r="EX36" s="2">
        <v>100</v>
      </c>
      <c r="EY36" s="2">
        <v>100</v>
      </c>
      <c r="EZ36" s="2" t="s">
        <v>95</v>
      </c>
    </row>
    <row r="37" spans="1:156" x14ac:dyDescent="0.25">
      <c r="A37" s="2" t="s">
        <v>1481</v>
      </c>
      <c r="B37" s="2">
        <v>0.98155399643410601</v>
      </c>
      <c r="C37" s="2">
        <f t="shared" si="0"/>
        <v>1.9745911913299066</v>
      </c>
      <c r="D37" s="2">
        <v>7.95449142500114</v>
      </c>
      <c r="E37" s="2">
        <v>17.7262890561713</v>
      </c>
      <c r="F37" s="2">
        <v>2.5507699472813398E-5</v>
      </c>
      <c r="G37" s="2">
        <v>3.3947559535880498E-3</v>
      </c>
      <c r="H37" s="2" t="s">
        <v>465</v>
      </c>
      <c r="I37" s="2" t="s">
        <v>466</v>
      </c>
      <c r="J37" s="8" t="s">
        <v>1482</v>
      </c>
      <c r="Q37" s="9"/>
      <c r="W37" s="10"/>
      <c r="AB37" s="9"/>
      <c r="AC37" s="9"/>
      <c r="AJ37" s="9"/>
      <c r="AN37" s="9"/>
      <c r="AO37" s="11"/>
      <c r="AP37" s="9"/>
      <c r="AT37" s="9"/>
      <c r="BA37" s="9"/>
      <c r="BH37" s="9"/>
      <c r="BO37" s="9"/>
      <c r="BV37" s="9"/>
      <c r="CB37" s="9"/>
      <c r="CG37" s="9"/>
      <c r="CL37" s="9"/>
      <c r="CP37" s="9"/>
      <c r="DE37" s="2" t="s">
        <v>1481</v>
      </c>
      <c r="DF37" s="2" t="s">
        <v>465</v>
      </c>
      <c r="DG37" s="2" t="s">
        <v>466</v>
      </c>
      <c r="DH37" s="8" t="s">
        <v>1482</v>
      </c>
      <c r="DI37" s="2" t="s">
        <v>140</v>
      </c>
      <c r="DJ37" s="2">
        <v>6351</v>
      </c>
      <c r="DQ37" s="2" t="s">
        <v>468</v>
      </c>
      <c r="DS37" s="2">
        <v>121136</v>
      </c>
      <c r="DT37" s="2">
        <v>7</v>
      </c>
      <c r="DX37" s="2">
        <v>1108</v>
      </c>
      <c r="DY37" s="12"/>
    </row>
    <row r="38" spans="1:156" x14ac:dyDescent="0.25">
      <c r="A38" s="2" t="s">
        <v>723</v>
      </c>
      <c r="B38" s="2">
        <v>0.973986891022393</v>
      </c>
      <c r="C38" s="2">
        <f t="shared" si="0"/>
        <v>1.9642613422815149</v>
      </c>
      <c r="D38" s="2">
        <v>5.8689978280491601</v>
      </c>
      <c r="E38" s="2">
        <v>12.914830894779801</v>
      </c>
      <c r="F38" s="2">
        <v>3.2598885375762502E-4</v>
      </c>
      <c r="G38" s="2">
        <v>1.9833161862613899E-2</v>
      </c>
      <c r="H38" s="2" t="s">
        <v>724</v>
      </c>
      <c r="I38" s="2" t="s">
        <v>89</v>
      </c>
      <c r="J38" s="2" t="str">
        <f>HYPERLINK("https://vectorbase.org/vectorbase/app/record/gene/AGAP003153","AGAP003153-RD")</f>
        <v>AGAP003153-RD</v>
      </c>
      <c r="K38" s="2" t="str">
        <f>HYPERLINK(".\links\pep\AGAP003153-PD-pep.txt","AGAP003153-PD")</f>
        <v>AGAP003153-PD</v>
      </c>
      <c r="L38" s="12" t="s">
        <v>88</v>
      </c>
      <c r="M38" s="2">
        <v>614</v>
      </c>
      <c r="N38" s="2">
        <v>0</v>
      </c>
      <c r="O38" s="2">
        <v>3</v>
      </c>
      <c r="P38" s="2" t="s">
        <v>725</v>
      </c>
      <c r="Q38" s="9" t="s">
        <v>726</v>
      </c>
      <c r="R38" s="2" t="s">
        <v>727</v>
      </c>
      <c r="S38" s="2" t="str">
        <f>HYPERLINK(".\links\KOG\AGAP003153-PD-KOG.txt","KOG")</f>
        <v>KOG</v>
      </c>
      <c r="T38" s="2">
        <v>0</v>
      </c>
      <c r="U38" s="2">
        <v>99.3</v>
      </c>
      <c r="V38" s="2" t="s">
        <v>728</v>
      </c>
      <c r="W38" s="10" t="s">
        <v>729</v>
      </c>
      <c r="X38" s="2" t="s">
        <v>145</v>
      </c>
      <c r="Y38" s="2" t="str">
        <f>HYPERLINK(".\links\TIGR\AGAP003153-PD-TIGR.txt","TIGR")</f>
        <v>TIGR</v>
      </c>
      <c r="Z38" s="2">
        <v>0</v>
      </c>
      <c r="AA38" s="2">
        <v>102.9</v>
      </c>
      <c r="AB38" s="14" t="str">
        <f>HYPERLINK(".\links\pep\AGAP003153-PD-sulf.txt","2")</f>
        <v>2</v>
      </c>
      <c r="AC38" s="14" t="str">
        <f>HYPERLINK(".\links\Sigp\AGAP003153-PD-SigP.txt","CYT")</f>
        <v>CYT</v>
      </c>
      <c r="AD38" s="2" t="s">
        <v>89</v>
      </c>
      <c r="AE38" s="2">
        <v>68.277000000000001</v>
      </c>
      <c r="AF38" s="2">
        <v>5.26</v>
      </c>
      <c r="AG38" s="2" t="s">
        <v>89</v>
      </c>
      <c r="AH38" s="2" t="s">
        <v>89</v>
      </c>
      <c r="AI38" s="2" t="s">
        <v>730</v>
      </c>
      <c r="AJ38" s="14">
        <v>0</v>
      </c>
      <c r="AK38" s="2" t="s">
        <v>89</v>
      </c>
      <c r="AL38" s="2" t="s">
        <v>89</v>
      </c>
      <c r="AM38" s="2" t="s">
        <v>89</v>
      </c>
      <c r="AN38" s="14" t="str">
        <f>HYPERLINK(".\links\gpi\AGAP003153-PD-gpi.txt","N")</f>
        <v>N</v>
      </c>
      <c r="AO38" s="15" t="str">
        <f>HYPERLINK(".\links\netoglyc\AGAP003153-PD-netoglyc.txt","0")</f>
        <v>0</v>
      </c>
      <c r="AP38" s="14">
        <v>13.7</v>
      </c>
      <c r="AQ38" s="2">
        <v>8</v>
      </c>
      <c r="AR38" s="2">
        <v>5.2</v>
      </c>
      <c r="AS38" s="2" t="s">
        <v>94</v>
      </c>
      <c r="AT38" s="9" t="str">
        <f>HYPERLINK(".\links\NR-LIGHT\AGAP003153-PD-NR-LIGHT.txt","AGAP003153-PA")</f>
        <v>AGAP003153-PA</v>
      </c>
      <c r="AU38" s="2" t="str">
        <f>HYPERLINK("http://www.ncbi.nlm.nih.gov/sutils/blink.cgi?pid=XP_312843.1","0.0")</f>
        <v>0.0</v>
      </c>
      <c r="AV38" s="2" t="str">
        <f>HYPERLINK("http://www.ncbi.nlm.nih.gov/protein/XP_312843.1","XP_312843.1")</f>
        <v>XP_312843.1</v>
      </c>
      <c r="AW38" s="2">
        <v>100</v>
      </c>
      <c r="AX38" s="2">
        <v>100</v>
      </c>
      <c r="AY38" s="2">
        <v>100</v>
      </c>
      <c r="AZ38" s="2" t="s">
        <v>95</v>
      </c>
      <c r="BA38" s="9" t="str">
        <f>HYPERLINK(".\links\REFSEQ-INVERTEBRATE\AGAP003153-PD-REFSEQ-INVERTEBRATE.txt","AGAP003153-PD")</f>
        <v>AGAP003153-PD</v>
      </c>
      <c r="BB38" s="2" t="str">
        <f>HYPERLINK("http://www.ncbi.nlm.nih.gov/sutils/blink.cgi?pid=XP_003436411.1","0.0")</f>
        <v>0.0</v>
      </c>
      <c r="BC38" s="2" t="str">
        <f>HYPERLINK("http://www.ncbi.nlm.nih.gov/protein/XP_003436411.1","XP_003436411.1")</f>
        <v>XP_003436411.1</v>
      </c>
      <c r="BD38" s="2">
        <v>100</v>
      </c>
      <c r="BE38" s="2">
        <v>100</v>
      </c>
      <c r="BF38" s="2">
        <v>100</v>
      </c>
      <c r="BG38" s="2" t="s">
        <v>95</v>
      </c>
      <c r="BH38" s="9" t="str">
        <f>HYPERLINK(".\links\REFSEQ-PROTOZOA\AGAP003153-PD-REFSEQ-PROTOZOA.txt","V-type proton ATPase catalytic subunit A")</f>
        <v>V-type proton ATPase catalytic subunit A</v>
      </c>
      <c r="BI38" s="2" t="str">
        <f>HYPERLINK("http://www.ncbi.nlm.nih.gov/sutils/blink.cgi?pid=XP_004349325.2","0.0")</f>
        <v>0.0</v>
      </c>
      <c r="BJ38" s="2" t="str">
        <f>HYPERLINK("http://www.ncbi.nlm.nih.gov/protein/XP_004349325.2","XP_004349325.2")</f>
        <v>XP_004349325.2</v>
      </c>
      <c r="BK38" s="2">
        <v>76</v>
      </c>
      <c r="BL38" s="2">
        <v>88</v>
      </c>
      <c r="BM38" s="2">
        <v>100</v>
      </c>
      <c r="BN38" s="2" t="s">
        <v>150</v>
      </c>
      <c r="BO38" s="9" t="str">
        <f>HYPERLINK(".\links\SWISSP\AGAP003153-PD-SWISSP.txt","V-type proton ATPase catalytic subunit A")</f>
        <v>V-type proton ATPase catalytic subunit A</v>
      </c>
      <c r="BP38" s="2" t="str">
        <f>HYPERLINK("http://www.uniprot.org/uniprot/Q5TTG1","0.0")</f>
        <v>0.0</v>
      </c>
      <c r="BQ38" s="2" t="str">
        <f>HYPERLINK("http://www.uniprot.org/uniprot/Q5TTG1#expression","Q5TTG1")</f>
        <v>Q5TTG1</v>
      </c>
      <c r="BR38" s="2">
        <v>100</v>
      </c>
      <c r="BS38" s="2">
        <v>100</v>
      </c>
      <c r="BT38" s="2">
        <v>100</v>
      </c>
      <c r="BU38" s="2" t="s">
        <v>215</v>
      </c>
      <c r="BV38" s="9" t="str">
        <f>HYPERLINK(".\links\FLYBASE\AGAP003153-PD-FLYBASE.txt","FBpp0307597")</f>
        <v>FBpp0307597</v>
      </c>
      <c r="BW38" s="2" t="str">
        <f>HYPERLINK("http://flybase.org/reports/FBgn0263598#alliance_summary_container","0.0")</f>
        <v>0.0</v>
      </c>
      <c r="BX38" s="2">
        <v>614</v>
      </c>
      <c r="BY38" s="2">
        <v>93</v>
      </c>
      <c r="BZ38" s="2">
        <v>97</v>
      </c>
      <c r="CA38" s="2">
        <v>100</v>
      </c>
      <c r="CB38" s="9" t="str">
        <f>HYPERLINK(".\links\CDD\AGAP003153-PD-CDD.txt","V-type_proton_ATPase_catalytic_subunit_A, V-type (H+)-ATPase V1, A subunit")</f>
        <v>V-type_proton_ATPase_catalytic_subunit_A, V-type (H+)-ATPase V1, A subunit</v>
      </c>
      <c r="CC38" s="13">
        <v>0</v>
      </c>
      <c r="CD38" s="2">
        <v>100</v>
      </c>
      <c r="CE38" s="2" t="s">
        <v>731</v>
      </c>
      <c r="CF38" s="2" t="s">
        <v>732</v>
      </c>
      <c r="CG38" s="9" t="str">
        <f>HYPERLINK(".\links\KOG\AGAP003153-PD-KOG.txt","subunit A")</f>
        <v>subunit A</v>
      </c>
      <c r="CH38" s="13">
        <v>0</v>
      </c>
      <c r="CI38" s="2">
        <v>99.4</v>
      </c>
      <c r="CJ38" s="2" t="s">
        <v>733</v>
      </c>
      <c r="CK38" s="2" t="s">
        <v>155</v>
      </c>
      <c r="CL38" s="9" t="str">
        <f>HYPERLINK(".\links\PFAM\AGAP003153-PD-PFAM.txt","ATP-synt_ab, ATP synthase alpha/beta family, nucleotide-binding domain")</f>
        <v>ATP-synt_ab, ATP synthase alpha/beta family, nucleotide-binding domain</v>
      </c>
      <c r="CM38" s="13">
        <v>1E-83</v>
      </c>
      <c r="CN38" s="2">
        <v>107.1</v>
      </c>
      <c r="CO38" s="2" t="s">
        <v>734</v>
      </c>
      <c r="CP38" s="9" t="str">
        <f>HYPERLINK(".\links\SMART\AGAP003153-PD-SMART.txt","AAA, ATPases associated with a variety of cellular activities")</f>
        <v>AAA, ATPases associated with a variety of cellular activities</v>
      </c>
      <c r="CQ38" s="13">
        <v>6.0000000000000001E-3</v>
      </c>
      <c r="CR38" s="2">
        <v>45.9</v>
      </c>
      <c r="CS38" s="2" t="s">
        <v>642</v>
      </c>
      <c r="CT38" s="2" t="s">
        <v>728</v>
      </c>
      <c r="CU38" s="2" t="s">
        <v>728</v>
      </c>
      <c r="CV38" s="2" t="s">
        <v>728</v>
      </c>
      <c r="CW38" s="2" t="str">
        <f>HYPERLINK(".\links\pep\AGAP003153-PD-pep.txt","AGAP003153-PD")</f>
        <v>AGAP003153-PD</v>
      </c>
      <c r="CX38" s="2" t="s">
        <v>88</v>
      </c>
      <c r="CY38" s="2">
        <v>614</v>
      </c>
      <c r="CZ38" s="2" t="s">
        <v>103</v>
      </c>
      <c r="DA38" s="2">
        <v>0</v>
      </c>
      <c r="DB38" s="2">
        <v>3</v>
      </c>
      <c r="DD38" s="2" t="str">
        <f>HYPERLINK("https://www.kegg.jp/kegg-bin/search_pathway_text?map=aga&amp;keyword=AGAP003153&amp;mode=1&amp;viewImage=true","AGAP003153")</f>
        <v>AGAP003153</v>
      </c>
      <c r="DE38" s="2" t="s">
        <v>723</v>
      </c>
      <c r="DF38" s="2" t="s">
        <v>724</v>
      </c>
      <c r="DG38" s="2" t="s">
        <v>89</v>
      </c>
      <c r="DH38" s="2" t="str">
        <f>HYPERLINK("https://vectorbase.org/vectorbase/app/record/gene/AGAP003153","AGAP003153-RD")</f>
        <v>AGAP003153-RD</v>
      </c>
      <c r="DI38" s="2" t="s">
        <v>122</v>
      </c>
      <c r="DJ38" s="2">
        <v>2425</v>
      </c>
      <c r="DK38" s="2" t="str">
        <f>HYPERLINK(".\links\netoglyc\AGAP003153-PD-netoglyc.txt","0")</f>
        <v>0</v>
      </c>
      <c r="DL38" s="2">
        <v>13.7</v>
      </c>
      <c r="DM38" s="2">
        <v>8</v>
      </c>
      <c r="DN38" s="2">
        <v>5.2</v>
      </c>
      <c r="DO38" s="2" t="s">
        <v>94</v>
      </c>
      <c r="DP38" s="2" t="s">
        <v>735</v>
      </c>
      <c r="DQ38" s="2" t="str">
        <f>HYPERLINK(".\links\Sigp\AGAP003153-PD-SigP.txt","CYT")</f>
        <v>CYT</v>
      </c>
      <c r="DR38" s="2" t="s">
        <v>89</v>
      </c>
      <c r="DS38" s="2">
        <v>68.277000000000001</v>
      </c>
      <c r="DT38" s="2">
        <v>5.26</v>
      </c>
      <c r="DU38" s="2" t="s">
        <v>89</v>
      </c>
      <c r="DV38" s="2" t="s">
        <v>89</v>
      </c>
      <c r="DW38" s="2" t="s">
        <v>730</v>
      </c>
      <c r="DX38" s="2">
        <v>614</v>
      </c>
      <c r="DY38" s="12">
        <v>0</v>
      </c>
      <c r="DZ38" s="2" t="s">
        <v>89</v>
      </c>
      <c r="EA38" s="2" t="s">
        <v>89</v>
      </c>
      <c r="EB38" s="2" t="s">
        <v>89</v>
      </c>
      <c r="EC38" s="2" t="str">
        <f>HYPERLINK(".\links\gpi\AGAP003153-PD-gpi.txt","Y-NoSP")</f>
        <v>Y-NoSP</v>
      </c>
      <c r="ED38" s="2">
        <v>0.19</v>
      </c>
      <c r="EF38" s="2">
        <v>6</v>
      </c>
      <c r="EG38" s="2" t="str">
        <f>HYPERLINK(".\links\pep\AGAP003153-PD-sulf.txt","2")</f>
        <v>2</v>
      </c>
      <c r="EH38" s="2" t="s">
        <v>89</v>
      </c>
      <c r="EI38" s="2">
        <v>13.6807817589577</v>
      </c>
      <c r="EJ38" s="2">
        <v>5.2117263843648196</v>
      </c>
      <c r="EK38" s="2">
        <v>7.9804560260586301</v>
      </c>
      <c r="EL38" s="2">
        <v>13.1921824104235</v>
      </c>
      <c r="EM38" s="2">
        <v>2</v>
      </c>
      <c r="EN38" s="2">
        <v>2</v>
      </c>
      <c r="EO38" s="2">
        <v>4</v>
      </c>
      <c r="EP38" s="2" t="s">
        <v>89</v>
      </c>
      <c r="EQ38" s="2" t="s">
        <v>89</v>
      </c>
      <c r="ER38" s="2" t="s">
        <v>89</v>
      </c>
      <c r="ES38" s="2" t="s">
        <v>89</v>
      </c>
      <c r="ET38" s="2" t="str">
        <f>HYPERLINK(".\links\REFSEQ-INVERTEBRATE\AGAP003153-PD-REFSEQ-INVERTEBRATE.txt","AGAP003153-PD")</f>
        <v>AGAP003153-PD</v>
      </c>
      <c r="EU38" s="2" t="str">
        <f>HYPERLINK("http://www.ncbi.nlm.nih.gov/sutils/blink.cgi?pid=XP_003436411.1","0.0")</f>
        <v>0.0</v>
      </c>
      <c r="EV38" s="2" t="str">
        <f>HYPERLINK("http://www.ncbi.nlm.nih.gov/protein/XP_003436411.1","XP_003436411.1")</f>
        <v>XP_003436411.1</v>
      </c>
      <c r="EW38" s="2">
        <v>100</v>
      </c>
      <c r="EX38" s="2">
        <v>100</v>
      </c>
      <c r="EY38" s="2">
        <v>100</v>
      </c>
      <c r="EZ38" s="2" t="s">
        <v>95</v>
      </c>
    </row>
    <row r="39" spans="1:156" x14ac:dyDescent="0.25">
      <c r="A39" s="2" t="s">
        <v>1834</v>
      </c>
      <c r="B39" s="2">
        <v>0.91312141528822199</v>
      </c>
      <c r="C39" s="2">
        <f t="shared" si="0"/>
        <v>1.883115402891645</v>
      </c>
      <c r="D39" s="2">
        <v>4.59380936458503</v>
      </c>
      <c r="E39" s="2">
        <v>14.472998824829499</v>
      </c>
      <c r="F39" s="2">
        <v>1.4218308092511E-4</v>
      </c>
      <c r="G39" s="2">
        <v>1.12834242684311E-2</v>
      </c>
      <c r="H39" s="2" t="s">
        <v>86</v>
      </c>
      <c r="I39" s="2" t="s">
        <v>87</v>
      </c>
      <c r="J39" s="2" t="str">
        <f>HYPERLINK("https://vectorbase.org/vectorbase/app/record/gene/AGAP007257","AGAP007257-RA")</f>
        <v>AGAP007257-RA</v>
      </c>
      <c r="K39" s="2" t="str">
        <f>HYPERLINK(".\links\pep\AGAP007257-PA-pep.txt","AGAP007257-PA")</f>
        <v>AGAP007257-PA</v>
      </c>
      <c r="L39" s="12" t="s">
        <v>88</v>
      </c>
      <c r="M39" s="2">
        <v>493</v>
      </c>
      <c r="N39" s="2">
        <v>0</v>
      </c>
      <c r="O39" s="2">
        <v>0</v>
      </c>
      <c r="P39" s="2" t="s">
        <v>89</v>
      </c>
      <c r="Q39" s="9" t="s">
        <v>1835</v>
      </c>
      <c r="R39" s="2" t="s">
        <v>91</v>
      </c>
      <c r="S39" s="2" t="str">
        <f>HYPERLINK(".\links\REFSEQ-INVERTEBRATE\AGAP007257-PA-REFSEQ-INVERTEBRATE.txt","REFSEQ-INVERTEBRATE")</f>
        <v>REFSEQ-INVERTEBRATE</v>
      </c>
      <c r="T39" s="2">
        <v>0</v>
      </c>
      <c r="U39" s="2">
        <v>92.7</v>
      </c>
      <c r="V39" s="2" t="s">
        <v>1836</v>
      </c>
      <c r="W39" s="10" t="s">
        <v>1837</v>
      </c>
      <c r="X39" s="2" t="s">
        <v>148</v>
      </c>
      <c r="Y39" s="2" t="str">
        <f>HYPERLINK(".\links\REFSEQ-INVERTEBRATE\AGAP007257-PA-REFSEQ-INVERTEBRATE.txt","REFSEQ-INVERTEBRATE")</f>
        <v>REFSEQ-INVERTEBRATE</v>
      </c>
      <c r="Z39" s="2">
        <v>0</v>
      </c>
      <c r="AA39" s="2">
        <v>106.1</v>
      </c>
      <c r="AB39" s="14" t="str">
        <f>HYPERLINK(".\links\pep\AGAP007257-PA-sulf.txt","1")</f>
        <v>1</v>
      </c>
      <c r="AC39" s="14" t="str">
        <f>HYPERLINK(".\links\Sigp\AGAP007257-PA-SigP.txt","CYT")</f>
        <v>CYT</v>
      </c>
      <c r="AD39" s="2" t="s">
        <v>89</v>
      </c>
      <c r="AE39" s="2">
        <v>52.575000000000003</v>
      </c>
      <c r="AF39" s="2">
        <v>9.2899999999999991</v>
      </c>
      <c r="AG39" s="2" t="s">
        <v>89</v>
      </c>
      <c r="AH39" s="2" t="s">
        <v>89</v>
      </c>
      <c r="AI39" s="2" t="s">
        <v>167</v>
      </c>
      <c r="AJ39" s="14">
        <v>0</v>
      </c>
      <c r="AK39" s="2" t="s">
        <v>89</v>
      </c>
      <c r="AL39" s="2" t="s">
        <v>89</v>
      </c>
      <c r="AM39" s="2" t="s">
        <v>89</v>
      </c>
      <c r="AN39" s="14" t="str">
        <f>HYPERLINK(".\links\gpi\AGAP007257-PA-gpi.txt","N")</f>
        <v>N</v>
      </c>
      <c r="AO39" s="15" t="str">
        <f>HYPERLINK(".\links\netoglyc\AGAP007257-PA-netoglyc.txt","15")</f>
        <v>15</v>
      </c>
      <c r="AP39" s="14">
        <v>16.2</v>
      </c>
      <c r="AQ39" s="2">
        <v>8.6999999999999993</v>
      </c>
      <c r="AR39" s="2">
        <v>4.3</v>
      </c>
      <c r="AS39" s="2" t="s">
        <v>94</v>
      </c>
      <c r="AT39" s="9" t="str">
        <f>HYPERLINK(".\links\NR-LIGHT\AGAP007257-PA-NR-LIGHT.txt","AGAP007257-PA")</f>
        <v>AGAP007257-PA</v>
      </c>
      <c r="AU39" s="2" t="str">
        <f>HYPERLINK("http://www.ncbi.nlm.nih.gov/sutils/blink.cgi?pid=XP_001687980.1","0.0")</f>
        <v>0.0</v>
      </c>
      <c r="AV39" s="2" t="str">
        <f>HYPERLINK("http://www.ncbi.nlm.nih.gov/protein/XP_001687980.1","XP_001687980.1")</f>
        <v>XP_001687980.1</v>
      </c>
      <c r="AW39" s="2">
        <v>100</v>
      </c>
      <c r="AX39" s="2">
        <v>100</v>
      </c>
      <c r="AY39" s="2">
        <v>93</v>
      </c>
      <c r="AZ39" s="2" t="s">
        <v>95</v>
      </c>
      <c r="BA39" s="9" t="str">
        <f>HYPERLINK(".\links\REFSEQ-INVERTEBRATE\AGAP007257-PA-REFSEQ-INVERTEBRATE.txt","AGAP007257-PA")</f>
        <v>AGAP007257-PA</v>
      </c>
      <c r="BB39" s="2" t="str">
        <f>HYPERLINK("http://www.ncbi.nlm.nih.gov/sutils/blink.cgi?pid=XP_001687980.1","0.0")</f>
        <v>0.0</v>
      </c>
      <c r="BC39" s="2" t="str">
        <f>HYPERLINK("http://www.ncbi.nlm.nih.gov/protein/XP_001687980.1","XP_001687980.1")</f>
        <v>XP_001687980.1</v>
      </c>
      <c r="BD39" s="2">
        <v>100</v>
      </c>
      <c r="BE39" s="2">
        <v>100</v>
      </c>
      <c r="BF39" s="2">
        <v>93</v>
      </c>
      <c r="BG39" s="2" t="s">
        <v>95</v>
      </c>
      <c r="BH39" s="9" t="str">
        <f>HYPERLINK(".\links\REFSEQ-PROTOZOA\AGAP007257-PA-REFSEQ-PROTOZOA.txt","NOT2/NOT3/NOT5 domain-containing protein, putative, partial")</f>
        <v>NOT2/NOT3/NOT5 domain-containing protein, putative, partial</v>
      </c>
      <c r="BI39" s="2" t="str">
        <f>HYPERLINK("http://www.ncbi.nlm.nih.gov/sutils/blink.cgi?pid=XP_013338309.1","4E-018")</f>
        <v>4E-018</v>
      </c>
      <c r="BJ39" s="2" t="str">
        <f>HYPERLINK("http://www.ncbi.nlm.nih.gov/protein/XP_013338309.1","XP_013338309.1")</f>
        <v>XP_013338309.1</v>
      </c>
      <c r="BK39" s="2">
        <v>24</v>
      </c>
      <c r="BL39" s="2">
        <v>41</v>
      </c>
      <c r="BM39" s="2">
        <v>51</v>
      </c>
      <c r="BN39" s="2" t="s">
        <v>1838</v>
      </c>
      <c r="BO39" s="9" t="str">
        <f>HYPERLINK(".\links\SWISSP\AGAP007257-PA-SWISSP.txt","Putative uncharacterized protein DDB_G0281251")</f>
        <v>Putative uncharacterized protein DDB_G0281251</v>
      </c>
      <c r="BP39" s="2" t="str">
        <f>HYPERLINK("http://www.uniprot.org/uniprot/Q54U64","5E-014")</f>
        <v>5E-014</v>
      </c>
      <c r="BQ39" s="2" t="str">
        <f>HYPERLINK("http://www.uniprot.org/uniprot/Q54U64#expression","Q54U64")</f>
        <v>Q54U64</v>
      </c>
      <c r="BR39" s="2">
        <v>26</v>
      </c>
      <c r="BS39" s="2">
        <v>41</v>
      </c>
      <c r="BT39" s="2">
        <v>25</v>
      </c>
      <c r="BU39" s="2" t="s">
        <v>636</v>
      </c>
      <c r="BV39" s="9"/>
      <c r="CB39" s="9" t="str">
        <f>HYPERLINK(".\links\CDD\AGAP007257-PA-CDD.txt","THAP, The THAP domain is a putative DNA-binding domain (DBD) and probably also binds a zinc ion")</f>
        <v>THAP, The THAP domain is a putative DNA-binding domain (DBD) and probably also binds a zinc ion</v>
      </c>
      <c r="CC39" s="13">
        <v>4.0000000000000003E-18</v>
      </c>
      <c r="CD39" s="2">
        <v>115</v>
      </c>
      <c r="CE39" s="2" t="s">
        <v>1839</v>
      </c>
      <c r="CF39" s="2" t="s">
        <v>1840</v>
      </c>
      <c r="CG39" s="9" t="str">
        <f>HYPERLINK(".\links\KOG\AGAP007257-PA-KOG.txt","ATP-dependent RNA helicase")</f>
        <v>ATP-dependent RNA helicase</v>
      </c>
      <c r="CH39" s="13">
        <v>1E-4</v>
      </c>
      <c r="CI39" s="2">
        <v>16.3</v>
      </c>
      <c r="CJ39" s="2" t="s">
        <v>1841</v>
      </c>
      <c r="CK39" s="2" t="s">
        <v>692</v>
      </c>
      <c r="CL39" s="9" t="str">
        <f>HYPERLINK(".\links\PFAM\AGAP007257-PA-PFAM.txt","THAP, THAP domain")</f>
        <v>THAP, THAP domain</v>
      </c>
      <c r="CM39" s="13">
        <v>4.0000000000000003E-18</v>
      </c>
      <c r="CN39" s="2">
        <v>116.7</v>
      </c>
      <c r="CO39" s="2" t="s">
        <v>1842</v>
      </c>
      <c r="CP39" s="9" t="str">
        <f>HYPERLINK(".\links\SMART\AGAP007257-PA-SMART.txt","THAP, The THAP domain is a putative DNA-binding domain (DBD) and probably also binds a zinc ion")</f>
        <v>THAP, The THAP domain is a putative DNA-binding domain (DBD) and probably also binds a zinc ion</v>
      </c>
      <c r="CQ39" s="13">
        <v>3.9999999999999998E-20</v>
      </c>
      <c r="CR39" s="2">
        <v>115</v>
      </c>
      <c r="CS39" s="2" t="s">
        <v>1839</v>
      </c>
      <c r="CT39" s="2" t="s">
        <v>1836</v>
      </c>
      <c r="CU39" s="2" t="s">
        <v>1836</v>
      </c>
      <c r="CV39" s="2" t="s">
        <v>1836</v>
      </c>
      <c r="CW39" s="2" t="str">
        <f>HYPERLINK(".\links\pep\AGAP007257-PA-pep.txt","AGAP007257-PA")</f>
        <v>AGAP007257-PA</v>
      </c>
      <c r="CX39" s="2" t="s">
        <v>88</v>
      </c>
      <c r="CY39" s="2">
        <v>493</v>
      </c>
      <c r="CZ39" s="2" t="s">
        <v>103</v>
      </c>
      <c r="DA39" s="2" t="s">
        <v>1843</v>
      </c>
      <c r="DB39" s="2">
        <v>0</v>
      </c>
      <c r="DC39" s="2">
        <v>0</v>
      </c>
      <c r="DD39" s="2" t="str">
        <f>HYPERLINK("https://www.kegg.jp/kegg-bin/search_pathway_text?map=aga&amp;keyword=AGAP007257&amp;mode=1&amp;viewImage=true","AGAP007257")</f>
        <v>AGAP007257</v>
      </c>
      <c r="DE39" s="2" t="s">
        <v>1834</v>
      </c>
      <c r="DF39" s="2" t="s">
        <v>86</v>
      </c>
      <c r="DG39" s="2" t="s">
        <v>87</v>
      </c>
      <c r="DH39" s="2" t="str">
        <f>HYPERLINK("https://vectorbase.org/vectorbase/app/record/gene/AGAP007257","AGAP007257-RA")</f>
        <v>AGAP007257-RA</v>
      </c>
      <c r="DI39" s="2" t="s">
        <v>158</v>
      </c>
      <c r="DJ39" s="2">
        <v>3483</v>
      </c>
      <c r="DK39" s="2" t="str">
        <f>HYPERLINK(".\links\netoglyc\AGAP007257-PA-netoglyc.txt","15")</f>
        <v>15</v>
      </c>
      <c r="DL39" s="2">
        <v>16.2</v>
      </c>
      <c r="DM39" s="2">
        <v>8.6999999999999993</v>
      </c>
      <c r="DN39" s="2">
        <v>4.3</v>
      </c>
      <c r="DO39" s="2" t="s">
        <v>94</v>
      </c>
      <c r="DP39" s="2" t="s">
        <v>89</v>
      </c>
      <c r="DQ39" s="2" t="str">
        <f>HYPERLINK(".\links\Sigp\AGAP007257-PA-SigP.txt","CYT")</f>
        <v>CYT</v>
      </c>
      <c r="DR39" s="2" t="s">
        <v>89</v>
      </c>
      <c r="DS39" s="2">
        <v>52.575000000000003</v>
      </c>
      <c r="DT39" s="2">
        <v>9.2899999999999991</v>
      </c>
      <c r="DU39" s="2" t="s">
        <v>89</v>
      </c>
      <c r="DV39" s="2" t="s">
        <v>89</v>
      </c>
      <c r="DW39" s="2" t="s">
        <v>167</v>
      </c>
      <c r="DX39" s="2">
        <v>493</v>
      </c>
      <c r="DY39" s="12">
        <v>0</v>
      </c>
      <c r="DZ39" s="2" t="s">
        <v>89</v>
      </c>
      <c r="EA39" s="2" t="s">
        <v>89</v>
      </c>
      <c r="EB39" s="2" t="s">
        <v>89</v>
      </c>
      <c r="EC39" s="2" t="str">
        <f>HYPERLINK(".\links\gpi\AGAP007257-PA-gpi.txt","N")</f>
        <v>N</v>
      </c>
      <c r="ED39" s="2">
        <v>0.33</v>
      </c>
      <c r="EF39" s="2">
        <v>6</v>
      </c>
      <c r="EG39" s="2" t="str">
        <f>HYPERLINK(".\links\pep\AGAP007257-PA-sulf.txt","1")</f>
        <v>1</v>
      </c>
      <c r="EH39" s="2" t="s">
        <v>89</v>
      </c>
      <c r="EI39" s="2">
        <v>16.2271805273834</v>
      </c>
      <c r="EJ39" s="2">
        <v>4.2596348884381303</v>
      </c>
      <c r="EK39" s="2">
        <v>8.7221095334685597</v>
      </c>
      <c r="EL39" s="2">
        <v>12.981744421906701</v>
      </c>
      <c r="EM39" s="2" t="s">
        <v>89</v>
      </c>
      <c r="EN39" s="2">
        <v>1</v>
      </c>
      <c r="EO39" s="2">
        <v>1</v>
      </c>
      <c r="EP39" s="2" t="s">
        <v>89</v>
      </c>
      <c r="EQ39" s="2" t="s">
        <v>89</v>
      </c>
      <c r="ER39" s="2" t="s">
        <v>89</v>
      </c>
      <c r="ES39" s="2" t="s">
        <v>89</v>
      </c>
      <c r="ET39" s="2" t="str">
        <f>HYPERLINK(".\links\REFSEQ-INVERTEBRATE\AGAP007257-PA-REFSEQ-INVERTEBRATE.txt","AGAP007257-PA")</f>
        <v>AGAP007257-PA</v>
      </c>
      <c r="EU39" s="2" t="str">
        <f>HYPERLINK("http://www.ncbi.nlm.nih.gov/sutils/blink.cgi?pid=XP_001687980.1","0.0")</f>
        <v>0.0</v>
      </c>
      <c r="EV39" s="2" t="str">
        <f>HYPERLINK("http://www.ncbi.nlm.nih.gov/protein/XP_001687980.1","XP_001687980.1")</f>
        <v>XP_001687980.1</v>
      </c>
      <c r="EW39" s="2">
        <v>100</v>
      </c>
      <c r="EX39" s="2">
        <v>100</v>
      </c>
      <c r="EY39" s="2">
        <v>93</v>
      </c>
      <c r="EZ39" s="2" t="s">
        <v>95</v>
      </c>
    </row>
    <row r="40" spans="1:156" x14ac:dyDescent="0.25">
      <c r="A40" s="2" t="s">
        <v>2688</v>
      </c>
      <c r="B40" s="2">
        <v>0.82619101628454505</v>
      </c>
      <c r="C40" s="2">
        <f t="shared" si="0"/>
        <v>1.7729981320559784</v>
      </c>
      <c r="D40" s="2">
        <v>4.6040634733139001</v>
      </c>
      <c r="E40" s="2">
        <v>14.723763996552201</v>
      </c>
      <c r="F40" s="2">
        <v>1.2446755318297901E-4</v>
      </c>
      <c r="G40" s="2">
        <v>1.0312501585586499E-2</v>
      </c>
      <c r="H40" s="2" t="s">
        <v>86</v>
      </c>
      <c r="I40" s="2" t="s">
        <v>87</v>
      </c>
      <c r="J40" s="2" t="str">
        <f>HYPERLINK("https://vectorbase.org/vectorbase/app/record/gene/AGAP011293","AGAP011293-RA")</f>
        <v>AGAP011293-RA</v>
      </c>
      <c r="K40" s="2" t="str">
        <f>HYPERLINK(".\links\pep\AGAP011293-PA-pep.txt","AGAP011293-PA")</f>
        <v>AGAP011293-PA</v>
      </c>
      <c r="L40" s="12" t="s">
        <v>88</v>
      </c>
      <c r="M40" s="2">
        <v>552</v>
      </c>
      <c r="N40" s="2">
        <v>0</v>
      </c>
      <c r="O40" s="2">
        <v>3</v>
      </c>
      <c r="P40" s="2" t="s">
        <v>89</v>
      </c>
      <c r="Q40" s="9" t="s">
        <v>2689</v>
      </c>
      <c r="R40" s="2" t="s">
        <v>148</v>
      </c>
      <c r="S40" s="2" t="str">
        <f>HYPERLINK(".\links\KOG\AGAP011293-PA-KOG.txt","KOG")</f>
        <v>KOG</v>
      </c>
      <c r="T40" s="2">
        <v>4E-51</v>
      </c>
      <c r="U40" s="2">
        <v>57</v>
      </c>
      <c r="V40" s="2" t="s">
        <v>2690</v>
      </c>
      <c r="W40" s="10" t="s">
        <v>2691</v>
      </c>
      <c r="X40" s="2" t="s">
        <v>148</v>
      </c>
      <c r="Y40" s="2" t="str">
        <f>HYPERLINK(".\links\PFAM\AGAP011293-PA-PFAM.txt","PFAM")</f>
        <v>PFAM</v>
      </c>
      <c r="Z40" s="13">
        <v>7E-94</v>
      </c>
      <c r="AA40" s="2">
        <v>96.5</v>
      </c>
      <c r="AB40" s="14" t="str">
        <f>HYPERLINK(".\links\pep\AGAP011293-PA-sulf.txt","1")</f>
        <v>1</v>
      </c>
      <c r="AC40" s="14" t="str">
        <f>HYPERLINK(".\links\Sigp\AGAP011293-PA-SigP.txt","CYT")</f>
        <v>CYT</v>
      </c>
      <c r="AD40" s="2" t="s">
        <v>89</v>
      </c>
      <c r="AE40" s="2">
        <v>61.177999999999997</v>
      </c>
      <c r="AF40" s="2">
        <v>5.41</v>
      </c>
      <c r="AG40" s="2" t="s">
        <v>89</v>
      </c>
      <c r="AH40" s="2" t="s">
        <v>89</v>
      </c>
      <c r="AI40" s="2" t="s">
        <v>2692</v>
      </c>
      <c r="AJ40" s="14">
        <v>0</v>
      </c>
      <c r="AK40" s="2" t="s">
        <v>89</v>
      </c>
      <c r="AL40" s="2" t="s">
        <v>89</v>
      </c>
      <c r="AM40" s="2" t="s">
        <v>89</v>
      </c>
      <c r="AN40" s="14" t="str">
        <f>HYPERLINK(".\links\gpi\AGAP011293-PA-gpi.txt","N")</f>
        <v>N</v>
      </c>
      <c r="AO40" s="15" t="str">
        <f>HYPERLINK(".\links\netoglyc\AGAP011293-PA-netoglyc.txt","4")</f>
        <v>4</v>
      </c>
      <c r="AP40" s="14">
        <v>15.4</v>
      </c>
      <c r="AQ40" s="2">
        <v>4.3</v>
      </c>
      <c r="AR40" s="2">
        <v>4.5</v>
      </c>
      <c r="AS40" s="2" t="s">
        <v>94</v>
      </c>
      <c r="AT40" s="9" t="str">
        <f>HYPERLINK(".\links\NR-LIGHT\AGAP011293-PA-NR-LIGHT.txt","AGAP011293-PA")</f>
        <v>AGAP011293-PA</v>
      </c>
      <c r="AU40" s="2" t="str">
        <f>HYPERLINK("http://www.ncbi.nlm.nih.gov/sutils/blink.cgi?pid=XP_309354.4","0.0")</f>
        <v>0.0</v>
      </c>
      <c r="AV40" s="2" t="str">
        <f>HYPERLINK("http://www.ncbi.nlm.nih.gov/protein/XP_309354.4","XP_309354.4")</f>
        <v>XP_309354.4</v>
      </c>
      <c r="AW40" s="2">
        <v>93</v>
      </c>
      <c r="AX40" s="2">
        <v>93</v>
      </c>
      <c r="AY40" s="2">
        <v>107</v>
      </c>
      <c r="AZ40" s="2" t="s">
        <v>95</v>
      </c>
      <c r="BA40" s="9" t="str">
        <f>HYPERLINK(".\links\REFSEQ-INVERTEBRATE\AGAP011293-PA-REFSEQ-INVERTEBRATE.txt","AGAP011293-PA")</f>
        <v>AGAP011293-PA</v>
      </c>
      <c r="BB40" s="2" t="str">
        <f>HYPERLINK("http://www.ncbi.nlm.nih.gov/sutils/blink.cgi?pid=XP_309354.4","0.0")</f>
        <v>0.0</v>
      </c>
      <c r="BC40" s="2" t="str">
        <f>HYPERLINK("http://www.ncbi.nlm.nih.gov/protein/XP_309354.4","XP_309354.4")</f>
        <v>XP_309354.4</v>
      </c>
      <c r="BD40" s="2">
        <v>93</v>
      </c>
      <c r="BE40" s="2">
        <v>93</v>
      </c>
      <c r="BF40" s="2">
        <v>107</v>
      </c>
      <c r="BG40" s="2" t="s">
        <v>95</v>
      </c>
      <c r="BH40" s="9" t="str">
        <f>HYPERLINK(".\links\REFSEQ-PROTOZOA\AGAP011293-PA-REFSEQ-PROTOZOA.txt","hypothetical protein")</f>
        <v>hypothetical protein</v>
      </c>
      <c r="BI40" s="2" t="str">
        <f>HYPERLINK("http://www.ncbi.nlm.nih.gov/sutils/blink.cgi?pid=XP_001746898.1","1E-034")</f>
        <v>1E-034</v>
      </c>
      <c r="BJ40" s="2" t="str">
        <f>HYPERLINK("http://www.ncbi.nlm.nih.gov/protein/XP_001746898.1","XP_001746898.1")</f>
        <v>XP_001746898.1</v>
      </c>
      <c r="BK40" s="2">
        <v>29</v>
      </c>
      <c r="BL40" s="2">
        <v>47</v>
      </c>
      <c r="BM40" s="2">
        <v>63</v>
      </c>
      <c r="BN40" s="2" t="s">
        <v>389</v>
      </c>
      <c r="BO40" s="9" t="str">
        <f>HYPERLINK(".\links\SWISSP\AGAP011293-PA-SWISSP.txt","SH3 domain-binding protein 5 homolog")</f>
        <v>SH3 domain-binding protein 5 homolog</v>
      </c>
      <c r="BP40" s="2" t="str">
        <f>HYPERLINK("http://www.uniprot.org/uniprot/Q9V785","1E-134")</f>
        <v>1E-134</v>
      </c>
      <c r="BQ40" s="2" t="str">
        <f>HYPERLINK("http://www.uniprot.org/uniprot/Q9V785#expression","Q9V785")</f>
        <v>Q9V785</v>
      </c>
      <c r="BR40" s="2">
        <v>54</v>
      </c>
      <c r="BS40" s="2">
        <v>65</v>
      </c>
      <c r="BT40" s="2">
        <v>108</v>
      </c>
      <c r="BU40" s="2" t="s">
        <v>151</v>
      </c>
      <c r="BV40" s="9" t="str">
        <f>HYPERLINK(".\links\FLYBASE\AGAP011293-PA-FLYBASE.txt","FBpp0290722")</f>
        <v>FBpp0290722</v>
      </c>
      <c r="BW40" s="2" t="str">
        <f>HYPERLINK("http://flybase.org/reports/FBgn0033988#alliance_summary_container","1E-172")</f>
        <v>1E-172</v>
      </c>
      <c r="BX40" s="2">
        <v>477</v>
      </c>
      <c r="BY40" s="2">
        <v>54</v>
      </c>
      <c r="BZ40" s="2">
        <v>65</v>
      </c>
      <c r="CA40" s="2">
        <v>108</v>
      </c>
      <c r="CB40" s="9" t="str">
        <f>HYPERLINK(".\links\CDD\AGAP011293-PA-CDD.txt","SH3BP5, SH3 domain-binding protein 5 (SH3BP5)")</f>
        <v>SH3BP5, SH3 domain-binding protein 5 (SH3BP5)</v>
      </c>
      <c r="CC40" s="13">
        <v>7.9999999999999999E-95</v>
      </c>
      <c r="CD40" s="2">
        <v>100.4</v>
      </c>
      <c r="CE40" s="2" t="s">
        <v>2693</v>
      </c>
      <c r="CF40" s="2" t="s">
        <v>2694</v>
      </c>
      <c r="CG40" s="9" t="str">
        <f>HYPERLINK(".\links\KOG\AGAP011293-PA-KOG.txt","BTK-associated SH3-domain binding protein SAB")</f>
        <v>BTK-associated SH3-domain binding protein SAB</v>
      </c>
      <c r="CH40" s="13">
        <v>4E-51</v>
      </c>
      <c r="CI40" s="2">
        <v>57</v>
      </c>
      <c r="CJ40" s="2" t="s">
        <v>2695</v>
      </c>
      <c r="CK40" s="2" t="s">
        <v>410</v>
      </c>
      <c r="CL40" s="9" t="str">
        <f>HYPERLINK(".\links\PFAM\AGAP011293-PA-PFAM.txt","SH3BP5, SH3 domain-binding protein 5 (SH3BP5)")</f>
        <v>SH3BP5, SH3 domain-binding protein 5 (SH3BP5)</v>
      </c>
      <c r="CM40" s="13">
        <v>2E-95</v>
      </c>
      <c r="CN40" s="2">
        <v>100.4</v>
      </c>
      <c r="CO40" s="2" t="s">
        <v>2693</v>
      </c>
      <c r="CP40" s="9" t="str">
        <f>HYPERLINK(".\links\SMART\AGAP011293-PA-SMART.txt","TOPEUc, DNA Topoisomerase I (eukaryota)")</f>
        <v>TOPEUc, DNA Topoisomerase I (eukaryota)</v>
      </c>
      <c r="CQ40" s="13">
        <v>2.9999999999999997E-4</v>
      </c>
      <c r="CR40" s="2">
        <v>30.9</v>
      </c>
      <c r="CS40" s="2" t="s">
        <v>425</v>
      </c>
      <c r="CT40" s="2" t="s">
        <v>2690</v>
      </c>
      <c r="CU40" s="2" t="s">
        <v>2690</v>
      </c>
      <c r="CV40" s="2" t="s">
        <v>2690</v>
      </c>
      <c r="CW40" s="2" t="str">
        <f>HYPERLINK(".\links\pep\AGAP011293-PA-pep.txt","AGAP011293-PA")</f>
        <v>AGAP011293-PA</v>
      </c>
      <c r="CX40" s="2" t="s">
        <v>88</v>
      </c>
      <c r="CY40" s="2">
        <v>552</v>
      </c>
      <c r="CZ40" s="2" t="s">
        <v>103</v>
      </c>
      <c r="DA40" s="2" t="s">
        <v>2696</v>
      </c>
      <c r="DB40" s="2">
        <v>0</v>
      </c>
      <c r="DC40" s="2">
        <v>3</v>
      </c>
      <c r="DD40" s="2" t="str">
        <f>HYPERLINK("https://www.kegg.jp/kegg-bin/search_pathway_text?map=aga&amp;keyword=AGAP011293&amp;mode=1&amp;viewImage=true","AGAP011293")</f>
        <v>AGAP011293</v>
      </c>
      <c r="DE40" s="2" t="s">
        <v>2688</v>
      </c>
      <c r="DF40" s="2" t="s">
        <v>86</v>
      </c>
      <c r="DG40" s="2" t="s">
        <v>87</v>
      </c>
      <c r="DH40" s="2" t="str">
        <f>HYPERLINK("https://vectorbase.org/vectorbase/app/record/gene/AGAP011293","AGAP011293-RA")</f>
        <v>AGAP011293-RA</v>
      </c>
      <c r="DI40" s="2" t="s">
        <v>158</v>
      </c>
      <c r="DJ40" s="2">
        <v>4205</v>
      </c>
      <c r="DK40" s="2" t="str">
        <f>HYPERLINK(".\links\netoglyc\AGAP011293-PA-netoglyc.txt","4")</f>
        <v>4</v>
      </c>
      <c r="DL40" s="2">
        <v>15.4</v>
      </c>
      <c r="DM40" s="2">
        <v>4.3</v>
      </c>
      <c r="DN40" s="2">
        <v>4.5</v>
      </c>
      <c r="DO40" s="2" t="s">
        <v>94</v>
      </c>
      <c r="DP40" s="2" t="s">
        <v>2697</v>
      </c>
      <c r="DQ40" s="2" t="str">
        <f>HYPERLINK(".\links\Sigp\AGAP011293-PA-SigP.txt","CYT")</f>
        <v>CYT</v>
      </c>
      <c r="DR40" s="2" t="s">
        <v>89</v>
      </c>
      <c r="DS40" s="2">
        <v>61.177999999999997</v>
      </c>
      <c r="DT40" s="2">
        <v>5.41</v>
      </c>
      <c r="DU40" s="2" t="s">
        <v>89</v>
      </c>
      <c r="DV40" s="2" t="s">
        <v>89</v>
      </c>
      <c r="DW40" s="2" t="s">
        <v>2692</v>
      </c>
      <c r="DX40" s="2">
        <v>552</v>
      </c>
      <c r="DY40" s="12">
        <v>0</v>
      </c>
      <c r="DZ40" s="2" t="s">
        <v>89</v>
      </c>
      <c r="EA40" s="2" t="s">
        <v>89</v>
      </c>
      <c r="EB40" s="2" t="s">
        <v>89</v>
      </c>
      <c r="EC40" s="2" t="str">
        <f>HYPERLINK(".\links\gpi\AGAP011293-PA-gpi.txt","Y-NoSP")</f>
        <v>Y-NoSP</v>
      </c>
      <c r="ED40" s="2">
        <v>0.25</v>
      </c>
      <c r="EF40" s="2">
        <v>7</v>
      </c>
      <c r="EG40" s="2" t="str">
        <f>HYPERLINK(".\links\pep\AGAP011293-PA-sulf.txt","1")</f>
        <v>1</v>
      </c>
      <c r="EH40" s="2" t="s">
        <v>89</v>
      </c>
      <c r="EI40" s="2">
        <v>15.398550724637699</v>
      </c>
      <c r="EJ40" s="2">
        <v>4.5289855072463796</v>
      </c>
      <c r="EK40" s="2">
        <v>4.3478260869565197</v>
      </c>
      <c r="EL40" s="2">
        <v>8.8768115942029002</v>
      </c>
      <c r="EM40" s="2">
        <v>1</v>
      </c>
      <c r="EN40" s="2">
        <v>1</v>
      </c>
      <c r="EO40" s="2">
        <v>5</v>
      </c>
      <c r="EP40" s="2" t="s">
        <v>89</v>
      </c>
      <c r="EQ40" s="2" t="s">
        <v>89</v>
      </c>
      <c r="ER40" s="2" t="s">
        <v>89</v>
      </c>
      <c r="ES40" s="2" t="s">
        <v>89</v>
      </c>
      <c r="ET40" s="2" t="str">
        <f>HYPERLINK(".\links\REFSEQ-INVERTEBRATE\AGAP011293-PA-REFSEQ-INVERTEBRATE.txt","AGAP011293-PA")</f>
        <v>AGAP011293-PA</v>
      </c>
      <c r="EU40" s="2" t="str">
        <f>HYPERLINK("http://www.ncbi.nlm.nih.gov/sutils/blink.cgi?pid=XP_309354.4","0.0")</f>
        <v>0.0</v>
      </c>
      <c r="EV40" s="2" t="str">
        <f>HYPERLINK("http://www.ncbi.nlm.nih.gov/protein/XP_309354.4","XP_309354.4")</f>
        <v>XP_309354.4</v>
      </c>
      <c r="EW40" s="2">
        <v>93</v>
      </c>
      <c r="EX40" s="2">
        <v>93</v>
      </c>
      <c r="EY40" s="2">
        <v>107</v>
      </c>
      <c r="EZ40" s="2" t="s">
        <v>95</v>
      </c>
    </row>
    <row r="41" spans="1:156" x14ac:dyDescent="0.25">
      <c r="A41" s="2" t="s">
        <v>1424</v>
      </c>
      <c r="B41" s="2">
        <v>0.81715829158240405</v>
      </c>
      <c r="C41" s="2">
        <f t="shared" si="0"/>
        <v>1.7619320557136304</v>
      </c>
      <c r="D41" s="2">
        <v>5.8737395616466204</v>
      </c>
      <c r="E41" s="2">
        <v>17.427908127535201</v>
      </c>
      <c r="F41" s="2">
        <v>2.9841226277602901E-5</v>
      </c>
      <c r="G41" s="2">
        <v>3.8746284899712001E-3</v>
      </c>
      <c r="H41" s="2" t="s">
        <v>86</v>
      </c>
      <c r="I41" s="2" t="s">
        <v>87</v>
      </c>
      <c r="J41" s="2" t="str">
        <f>HYPERLINK("https://vectorbase.org/vectorbase/app/record/gene/AGAP005030","AGAP005030-RA")</f>
        <v>AGAP005030-RA</v>
      </c>
      <c r="K41" s="2" t="str">
        <f>HYPERLINK(".\links\pep\AGAP005030-PA-pep.txt","AGAP005030-PA")</f>
        <v>AGAP005030-PA</v>
      </c>
      <c r="L41" s="12" t="s">
        <v>88</v>
      </c>
      <c r="M41" s="2">
        <v>2457</v>
      </c>
      <c r="N41" s="2">
        <v>0</v>
      </c>
      <c r="O41" s="2">
        <v>4</v>
      </c>
      <c r="P41" s="2" t="s">
        <v>89</v>
      </c>
      <c r="Q41" s="9" t="s">
        <v>1425</v>
      </c>
      <c r="R41" s="2" t="s">
        <v>902</v>
      </c>
      <c r="S41" s="2" t="str">
        <f>HYPERLINK(".\links\NR-LIGHT\AGAP005030-PA-NR-LIGHT.txt","NR-LIGHT")</f>
        <v>NR-LIGHT</v>
      </c>
      <c r="T41" s="2">
        <v>0</v>
      </c>
      <c r="U41" s="2">
        <v>101.8</v>
      </c>
      <c r="V41" s="2" t="s">
        <v>1426</v>
      </c>
      <c r="W41" s="10" t="s">
        <v>1427</v>
      </c>
      <c r="X41" s="2" t="s">
        <v>91</v>
      </c>
      <c r="Y41" s="2" t="str">
        <f>HYPERLINK(".\links\FLYBASE\AGAP005030-PA-FLYBASE.txt","FLYBASE")</f>
        <v>FLYBASE</v>
      </c>
      <c r="Z41" s="2">
        <v>0</v>
      </c>
      <c r="AA41" s="2">
        <v>20.9</v>
      </c>
      <c r="AB41" s="14" t="s">
        <v>89</v>
      </c>
      <c r="AC41" s="14" t="str">
        <f>HYPERLINK(".\links\Sigp\AGAP005030-PA-SigP.txt","CYT")</f>
        <v>CYT</v>
      </c>
      <c r="AD41" s="2" t="s">
        <v>89</v>
      </c>
      <c r="AE41" s="2">
        <v>243.73699999999999</v>
      </c>
      <c r="AF41" s="2">
        <v>8.69</v>
      </c>
      <c r="AG41" s="2" t="s">
        <v>89</v>
      </c>
      <c r="AH41" s="2" t="s">
        <v>89</v>
      </c>
      <c r="AI41" s="2" t="s">
        <v>1428</v>
      </c>
      <c r="AJ41" s="14">
        <v>0</v>
      </c>
      <c r="AK41" s="2" t="s">
        <v>89</v>
      </c>
      <c r="AL41" s="2" t="s">
        <v>89</v>
      </c>
      <c r="AM41" s="2" t="s">
        <v>89</v>
      </c>
      <c r="AN41" s="14" t="str">
        <f>HYPERLINK(".\links\gpi\AGAP005030-PA-gpi.txt","N")</f>
        <v>N</v>
      </c>
      <c r="AO41" s="15" t="str">
        <f>HYPERLINK(".\links\netoglyc\AGAP005030-PA-netoglyc.txt","33")</f>
        <v>33</v>
      </c>
      <c r="AP41" s="14">
        <v>25.8</v>
      </c>
      <c r="AQ41" s="2">
        <v>14.5</v>
      </c>
      <c r="AR41" s="2">
        <v>7.9</v>
      </c>
      <c r="AS41" s="2" t="s">
        <v>94</v>
      </c>
      <c r="AT41" s="9" t="str">
        <f>HYPERLINK(".\links\NR-LIGHT\AGAP005030-PA-NR-LIGHT.txt","AGAP005030-PA")</f>
        <v>AGAP005030-PA</v>
      </c>
      <c r="AU41" s="2" t="str">
        <f>HYPERLINK("http://www.ncbi.nlm.nih.gov/sutils/blink.cgi?pid=XP_001230952.2","0.0")</f>
        <v>0.0</v>
      </c>
      <c r="AV41" s="2" t="str">
        <f>HYPERLINK("http://www.ncbi.nlm.nih.gov/protein/XP_001230952.2","XP_001230952.2")</f>
        <v>XP_001230952.2</v>
      </c>
      <c r="AW41" s="2">
        <v>97</v>
      </c>
      <c r="AX41" s="2">
        <v>97</v>
      </c>
      <c r="AY41" s="2">
        <v>102</v>
      </c>
      <c r="AZ41" s="2" t="s">
        <v>95</v>
      </c>
      <c r="BA41" s="9" t="str">
        <f>HYPERLINK(".\links\REFSEQ-INVERTEBRATE\AGAP005030-PA-REFSEQ-INVERTEBRATE.txt","AGAP005030-PA")</f>
        <v>AGAP005030-PA</v>
      </c>
      <c r="BB41" s="2" t="str">
        <f>HYPERLINK("http://www.ncbi.nlm.nih.gov/sutils/blink.cgi?pid=XP_001230952.2","0.0")</f>
        <v>0.0</v>
      </c>
      <c r="BC41" s="2" t="str">
        <f>HYPERLINK("http://www.ncbi.nlm.nih.gov/protein/XP_001230952.2","XP_001230952.2")</f>
        <v>XP_001230952.2</v>
      </c>
      <c r="BD41" s="2">
        <v>97</v>
      </c>
      <c r="BE41" s="2">
        <v>97</v>
      </c>
      <c r="BF41" s="2">
        <v>102</v>
      </c>
      <c r="BG41" s="2" t="s">
        <v>95</v>
      </c>
      <c r="BH41" s="9" t="str">
        <f>HYPERLINK(".\links\REFSEQ-PROTOZOA\AGAP005030-PA-REFSEQ-PROTOZOA.txt","proteophosphoglycan 5")</f>
        <v>proteophosphoglycan 5</v>
      </c>
      <c r="BI41" s="2" t="str">
        <f>HYPERLINK("http://www.ncbi.nlm.nih.gov/sutils/blink.cgi?pid=XP_003722449.1","1E-111")</f>
        <v>1E-111</v>
      </c>
      <c r="BJ41" s="2" t="str">
        <f>HYPERLINK("http://www.ncbi.nlm.nih.gov/protein/XP_003722449.1","XP_003722449.1")</f>
        <v>XP_003722449.1</v>
      </c>
      <c r="BK41" s="2">
        <v>21</v>
      </c>
      <c r="BL41" s="2">
        <v>37</v>
      </c>
      <c r="BM41" s="2">
        <v>14</v>
      </c>
      <c r="BN41" s="2" t="s">
        <v>1429</v>
      </c>
      <c r="BO41" s="9" t="str">
        <f>HYPERLINK(".\links\SWISSP\AGAP005030-PA-SWISSP.txt","Mucin-19")</f>
        <v>Mucin-19</v>
      </c>
      <c r="BP41" s="2" t="str">
        <f>HYPERLINK("http://www.uniprot.org/uniprot/Q6PZE0","2E-072")</f>
        <v>2E-072</v>
      </c>
      <c r="BQ41" s="2" t="str">
        <f>HYPERLINK("http://www.uniprot.org/uniprot/Q6PZE0#expression","Q6PZE0")</f>
        <v>Q6PZE0</v>
      </c>
      <c r="BR41" s="2">
        <v>20</v>
      </c>
      <c r="BS41" s="2">
        <v>33</v>
      </c>
      <c r="BT41" s="2">
        <v>34</v>
      </c>
      <c r="BU41" s="2" t="s">
        <v>566</v>
      </c>
      <c r="BV41" s="9" t="str">
        <f>HYPERLINK(".\links\FLYBASE\AGAP005030-PA-FLYBASE.txt","FBpp0290765")</f>
        <v>FBpp0290765</v>
      </c>
      <c r="BW41" s="2" t="str">
        <f>HYPERLINK("http://flybase.org/reports/FBgn0285917#alliance_summary_container","1E-113")</f>
        <v>1E-113</v>
      </c>
      <c r="BX41" s="2">
        <v>2312</v>
      </c>
      <c r="BY41" s="2">
        <v>51</v>
      </c>
      <c r="BZ41" s="2">
        <v>60</v>
      </c>
      <c r="CA41" s="2">
        <v>21</v>
      </c>
      <c r="CB41" s="9" t="str">
        <f>HYPERLINK(".\links\CDD\AGAP005030-PA-CDD.txt","PHA03247, large tegument protein UL36")</f>
        <v>PHA03247, large tegument protein UL36</v>
      </c>
      <c r="CC41" s="13">
        <v>4.0000000000000001E-10</v>
      </c>
      <c r="CD41" s="2">
        <v>8.3000000000000007</v>
      </c>
      <c r="CE41" s="2" t="s">
        <v>1430</v>
      </c>
      <c r="CF41" s="2" t="s">
        <v>1431</v>
      </c>
      <c r="CG41" s="9" t="str">
        <f>HYPERLINK(".\links\KOG\AGAP005030-PA-KOG.txt","subunit SFB3")</f>
        <v>subunit SFB3</v>
      </c>
      <c r="CH41" s="13">
        <v>3E-11</v>
      </c>
      <c r="CI41" s="2">
        <v>21.7</v>
      </c>
      <c r="CJ41" s="2" t="s">
        <v>1432</v>
      </c>
      <c r="CK41" s="2" t="s">
        <v>278</v>
      </c>
      <c r="CL41" s="9" t="str">
        <f>HYPERLINK(".\links\PFAM\AGAP005030-PA-PFAM.txt","Macoilin, Transmembrane protein")</f>
        <v>Macoilin, Transmembrane protein</v>
      </c>
      <c r="CM41" s="13">
        <v>6.9999999999999998E-9</v>
      </c>
      <c r="CN41" s="2">
        <v>29.1</v>
      </c>
      <c r="CO41" s="2" t="s">
        <v>1433</v>
      </c>
      <c r="CP41" s="9" t="str">
        <f>HYPERLINK(".\links\SMART\AGAP005030-PA-SMART.txt","CPSF73-100_C, This is the C-terminal conserved region of the pre-mRNA 3'-end-processing of the polyadenylation factor CPSF-73/CPSF-100 proteins")</f>
        <v>CPSF73-100_C, This is the C-terminal conserved region of the pre-mRNA 3'-end-processing of the polyadenylation factor CPSF-73/CPSF-100 proteins</v>
      </c>
      <c r="CQ41" s="13">
        <v>0.03</v>
      </c>
      <c r="CR41" s="2">
        <v>17</v>
      </c>
      <c r="CS41" s="2" t="s">
        <v>1434</v>
      </c>
      <c r="CT41" s="2" t="s">
        <v>1426</v>
      </c>
      <c r="CU41" s="2" t="s">
        <v>1426</v>
      </c>
      <c r="CV41" s="2" t="s">
        <v>1426</v>
      </c>
      <c r="CW41" s="2" t="str">
        <f>HYPERLINK(".\links\pep\AGAP005030-PA-pep.txt","AGAP005030-PA")</f>
        <v>AGAP005030-PA</v>
      </c>
      <c r="CX41" s="2" t="s">
        <v>88</v>
      </c>
      <c r="CY41" s="2">
        <v>2457</v>
      </c>
      <c r="CZ41" s="2" t="s">
        <v>103</v>
      </c>
      <c r="DA41" s="2" t="s">
        <v>1435</v>
      </c>
      <c r="DB41" s="2">
        <v>0</v>
      </c>
      <c r="DC41" s="2">
        <v>4</v>
      </c>
      <c r="DD41" s="2" t="str">
        <f>HYPERLINK("https://www.kegg.jp/kegg-bin/search_pathway_text?map=aga&amp;keyword=AGAP005030&amp;mode=1&amp;viewImage=true","AGAP005030")</f>
        <v>AGAP005030</v>
      </c>
      <c r="DE41" s="2" t="s">
        <v>1424</v>
      </c>
      <c r="DF41" s="2" t="s">
        <v>86</v>
      </c>
      <c r="DG41" s="2" t="s">
        <v>87</v>
      </c>
      <c r="DH41" s="2" t="str">
        <f>HYPERLINK("https://vectorbase.org/vectorbase/app/record/gene/AGAP005030","AGAP005030-RA")</f>
        <v>AGAP005030-RA</v>
      </c>
      <c r="DI41" s="2" t="s">
        <v>158</v>
      </c>
      <c r="DJ41" s="2">
        <v>12716</v>
      </c>
      <c r="DK41" s="2" t="str">
        <f>HYPERLINK(".\links\netoglyc\AGAP005030-PA-netoglyc.txt","33")</f>
        <v>33</v>
      </c>
      <c r="DL41" s="2">
        <v>25.8</v>
      </c>
      <c r="DM41" s="2">
        <v>14.5</v>
      </c>
      <c r="DN41" s="2">
        <v>7.9</v>
      </c>
      <c r="DO41" s="2" t="s">
        <v>94</v>
      </c>
      <c r="DP41" s="2" t="s">
        <v>1436</v>
      </c>
      <c r="DQ41" s="2" t="str">
        <f>HYPERLINK(".\links\Sigp\AGAP005030-PA-SigP.txt","CYT")</f>
        <v>CYT</v>
      </c>
      <c r="DR41" s="2" t="s">
        <v>89</v>
      </c>
      <c r="DS41" s="2">
        <v>243.73699999999999</v>
      </c>
      <c r="DT41" s="2">
        <v>8.69</v>
      </c>
      <c r="DU41" s="2" t="s">
        <v>89</v>
      </c>
      <c r="DV41" s="2" t="s">
        <v>89</v>
      </c>
      <c r="DW41" s="2" t="s">
        <v>1428</v>
      </c>
      <c r="DX41" s="2">
        <v>2457</v>
      </c>
      <c r="DY41" s="12">
        <v>0</v>
      </c>
      <c r="DZ41" s="2" t="s">
        <v>89</v>
      </c>
      <c r="EA41" s="2" t="s">
        <v>89</v>
      </c>
      <c r="EB41" s="2" t="s">
        <v>89</v>
      </c>
      <c r="EC41" s="2" t="str">
        <f>HYPERLINK(".\links\gpi\AGAP005030-PA-gpi.txt","N")</f>
        <v>N</v>
      </c>
      <c r="ED41" s="2">
        <v>0.51</v>
      </c>
      <c r="EF41" s="2">
        <v>19</v>
      </c>
      <c r="EG41" s="2" t="s">
        <v>89</v>
      </c>
      <c r="EH41" s="2" t="s">
        <v>89</v>
      </c>
      <c r="EI41" s="2">
        <v>25.803825803825799</v>
      </c>
      <c r="EJ41" s="2">
        <v>7.9365079365079403</v>
      </c>
      <c r="EK41" s="2">
        <v>14.5299145299145</v>
      </c>
      <c r="EL41" s="2">
        <v>22.4664224664225</v>
      </c>
      <c r="EM41" s="2">
        <v>9</v>
      </c>
      <c r="EN41" s="2">
        <v>12</v>
      </c>
      <c r="EO41" s="2">
        <v>14</v>
      </c>
      <c r="EP41" s="2" t="s">
        <v>89</v>
      </c>
      <c r="EQ41" s="2" t="s">
        <v>89</v>
      </c>
      <c r="ER41" s="2" t="s">
        <v>89</v>
      </c>
      <c r="ES41" s="2" t="s">
        <v>89</v>
      </c>
      <c r="ET41" s="2" t="str">
        <f>HYPERLINK(".\links\REFSEQ-INVERTEBRATE\AGAP005030-PA-REFSEQ-INVERTEBRATE.txt","AGAP005030-PA")</f>
        <v>AGAP005030-PA</v>
      </c>
      <c r="EU41" s="2" t="str">
        <f>HYPERLINK("http://www.ncbi.nlm.nih.gov/sutils/blink.cgi?pid=XP_001230952.2","0.0")</f>
        <v>0.0</v>
      </c>
      <c r="EV41" s="2" t="str">
        <f>HYPERLINK("http://www.ncbi.nlm.nih.gov/protein/XP_001230952.2","XP_001230952.2")</f>
        <v>XP_001230952.2</v>
      </c>
      <c r="EW41" s="2">
        <v>97</v>
      </c>
      <c r="EX41" s="2">
        <v>97</v>
      </c>
      <c r="EY41" s="2">
        <v>102</v>
      </c>
      <c r="EZ41" s="2" t="s">
        <v>95</v>
      </c>
    </row>
    <row r="42" spans="1:156" x14ac:dyDescent="0.25">
      <c r="A42" s="2" t="s">
        <v>2624</v>
      </c>
      <c r="B42" s="2">
        <v>0.76815361661968495</v>
      </c>
      <c r="C42" s="2">
        <f t="shared" si="0"/>
        <v>1.703088748905891</v>
      </c>
      <c r="D42" s="2">
        <v>5.8189208030492896</v>
      </c>
      <c r="E42" s="2">
        <v>12.6848628917084</v>
      </c>
      <c r="F42" s="2">
        <v>3.6862762032429698E-4</v>
      </c>
      <c r="G42" s="2">
        <v>2.1853720622271901E-2</v>
      </c>
      <c r="H42" s="2" t="s">
        <v>2625</v>
      </c>
      <c r="I42" s="2" t="s">
        <v>87</v>
      </c>
      <c r="J42" s="2" t="str">
        <f>HYPERLINK("https://vectorbase.org/vectorbase/app/record/gene/AGAP010711","AGAP010711-RA")</f>
        <v>AGAP010711-RA</v>
      </c>
      <c r="K42" s="2" t="str">
        <f>HYPERLINK(".\links\pep\AGAP010711-PA-pep.txt","AGAP010711-PA")</f>
        <v>AGAP010711-PA</v>
      </c>
      <c r="L42" s="12" t="s">
        <v>88</v>
      </c>
      <c r="M42" s="2">
        <v>972</v>
      </c>
      <c r="N42" s="2">
        <v>0</v>
      </c>
      <c r="O42" s="2">
        <v>4</v>
      </c>
      <c r="P42" s="2" t="s">
        <v>2626</v>
      </c>
      <c r="Q42" s="9" t="s">
        <v>2627</v>
      </c>
      <c r="R42" s="2" t="s">
        <v>2628</v>
      </c>
      <c r="S42" s="2" t="str">
        <f>HYPERLINK(".\links\CDD\AGAP010711-PA-CDD.txt","CDD")</f>
        <v>CDD</v>
      </c>
      <c r="T42" s="2">
        <v>0</v>
      </c>
      <c r="U42" s="2">
        <v>100.4</v>
      </c>
      <c r="V42" s="2" t="s">
        <v>2629</v>
      </c>
      <c r="W42" s="10" t="s">
        <v>2630</v>
      </c>
      <c r="X42" s="2" t="s">
        <v>2628</v>
      </c>
      <c r="Y42" s="2" t="str">
        <f>HYPERLINK(".\links\REFSEQ-PROTOZOA\AGAP010711-PA-REFSEQ-PROTOZOA.txt","REFSEQ-PROTOZOA")</f>
        <v>REFSEQ-PROTOZOA</v>
      </c>
      <c r="Z42" s="2">
        <v>0</v>
      </c>
      <c r="AA42" s="2">
        <v>101.7</v>
      </c>
      <c r="AB42" s="14" t="s">
        <v>89</v>
      </c>
      <c r="AC42" s="14" t="str">
        <f>HYPERLINK(".\links\Sigp\AGAP010711-PA-SigP.txt","CYT")</f>
        <v>CYT</v>
      </c>
      <c r="AD42" s="2" t="s">
        <v>89</v>
      </c>
      <c r="AE42" s="2">
        <v>109.914</v>
      </c>
      <c r="AF42" s="2">
        <v>5.3</v>
      </c>
      <c r="AG42" s="2" t="s">
        <v>89</v>
      </c>
      <c r="AH42" s="2" t="s">
        <v>89</v>
      </c>
      <c r="AI42" s="2" t="s">
        <v>2631</v>
      </c>
      <c r="AJ42" s="14">
        <v>0</v>
      </c>
      <c r="AK42" s="2" t="s">
        <v>89</v>
      </c>
      <c r="AL42" s="2" t="s">
        <v>89</v>
      </c>
      <c r="AM42" s="2" t="s">
        <v>89</v>
      </c>
      <c r="AN42" s="14" t="str">
        <f>HYPERLINK(".\links\gpi\AGAP010711-PA-gpi.txt","N")</f>
        <v>N</v>
      </c>
      <c r="AO42" s="15" t="str">
        <f>HYPERLINK(".\links\netoglyc\AGAP010711-PA-netoglyc.txt","0")</f>
        <v>0</v>
      </c>
      <c r="AP42" s="14">
        <v>10.1</v>
      </c>
      <c r="AQ42" s="2">
        <v>3.9</v>
      </c>
      <c r="AR42" s="2">
        <v>5.5</v>
      </c>
      <c r="AS42" s="2" t="s">
        <v>94</v>
      </c>
      <c r="AT42" s="9" t="str">
        <f>HYPERLINK(".\links\NR-LIGHT\AGAP010711-PA-NR-LIGHT.txt","AGAP010711-PA")</f>
        <v>AGAP010711-PA</v>
      </c>
      <c r="AU42" s="2" t="str">
        <f>HYPERLINK("http://www.ncbi.nlm.nih.gov/sutils/blink.cgi?pid=XP_311424.1","0.0")</f>
        <v>0.0</v>
      </c>
      <c r="AV42" s="2" t="str">
        <f>HYPERLINK("http://www.ncbi.nlm.nih.gov/protein/XP_311424.1","XP_311424.1")</f>
        <v>XP_311424.1</v>
      </c>
      <c r="AW42" s="2">
        <v>100</v>
      </c>
      <c r="AX42" s="2">
        <v>100</v>
      </c>
      <c r="AY42" s="2">
        <v>100</v>
      </c>
      <c r="AZ42" s="2" t="s">
        <v>95</v>
      </c>
      <c r="BA42" s="9" t="str">
        <f>HYPERLINK(".\links\REFSEQ-INVERTEBRATE\AGAP010711-PA-REFSEQ-INVERTEBRATE.txt","AGAP010711-PA")</f>
        <v>AGAP010711-PA</v>
      </c>
      <c r="BB42" s="2" t="str">
        <f>HYPERLINK("http://www.ncbi.nlm.nih.gov/sutils/blink.cgi?pid=XP_311424.1","0.0")</f>
        <v>0.0</v>
      </c>
      <c r="BC42" s="2" t="str">
        <f>HYPERLINK("http://www.ncbi.nlm.nih.gov/protein/XP_311424.1","XP_311424.1")</f>
        <v>XP_311424.1</v>
      </c>
      <c r="BD42" s="2">
        <v>100</v>
      </c>
      <c r="BE42" s="2">
        <v>100</v>
      </c>
      <c r="BF42" s="2">
        <v>100</v>
      </c>
      <c r="BG42" s="2" t="s">
        <v>95</v>
      </c>
      <c r="BH42" s="9" t="str">
        <f>HYPERLINK(".\links\REFSEQ-PROTOZOA\AGAP010711-PA-REFSEQ-PROTOZOA.txt","hypothetical protein SARC_03180")</f>
        <v>hypothetical protein SARC_03180</v>
      </c>
      <c r="BI42" s="2" t="str">
        <f>HYPERLINK("http://www.ncbi.nlm.nih.gov/sutils/blink.cgi?pid=XP_014158515.1","0.0")</f>
        <v>0.0</v>
      </c>
      <c r="BJ42" s="2" t="str">
        <f>HYPERLINK("http://www.ncbi.nlm.nih.gov/protein/XP_014158515.1","XP_014158515.1")</f>
        <v>XP_014158515.1</v>
      </c>
      <c r="BK42" s="2">
        <v>42</v>
      </c>
      <c r="BL42" s="2">
        <v>62</v>
      </c>
      <c r="BM42" s="2">
        <v>100</v>
      </c>
      <c r="BN42" s="2" t="s">
        <v>168</v>
      </c>
      <c r="BO42" s="9" t="str">
        <f>HYPERLINK(".\links\SWISSP\AGAP010711-PA-SWISSP.txt","Exportin-2")</f>
        <v>Exportin-2</v>
      </c>
      <c r="BP42" s="2" t="str">
        <f>HYPERLINK("http://www.uniprot.org/uniprot/Q9XZU1","0.0")</f>
        <v>0.0</v>
      </c>
      <c r="BQ42" s="2" t="str">
        <f>HYPERLINK("http://www.uniprot.org/uniprot/Q9XZU1#expression","Q9XZU1")</f>
        <v>Q9XZU1</v>
      </c>
      <c r="BR42" s="2">
        <v>63</v>
      </c>
      <c r="BS42" s="2">
        <v>79</v>
      </c>
      <c r="BT42" s="2">
        <v>100</v>
      </c>
      <c r="BU42" s="2" t="s">
        <v>151</v>
      </c>
      <c r="BV42" s="9" t="str">
        <f>HYPERLINK(".\links\FLYBASE\AGAP010711-PA-FLYBASE.txt","FBpp0080484")</f>
        <v>FBpp0080484</v>
      </c>
      <c r="BW42" s="2" t="str">
        <f>HYPERLINK("http://flybase.org/reports/FBgn0022213#alliance_summary_container","0.0")</f>
        <v>0.0</v>
      </c>
      <c r="BX42" s="2">
        <v>975</v>
      </c>
      <c r="BY42" s="2">
        <v>63</v>
      </c>
      <c r="BZ42" s="2">
        <v>79</v>
      </c>
      <c r="CA42" s="2">
        <v>100</v>
      </c>
      <c r="CB42" s="9" t="str">
        <f>HYPERLINK(".\links\CDD\AGAP010711-PA-CDD.txt","CAS_CSE1, CAS/CSE protein, C-terminus")</f>
        <v>CAS_CSE1, CAS/CSE protein, C-terminus</v>
      </c>
      <c r="CC42" s="13">
        <v>0</v>
      </c>
      <c r="CD42" s="2">
        <v>100.5</v>
      </c>
      <c r="CE42" s="2" t="s">
        <v>2632</v>
      </c>
      <c r="CF42" s="2" t="s">
        <v>2633</v>
      </c>
      <c r="CG42" s="9" t="str">
        <f>HYPERLINK(".\links\KOG\AGAP010711-PA-KOG.txt","Nuclear export receptor CSE1/CAS (importin beta superfamily)")</f>
        <v>Nuclear export receptor CSE1/CAS (importin beta superfamily)</v>
      </c>
      <c r="CH42" s="13">
        <v>0</v>
      </c>
      <c r="CI42" s="2">
        <v>100.4</v>
      </c>
      <c r="CJ42" s="2" t="s">
        <v>2634</v>
      </c>
      <c r="CK42" s="2" t="s">
        <v>2635</v>
      </c>
      <c r="CL42" s="9" t="str">
        <f>HYPERLINK(".\links\PFAM\AGAP010711-PA-PFAM.txt","CAS_CSE1, CAS/CSE protein, C-terminus")</f>
        <v>CAS_CSE1, CAS/CSE protein, C-terminus</v>
      </c>
      <c r="CM42" s="13">
        <v>0</v>
      </c>
      <c r="CN42" s="2">
        <v>100.5</v>
      </c>
      <c r="CO42" s="2" t="s">
        <v>2632</v>
      </c>
      <c r="CP42" s="9" t="str">
        <f>HYPERLINK(".\links\SMART\AGAP010711-PA-SMART.txt","IBN_N, Importin-beta N-terminal domain")</f>
        <v>IBN_N, Importin-beta N-terminal domain</v>
      </c>
      <c r="CQ42" s="13">
        <v>2.0000000000000001E-10</v>
      </c>
      <c r="CR42" s="2">
        <v>114.9</v>
      </c>
      <c r="CS42" s="2" t="s">
        <v>2636</v>
      </c>
      <c r="CT42" s="2" t="s">
        <v>2629</v>
      </c>
      <c r="CU42" s="2" t="s">
        <v>2629</v>
      </c>
      <c r="CV42" s="2" t="s">
        <v>2629</v>
      </c>
      <c r="CW42" s="2" t="str">
        <f>HYPERLINK(".\links\pep\AGAP010711-PA-pep.txt","AGAP010711-PA")</f>
        <v>AGAP010711-PA</v>
      </c>
      <c r="CX42" s="2" t="s">
        <v>88</v>
      </c>
      <c r="CY42" s="2">
        <v>972</v>
      </c>
      <c r="CZ42" s="2" t="s">
        <v>103</v>
      </c>
      <c r="DA42" s="2" t="s">
        <v>2637</v>
      </c>
      <c r="DB42" s="2">
        <v>0</v>
      </c>
      <c r="DC42" s="2">
        <v>4</v>
      </c>
      <c r="DD42" s="2" t="str">
        <f>HYPERLINK("https://www.kegg.jp/kegg-bin/search_pathway_text?map=aga&amp;keyword=AGAP010711&amp;mode=1&amp;viewImage=true","AGAP010711")</f>
        <v>AGAP010711</v>
      </c>
      <c r="DE42" s="2" t="s">
        <v>2624</v>
      </c>
      <c r="DF42" s="2" t="s">
        <v>2625</v>
      </c>
      <c r="DG42" s="2" t="s">
        <v>87</v>
      </c>
      <c r="DH42" s="2" t="str">
        <f>HYPERLINK("https://vectorbase.org/vectorbase/app/record/gene/AGAP010711","AGAP010711-RA")</f>
        <v>AGAP010711-RA</v>
      </c>
      <c r="DI42" s="2" t="s">
        <v>140</v>
      </c>
      <c r="DJ42" s="2">
        <v>3429</v>
      </c>
      <c r="DK42" s="2" t="str">
        <f>HYPERLINK(".\links\netoglyc\AGAP010711-PA-netoglyc.txt","0")</f>
        <v>0</v>
      </c>
      <c r="DL42" s="2">
        <v>10.1</v>
      </c>
      <c r="DM42" s="2">
        <v>3.9</v>
      </c>
      <c r="DN42" s="2">
        <v>5.5</v>
      </c>
      <c r="DO42" s="2" t="s">
        <v>94</v>
      </c>
      <c r="DP42" s="2" t="s">
        <v>89</v>
      </c>
      <c r="DQ42" s="2" t="str">
        <f>HYPERLINK(".\links\Sigp\AGAP010711-PA-SigP.txt","CYT")</f>
        <v>CYT</v>
      </c>
      <c r="DR42" s="2" t="s">
        <v>89</v>
      </c>
      <c r="DS42" s="2">
        <v>109.914</v>
      </c>
      <c r="DT42" s="2">
        <v>5.3</v>
      </c>
      <c r="DU42" s="2" t="s">
        <v>89</v>
      </c>
      <c r="DV42" s="2" t="s">
        <v>89</v>
      </c>
      <c r="DW42" s="2" t="s">
        <v>2631</v>
      </c>
      <c r="DX42" s="2">
        <v>972</v>
      </c>
      <c r="DY42" s="12">
        <v>0</v>
      </c>
      <c r="DZ42" s="2" t="s">
        <v>89</v>
      </c>
      <c r="EA42" s="2" t="s">
        <v>89</v>
      </c>
      <c r="EB42" s="2" t="s">
        <v>89</v>
      </c>
      <c r="EC42" s="2" t="str">
        <f>HYPERLINK(".\links\gpi\AGAP010711-PA-gpi.txt","Y-NoSP")</f>
        <v>Y-NoSP</v>
      </c>
      <c r="ED42" s="2">
        <v>0.21</v>
      </c>
      <c r="EF42" s="2">
        <v>16</v>
      </c>
      <c r="EG42" s="2" t="s">
        <v>89</v>
      </c>
      <c r="EH42" s="2" t="s">
        <v>89</v>
      </c>
      <c r="EI42" s="2">
        <v>10.082304526749001</v>
      </c>
      <c r="EJ42" s="2">
        <v>5.4526748971193397</v>
      </c>
      <c r="EK42" s="2">
        <v>3.9094650205761301</v>
      </c>
      <c r="EL42" s="2">
        <v>9.3621399176954707</v>
      </c>
      <c r="EM42" s="2" t="s">
        <v>89</v>
      </c>
      <c r="EN42" s="2">
        <v>2</v>
      </c>
      <c r="EO42" s="2">
        <v>4</v>
      </c>
      <c r="EP42" s="2" t="s">
        <v>89</v>
      </c>
      <c r="EQ42" s="2" t="s">
        <v>89</v>
      </c>
      <c r="ER42" s="2" t="s">
        <v>89</v>
      </c>
      <c r="ES42" s="2" t="s">
        <v>89</v>
      </c>
      <c r="ET42" s="2" t="str">
        <f>HYPERLINK(".\links\REFSEQ-INVERTEBRATE\AGAP010711-PA-REFSEQ-INVERTEBRATE.txt","AGAP010711-PA")</f>
        <v>AGAP010711-PA</v>
      </c>
      <c r="EU42" s="2" t="str">
        <f>HYPERLINK("http://www.ncbi.nlm.nih.gov/sutils/blink.cgi?pid=XP_311424.1","0.0")</f>
        <v>0.0</v>
      </c>
      <c r="EV42" s="2" t="str">
        <f>HYPERLINK("http://www.ncbi.nlm.nih.gov/protein/XP_311424.1","XP_311424.1")</f>
        <v>XP_311424.1</v>
      </c>
      <c r="EW42" s="2">
        <v>100</v>
      </c>
      <c r="EX42" s="2">
        <v>100</v>
      </c>
      <c r="EY42" s="2">
        <v>100</v>
      </c>
      <c r="EZ42" s="2" t="s">
        <v>95</v>
      </c>
    </row>
    <row r="43" spans="1:156" x14ac:dyDescent="0.25">
      <c r="A43" s="2" t="s">
        <v>428</v>
      </c>
      <c r="B43" s="2">
        <v>0.75327431349226603</v>
      </c>
      <c r="C43" s="2">
        <f t="shared" si="0"/>
        <v>1.6856141305747476</v>
      </c>
      <c r="D43" s="2">
        <v>6.78455995170457</v>
      </c>
      <c r="E43" s="2">
        <v>12.228986496203699</v>
      </c>
      <c r="F43" s="2">
        <v>4.7052750744576498E-4</v>
      </c>
      <c r="G43" s="2">
        <v>2.54604392585813E-2</v>
      </c>
      <c r="H43" s="2" t="s">
        <v>429</v>
      </c>
      <c r="I43" s="2" t="s">
        <v>87</v>
      </c>
      <c r="J43" s="2" t="str">
        <f>HYPERLINK("https://vectorbase.org/vectorbase/app/record/gene/AGAP001279","AGAP001279-RA")</f>
        <v>AGAP001279-RA</v>
      </c>
      <c r="K43" s="2" t="str">
        <f>HYPERLINK(".\links\pep\AGAP001279-PA-pep.txt","AGAP001279-PA")</f>
        <v>AGAP001279-PA</v>
      </c>
      <c r="L43" s="12" t="s">
        <v>88</v>
      </c>
      <c r="M43" s="2">
        <v>522</v>
      </c>
      <c r="N43" s="2">
        <v>0</v>
      </c>
      <c r="O43" s="2">
        <v>1</v>
      </c>
      <c r="P43" s="2" t="s">
        <v>430</v>
      </c>
      <c r="Q43" s="9" t="s">
        <v>431</v>
      </c>
      <c r="R43" s="2" t="s">
        <v>148</v>
      </c>
      <c r="S43" s="2" t="str">
        <f>HYPERLINK(".\links\CDD\AGAP001279-PA-CDD.txt","CDD")</f>
        <v>CDD</v>
      </c>
      <c r="T43" s="2">
        <v>0</v>
      </c>
      <c r="U43" s="2">
        <v>100.3</v>
      </c>
      <c r="V43" s="2" t="s">
        <v>432</v>
      </c>
      <c r="W43" s="10" t="s">
        <v>433</v>
      </c>
      <c r="X43" s="2" t="s">
        <v>148</v>
      </c>
      <c r="Y43" s="2" t="str">
        <f>HYPERLINK(".\links\REFSEQ-PROTOZOA\AGAP001279-PA-REFSEQ-PROTOZOA.txt","REFSEQ-PROTOZOA")</f>
        <v>REFSEQ-PROTOZOA</v>
      </c>
      <c r="Z43" s="2">
        <v>0</v>
      </c>
      <c r="AA43" s="2">
        <v>79.099999999999994</v>
      </c>
      <c r="AB43" s="14" t="s">
        <v>89</v>
      </c>
      <c r="AC43" s="14" t="str">
        <f>HYPERLINK(".\links\Sigp\AGAP001279-PA-SigP.txt","CYT")</f>
        <v>CYT</v>
      </c>
      <c r="AD43" s="2" t="s">
        <v>89</v>
      </c>
      <c r="AE43" s="2">
        <v>58.061999999999998</v>
      </c>
      <c r="AF43" s="2">
        <v>5.64</v>
      </c>
      <c r="AG43" s="2" t="s">
        <v>89</v>
      </c>
      <c r="AH43" s="2" t="s">
        <v>89</v>
      </c>
      <c r="AI43" s="2" t="s">
        <v>434</v>
      </c>
      <c r="AJ43" s="14">
        <v>0</v>
      </c>
      <c r="AK43" s="2" t="s">
        <v>89</v>
      </c>
      <c r="AL43" s="2" t="s">
        <v>89</v>
      </c>
      <c r="AM43" s="2" t="s">
        <v>89</v>
      </c>
      <c r="AN43" s="14" t="str">
        <f>HYPERLINK(".\links\gpi\AGAP001279-PA-gpi.txt","N")</f>
        <v>N</v>
      </c>
      <c r="AO43" s="15" t="str">
        <f>HYPERLINK(".\links\netoglyc\AGAP001279-PA-netoglyc.txt","6")</f>
        <v>6</v>
      </c>
      <c r="AP43" s="14">
        <v>12.3</v>
      </c>
      <c r="AQ43" s="2">
        <v>7.3</v>
      </c>
      <c r="AR43" s="2">
        <v>5.6</v>
      </c>
      <c r="AS43" s="2" t="s">
        <v>94</v>
      </c>
      <c r="AT43" s="9" t="str">
        <f>HYPERLINK(".\links\NR-LIGHT\AGAP001279-PA-NR-LIGHT.txt","AGAP001279-PA")</f>
        <v>AGAP001279-PA</v>
      </c>
      <c r="AU43" s="2" t="str">
        <f>HYPERLINK("http://www.ncbi.nlm.nih.gov/sutils/blink.cgi?pid=XP_321872.5","0.0")</f>
        <v>0.0</v>
      </c>
      <c r="AV43" s="2" t="str">
        <f>HYPERLINK("http://www.ncbi.nlm.nih.gov/protein/XP_321872.5","XP_321872.5")</f>
        <v>XP_321872.5</v>
      </c>
      <c r="AW43" s="2">
        <v>100</v>
      </c>
      <c r="AX43" s="2">
        <v>100</v>
      </c>
      <c r="AY43" s="2">
        <v>100</v>
      </c>
      <c r="AZ43" s="2" t="s">
        <v>95</v>
      </c>
      <c r="BA43" s="9" t="str">
        <f>HYPERLINK(".\links\REFSEQ-INVERTEBRATE\AGAP001279-PA-REFSEQ-INVERTEBRATE.txt","AGAP001279-PA")</f>
        <v>AGAP001279-PA</v>
      </c>
      <c r="BB43" s="2" t="str">
        <f>HYPERLINK("http://www.ncbi.nlm.nih.gov/sutils/blink.cgi?pid=XP_321872.5","0.0")</f>
        <v>0.0</v>
      </c>
      <c r="BC43" s="2" t="str">
        <f>HYPERLINK("http://www.ncbi.nlm.nih.gov/protein/XP_321872.5","XP_321872.5")</f>
        <v>XP_321872.5</v>
      </c>
      <c r="BD43" s="2">
        <v>100</v>
      </c>
      <c r="BE43" s="2">
        <v>100</v>
      </c>
      <c r="BF43" s="2">
        <v>100</v>
      </c>
      <c r="BG43" s="2" t="s">
        <v>95</v>
      </c>
      <c r="BH43" s="9" t="str">
        <f>HYPERLINK(".\links\REFSEQ-PROTOZOA\AGAP001279-PA-REFSEQ-PROTOZOA.txt","calcineurin A alpha")</f>
        <v>calcineurin A alpha</v>
      </c>
      <c r="BI43" s="2" t="str">
        <f>HYPERLINK("http://www.ncbi.nlm.nih.gov/sutils/blink.cgi?pid=XP_004365567.2","0.0")</f>
        <v>0.0</v>
      </c>
      <c r="BJ43" s="2" t="str">
        <f>HYPERLINK("http://www.ncbi.nlm.nih.gov/protein/XP_004365567.2","XP_004365567.2")</f>
        <v>XP_004365567.2</v>
      </c>
      <c r="BK43" s="2">
        <v>70</v>
      </c>
      <c r="BL43" s="2">
        <v>82</v>
      </c>
      <c r="BM43" s="2">
        <v>100</v>
      </c>
      <c r="BN43" s="2" t="s">
        <v>150</v>
      </c>
      <c r="BO43" s="9" t="str">
        <f>HYPERLINK(".\links\SWISSP\AGAP001279-PA-SWISSP.txt","Serine/threonine-protein phosphatase 2B catalytic subunit 3")</f>
        <v>Serine/threonine-protein phosphatase 2B catalytic subunit 3</v>
      </c>
      <c r="BP43" s="2" t="str">
        <f>HYPERLINK("http://www.uniprot.org/uniprot/Q9VXF1","0.0")</f>
        <v>0.0</v>
      </c>
      <c r="BQ43" s="2" t="str">
        <f>HYPERLINK("http://www.uniprot.org/uniprot/Q9VXF1#expression","Q9VXF1")</f>
        <v>Q9VXF1</v>
      </c>
      <c r="BR43" s="2">
        <v>84</v>
      </c>
      <c r="BS43" s="2">
        <v>89</v>
      </c>
      <c r="BT43" s="2">
        <v>89</v>
      </c>
      <c r="BU43" s="2" t="s">
        <v>151</v>
      </c>
      <c r="BV43" s="9" t="str">
        <f>HYPERLINK(".\links\FLYBASE\AGAP001279-PA-FLYBASE.txt","FBpp0305092")</f>
        <v>FBpp0305092</v>
      </c>
      <c r="BW43" s="2" t="str">
        <f>HYPERLINK("http://flybase.org/reports/FBgn0267912#alliance_summary_container","0.0")</f>
        <v>0.0</v>
      </c>
      <c r="BX43" s="2">
        <v>584</v>
      </c>
      <c r="BY43" s="2">
        <v>88</v>
      </c>
      <c r="BZ43" s="2">
        <v>93</v>
      </c>
      <c r="CA43" s="2">
        <v>83</v>
      </c>
      <c r="CB43" s="9" t="str">
        <f>HYPERLINK(".\links\CDD\AGAP001279-PA-CDD.txt","MPP_PP2B, PP2B, metallophosphatase domain")</f>
        <v>MPP_PP2B, PP2B, metallophosphatase domain</v>
      </c>
      <c r="CC43" s="13">
        <v>0</v>
      </c>
      <c r="CD43" s="2">
        <v>100</v>
      </c>
      <c r="CE43" s="2" t="s">
        <v>435</v>
      </c>
      <c r="CF43" s="2" t="s">
        <v>436</v>
      </c>
      <c r="CG43" s="9" t="str">
        <f>HYPERLINK(".\links\KOG\AGAP001279-PA-KOG.txt","catalytic subunit")</f>
        <v>catalytic subunit</v>
      </c>
      <c r="CH43" s="13">
        <v>0</v>
      </c>
      <c r="CI43" s="2">
        <v>92.8</v>
      </c>
      <c r="CJ43" s="2" t="s">
        <v>437</v>
      </c>
      <c r="CK43" s="2" t="s">
        <v>187</v>
      </c>
      <c r="CL43" s="9" t="str">
        <f>HYPERLINK(".\links\PFAM\AGAP001279-PA-PFAM.txt","Metallophos, Calcineurin-like phosphoesterase")</f>
        <v>Metallophos, Calcineurin-like phosphoesterase</v>
      </c>
      <c r="CM43" s="13">
        <v>2.0000000000000001E-10</v>
      </c>
      <c r="CN43" s="2">
        <v>93.5</v>
      </c>
      <c r="CO43" s="2" t="s">
        <v>438</v>
      </c>
      <c r="CP43" s="9" t="str">
        <f>HYPERLINK(".\links\SMART\AGAP001279-PA-SMART.txt","PP2Ac, Protein phosphatase 2A homologues, catalytic domain")</f>
        <v>PP2Ac, Protein phosphatase 2A homologues, catalytic domain</v>
      </c>
      <c r="CQ43" s="13">
        <v>1.0000000000000001E-110</v>
      </c>
      <c r="CR43" s="2">
        <v>100.4</v>
      </c>
      <c r="CS43" s="2" t="s">
        <v>439</v>
      </c>
      <c r="CT43" s="2" t="s">
        <v>432</v>
      </c>
      <c r="CU43" s="2" t="s">
        <v>432</v>
      </c>
      <c r="CV43" s="2" t="s">
        <v>432</v>
      </c>
      <c r="CW43" s="2" t="str">
        <f>HYPERLINK(".\links\pep\AGAP001279-PA-pep.txt","AGAP001279-PA")</f>
        <v>AGAP001279-PA</v>
      </c>
      <c r="CX43" s="2" t="s">
        <v>88</v>
      </c>
      <c r="CY43" s="2">
        <v>522</v>
      </c>
      <c r="CZ43" s="2" t="s">
        <v>103</v>
      </c>
      <c r="DA43" s="2" t="s">
        <v>440</v>
      </c>
      <c r="DB43" s="2">
        <v>0</v>
      </c>
      <c r="DC43" s="2">
        <v>1</v>
      </c>
      <c r="DD43" s="2" t="str">
        <f>HYPERLINK("https://www.kegg.jp/kegg-bin/search_pathway_text?map=aga&amp;keyword=AGAP001279&amp;mode=1&amp;viewImage=true","AGAP001279")</f>
        <v>AGAP001279</v>
      </c>
      <c r="DE43" s="2" t="s">
        <v>428</v>
      </c>
      <c r="DF43" s="2" t="s">
        <v>429</v>
      </c>
      <c r="DG43" s="2" t="s">
        <v>87</v>
      </c>
      <c r="DH43" s="2" t="str">
        <f>HYPERLINK("https://vectorbase.org/vectorbase/app/record/gene/AGAP001279","AGAP001279-RA")</f>
        <v>AGAP001279-RA</v>
      </c>
      <c r="DI43" s="2" t="s">
        <v>122</v>
      </c>
      <c r="DJ43" s="2">
        <v>2564</v>
      </c>
      <c r="DK43" s="2" t="str">
        <f>HYPERLINK(".\links\netoglyc\AGAP001279-PA-netoglyc.txt","6")</f>
        <v>6</v>
      </c>
      <c r="DL43" s="2">
        <v>12.3</v>
      </c>
      <c r="DM43" s="2">
        <v>7.3</v>
      </c>
      <c r="DN43" s="2">
        <v>5.6</v>
      </c>
      <c r="DO43" s="2" t="s">
        <v>94</v>
      </c>
      <c r="DP43" s="2" t="s">
        <v>89</v>
      </c>
      <c r="DQ43" s="2" t="str">
        <f>HYPERLINK(".\links\Sigp\AGAP001279-PA-SigP.txt","CYT")</f>
        <v>CYT</v>
      </c>
      <c r="DR43" s="2" t="s">
        <v>89</v>
      </c>
      <c r="DS43" s="2">
        <v>58.061999999999998</v>
      </c>
      <c r="DT43" s="2">
        <v>5.64</v>
      </c>
      <c r="DU43" s="2" t="s">
        <v>89</v>
      </c>
      <c r="DV43" s="2" t="s">
        <v>89</v>
      </c>
      <c r="DW43" s="2" t="s">
        <v>434</v>
      </c>
      <c r="DX43" s="2">
        <v>522</v>
      </c>
      <c r="DY43" s="12">
        <v>0</v>
      </c>
      <c r="DZ43" s="2" t="s">
        <v>89</v>
      </c>
      <c r="EA43" s="2" t="s">
        <v>89</v>
      </c>
      <c r="EB43" s="2" t="s">
        <v>89</v>
      </c>
      <c r="EC43" s="2" t="str">
        <f>HYPERLINK(".\links\gpi\AGAP001279-PA-gpi.txt","Y-NoSP")</f>
        <v>Y-NoSP</v>
      </c>
      <c r="ED43" s="2">
        <v>0.14000000000000001</v>
      </c>
      <c r="EF43" s="2">
        <v>15</v>
      </c>
      <c r="EG43" s="2" t="s">
        <v>89</v>
      </c>
      <c r="EH43" s="2" t="s">
        <v>89</v>
      </c>
      <c r="EI43" s="2">
        <v>12.2605363984674</v>
      </c>
      <c r="EJ43" s="2">
        <v>5.5555555555555598</v>
      </c>
      <c r="EK43" s="2">
        <v>7.2796934865900402</v>
      </c>
      <c r="EL43" s="2">
        <v>12.8352490421456</v>
      </c>
      <c r="EM43" s="2" t="s">
        <v>89</v>
      </c>
      <c r="EN43" s="2">
        <v>2</v>
      </c>
      <c r="EO43" s="2">
        <v>2</v>
      </c>
      <c r="EP43" s="2" t="s">
        <v>89</v>
      </c>
      <c r="EQ43" s="2" t="s">
        <v>89</v>
      </c>
      <c r="ER43" s="2" t="s">
        <v>89</v>
      </c>
      <c r="ES43" s="2" t="s">
        <v>89</v>
      </c>
      <c r="ET43" s="2" t="str">
        <f>HYPERLINK(".\links\REFSEQ-INVERTEBRATE\AGAP001279-PA-REFSEQ-INVERTEBRATE.txt","AGAP001279-PA")</f>
        <v>AGAP001279-PA</v>
      </c>
      <c r="EU43" s="2" t="str">
        <f>HYPERLINK("http://www.ncbi.nlm.nih.gov/sutils/blink.cgi?pid=XP_321872.5","0.0")</f>
        <v>0.0</v>
      </c>
      <c r="EV43" s="2" t="str">
        <f>HYPERLINK("http://www.ncbi.nlm.nih.gov/protein/XP_321872.5","XP_321872.5")</f>
        <v>XP_321872.5</v>
      </c>
      <c r="EW43" s="2">
        <v>100</v>
      </c>
      <c r="EX43" s="2">
        <v>100</v>
      </c>
      <c r="EY43" s="2">
        <v>100</v>
      </c>
      <c r="EZ43" s="2" t="s">
        <v>95</v>
      </c>
    </row>
    <row r="44" spans="1:156" x14ac:dyDescent="0.25">
      <c r="A44" s="2" t="s">
        <v>787</v>
      </c>
      <c r="B44" s="2">
        <v>0.73499971124339603</v>
      </c>
      <c r="C44" s="2">
        <f t="shared" si="0"/>
        <v>1.6643971362925543</v>
      </c>
      <c r="D44" s="2">
        <v>5.9543005554153403</v>
      </c>
      <c r="E44" s="2">
        <v>15.357581405624</v>
      </c>
      <c r="F44" s="2">
        <v>8.8963227850097102E-5</v>
      </c>
      <c r="G44" s="2">
        <v>8.4983681497036792E-3</v>
      </c>
      <c r="H44" s="2" t="s">
        <v>788</v>
      </c>
      <c r="I44" s="2" t="s">
        <v>87</v>
      </c>
      <c r="J44" s="2" t="str">
        <f>HYPERLINK("https://vectorbase.org/vectorbase/app/record/gene/AGAP003428","AGAP003428-RB")</f>
        <v>AGAP003428-RB</v>
      </c>
      <c r="K44" s="2" t="str">
        <f>HYPERLINK(".\links\pep\AGAP003428-PB-pep.txt","AGAP003428-PB")</f>
        <v>AGAP003428-PB</v>
      </c>
      <c r="L44" s="12" t="s">
        <v>88</v>
      </c>
      <c r="M44" s="2">
        <v>818</v>
      </c>
      <c r="N44" s="2">
        <v>0</v>
      </c>
      <c r="O44" s="2">
        <v>1</v>
      </c>
      <c r="P44" s="2" t="s">
        <v>789</v>
      </c>
      <c r="Q44" s="9" t="s">
        <v>790</v>
      </c>
      <c r="R44" s="2" t="s">
        <v>372</v>
      </c>
      <c r="S44" s="2" t="str">
        <f>HYPERLINK(".\links\KOG\AGAP003428-PB-KOG.txt","KOG")</f>
        <v>KOG</v>
      </c>
      <c r="T44" s="2">
        <v>2.9999999999999998E-31</v>
      </c>
      <c r="U44" s="2">
        <v>100.6</v>
      </c>
      <c r="V44" s="2" t="s">
        <v>791</v>
      </c>
      <c r="W44" s="10" t="s">
        <v>792</v>
      </c>
      <c r="X44" s="2" t="s">
        <v>333</v>
      </c>
      <c r="Y44" s="2" t="str">
        <f>HYPERLINK(".\links\UNIPROTKB\AGAP003428-PB-UNIPROTKB.txt","UNIPROTKB")</f>
        <v>UNIPROTKB</v>
      </c>
      <c r="Z44" s="2">
        <v>0</v>
      </c>
      <c r="AA44" s="2">
        <v>98.6</v>
      </c>
      <c r="AB44" s="14" t="s">
        <v>89</v>
      </c>
      <c r="AC44" s="14" t="str">
        <f>HYPERLINK(".\links\Sigp\AGAP003428-PB-SigP.txt","BL")</f>
        <v>BL</v>
      </c>
      <c r="AD44" s="2" t="s">
        <v>404</v>
      </c>
      <c r="AE44" s="2">
        <v>86.364999999999995</v>
      </c>
      <c r="AF44" s="2">
        <v>8.7899999999999991</v>
      </c>
      <c r="AG44" s="2">
        <v>83.543999999999997</v>
      </c>
      <c r="AH44" s="2">
        <v>8.75</v>
      </c>
      <c r="AI44" s="2" t="s">
        <v>793</v>
      </c>
      <c r="AJ44" s="14">
        <v>0</v>
      </c>
      <c r="AK44" s="2" t="s">
        <v>89</v>
      </c>
      <c r="AL44" s="2" t="s">
        <v>89</v>
      </c>
      <c r="AM44" s="2" t="s">
        <v>89</v>
      </c>
      <c r="AN44" s="14" t="str">
        <f>HYPERLINK(".\links\gpi\AGAP003428-PB-gpi.txt","N")</f>
        <v>N</v>
      </c>
      <c r="AO44" s="15" t="str">
        <f>HYPERLINK(".\links\netoglyc\AGAP003428-PB-netoglyc.txt","21")</f>
        <v>21</v>
      </c>
      <c r="AP44" s="14">
        <v>17.100000000000001</v>
      </c>
      <c r="AQ44" s="2">
        <v>8.1999999999999993</v>
      </c>
      <c r="AR44" s="2">
        <v>4.9000000000000004</v>
      </c>
      <c r="AS44" s="2" t="s">
        <v>94</v>
      </c>
      <c r="AT44" s="9" t="str">
        <f>HYPERLINK(".\links\NR-LIGHT\AGAP003428-PB-NR-LIGHT.txt","AGAP003428-PB")</f>
        <v>AGAP003428-PB</v>
      </c>
      <c r="AU44" s="2" t="str">
        <f>HYPERLINK("http://www.ncbi.nlm.nih.gov/sutils/blink.cgi?pid=XP_003436477.1","0.0")</f>
        <v>0.0</v>
      </c>
      <c r="AV44" s="2" t="str">
        <f>HYPERLINK("http://www.ncbi.nlm.nih.gov/protein/XP_003436477.1","XP_003436477.1")</f>
        <v>XP_003436477.1</v>
      </c>
      <c r="AW44" s="2">
        <v>100</v>
      </c>
      <c r="AX44" s="2">
        <v>100</v>
      </c>
      <c r="AY44" s="2">
        <v>100</v>
      </c>
      <c r="AZ44" s="2" t="s">
        <v>95</v>
      </c>
      <c r="BA44" s="9" t="str">
        <f>HYPERLINK(".\links\REFSEQ-INVERTEBRATE\AGAP003428-PB-REFSEQ-INVERTEBRATE.txt","AGAP003428-PB")</f>
        <v>AGAP003428-PB</v>
      </c>
      <c r="BB44" s="2" t="str">
        <f>HYPERLINK("http://www.ncbi.nlm.nih.gov/sutils/blink.cgi?pid=XP_003436477.1","0.0")</f>
        <v>0.0</v>
      </c>
      <c r="BC44" s="2" t="str">
        <f>HYPERLINK("http://www.ncbi.nlm.nih.gov/protein/XP_003436477.1","XP_003436477.1")</f>
        <v>XP_003436477.1</v>
      </c>
      <c r="BD44" s="2">
        <v>100</v>
      </c>
      <c r="BE44" s="2">
        <v>100</v>
      </c>
      <c r="BF44" s="2">
        <v>100</v>
      </c>
      <c r="BG44" s="2" t="s">
        <v>95</v>
      </c>
      <c r="BH44" s="9" t="str">
        <f>HYPERLINK(".\links\REFSEQ-PROTOZOA\AGAP003428-PB-REFSEQ-PROTOZOA.txt","hypothetical protein GUITHDRAFT_142949")</f>
        <v>hypothetical protein GUITHDRAFT_142949</v>
      </c>
      <c r="BI44" s="2" t="str">
        <f>HYPERLINK("http://www.ncbi.nlm.nih.gov/sutils/blink.cgi?pid=XP_005827206.1","6E-022")</f>
        <v>6E-022</v>
      </c>
      <c r="BJ44" s="2" t="str">
        <f>HYPERLINK("http://www.ncbi.nlm.nih.gov/protein/XP_005827206.1","XP_005827206.1")</f>
        <v>XP_005827206.1</v>
      </c>
      <c r="BK44" s="2">
        <v>29</v>
      </c>
      <c r="BL44" s="2">
        <v>43</v>
      </c>
      <c r="BM44" s="2">
        <v>83</v>
      </c>
      <c r="BN44" s="2" t="s">
        <v>406</v>
      </c>
      <c r="BO44" s="9" t="str">
        <f>HYPERLINK(".\links\SWISSP\AGAP003428-PB-SWISSP.txt","Protein roadkill")</f>
        <v>Protein roadkill</v>
      </c>
      <c r="BP44" s="2" t="str">
        <f>HYPERLINK("http://www.uniprot.org/uniprot/Q9VFP2","0.0")</f>
        <v>0.0</v>
      </c>
      <c r="BQ44" s="2" t="str">
        <f>HYPERLINK("http://www.uniprot.org/uniprot/Q9VFP2#expression","Q9VFP2")</f>
        <v>Q9VFP2</v>
      </c>
      <c r="BR44" s="2">
        <v>93</v>
      </c>
      <c r="BS44" s="2">
        <v>96</v>
      </c>
      <c r="BT44" s="2">
        <v>48</v>
      </c>
      <c r="BU44" s="2" t="s">
        <v>151</v>
      </c>
      <c r="BV44" s="9" t="str">
        <f>HYPERLINK(".\links\FLYBASE\AGAP003428-PB-FLYBASE.txt","FBpp0290848")</f>
        <v>FBpp0290848</v>
      </c>
      <c r="BW44" s="2" t="str">
        <f>HYPERLINK("http://flybase.org/reports/FBgn0264493#alliance_summary_container","0.0")</f>
        <v>0.0</v>
      </c>
      <c r="BX44" s="2">
        <v>403</v>
      </c>
      <c r="BY44" s="2">
        <v>93</v>
      </c>
      <c r="BZ44" s="2">
        <v>96</v>
      </c>
      <c r="CA44" s="2">
        <v>99</v>
      </c>
      <c r="CB44" s="9" t="str">
        <f>HYPERLINK(".\links\CDD\AGAP003428-PB-CDD.txt","MATH_SPOP, Speckle-type POZ protein (SPOP) family, MATH domain")</f>
        <v>MATH_SPOP, Speckle-type POZ protein (SPOP) family, MATH domain</v>
      </c>
      <c r="CC44" s="13">
        <v>9.9999999999999996E-83</v>
      </c>
      <c r="CD44" s="2">
        <v>100</v>
      </c>
      <c r="CE44" s="2" t="s">
        <v>794</v>
      </c>
      <c r="CF44" s="2" t="s">
        <v>795</v>
      </c>
      <c r="CG44" s="9" t="str">
        <f>HYPERLINK(".\links\KOG\AGAP003428-PB-KOG.txt","MATH and BTB/POZ domains")</f>
        <v>MATH and BTB/POZ domains</v>
      </c>
      <c r="CH44" s="13">
        <v>2.9999999999999998E-31</v>
      </c>
      <c r="CI44" s="2">
        <v>100.7</v>
      </c>
      <c r="CJ44" s="2" t="s">
        <v>796</v>
      </c>
      <c r="CK44" s="2" t="s">
        <v>797</v>
      </c>
      <c r="CL44" s="9" t="str">
        <f>HYPERLINK(".\links\PFAM\AGAP003428-PB-PFAM.txt","BTB, BTB/POZ domain")</f>
        <v>BTB, BTB/POZ domain</v>
      </c>
      <c r="CM44" s="13">
        <v>2.0000000000000001E-33</v>
      </c>
      <c r="CN44" s="2">
        <v>100.9</v>
      </c>
      <c r="CO44" s="2" t="s">
        <v>798</v>
      </c>
      <c r="CP44" s="9" t="str">
        <f>HYPERLINK(".\links\SMART\AGAP003428-PB-SMART.txt","predicts BTB/POZ domains without the beta1- and alpha1-secondary structures")</f>
        <v>predicts BTB/POZ domains without the beta1- and alpha1-secondary structures</v>
      </c>
      <c r="CQ44" s="13">
        <v>6.0000000000000005E-29</v>
      </c>
      <c r="CR44" s="2">
        <v>100</v>
      </c>
      <c r="CS44" s="2" t="s">
        <v>799</v>
      </c>
      <c r="CT44" s="2" t="s">
        <v>791</v>
      </c>
      <c r="CU44" s="2" t="s">
        <v>791</v>
      </c>
      <c r="CV44" s="2" t="s">
        <v>791</v>
      </c>
      <c r="CW44" s="2" t="str">
        <f>HYPERLINK(".\links\pep\AGAP003428-PB-pep.txt","AGAP003428-PB")</f>
        <v>AGAP003428-PB</v>
      </c>
      <c r="CX44" s="2" t="s">
        <v>88</v>
      </c>
      <c r="CY44" s="2">
        <v>818</v>
      </c>
      <c r="CZ44" s="2" t="s">
        <v>103</v>
      </c>
      <c r="DA44" s="2" t="s">
        <v>800</v>
      </c>
      <c r="DB44" s="2">
        <v>0</v>
      </c>
      <c r="DC44" s="2">
        <v>1</v>
      </c>
      <c r="DD44" s="2" t="str">
        <f>HYPERLINK("https://www.kegg.jp/kegg-bin/search_pathway_text?map=aga&amp;keyword=AGAP003428&amp;mode=1&amp;viewImage=true","AGAP003428")</f>
        <v>AGAP003428</v>
      </c>
      <c r="DE44" s="2" t="s">
        <v>787</v>
      </c>
      <c r="DF44" s="2" t="s">
        <v>788</v>
      </c>
      <c r="DG44" s="2" t="s">
        <v>87</v>
      </c>
      <c r="DH44" s="2" t="str">
        <f>HYPERLINK("https://vectorbase.org/vectorbase/app/record/gene/AGAP003428","AGAP003428-RB")</f>
        <v>AGAP003428-RB</v>
      </c>
      <c r="DI44" s="2" t="s">
        <v>158</v>
      </c>
      <c r="DJ44" s="2">
        <v>3239</v>
      </c>
      <c r="DK44" s="2" t="str">
        <f>HYPERLINK(".\links\netoglyc\AGAP003428-PB-netoglyc.txt","21")</f>
        <v>21</v>
      </c>
      <c r="DL44" s="2">
        <v>17.100000000000001</v>
      </c>
      <c r="DM44" s="2">
        <v>8.1999999999999993</v>
      </c>
      <c r="DN44" s="2">
        <v>4.9000000000000004</v>
      </c>
      <c r="DO44" s="2" t="s">
        <v>94</v>
      </c>
      <c r="DP44" s="2" t="s">
        <v>801</v>
      </c>
      <c r="DQ44" s="2" t="str">
        <f>HYPERLINK(".\links\Sigp\AGAP003428-PB-SigP.txt","BL")</f>
        <v>BL</v>
      </c>
      <c r="DR44" s="2" t="s">
        <v>404</v>
      </c>
      <c r="DS44" s="2">
        <v>86.364999999999995</v>
      </c>
      <c r="DT44" s="2">
        <v>8.7899999999999991</v>
      </c>
      <c r="DU44" s="2">
        <v>83.543999999999997</v>
      </c>
      <c r="DV44" s="2">
        <v>8.75</v>
      </c>
      <c r="DW44" s="2" t="s">
        <v>793</v>
      </c>
      <c r="DX44" s="2">
        <v>818</v>
      </c>
      <c r="DY44" s="12">
        <v>0</v>
      </c>
      <c r="DZ44" s="2" t="s">
        <v>89</v>
      </c>
      <c r="EA44" s="2" t="s">
        <v>89</v>
      </c>
      <c r="EB44" s="2" t="s">
        <v>89</v>
      </c>
      <c r="EC44" s="2" t="str">
        <f>HYPERLINK(".\links\gpi\AGAP003428-PB-gpi.txt","Y-NoSP")</f>
        <v>Y-NoSP</v>
      </c>
      <c r="ED44" s="2">
        <v>0.28000000000000003</v>
      </c>
      <c r="EF44" s="2">
        <v>11</v>
      </c>
      <c r="EG44" s="2" t="s">
        <v>89</v>
      </c>
      <c r="EH44" s="2" t="s">
        <v>89</v>
      </c>
      <c r="EI44" s="2">
        <v>17.114914425427902</v>
      </c>
      <c r="EJ44" s="2">
        <v>4.8899755501222497</v>
      </c>
      <c r="EK44" s="2">
        <v>8.1907090464547707</v>
      </c>
      <c r="EL44" s="2">
        <v>13.080684596576999</v>
      </c>
      <c r="EM44" s="2">
        <v>1</v>
      </c>
      <c r="EN44" s="2">
        <v>2</v>
      </c>
      <c r="EO44" s="2">
        <v>3</v>
      </c>
      <c r="EP44" s="2" t="s">
        <v>89</v>
      </c>
      <c r="EQ44" s="2" t="s">
        <v>89</v>
      </c>
      <c r="ER44" s="2" t="s">
        <v>89</v>
      </c>
      <c r="ES44" s="2" t="s">
        <v>89</v>
      </c>
      <c r="ET44" s="2" t="str">
        <f>HYPERLINK(".\links\REFSEQ-INVERTEBRATE\AGAP003428-PB-REFSEQ-INVERTEBRATE.txt","AGAP003428-PB")</f>
        <v>AGAP003428-PB</v>
      </c>
      <c r="EU44" s="2" t="str">
        <f>HYPERLINK("http://www.ncbi.nlm.nih.gov/sutils/blink.cgi?pid=XP_003436477.1","0.0")</f>
        <v>0.0</v>
      </c>
      <c r="EV44" s="2" t="str">
        <f>HYPERLINK("http://www.ncbi.nlm.nih.gov/protein/XP_003436477.1","XP_003436477.1")</f>
        <v>XP_003436477.1</v>
      </c>
      <c r="EW44" s="2">
        <v>100</v>
      </c>
      <c r="EX44" s="2">
        <v>100</v>
      </c>
      <c r="EY44" s="2">
        <v>100</v>
      </c>
      <c r="EZ44" s="2" t="s">
        <v>95</v>
      </c>
    </row>
    <row r="45" spans="1:156" x14ac:dyDescent="0.25">
      <c r="A45" s="2" t="s">
        <v>2587</v>
      </c>
      <c r="B45" s="2">
        <v>0.73038295117383301</v>
      </c>
      <c r="C45" s="2">
        <f t="shared" si="0"/>
        <v>1.6590794217595348</v>
      </c>
      <c r="D45" s="2">
        <v>6.3725360439418299</v>
      </c>
      <c r="E45" s="2">
        <v>11.028462981251501</v>
      </c>
      <c r="F45" s="2">
        <v>8.97235094884219E-4</v>
      </c>
      <c r="G45" s="2">
        <v>3.85633162561849E-2</v>
      </c>
      <c r="H45" s="2" t="s">
        <v>2588</v>
      </c>
      <c r="I45" s="2" t="s">
        <v>89</v>
      </c>
      <c r="J45" s="2" t="str">
        <f>HYPERLINK("https://vectorbase.org/vectorbase/app/record/gene/AGAP010480","AGAP010480-RB")</f>
        <v>AGAP010480-RB</v>
      </c>
      <c r="K45" s="2" t="str">
        <f>HYPERLINK(".\links\pep\AGAP010480-PB-pep.txt","AGAP010480-PB")</f>
        <v>AGAP010480-PB</v>
      </c>
      <c r="L45" s="12" t="s">
        <v>88</v>
      </c>
      <c r="M45" s="2">
        <v>924</v>
      </c>
      <c r="N45" s="2">
        <v>0</v>
      </c>
      <c r="O45" s="2">
        <v>1</v>
      </c>
      <c r="P45" s="2" t="s">
        <v>2589</v>
      </c>
      <c r="Q45" s="9" t="s">
        <v>2590</v>
      </c>
      <c r="R45" s="2" t="s">
        <v>195</v>
      </c>
      <c r="S45" s="2" t="str">
        <f>HYPERLINK(".\links\KOG\AGAP010480-PB-KOG.txt","KOG")</f>
        <v>KOG</v>
      </c>
      <c r="T45" s="2">
        <v>1E-61</v>
      </c>
      <c r="U45" s="2">
        <v>81.599999999999994</v>
      </c>
      <c r="V45" s="2" t="s">
        <v>2591</v>
      </c>
      <c r="W45" s="10" t="s">
        <v>2592</v>
      </c>
      <c r="X45" s="2" t="s">
        <v>195</v>
      </c>
      <c r="Y45" s="2" t="str">
        <f>HYPERLINK(".\links\KOG\AGAP010480-PB-KOG.txt","KOG")</f>
        <v>KOG</v>
      </c>
      <c r="Z45" s="13">
        <v>8.0000000000000001E-51</v>
      </c>
      <c r="AA45" s="2">
        <v>48.5</v>
      </c>
      <c r="AB45" s="14" t="str">
        <f>HYPERLINK(".\links\pep\AGAP010480-PB-sulf.txt","1")</f>
        <v>1</v>
      </c>
      <c r="AC45" s="14" t="str">
        <f>HYPERLINK(".\links\Sigp\AGAP010480-PB-SigP.txt","CYT")</f>
        <v>CYT</v>
      </c>
      <c r="AD45" s="2" t="s">
        <v>89</v>
      </c>
      <c r="AE45" s="2">
        <v>102.39</v>
      </c>
      <c r="AF45" s="2">
        <v>6.02</v>
      </c>
      <c r="AG45" s="2" t="s">
        <v>89</v>
      </c>
      <c r="AH45" s="2" t="s">
        <v>89</v>
      </c>
      <c r="AI45" s="2" t="s">
        <v>93</v>
      </c>
      <c r="AJ45" s="14">
        <v>0</v>
      </c>
      <c r="AK45" s="2" t="s">
        <v>89</v>
      </c>
      <c r="AL45" s="2" t="s">
        <v>89</v>
      </c>
      <c r="AM45" s="2" t="s">
        <v>89</v>
      </c>
      <c r="AN45" s="14" t="str">
        <f>HYPERLINK(".\links\gpi\AGAP010480-PB-gpi.txt","N")</f>
        <v>N</v>
      </c>
      <c r="AO45" s="15" t="str">
        <f>HYPERLINK(".\links\netoglyc\AGAP010480-PB-netoglyc.txt","10")</f>
        <v>10</v>
      </c>
      <c r="AP45" s="14">
        <v>17.899999999999999</v>
      </c>
      <c r="AQ45" s="2">
        <v>6.9</v>
      </c>
      <c r="AR45" s="2">
        <v>3.8</v>
      </c>
      <c r="AS45" s="2" t="s">
        <v>94</v>
      </c>
      <c r="AT45" s="9" t="str">
        <f>HYPERLINK(".\links\NR-LIGHT\AGAP010480-PB-NR-LIGHT.txt","AGAP010480-PA, partial")</f>
        <v>AGAP010480-PA, partial</v>
      </c>
      <c r="AU45" s="2" t="str">
        <f>HYPERLINK("http://www.ncbi.nlm.nih.gov/sutils/blink.cgi?pid=XP_311464.4","0.0")</f>
        <v>0.0</v>
      </c>
      <c r="AV45" s="2" t="str">
        <f>HYPERLINK("http://www.ncbi.nlm.nih.gov/protein/XP_311464.4","XP_311464.4")</f>
        <v>XP_311464.4</v>
      </c>
      <c r="AW45" s="2">
        <v>94</v>
      </c>
      <c r="AX45" s="2">
        <v>94</v>
      </c>
      <c r="AY45" s="2">
        <v>106</v>
      </c>
      <c r="AZ45" s="2" t="s">
        <v>95</v>
      </c>
      <c r="BA45" s="9" t="str">
        <f>HYPERLINK(".\links\REFSEQ-INVERTEBRATE\AGAP010480-PB-REFSEQ-INVERTEBRATE.txt","AGAP010480-PA, partial")</f>
        <v>AGAP010480-PA, partial</v>
      </c>
      <c r="BB45" s="2" t="str">
        <f>HYPERLINK("http://www.ncbi.nlm.nih.gov/sutils/blink.cgi?pid=XP_311464.4","0.0")</f>
        <v>0.0</v>
      </c>
      <c r="BC45" s="2" t="str">
        <f>HYPERLINK("http://www.ncbi.nlm.nih.gov/protein/XP_311464.4","XP_311464.4")</f>
        <v>XP_311464.4</v>
      </c>
      <c r="BD45" s="2">
        <v>94</v>
      </c>
      <c r="BE45" s="2">
        <v>94</v>
      </c>
      <c r="BF45" s="2">
        <v>106</v>
      </c>
      <c r="BG45" s="2" t="s">
        <v>95</v>
      </c>
      <c r="BH45" s="9" t="str">
        <f>HYPERLINK(".\links\REFSEQ-PROTOZOA\AGAP010480-PB-REFSEQ-PROTOZOA.txt","hypothetical protein H257_17932")</f>
        <v>hypothetical protein H257_17932</v>
      </c>
      <c r="BI45" s="2" t="str">
        <f>HYPERLINK("http://www.ncbi.nlm.nih.gov/sutils/blink.cgi?pid=XP_009845202.1","2E-037")</f>
        <v>2E-037</v>
      </c>
      <c r="BJ45" s="2" t="str">
        <f>HYPERLINK("http://www.ncbi.nlm.nih.gov/protein/XP_009845202.1","XP_009845202.1")</f>
        <v>XP_009845202.1</v>
      </c>
      <c r="BK45" s="2">
        <v>38</v>
      </c>
      <c r="BL45" s="2">
        <v>50</v>
      </c>
      <c r="BM45" s="2">
        <v>71</v>
      </c>
      <c r="BN45" s="2" t="s">
        <v>320</v>
      </c>
      <c r="BO45" s="9" t="str">
        <f>HYPERLINK(".\links\SWISSP\AGAP010480-PB-SWISSP.txt","Inositol hexakisphosphate kinase 2")</f>
        <v>Inositol hexakisphosphate kinase 2</v>
      </c>
      <c r="BP45" s="2" t="str">
        <f>HYPERLINK("http://www.uniprot.org/uniprot/Q95221","4E-052")</f>
        <v>4E-052</v>
      </c>
      <c r="BQ45" s="2" t="str">
        <f>HYPERLINK("http://www.uniprot.org/uniprot/Q95221#expression","Q95221")</f>
        <v>Q95221</v>
      </c>
      <c r="BR45" s="2">
        <v>38</v>
      </c>
      <c r="BS45" s="2">
        <v>50</v>
      </c>
      <c r="BT45" s="2">
        <v>81</v>
      </c>
      <c r="BU45" s="2" t="s">
        <v>2593</v>
      </c>
      <c r="BV45" s="9" t="str">
        <f>HYPERLINK(".\links\FLYBASE\AGAP010480-PB-FLYBASE.txt","FBpp0071578")</f>
        <v>FBpp0071578</v>
      </c>
      <c r="BW45" s="2" t="str">
        <f>HYPERLINK("http://flybase.org/reports/FBgn0034644#alliance_summary_container","1E-154")</f>
        <v>1E-154</v>
      </c>
      <c r="BX45" s="2">
        <v>902</v>
      </c>
      <c r="BY45" s="2">
        <v>80</v>
      </c>
      <c r="BZ45" s="2">
        <v>90</v>
      </c>
      <c r="CA45" s="2">
        <v>30</v>
      </c>
      <c r="CB45" s="9" t="str">
        <f>HYPERLINK(".\links\CDD\AGAP010480-PB-CDD.txt","IPK, Inositol polyphosphate kinase")</f>
        <v>IPK, Inositol polyphosphate kinase</v>
      </c>
      <c r="CC45" s="13">
        <v>1E-56</v>
      </c>
      <c r="CD45" s="2">
        <v>72.5</v>
      </c>
      <c r="CE45" s="2" t="s">
        <v>2594</v>
      </c>
      <c r="CF45" s="2" t="s">
        <v>2595</v>
      </c>
      <c r="CG45" s="9" t="str">
        <f>HYPERLINK(".\links\KOG\AGAP010480-PB-KOG.txt","component of the ARGR transcription regulatory complex")</f>
        <v>component of the ARGR transcription regulatory complex</v>
      </c>
      <c r="CH45" s="13">
        <v>1E-61</v>
      </c>
      <c r="CI45" s="2">
        <v>81.7</v>
      </c>
      <c r="CJ45" s="2" t="s">
        <v>2596</v>
      </c>
      <c r="CK45" s="2" t="s">
        <v>2597</v>
      </c>
      <c r="CL45" s="9" t="str">
        <f>HYPERLINK(".\links\PFAM\AGAP010480-PB-PFAM.txt","IPK, Inositol polyphosphate kinase")</f>
        <v>IPK, Inositol polyphosphate kinase</v>
      </c>
      <c r="CM45" s="13">
        <v>1.9999999999999999E-57</v>
      </c>
      <c r="CN45" s="2">
        <v>72.5</v>
      </c>
      <c r="CO45" s="2" t="s">
        <v>2594</v>
      </c>
      <c r="CP45" s="9" t="str">
        <f>HYPERLINK(".\links\SMART\AGAP010480-PB-SMART.txt","Amelogenin, Amelogenins, cell adhesion proteins, play a role in the biomineralisation of teeth")</f>
        <v>Amelogenin, Amelogenins, cell adhesion proteins, play a role in the biomineralisation of teeth</v>
      </c>
      <c r="CQ45" s="13">
        <v>8.0000000000000004E-4</v>
      </c>
      <c r="CR45" s="2">
        <v>33.299999999999997</v>
      </c>
      <c r="CS45" s="2" t="s">
        <v>1530</v>
      </c>
      <c r="CT45" s="2" t="s">
        <v>2591</v>
      </c>
      <c r="CU45" s="2" t="s">
        <v>2591</v>
      </c>
      <c r="CV45" s="2" t="s">
        <v>2591</v>
      </c>
      <c r="CW45" s="2" t="str">
        <f>HYPERLINK(".\links\pep\AGAP010480-PB-pep.txt","AGAP010480-PB")</f>
        <v>AGAP010480-PB</v>
      </c>
      <c r="CX45" s="2" t="s">
        <v>88</v>
      </c>
      <c r="CY45" s="2">
        <v>924</v>
      </c>
      <c r="CZ45" s="2" t="s">
        <v>103</v>
      </c>
      <c r="DA45" s="2">
        <v>0</v>
      </c>
      <c r="DB45" s="2">
        <v>1</v>
      </c>
      <c r="DD45" s="2" t="str">
        <f>HYPERLINK("https://www.kegg.jp/kegg-bin/search_pathway_text?map=aga&amp;keyword=AGAP010480&amp;mode=1&amp;viewImage=true","AGAP010480")</f>
        <v>AGAP010480</v>
      </c>
      <c r="DE45" s="2" t="s">
        <v>2587</v>
      </c>
      <c r="DF45" s="2" t="s">
        <v>2588</v>
      </c>
      <c r="DG45" s="2" t="s">
        <v>89</v>
      </c>
      <c r="DH45" s="2" t="str">
        <f>HYPERLINK("https://vectorbase.org/vectorbase/app/record/gene/AGAP010480","AGAP010480-RB")</f>
        <v>AGAP010480-RB</v>
      </c>
      <c r="DI45" s="2" t="s">
        <v>140</v>
      </c>
      <c r="DJ45" s="2">
        <v>6999</v>
      </c>
      <c r="DK45" s="2" t="str">
        <f>HYPERLINK(".\links\netoglyc\AGAP010480-PB-netoglyc.txt","10")</f>
        <v>10</v>
      </c>
      <c r="DL45" s="2">
        <v>17.899999999999999</v>
      </c>
      <c r="DM45" s="2">
        <v>6.9</v>
      </c>
      <c r="DN45" s="2">
        <v>3.8</v>
      </c>
      <c r="DO45" s="2" t="s">
        <v>94</v>
      </c>
      <c r="DP45" s="2" t="s">
        <v>2598</v>
      </c>
      <c r="DQ45" s="2" t="str">
        <f>HYPERLINK(".\links\Sigp\AGAP010480-PB-SigP.txt","CYT")</f>
        <v>CYT</v>
      </c>
      <c r="DR45" s="2" t="s">
        <v>89</v>
      </c>
      <c r="DS45" s="2">
        <v>102.39</v>
      </c>
      <c r="DT45" s="2">
        <v>6.02</v>
      </c>
      <c r="DU45" s="2" t="s">
        <v>89</v>
      </c>
      <c r="DV45" s="2" t="s">
        <v>89</v>
      </c>
      <c r="DW45" s="2" t="s">
        <v>93</v>
      </c>
      <c r="DX45" s="2">
        <v>924</v>
      </c>
      <c r="DY45" s="12">
        <v>0</v>
      </c>
      <c r="DZ45" s="2" t="s">
        <v>89</v>
      </c>
      <c r="EA45" s="2" t="s">
        <v>89</v>
      </c>
      <c r="EB45" s="2" t="s">
        <v>89</v>
      </c>
      <c r="EC45" s="2" t="str">
        <f>HYPERLINK(".\links\gpi\AGAP010480-PB-gpi.txt","Y-NoSP")</f>
        <v>Y-NoSP</v>
      </c>
      <c r="ED45" s="2">
        <v>0.22</v>
      </c>
      <c r="EF45" s="2">
        <v>12</v>
      </c>
      <c r="EG45" s="2" t="str">
        <f>HYPERLINK(".\links\pep\AGAP010480-PB-sulf.txt","1")</f>
        <v>1</v>
      </c>
      <c r="EH45" s="2" t="s">
        <v>89</v>
      </c>
      <c r="EI45" s="2">
        <v>17.8571428571429</v>
      </c>
      <c r="EJ45" s="2">
        <v>3.7878787878787898</v>
      </c>
      <c r="EK45" s="2">
        <v>6.9264069264069299</v>
      </c>
      <c r="EL45" s="2">
        <v>10.714285714285699</v>
      </c>
      <c r="EM45" s="2">
        <v>1</v>
      </c>
      <c r="EN45" s="2">
        <v>1</v>
      </c>
      <c r="EO45" s="2">
        <v>3</v>
      </c>
      <c r="EP45" s="2" t="s">
        <v>89</v>
      </c>
      <c r="EQ45" s="2" t="s">
        <v>89</v>
      </c>
      <c r="ER45" s="2" t="s">
        <v>89</v>
      </c>
      <c r="ES45" s="2" t="s">
        <v>89</v>
      </c>
      <c r="ET45" s="2" t="str">
        <f>HYPERLINK(".\links\REFSEQ-INVERTEBRATE\AGAP010480-PB-REFSEQ-INVERTEBRATE.txt","AGAP010480-PA, partial")</f>
        <v>AGAP010480-PA, partial</v>
      </c>
      <c r="EU45" s="2" t="str">
        <f>HYPERLINK("http://www.ncbi.nlm.nih.gov/sutils/blink.cgi?pid=XP_311464.4","0.0")</f>
        <v>0.0</v>
      </c>
      <c r="EV45" s="2" t="str">
        <f>HYPERLINK("http://www.ncbi.nlm.nih.gov/protein/XP_311464.4","XP_311464.4")</f>
        <v>XP_311464.4</v>
      </c>
      <c r="EW45" s="2">
        <v>93</v>
      </c>
      <c r="EX45" s="2">
        <v>93</v>
      </c>
      <c r="EY45" s="2">
        <v>106</v>
      </c>
      <c r="EZ45" s="2" t="s">
        <v>95</v>
      </c>
    </row>
    <row r="46" spans="1:156" x14ac:dyDescent="0.25">
      <c r="A46" s="2" t="s">
        <v>2782</v>
      </c>
      <c r="B46" s="2">
        <v>0.66514606815531196</v>
      </c>
      <c r="C46" s="2">
        <f t="shared" si="0"/>
        <v>1.5857288149504878</v>
      </c>
      <c r="D46" s="2">
        <v>7.2062437493891798</v>
      </c>
      <c r="E46" s="2">
        <v>11.9461656295453</v>
      </c>
      <c r="F46" s="2">
        <v>5.47599607752226E-4</v>
      </c>
      <c r="G46" s="2">
        <v>2.79046211202452E-2</v>
      </c>
      <c r="H46" s="2" t="s">
        <v>2783</v>
      </c>
      <c r="I46" s="2" t="s">
        <v>87</v>
      </c>
      <c r="J46" s="2" t="str">
        <f>HYPERLINK("https://vectorbase.org/vectorbase/app/record/gene/AGAP012146","AGAP012146-RA")</f>
        <v>AGAP012146-RA</v>
      </c>
      <c r="K46" s="2" t="str">
        <f>HYPERLINK(".\links\pep\AGAP012146-PA-pep.txt","AGAP012146-PA")</f>
        <v>AGAP012146-PA</v>
      </c>
      <c r="L46" s="12" t="s">
        <v>88</v>
      </c>
      <c r="M46" s="2">
        <v>501</v>
      </c>
      <c r="N46" s="2">
        <v>0</v>
      </c>
      <c r="O46" s="2">
        <v>2</v>
      </c>
      <c r="P46" s="2" t="s">
        <v>2784</v>
      </c>
      <c r="Q46" s="9" t="s">
        <v>2785</v>
      </c>
      <c r="R46" s="2" t="s">
        <v>2786</v>
      </c>
      <c r="S46" s="2" t="str">
        <f>HYPERLINK(".\links\KOG\AGAP012146-PA-KOG.txt","KOG")</f>
        <v>KOG</v>
      </c>
      <c r="T46" s="2">
        <v>0</v>
      </c>
      <c r="U46" s="2">
        <v>93.5</v>
      </c>
      <c r="V46" s="2" t="s">
        <v>2787</v>
      </c>
      <c r="W46" s="10" t="s">
        <v>2788</v>
      </c>
      <c r="X46" s="2" t="s">
        <v>2786</v>
      </c>
      <c r="Y46" s="2" t="str">
        <f>HYPERLINK(".\links\KOG\AGAP012146-PA-KOG.txt","KOG")</f>
        <v>KOG</v>
      </c>
      <c r="Z46" s="13">
        <v>0</v>
      </c>
      <c r="AA46" s="2">
        <v>91.4</v>
      </c>
      <c r="AB46" s="14" t="s">
        <v>89</v>
      </c>
      <c r="AC46" s="14" t="str">
        <f>HYPERLINK(".\links\Sigp\AGAP012146-PA-SigP.txt","CYT")</f>
        <v>CYT</v>
      </c>
      <c r="AD46" s="2" t="s">
        <v>89</v>
      </c>
      <c r="AE46" s="2">
        <v>57.372999999999998</v>
      </c>
      <c r="AF46" s="2">
        <v>8.91</v>
      </c>
      <c r="AG46" s="2" t="s">
        <v>89</v>
      </c>
      <c r="AH46" s="2" t="s">
        <v>89</v>
      </c>
      <c r="AI46" s="2" t="s">
        <v>2789</v>
      </c>
      <c r="AJ46" s="14" t="str">
        <f>HYPERLINK(".\links\tmhmm\AGAP012146-PA-tmhmm.txt","8")</f>
        <v>8</v>
      </c>
      <c r="AK46" s="2">
        <v>32.9</v>
      </c>
      <c r="AL46" s="2">
        <v>15</v>
      </c>
      <c r="AM46" s="2">
        <v>52.1</v>
      </c>
      <c r="AN46" s="14" t="str">
        <f>HYPERLINK(".\links\gpi\AGAP012146-PA-gpi.txt","N")</f>
        <v>N</v>
      </c>
      <c r="AO46" s="15" t="str">
        <f>HYPERLINK(".\links\netoglyc\AGAP012146-PA-netoglyc.txt","3")</f>
        <v>3</v>
      </c>
      <c r="AP46" s="14">
        <v>11.8</v>
      </c>
      <c r="AQ46" s="2">
        <v>6</v>
      </c>
      <c r="AR46" s="2">
        <v>5</v>
      </c>
      <c r="AS46" s="2" t="s">
        <v>94</v>
      </c>
      <c r="AT46" s="9" t="str">
        <f>HYPERLINK(".\links\NR-LIGHT\AGAP012146-PA-NR-LIGHT.txt","AGAP012146-PA")</f>
        <v>AGAP012146-PA</v>
      </c>
      <c r="AU46" s="2" t="str">
        <f>HYPERLINK("http://www.ncbi.nlm.nih.gov/sutils/blink.cgi?pid=XP_320381.3","0.0")</f>
        <v>0.0</v>
      </c>
      <c r="AV46" s="2" t="str">
        <f>HYPERLINK("http://www.ncbi.nlm.nih.gov/protein/XP_320381.3","XP_320381.3")</f>
        <v>XP_320381.3</v>
      </c>
      <c r="AW46" s="2">
        <v>100</v>
      </c>
      <c r="AX46" s="2">
        <v>100</v>
      </c>
      <c r="AY46" s="2">
        <v>100</v>
      </c>
      <c r="AZ46" s="2" t="s">
        <v>95</v>
      </c>
      <c r="BA46" s="9" t="str">
        <f>HYPERLINK(".\links\REFSEQ-INVERTEBRATE\AGAP012146-PA-REFSEQ-INVERTEBRATE.txt","AGAP012146-PA")</f>
        <v>AGAP012146-PA</v>
      </c>
      <c r="BB46" s="2" t="str">
        <f>HYPERLINK("http://www.ncbi.nlm.nih.gov/sutils/blink.cgi?pid=XP_320381.3","0.0")</f>
        <v>0.0</v>
      </c>
      <c r="BC46" s="2" t="str">
        <f>HYPERLINK("http://www.ncbi.nlm.nih.gov/protein/XP_320381.3","XP_320381.3")</f>
        <v>XP_320381.3</v>
      </c>
      <c r="BD46" s="2">
        <v>100</v>
      </c>
      <c r="BE46" s="2">
        <v>100</v>
      </c>
      <c r="BF46" s="2">
        <v>100</v>
      </c>
      <c r="BG46" s="2" t="s">
        <v>95</v>
      </c>
      <c r="BH46" s="9" t="str">
        <f>HYPERLINK(".\links\REFSEQ-PROTOZOA\AGAP012146-PA-REFSEQ-PROTOZOA.txt","hypothetical protein SARC_06842")</f>
        <v>hypothetical protein SARC_06842</v>
      </c>
      <c r="BI46" s="2" t="str">
        <f>HYPERLINK("http://www.ncbi.nlm.nih.gov/sutils/blink.cgi?pid=XP_014154707.1","3E-089")</f>
        <v>3E-089</v>
      </c>
      <c r="BJ46" s="2" t="str">
        <f>HYPERLINK("http://www.ncbi.nlm.nih.gov/protein/XP_014154707.1","XP_014154707.1")</f>
        <v>XP_014154707.1</v>
      </c>
      <c r="BK46" s="2">
        <v>40</v>
      </c>
      <c r="BL46" s="2">
        <v>60</v>
      </c>
      <c r="BM46" s="2">
        <v>94</v>
      </c>
      <c r="BN46" s="2" t="s">
        <v>168</v>
      </c>
      <c r="BO46" s="9" t="str">
        <f>HYPERLINK(".\links\SWISSP\AGAP012146-PA-SWISSP.txt","Phosphatidylserine synthase 1")</f>
        <v>Phosphatidylserine synthase 1</v>
      </c>
      <c r="BP46" s="2" t="str">
        <f>HYPERLINK("http://www.uniprot.org/uniprot/Q99LH2","1E-142")</f>
        <v>1E-142</v>
      </c>
      <c r="BQ46" s="2" t="str">
        <f>HYPERLINK("http://www.uniprot.org/uniprot/Q99LH2#expression","Q99LH2")</f>
        <v>Q99LH2</v>
      </c>
      <c r="BR46" s="2">
        <v>51</v>
      </c>
      <c r="BS46" s="2">
        <v>69</v>
      </c>
      <c r="BT46" s="2">
        <v>98</v>
      </c>
      <c r="BU46" s="2" t="s">
        <v>566</v>
      </c>
      <c r="BV46" s="9" t="str">
        <f>HYPERLINK(".\links\FLYBASE\AGAP012146-PA-FLYBASE.txt","FBpp0303956")</f>
        <v>FBpp0303956</v>
      </c>
      <c r="BW46" s="2" t="str">
        <f>HYPERLINK("http://flybase.org/reports/FBgn0037010#alliance_summary_container","0.0")</f>
        <v>0.0</v>
      </c>
      <c r="BX46" s="2">
        <v>497</v>
      </c>
      <c r="BY46" s="2">
        <v>71</v>
      </c>
      <c r="BZ46" s="2">
        <v>84</v>
      </c>
      <c r="CA46" s="2">
        <v>87</v>
      </c>
      <c r="CB46" s="9" t="str">
        <f>HYPERLINK(".\links\CDD\AGAP012146-PA-CDD.txt","PSS, Phosphatidyl serine synthase")</f>
        <v>PSS, Phosphatidyl serine synthase</v>
      </c>
      <c r="CC46" s="13">
        <v>1.0000000000000001E-128</v>
      </c>
      <c r="CD46" s="2">
        <v>101.1</v>
      </c>
      <c r="CE46" s="2" t="s">
        <v>2790</v>
      </c>
      <c r="CF46" s="2" t="s">
        <v>2791</v>
      </c>
      <c r="CG46" s="9" t="str">
        <f>HYPERLINK(".\links\KOG\AGAP012146-PA-KOG.txt","Phosphatidylserine synthase")</f>
        <v>Phosphatidylserine synthase</v>
      </c>
      <c r="CH46" s="13">
        <v>9.9999999999999995E-179</v>
      </c>
      <c r="CI46" s="2">
        <v>93.6</v>
      </c>
      <c r="CJ46" s="2" t="s">
        <v>2792</v>
      </c>
      <c r="CK46" s="2" t="s">
        <v>172</v>
      </c>
      <c r="CL46" s="9" t="str">
        <f>HYPERLINK(".\links\PFAM\AGAP012146-PA-PFAM.txt","PSS, Phosphatidyl serine synthase")</f>
        <v>PSS, Phosphatidyl serine synthase</v>
      </c>
      <c r="CM46" s="13">
        <v>1.0000000000000001E-128</v>
      </c>
      <c r="CN46" s="2">
        <v>101.1</v>
      </c>
      <c r="CO46" s="2" t="s">
        <v>2790</v>
      </c>
      <c r="CP46" s="9" t="str">
        <f>HYPERLINK(".\links\SMART\AGAP012146-PA-SMART.txt","VKc, Family of likely enzymes that includes the catalytic subunit of vitamin K epoxide reductase")</f>
        <v>VKc, Family of likely enzymes that includes the catalytic subunit of vitamin K epoxide reductase</v>
      </c>
      <c r="CQ46" s="13">
        <v>0.56000000000000005</v>
      </c>
      <c r="CR46" s="2">
        <v>32.4</v>
      </c>
      <c r="CS46" s="2" t="s">
        <v>2793</v>
      </c>
      <c r="CT46" s="2" t="s">
        <v>2787</v>
      </c>
      <c r="CU46" s="2" t="s">
        <v>2787</v>
      </c>
      <c r="CV46" s="2" t="s">
        <v>2787</v>
      </c>
      <c r="CW46" s="2" t="str">
        <f>HYPERLINK(".\links\pep\AGAP012146-PA-pep.txt","AGAP012146-PA")</f>
        <v>AGAP012146-PA</v>
      </c>
      <c r="CX46" s="2" t="s">
        <v>88</v>
      </c>
      <c r="CY46" s="2">
        <v>501</v>
      </c>
      <c r="CZ46" s="2" t="s">
        <v>103</v>
      </c>
      <c r="DA46" s="2" t="s">
        <v>2794</v>
      </c>
      <c r="DB46" s="2">
        <v>0</v>
      </c>
      <c r="DC46" s="2">
        <v>2</v>
      </c>
      <c r="DD46" s="2" t="str">
        <f>HYPERLINK("https://www.kegg.jp/kegg-bin/search_pathway_text?map=aga&amp;keyword=AGAP012146&amp;mode=1&amp;viewImage=true","AGAP012146")</f>
        <v>AGAP012146</v>
      </c>
      <c r="DE46" s="2" t="s">
        <v>2782</v>
      </c>
      <c r="DF46" s="2" t="s">
        <v>2783</v>
      </c>
      <c r="DG46" s="2" t="s">
        <v>87</v>
      </c>
      <c r="DH46" s="2" t="str">
        <f>HYPERLINK("https://vectorbase.org/vectorbase/app/record/gene/AGAP012146","AGAP012146-RA")</f>
        <v>AGAP012146-RA</v>
      </c>
      <c r="DI46" s="2" t="s">
        <v>158</v>
      </c>
      <c r="DJ46" s="2">
        <v>4548</v>
      </c>
      <c r="DK46" s="2" t="str">
        <f>HYPERLINK(".\links\netoglyc\AGAP012146-PA-netoglyc.txt","3")</f>
        <v>3</v>
      </c>
      <c r="DL46" s="2">
        <v>11.8</v>
      </c>
      <c r="DM46" s="2">
        <v>6</v>
      </c>
      <c r="DN46" s="2">
        <v>5</v>
      </c>
      <c r="DO46" s="2" t="s">
        <v>94</v>
      </c>
      <c r="DP46" s="2" t="s">
        <v>89</v>
      </c>
      <c r="DQ46" s="2" t="str">
        <f>HYPERLINK(".\links\Sigp\AGAP012146-PA-SigP.txt","CYT")</f>
        <v>CYT</v>
      </c>
      <c r="DR46" s="2" t="s">
        <v>89</v>
      </c>
      <c r="DS46" s="2">
        <v>57.372999999999998</v>
      </c>
      <c r="DT46" s="2">
        <v>8.91</v>
      </c>
      <c r="DU46" s="2" t="s">
        <v>89</v>
      </c>
      <c r="DV46" s="2" t="s">
        <v>89</v>
      </c>
      <c r="DW46" s="2" t="s">
        <v>2789</v>
      </c>
      <c r="DX46" s="2">
        <v>501</v>
      </c>
      <c r="DY46" s="12" t="str">
        <f>HYPERLINK(".\links\tmhmm\AGAP012146-PA-tmhmm.txt","8")</f>
        <v>8</v>
      </c>
      <c r="DZ46" s="2">
        <v>32.9</v>
      </c>
      <c r="EA46" s="2">
        <v>15</v>
      </c>
      <c r="EB46" s="2">
        <v>52.1</v>
      </c>
      <c r="EC46" s="2" t="str">
        <f>HYPERLINK(".\links\gpi\AGAP012146-PA-gpi.txt","Y-NoSP")</f>
        <v>Y-NoSP</v>
      </c>
      <c r="ED46" s="2">
        <v>0.26</v>
      </c>
      <c r="EE46" s="2" t="s">
        <v>2795</v>
      </c>
      <c r="EF46" s="2">
        <v>11</v>
      </c>
      <c r="EG46" s="2" t="s">
        <v>89</v>
      </c>
      <c r="EH46" s="2" t="s">
        <v>89</v>
      </c>
      <c r="EI46" s="2">
        <v>11.776447105788399</v>
      </c>
      <c r="EJ46" s="2">
        <v>4.9900199600798398</v>
      </c>
      <c r="EK46" s="2">
        <v>5.9880239520958103</v>
      </c>
      <c r="EL46" s="2">
        <v>10.9780439121756</v>
      </c>
      <c r="EM46" s="2" t="s">
        <v>89</v>
      </c>
      <c r="EN46" s="2">
        <v>2</v>
      </c>
      <c r="EO46" s="2">
        <v>2</v>
      </c>
      <c r="EP46" s="2" t="s">
        <v>89</v>
      </c>
      <c r="EQ46" s="2" t="s">
        <v>89</v>
      </c>
      <c r="ER46" s="2" t="s">
        <v>89</v>
      </c>
      <c r="ES46" s="2" t="s">
        <v>89</v>
      </c>
      <c r="ET46" s="2" t="str">
        <f>HYPERLINK(".\links\REFSEQ-INVERTEBRATE\AGAP012146-PA-REFSEQ-INVERTEBRATE.txt","AGAP012146-PA")</f>
        <v>AGAP012146-PA</v>
      </c>
      <c r="EU46" s="2" t="str">
        <f>HYPERLINK("http://www.ncbi.nlm.nih.gov/sutils/blink.cgi?pid=XP_320381.3","0.0")</f>
        <v>0.0</v>
      </c>
      <c r="EV46" s="2" t="str">
        <f>HYPERLINK("http://www.ncbi.nlm.nih.gov/protein/XP_320381.3","XP_320381.3")</f>
        <v>XP_320381.3</v>
      </c>
      <c r="EW46" s="2">
        <v>100</v>
      </c>
      <c r="EX46" s="2">
        <v>100</v>
      </c>
      <c r="EY46" s="2">
        <v>100</v>
      </c>
      <c r="EZ46" s="2" t="s">
        <v>95</v>
      </c>
    </row>
    <row r="47" spans="1:156" x14ac:dyDescent="0.25">
      <c r="A47" s="2" t="s">
        <v>1990</v>
      </c>
      <c r="B47" s="2">
        <v>0.65580730081761296</v>
      </c>
      <c r="C47" s="2">
        <f t="shared" si="0"/>
        <v>1.5754973206079803</v>
      </c>
      <c r="D47" s="2">
        <v>6.1185799789905904</v>
      </c>
      <c r="E47" s="2">
        <v>11.3786613659226</v>
      </c>
      <c r="F47" s="2">
        <v>7.4292638155489205E-4</v>
      </c>
      <c r="G47" s="2">
        <v>3.45285355446526E-2</v>
      </c>
      <c r="H47" s="2" t="s">
        <v>86</v>
      </c>
      <c r="I47" s="2" t="s">
        <v>87</v>
      </c>
      <c r="J47" s="2" t="str">
        <f>HYPERLINK("https://vectorbase.org/vectorbase/app/record/gene/AGAP007888","AGAP007888-RB")</f>
        <v>AGAP007888-RB</v>
      </c>
      <c r="K47" s="2" t="str">
        <f>HYPERLINK(".\links\pep\AGAP007888-PB-pep.txt","AGAP007888-PB")</f>
        <v>AGAP007888-PB</v>
      </c>
      <c r="L47" s="12" t="s">
        <v>88</v>
      </c>
      <c r="M47" s="2">
        <v>1411</v>
      </c>
      <c r="N47" s="2">
        <v>0</v>
      </c>
      <c r="O47" s="2">
        <v>0</v>
      </c>
      <c r="P47" s="2" t="s">
        <v>89</v>
      </c>
      <c r="Q47" s="9" t="s">
        <v>1980</v>
      </c>
      <c r="R47" s="2" t="s">
        <v>91</v>
      </c>
      <c r="S47" s="2" t="str">
        <f>HYPERLINK(".\links\REFSEQ-INVERTEBRATE\AGAP007888-PB-REFSEQ-INVERTEBRATE.txt","REFSEQ-INVERTEBRATE")</f>
        <v>REFSEQ-INVERTEBRATE</v>
      </c>
      <c r="T47" s="2">
        <v>0</v>
      </c>
      <c r="U47" s="2">
        <v>88</v>
      </c>
      <c r="V47" s="2" t="s">
        <v>1991</v>
      </c>
      <c r="W47" s="10" t="s">
        <v>1981</v>
      </c>
      <c r="X47" s="2" t="s">
        <v>1788</v>
      </c>
      <c r="Y47" s="2" t="str">
        <f>HYPERLINK(".\links\UNIPROTKB\AGAP007888-PB-UNIPROTKB.txt","UNIPROTKB")</f>
        <v>UNIPROTKB</v>
      </c>
      <c r="Z47" s="2">
        <v>5.9999999999999997E-15</v>
      </c>
      <c r="AA47" s="2">
        <v>30.9</v>
      </c>
      <c r="AB47" s="14" t="str">
        <f>HYPERLINK(".\links\pep\AGAP007888-PB-sulf.txt","3")</f>
        <v>3</v>
      </c>
      <c r="AC47" s="14" t="str">
        <f>HYPERLINK(".\links\Sigp\AGAP007888-PB-SigP.txt","CYT")</f>
        <v>CYT</v>
      </c>
      <c r="AD47" s="2" t="s">
        <v>89</v>
      </c>
      <c r="AE47" s="2">
        <v>156.88999999999999</v>
      </c>
      <c r="AF47" s="2">
        <v>5.16</v>
      </c>
      <c r="AG47" s="2" t="s">
        <v>89</v>
      </c>
      <c r="AH47" s="2" t="s">
        <v>89</v>
      </c>
      <c r="AI47" s="2" t="s">
        <v>93</v>
      </c>
      <c r="AJ47" s="14">
        <v>0</v>
      </c>
      <c r="AK47" s="2" t="s">
        <v>89</v>
      </c>
      <c r="AL47" s="2" t="s">
        <v>89</v>
      </c>
      <c r="AM47" s="2" t="s">
        <v>89</v>
      </c>
      <c r="AN47" s="14" t="str">
        <f>HYPERLINK(".\links\gpi\AGAP007888-PB-gpi.txt","N")</f>
        <v>N</v>
      </c>
      <c r="AO47" s="15" t="str">
        <f>HYPERLINK(".\links\netoglyc\AGAP007888-PB-netoglyc.txt","4")</f>
        <v>4</v>
      </c>
      <c r="AP47" s="14">
        <v>16.8</v>
      </c>
      <c r="AQ47" s="2">
        <v>4.5</v>
      </c>
      <c r="AR47" s="2">
        <v>3.8</v>
      </c>
      <c r="AS47" s="2" t="s">
        <v>94</v>
      </c>
      <c r="AT47" s="9" t="str">
        <f>HYPERLINK(".\links\NR-LIGHT\AGAP007888-PB-NR-LIGHT.txt","AGAP007888-PA-like protein")</f>
        <v>AGAP007888-PA-like protein</v>
      </c>
      <c r="AU47" s="2" t="str">
        <f>HYPERLINK("http://www.ncbi.nlm.nih.gov/sutils/blink.cgi?pid=KFB39747.1","0.0")</f>
        <v>0.0</v>
      </c>
      <c r="AV47" s="2" t="str">
        <f>HYPERLINK("http://www.ncbi.nlm.nih.gov/protein/KFB39747.1","KFB39747.1")</f>
        <v>KFB39747.1</v>
      </c>
      <c r="AW47" s="2">
        <v>64</v>
      </c>
      <c r="AX47" s="2">
        <v>73</v>
      </c>
      <c r="AY47" s="2">
        <v>105</v>
      </c>
      <c r="AZ47" s="2" t="s">
        <v>1982</v>
      </c>
      <c r="BA47" s="9" t="str">
        <f>HYPERLINK(".\links\REFSEQ-INVERTEBRATE\AGAP007888-PB-REFSEQ-INVERTEBRATE.txt","AGAP007888-PA")</f>
        <v>AGAP007888-PA</v>
      </c>
      <c r="BB47" s="2" t="str">
        <f>HYPERLINK("http://www.ncbi.nlm.nih.gov/sutils/blink.cgi?pid=XP_317603.4","0.0")</f>
        <v>0.0</v>
      </c>
      <c r="BC47" s="2" t="str">
        <f>HYPERLINK("http://www.ncbi.nlm.nih.gov/protein/XP_317603.4","XP_317603.4")</f>
        <v>XP_317603.4</v>
      </c>
      <c r="BD47" s="2">
        <v>79</v>
      </c>
      <c r="BE47" s="2">
        <v>80</v>
      </c>
      <c r="BF47" s="2">
        <v>89</v>
      </c>
      <c r="BG47" s="2" t="s">
        <v>95</v>
      </c>
      <c r="BH47" s="9" t="str">
        <f>HYPERLINK(".\links\REFSEQ-PROTOZOA\AGAP007888-PB-REFSEQ-PROTOZOA.txt","viral A-type inclusion protein")</f>
        <v>viral A-type inclusion protein</v>
      </c>
      <c r="BI47" s="2" t="str">
        <f>HYPERLINK("http://www.ncbi.nlm.nih.gov/sutils/blink.cgi?pid=XP_001582404.1","3E-022")</f>
        <v>3E-022</v>
      </c>
      <c r="BJ47" s="2" t="str">
        <f>HYPERLINK("http://www.ncbi.nlm.nih.gov/protein/XP_001582404.1","XP_001582404.1")</f>
        <v>XP_001582404.1</v>
      </c>
      <c r="BK47" s="2">
        <v>18</v>
      </c>
      <c r="BL47" s="2">
        <v>41</v>
      </c>
      <c r="BM47" s="2">
        <v>43</v>
      </c>
      <c r="BN47" s="2" t="s">
        <v>879</v>
      </c>
      <c r="BO47" s="9" t="str">
        <f>HYPERLINK(".\links\SWISSP\AGAP007888-PB-SWISSP.txt","Blastoderm-specific protein 25D")</f>
        <v>Blastoderm-specific protein 25D</v>
      </c>
      <c r="BP47" s="2" t="str">
        <f>HYPERLINK("http://www.uniprot.org/uniprot/P11929","1E-105")</f>
        <v>1E-105</v>
      </c>
      <c r="BQ47" s="2" t="str">
        <f>HYPERLINK("http://www.uniprot.org/uniprot/P11929#expression","P11929")</f>
        <v>P11929</v>
      </c>
      <c r="BR47" s="2">
        <v>35</v>
      </c>
      <c r="BS47" s="2">
        <v>52</v>
      </c>
      <c r="BT47" s="2">
        <v>94</v>
      </c>
      <c r="BU47" s="2" t="s">
        <v>151</v>
      </c>
      <c r="BV47" s="9" t="str">
        <f>HYPERLINK(".\links\FLYBASE\AGAP007888-PB-FLYBASE.txt","FBpp0078719")</f>
        <v>FBpp0078719</v>
      </c>
      <c r="BW47" s="2" t="str">
        <f>HYPERLINK("http://flybase.org/reports/FBgn0000228#alliance_summary_container","1E-159")</f>
        <v>1E-159</v>
      </c>
      <c r="BX47" s="2">
        <v>1032</v>
      </c>
      <c r="BY47" s="2">
        <v>37</v>
      </c>
      <c r="BZ47" s="2">
        <v>54</v>
      </c>
      <c r="CA47" s="2">
        <v>95</v>
      </c>
      <c r="CB47" s="9" t="str">
        <f>HYPERLINK(".\links\CDD\AGAP007888-PB-CDD.txt","SbcC, ATPase involved in DNA repair")</f>
        <v>SbcC, ATPase involved in DNA repair</v>
      </c>
      <c r="CC47" s="13">
        <v>2E-12</v>
      </c>
      <c r="CD47" s="2">
        <v>58.9</v>
      </c>
      <c r="CE47" s="2" t="s">
        <v>1983</v>
      </c>
      <c r="CF47" s="2" t="s">
        <v>1992</v>
      </c>
      <c r="CG47" s="9" t="str">
        <f>HYPERLINK(".\links\KOG\AGAP007888-PB-KOG.txt","Myosin class II heavy chain")</f>
        <v>Myosin class II heavy chain</v>
      </c>
      <c r="CH47" s="13">
        <v>3E-9</v>
      </c>
      <c r="CI47" s="2">
        <v>30.1</v>
      </c>
      <c r="CJ47" s="2" t="s">
        <v>1985</v>
      </c>
      <c r="CK47" s="2" t="s">
        <v>461</v>
      </c>
      <c r="CL47" s="9" t="str">
        <f>HYPERLINK(".\links\PFAM\AGAP007888-PB-PFAM.txt","HOOK, HOOK protein")</f>
        <v>HOOK, HOOK protein</v>
      </c>
      <c r="CM47" s="13">
        <v>3.0000000000000001E-5</v>
      </c>
      <c r="CN47" s="2">
        <v>73.599999999999994</v>
      </c>
      <c r="CO47" s="2" t="s">
        <v>1986</v>
      </c>
      <c r="CP47" s="9" t="str">
        <f>HYPERLINK(".\links\SMART\AGAP007888-PB-SMART.txt","Spc7, Spc7 kinetochore protein")</f>
        <v>Spc7, Spc7 kinetochore protein</v>
      </c>
      <c r="CQ47" s="13">
        <v>4.0000000000000003E-5</v>
      </c>
      <c r="CR47" s="2">
        <v>38.799999999999997</v>
      </c>
      <c r="CS47" s="2" t="s">
        <v>1987</v>
      </c>
      <c r="CT47" s="2" t="s">
        <v>1991</v>
      </c>
      <c r="CU47" s="2" t="s">
        <v>1991</v>
      </c>
      <c r="CV47" s="2" t="s">
        <v>1991</v>
      </c>
      <c r="CW47" s="2" t="str">
        <f>HYPERLINK(".\links\pep\AGAP007888-PB-pep.txt","AGAP007888-PB")</f>
        <v>AGAP007888-PB</v>
      </c>
      <c r="CX47" s="2" t="s">
        <v>88</v>
      </c>
      <c r="CY47" s="2">
        <v>1411</v>
      </c>
      <c r="CZ47" s="2" t="s">
        <v>103</v>
      </c>
      <c r="DA47" s="2" t="s">
        <v>1993</v>
      </c>
      <c r="DB47" s="2">
        <v>0</v>
      </c>
      <c r="DC47" s="2">
        <v>0</v>
      </c>
      <c r="DD47" s="2" t="str">
        <f>HYPERLINK("https://www.kegg.jp/kegg-bin/search_pathway_text?map=aga&amp;keyword=AGAP007888&amp;mode=1&amp;viewImage=true","AGAP007888")</f>
        <v>AGAP007888</v>
      </c>
      <c r="DE47" s="2" t="s">
        <v>1990</v>
      </c>
      <c r="DF47" s="2" t="s">
        <v>86</v>
      </c>
      <c r="DG47" s="2" t="s">
        <v>87</v>
      </c>
      <c r="DH47" s="2" t="str">
        <f>HYPERLINK("https://vectorbase.org/vectorbase/app/record/gene/AGAP007888","AGAP007888-RB")</f>
        <v>AGAP007888-RB</v>
      </c>
      <c r="DI47" s="2" t="s">
        <v>105</v>
      </c>
      <c r="DJ47" s="2">
        <v>6690</v>
      </c>
      <c r="DK47" s="2" t="str">
        <f>HYPERLINK(".\links\netoglyc\AGAP007888-PB-netoglyc.txt","4")</f>
        <v>4</v>
      </c>
      <c r="DL47" s="2">
        <v>16.8</v>
      </c>
      <c r="DM47" s="2">
        <v>4.5</v>
      </c>
      <c r="DN47" s="2">
        <v>3.8</v>
      </c>
      <c r="DO47" s="2" t="s">
        <v>94</v>
      </c>
      <c r="DP47" s="2" t="s">
        <v>1994</v>
      </c>
      <c r="DQ47" s="2" t="str">
        <f>HYPERLINK(".\links\Sigp\AGAP007888-PB-SigP.txt","CYT")</f>
        <v>CYT</v>
      </c>
      <c r="DR47" s="2" t="s">
        <v>89</v>
      </c>
      <c r="DS47" s="2">
        <v>156.88999999999999</v>
      </c>
      <c r="DT47" s="2">
        <v>5.16</v>
      </c>
      <c r="DU47" s="2" t="s">
        <v>89</v>
      </c>
      <c r="DV47" s="2" t="s">
        <v>89</v>
      </c>
      <c r="DW47" s="2" t="s">
        <v>93</v>
      </c>
      <c r="DX47" s="2">
        <v>1411</v>
      </c>
      <c r="DY47" s="12">
        <v>0</v>
      </c>
      <c r="DZ47" s="2" t="s">
        <v>89</v>
      </c>
      <c r="EA47" s="2" t="s">
        <v>89</v>
      </c>
      <c r="EB47" s="2" t="s">
        <v>89</v>
      </c>
      <c r="EC47" s="2" t="str">
        <f>HYPERLINK(".\links\gpi\AGAP007888-PB-gpi.txt","Y-NoSP")</f>
        <v>Y-NoSP</v>
      </c>
      <c r="ED47" s="2">
        <v>0.21</v>
      </c>
      <c r="EF47" s="2">
        <v>17</v>
      </c>
      <c r="EG47" s="2" t="str">
        <f>HYPERLINK(".\links\pep\AGAP007888-PB-sulf.txt","3")</f>
        <v>3</v>
      </c>
      <c r="EH47" s="2" t="s">
        <v>89</v>
      </c>
      <c r="EI47" s="2">
        <v>16.7965981573352</v>
      </c>
      <c r="EJ47" s="2">
        <v>3.7562012756910002</v>
      </c>
      <c r="EK47" s="2">
        <v>4.5357902197023403</v>
      </c>
      <c r="EL47" s="2">
        <v>8.29199149539334</v>
      </c>
      <c r="EM47" s="2" t="s">
        <v>89</v>
      </c>
      <c r="EN47" s="2" t="s">
        <v>89</v>
      </c>
      <c r="EO47" s="2">
        <v>3</v>
      </c>
      <c r="EP47" s="2" t="s">
        <v>89</v>
      </c>
      <c r="EQ47" s="2" t="s">
        <v>89</v>
      </c>
      <c r="ER47" s="2" t="s">
        <v>89</v>
      </c>
      <c r="ES47" s="2" t="s">
        <v>89</v>
      </c>
      <c r="ET47" s="2" t="str">
        <f>HYPERLINK(".\links\REFSEQ-INVERTEBRATE\AGAP007888-PB-REFSEQ-INVERTEBRATE.txt","uncharacterized protein LOC118514104 isoform X2")</f>
        <v>uncharacterized protein LOC118514104 isoform X2</v>
      </c>
      <c r="EU47" s="2" t="str">
        <f>HYPERLINK("http://www.ncbi.nlm.nih.gov/sutils/blink.cgi?pid=XP_035916571.1","0.0")</f>
        <v>0.0</v>
      </c>
      <c r="EV47" s="2" t="str">
        <f>HYPERLINK("http://www.ncbi.nlm.nih.gov/protein/XP_035916571.1","XP_035916571.1")</f>
        <v>XP_035916571.1</v>
      </c>
      <c r="EW47" s="2">
        <v>75</v>
      </c>
      <c r="EX47" s="2">
        <v>81</v>
      </c>
      <c r="EY47" s="2">
        <v>104</v>
      </c>
      <c r="EZ47" s="2" t="s">
        <v>600</v>
      </c>
    </row>
    <row r="48" spans="1:156" x14ac:dyDescent="0.25">
      <c r="A48" s="2" t="s">
        <v>683</v>
      </c>
      <c r="B48" s="2">
        <v>0.58878228876305105</v>
      </c>
      <c r="C48" s="2">
        <f t="shared" si="0"/>
        <v>1.503976775249027</v>
      </c>
      <c r="D48" s="2">
        <v>8.6259460091063502</v>
      </c>
      <c r="E48" s="2">
        <v>10.7056570091185</v>
      </c>
      <c r="F48" s="2">
        <v>1.06808451468214E-3</v>
      </c>
      <c r="G48" s="2">
        <v>4.2741958768824397E-2</v>
      </c>
      <c r="H48" s="2" t="s">
        <v>684</v>
      </c>
      <c r="I48" s="2" t="s">
        <v>87</v>
      </c>
      <c r="J48" s="2" t="str">
        <f>HYPERLINK("https://vectorbase.org/vectorbase/app/record/gene/AGAP003047","AGAP003047-RC")</f>
        <v>AGAP003047-RC</v>
      </c>
      <c r="K48" s="2" t="str">
        <f>HYPERLINK(".\links\pep\AGAP003047-PC-pep.txt","AGAP003047-PC")</f>
        <v>AGAP003047-PC</v>
      </c>
      <c r="L48" s="12" t="s">
        <v>88</v>
      </c>
      <c r="M48" s="2">
        <v>802</v>
      </c>
      <c r="N48" s="2">
        <v>0</v>
      </c>
      <c r="O48" s="2">
        <v>2</v>
      </c>
      <c r="P48" s="2" t="s">
        <v>685</v>
      </c>
      <c r="Q48" s="9" t="s">
        <v>686</v>
      </c>
      <c r="R48" s="2" t="s">
        <v>372</v>
      </c>
      <c r="S48" s="2" t="str">
        <f>HYPERLINK(".\links\CDD\AGAP003047-PC-CDD.txt","CDD")</f>
        <v>CDD</v>
      </c>
      <c r="T48" s="2">
        <v>4.9999999999999999E-86</v>
      </c>
      <c r="U48" s="2">
        <v>68.2</v>
      </c>
      <c r="V48" s="2" t="s">
        <v>687</v>
      </c>
      <c r="W48" s="10" t="s">
        <v>688</v>
      </c>
      <c r="X48" s="2" t="s">
        <v>195</v>
      </c>
      <c r="Y48" s="2" t="str">
        <f>HYPERLINK(".\links\CDD\AGAP003047-PC-CDD.txt","CDD")</f>
        <v>CDD</v>
      </c>
      <c r="Z48" s="13">
        <v>9.9999999999999993E-78</v>
      </c>
      <c r="AA48" s="2">
        <v>100</v>
      </c>
      <c r="AB48" s="14" t="str">
        <f>HYPERLINK(".\links\pep\AGAP003047-PC-sulf.txt","2")</f>
        <v>2</v>
      </c>
      <c r="AC48" s="14" t="str">
        <f>HYPERLINK(".\links\Sigp\AGAP003047-PC-SigP.txt","CYT")</f>
        <v>CYT</v>
      </c>
      <c r="AD48" s="2" t="s">
        <v>89</v>
      </c>
      <c r="AE48" s="2">
        <v>84.471000000000004</v>
      </c>
      <c r="AF48" s="2">
        <v>5.64</v>
      </c>
      <c r="AG48" s="2" t="s">
        <v>89</v>
      </c>
      <c r="AH48" s="2" t="s">
        <v>89</v>
      </c>
      <c r="AI48" s="2" t="s">
        <v>373</v>
      </c>
      <c r="AJ48" s="14">
        <v>0</v>
      </c>
      <c r="AK48" s="2" t="s">
        <v>89</v>
      </c>
      <c r="AL48" s="2" t="s">
        <v>89</v>
      </c>
      <c r="AM48" s="2" t="s">
        <v>89</v>
      </c>
      <c r="AN48" s="14" t="str">
        <f>HYPERLINK(".\links\gpi\AGAP003047-PC-gpi.txt","N")</f>
        <v>N</v>
      </c>
      <c r="AO48" s="15" t="str">
        <f>HYPERLINK(".\links\netoglyc\AGAP003047-PC-netoglyc.txt","2")</f>
        <v>2</v>
      </c>
      <c r="AP48" s="14">
        <v>8.9</v>
      </c>
      <c r="AQ48" s="2">
        <v>22.4</v>
      </c>
      <c r="AR48" s="2">
        <v>5</v>
      </c>
      <c r="AS48" s="2">
        <v>1.9</v>
      </c>
      <c r="AT48" s="9" t="str">
        <f>HYPERLINK(".\links\NR-LIGHT\AGAP003047-PC-NR-LIGHT.txt","AGAP003047-PA")</f>
        <v>AGAP003047-PA</v>
      </c>
      <c r="AU48" s="2" t="str">
        <f>HYPERLINK("http://www.ncbi.nlm.nih.gov/sutils/blink.cgi?pid=XP_311826.5","0.0")</f>
        <v>0.0</v>
      </c>
      <c r="AV48" s="2" t="str">
        <f>HYPERLINK("http://www.ncbi.nlm.nih.gov/protein/XP_311826.5","XP_311826.5")</f>
        <v>XP_311826.5</v>
      </c>
      <c r="AW48" s="2">
        <v>100</v>
      </c>
      <c r="AX48" s="2">
        <v>100</v>
      </c>
      <c r="AY48" s="2">
        <v>100</v>
      </c>
      <c r="AZ48" s="2" t="s">
        <v>95</v>
      </c>
      <c r="BA48" s="9" t="str">
        <f>HYPERLINK(".\links\REFSEQ-INVERTEBRATE\AGAP003047-PC-REFSEQ-INVERTEBRATE.txt","AGAP003047-PD")</f>
        <v>AGAP003047-PD</v>
      </c>
      <c r="BB48" s="2" t="str">
        <f>HYPERLINK("http://www.ncbi.nlm.nih.gov/sutils/blink.cgi?pid=XP_003436366.1","0.0")</f>
        <v>0.0</v>
      </c>
      <c r="BC48" s="2" t="str">
        <f>HYPERLINK("http://www.ncbi.nlm.nih.gov/protein/XP_003436366.1","XP_003436366.1")</f>
        <v>XP_003436366.1</v>
      </c>
      <c r="BD48" s="2">
        <v>100</v>
      </c>
      <c r="BE48" s="2">
        <v>100</v>
      </c>
      <c r="BF48" s="2">
        <v>100</v>
      </c>
      <c r="BG48" s="2" t="s">
        <v>95</v>
      </c>
      <c r="BH48" s="9" t="str">
        <f>HYPERLINK(".\links\REFSEQ-PROTOZOA\AGAP003047-PC-REFSEQ-PROTOZOA.txt","hypothetical protein, variant")</f>
        <v>hypothetical protein, variant</v>
      </c>
      <c r="BI48" s="2" t="str">
        <f>HYPERLINK("http://www.ncbi.nlm.nih.gov/sutils/blink.cgi?pid=XP_014157239.1","1E-150")</f>
        <v>1E-150</v>
      </c>
      <c r="BJ48" s="2" t="str">
        <f>HYPERLINK("http://www.ncbi.nlm.nih.gov/protein/XP_014157239.1","XP_014157239.1")</f>
        <v>XP_014157239.1</v>
      </c>
      <c r="BK48" s="2">
        <v>47</v>
      </c>
      <c r="BL48" s="2">
        <v>56</v>
      </c>
      <c r="BM48" s="2">
        <v>109</v>
      </c>
      <c r="BN48" s="2" t="s">
        <v>168</v>
      </c>
      <c r="BO48" s="9" t="str">
        <f>HYPERLINK(".\links\SWISSP\AGAP003047-PC-SWISSP.txt","ATP-dependent RNA helicase bel")</f>
        <v>ATP-dependent RNA helicase bel</v>
      </c>
      <c r="BP48" s="2" t="str">
        <f>HYPERLINK("http://www.uniprot.org/uniprot/Q9VHP0","0.0")</f>
        <v>0.0</v>
      </c>
      <c r="BQ48" s="2" t="str">
        <f>HYPERLINK("http://www.uniprot.org/uniprot/Q9VHP0#expression","Q9VHP0")</f>
        <v>Q9VHP0</v>
      </c>
      <c r="BR48" s="2">
        <v>53</v>
      </c>
      <c r="BS48" s="2">
        <v>59</v>
      </c>
      <c r="BT48" s="2">
        <v>109</v>
      </c>
      <c r="BU48" s="2" t="s">
        <v>151</v>
      </c>
      <c r="BV48" s="9" t="str">
        <f>HYPERLINK(".\links\FLYBASE\AGAP003047-PC-FLYBASE.txt","FBpp0306433")</f>
        <v>FBpp0306433</v>
      </c>
      <c r="BW48" s="2" t="str">
        <f>HYPERLINK("http://flybase.org/reports/FBgn0263231#alliance_summary_container","0.0")</f>
        <v>0.0</v>
      </c>
      <c r="BX48" s="2">
        <v>801</v>
      </c>
      <c r="BY48" s="2">
        <v>61</v>
      </c>
      <c r="BZ48" s="2">
        <v>68</v>
      </c>
      <c r="CA48" s="2">
        <v>67</v>
      </c>
      <c r="CB48" s="9" t="str">
        <f>HYPERLINK(".\links\CDD\AGAP003047-PC-CDD.txt","SrmB, Superfamily II DNA and RNA helicases")</f>
        <v>SrmB, Superfamily II DNA and RNA helicases</v>
      </c>
      <c r="CC48" s="13">
        <v>4.9999999999999999E-86</v>
      </c>
      <c r="CD48" s="2">
        <v>68.2</v>
      </c>
      <c r="CE48" s="2" t="s">
        <v>689</v>
      </c>
      <c r="CF48" s="2" t="s">
        <v>690</v>
      </c>
      <c r="CG48" s="9" t="str">
        <f>HYPERLINK(".\links\KOG\AGAP003047-PC-KOG.txt","ATP-dependent RNA helicase")</f>
        <v>ATP-dependent RNA helicase</v>
      </c>
      <c r="CH48" s="13">
        <v>9.9999999999999998E-138</v>
      </c>
      <c r="CI48" s="2">
        <v>100</v>
      </c>
      <c r="CJ48" s="2" t="s">
        <v>691</v>
      </c>
      <c r="CK48" s="2" t="s">
        <v>692</v>
      </c>
      <c r="CL48" s="9" t="str">
        <f>HYPERLINK(".\links\PFAM\AGAP003047-PC-PFAM.txt","Helicase_C, Helicase conserved C-terminal domain")</f>
        <v>Helicase_C, Helicase conserved C-terminal domain</v>
      </c>
      <c r="CM48" s="13">
        <v>6.9999999999999997E-31</v>
      </c>
      <c r="CN48" s="2">
        <v>106.4</v>
      </c>
      <c r="CO48" s="2" t="s">
        <v>693</v>
      </c>
      <c r="CP48" s="9" t="str">
        <f>HYPERLINK(".\links\SMART\AGAP003047-PC-SMART.txt","DEXDc, DEAD-like helicases superfamily")</f>
        <v>DEXDc, DEAD-like helicases superfamily</v>
      </c>
      <c r="CQ48" s="13">
        <v>2.9999999999999999E-30</v>
      </c>
      <c r="CR48" s="2">
        <v>67.7</v>
      </c>
      <c r="CS48" s="2" t="s">
        <v>694</v>
      </c>
      <c r="CT48" s="2" t="s">
        <v>687</v>
      </c>
      <c r="CU48" s="2" t="s">
        <v>687</v>
      </c>
      <c r="CV48" s="2" t="s">
        <v>687</v>
      </c>
      <c r="CW48" s="2" t="str">
        <f>HYPERLINK(".\links\pep\AGAP003047-PC-pep.txt","AGAP003047-PC")</f>
        <v>AGAP003047-PC</v>
      </c>
      <c r="CX48" s="2" t="s">
        <v>88</v>
      </c>
      <c r="CY48" s="2">
        <v>802</v>
      </c>
      <c r="CZ48" s="2" t="s">
        <v>103</v>
      </c>
      <c r="DA48" s="2" t="s">
        <v>695</v>
      </c>
      <c r="DB48" s="2">
        <v>0</v>
      </c>
      <c r="DC48" s="2">
        <v>2</v>
      </c>
      <c r="DD48" s="2" t="str">
        <f>HYPERLINK("https://www.kegg.jp/kegg-bin/search_pathway_text?map=aga&amp;keyword=AGAP003047&amp;mode=1&amp;viewImage=true","AGAP003047")</f>
        <v>AGAP003047</v>
      </c>
      <c r="DE48" s="2" t="s">
        <v>683</v>
      </c>
      <c r="DF48" s="2" t="s">
        <v>684</v>
      </c>
      <c r="DG48" s="2" t="s">
        <v>87</v>
      </c>
      <c r="DH48" s="2" t="str">
        <f>HYPERLINK("https://vectorbase.org/vectorbase/app/record/gene/AGAP003047","AGAP003047-RC")</f>
        <v>AGAP003047-RC</v>
      </c>
      <c r="DI48" s="2" t="s">
        <v>105</v>
      </c>
      <c r="DJ48" s="2">
        <v>3917</v>
      </c>
      <c r="DK48" s="2" t="str">
        <f>HYPERLINK(".\links\netoglyc\AGAP003047-PC-netoglyc.txt","2")</f>
        <v>2</v>
      </c>
      <c r="DL48" s="2">
        <v>8.9</v>
      </c>
      <c r="DM48" s="2">
        <v>22.4</v>
      </c>
      <c r="DN48" s="2">
        <v>5</v>
      </c>
      <c r="DO48" s="2">
        <v>1.9</v>
      </c>
      <c r="DP48" s="2" t="s">
        <v>696</v>
      </c>
      <c r="DQ48" s="2" t="str">
        <f>HYPERLINK(".\links\Sigp\AGAP003047-PC-SigP.txt","CYT")</f>
        <v>CYT</v>
      </c>
      <c r="DR48" s="2" t="s">
        <v>89</v>
      </c>
      <c r="DS48" s="2">
        <v>84.471000000000004</v>
      </c>
      <c r="DT48" s="2">
        <v>5.64</v>
      </c>
      <c r="DU48" s="2" t="s">
        <v>89</v>
      </c>
      <c r="DV48" s="2" t="s">
        <v>89</v>
      </c>
      <c r="DW48" s="2" t="s">
        <v>373</v>
      </c>
      <c r="DX48" s="2">
        <v>802</v>
      </c>
      <c r="DY48" s="12">
        <v>0</v>
      </c>
      <c r="DZ48" s="2" t="s">
        <v>89</v>
      </c>
      <c r="EA48" s="2" t="s">
        <v>89</v>
      </c>
      <c r="EB48" s="2" t="s">
        <v>89</v>
      </c>
      <c r="EC48" s="2" t="str">
        <f>HYPERLINK(".\links\gpi\AGAP003047-PC-gpi.txt","Y-NoSP")</f>
        <v>Y-NoSP</v>
      </c>
      <c r="ED48" s="2">
        <v>0.48</v>
      </c>
      <c r="EE48" s="2" t="s">
        <v>697</v>
      </c>
      <c r="EF48" s="2">
        <v>6</v>
      </c>
      <c r="EG48" s="2" t="str">
        <f>HYPERLINK(".\links\pep\AGAP003047-PC-sulf.txt","2")</f>
        <v>2</v>
      </c>
      <c r="EH48" s="2" t="s">
        <v>89</v>
      </c>
      <c r="EI48" s="2">
        <v>8.8528678304239392</v>
      </c>
      <c r="EJ48" s="2">
        <v>4.9875311720698301</v>
      </c>
      <c r="EK48" s="2">
        <v>22.443890274314199</v>
      </c>
      <c r="EL48" s="2">
        <v>27.431421446384</v>
      </c>
      <c r="EM48" s="2">
        <v>6</v>
      </c>
      <c r="EN48" s="2" t="s">
        <v>89</v>
      </c>
      <c r="EO48" s="2">
        <v>10</v>
      </c>
      <c r="EP48" s="2" t="s">
        <v>89</v>
      </c>
      <c r="EQ48" s="2" t="s">
        <v>89</v>
      </c>
      <c r="ER48" s="2" t="s">
        <v>89</v>
      </c>
      <c r="ES48" s="2" t="s">
        <v>89</v>
      </c>
      <c r="ET48" s="2" t="str">
        <f>HYPERLINK(".\links\REFSEQ-INVERTEBRATE\AGAP003047-PC-REFSEQ-INVERTEBRATE.txt","AGAP003047-PD")</f>
        <v>AGAP003047-PD</v>
      </c>
      <c r="EU48" s="2" t="str">
        <f>HYPERLINK("http://www.ncbi.nlm.nih.gov/sutils/blink.cgi?pid=XP_003436366.1","0.0")</f>
        <v>0.0</v>
      </c>
      <c r="EV48" s="2" t="str">
        <f>HYPERLINK("http://www.ncbi.nlm.nih.gov/protein/XP_003436366.1","XP_003436366.1")</f>
        <v>XP_003436366.1</v>
      </c>
      <c r="EW48" s="2">
        <v>100</v>
      </c>
      <c r="EX48" s="2">
        <v>100</v>
      </c>
      <c r="EY48" s="2">
        <v>100</v>
      </c>
      <c r="EZ48" s="2" t="s">
        <v>95</v>
      </c>
    </row>
    <row r="49" spans="1:156" x14ac:dyDescent="0.25">
      <c r="A49" s="2" t="s">
        <v>453</v>
      </c>
      <c r="B49" s="2">
        <v>0.57578087682954304</v>
      </c>
      <c r="C49" s="2">
        <f t="shared" si="0"/>
        <v>1.490483988030161</v>
      </c>
      <c r="D49" s="2">
        <v>6.5392826198003702</v>
      </c>
      <c r="E49" s="2">
        <v>11.423997919675299</v>
      </c>
      <c r="F49" s="2">
        <v>7.2501518136950001E-4</v>
      </c>
      <c r="G49" s="2">
        <v>3.3856301035267801E-2</v>
      </c>
      <c r="H49" s="2" t="s">
        <v>86</v>
      </c>
      <c r="I49" s="2" t="s">
        <v>87</v>
      </c>
      <c r="J49" s="2" t="str">
        <f>HYPERLINK("https://vectorbase.org/vectorbase/app/record/gene/AGAP001315","AGAP001315-RD")</f>
        <v>AGAP001315-RD</v>
      </c>
      <c r="K49" s="2" t="str">
        <f>HYPERLINK(".\links\pep\AGAP001315-PD-pep.txt","AGAP001315-PD")</f>
        <v>AGAP001315-PD</v>
      </c>
      <c r="L49" s="12" t="s">
        <v>88</v>
      </c>
      <c r="M49" s="2">
        <v>944</v>
      </c>
      <c r="N49" s="2">
        <v>0</v>
      </c>
      <c r="O49" s="2">
        <v>0</v>
      </c>
      <c r="P49" s="2" t="s">
        <v>89</v>
      </c>
      <c r="Q49" s="9" t="s">
        <v>454</v>
      </c>
      <c r="R49" s="2" t="s">
        <v>91</v>
      </c>
      <c r="S49" s="2" t="str">
        <f>HYPERLINK(".\links\REFSEQ-INVERTEBRATE\AGAP001315-PD-REFSEQ-INVERTEBRATE.txt","REFSEQ-INVERTEBRATE")</f>
        <v>REFSEQ-INVERTEBRATE</v>
      </c>
      <c r="T49" s="2">
        <v>0</v>
      </c>
      <c r="U49" s="2">
        <v>100</v>
      </c>
      <c r="V49" s="2" t="s">
        <v>454</v>
      </c>
      <c r="W49" s="10" t="s">
        <v>455</v>
      </c>
      <c r="X49" s="2" t="s">
        <v>456</v>
      </c>
      <c r="Y49" s="2" t="str">
        <f>HYPERLINK(".\links\REFSEQ-INVERTEBRATE\AGAP001315-PD-REFSEQ-INVERTEBRATE.txt","REFSEQ-INVERTEBRATE")</f>
        <v>REFSEQ-INVERTEBRATE</v>
      </c>
      <c r="Z49" s="2">
        <v>0</v>
      </c>
      <c r="AA49" s="2">
        <v>69.599999999999994</v>
      </c>
      <c r="AB49" s="14" t="s">
        <v>89</v>
      </c>
      <c r="AC49" s="14" t="str">
        <f>HYPERLINK(".\links\Sigp\AGAP001315-PD-SigP.txt","CYT")</f>
        <v>CYT</v>
      </c>
      <c r="AD49" s="2" t="s">
        <v>89</v>
      </c>
      <c r="AE49" s="2">
        <v>104.188</v>
      </c>
      <c r="AF49" s="2">
        <v>5.95</v>
      </c>
      <c r="AG49" s="2" t="s">
        <v>89</v>
      </c>
      <c r="AH49" s="2" t="s">
        <v>89</v>
      </c>
      <c r="AI49" s="2" t="s">
        <v>373</v>
      </c>
      <c r="AJ49" s="14">
        <v>0</v>
      </c>
      <c r="AK49" s="2" t="s">
        <v>89</v>
      </c>
      <c r="AL49" s="2" t="s">
        <v>89</v>
      </c>
      <c r="AM49" s="2" t="s">
        <v>89</v>
      </c>
      <c r="AN49" s="14" t="str">
        <f>HYPERLINK(".\links\gpi\AGAP001315-PD-gpi.txt","N")</f>
        <v>N</v>
      </c>
      <c r="AO49" s="15" t="str">
        <f>HYPERLINK(".\links\netoglyc\AGAP001315-PD-netoglyc.txt","8")</f>
        <v>8</v>
      </c>
      <c r="AP49" s="14">
        <v>18.3</v>
      </c>
      <c r="AQ49" s="2">
        <v>4.4000000000000004</v>
      </c>
      <c r="AR49" s="2">
        <v>3.8</v>
      </c>
      <c r="AS49" s="2" t="s">
        <v>94</v>
      </c>
      <c r="AT49" s="9" t="str">
        <f>HYPERLINK(".\links\NR-LIGHT\AGAP001315-PD-NR-LIGHT.txt","AGAP001315-PD")</f>
        <v>AGAP001315-PD</v>
      </c>
      <c r="AU49" s="2" t="str">
        <f>HYPERLINK("http://www.ncbi.nlm.nih.gov/sutils/blink.cgi?pid=XP_001689365.2","0.0")</f>
        <v>0.0</v>
      </c>
      <c r="AV49" s="2" t="str">
        <f>HYPERLINK("http://www.ncbi.nlm.nih.gov/protein/XP_001689365.2","XP_001689365.2")</f>
        <v>XP_001689365.2</v>
      </c>
      <c r="AW49" s="2">
        <v>100</v>
      </c>
      <c r="AX49" s="2">
        <v>100</v>
      </c>
      <c r="AY49" s="2">
        <v>100</v>
      </c>
      <c r="AZ49" s="2" t="s">
        <v>95</v>
      </c>
      <c r="BA49" s="9" t="str">
        <f>HYPERLINK(".\links\REFSEQ-INVERTEBRATE\AGAP001315-PD-REFSEQ-INVERTEBRATE.txt","AGAP001315-PD")</f>
        <v>AGAP001315-PD</v>
      </c>
      <c r="BB49" s="2" t="str">
        <f>HYPERLINK("http://www.ncbi.nlm.nih.gov/sutils/blink.cgi?pid=XP_001689365.2","0.0")</f>
        <v>0.0</v>
      </c>
      <c r="BC49" s="2" t="str">
        <f>HYPERLINK("http://www.ncbi.nlm.nih.gov/protein/XP_001689365.2","XP_001689365.2")</f>
        <v>XP_001689365.2</v>
      </c>
      <c r="BD49" s="2">
        <v>100</v>
      </c>
      <c r="BE49" s="2">
        <v>100</v>
      </c>
      <c r="BF49" s="2">
        <v>100</v>
      </c>
      <c r="BG49" s="2" t="s">
        <v>95</v>
      </c>
      <c r="BH49" s="9" t="str">
        <f>HYPERLINK(".\links\REFSEQ-PROTOZOA\AGAP001315-PD-REFSEQ-PROTOZOA.txt","hypothetical protein, conserved")</f>
        <v>hypothetical protein, conserved</v>
      </c>
      <c r="BI49" s="2" t="str">
        <f>HYPERLINK("http://www.ncbi.nlm.nih.gov/sutils/blink.cgi?pid=XP_011773123.1","1E-034")</f>
        <v>1E-034</v>
      </c>
      <c r="BJ49" s="2" t="str">
        <f>HYPERLINK("http://www.ncbi.nlm.nih.gov/protein/XP_011773123.1","XP_011773123.1")</f>
        <v>XP_011773123.1</v>
      </c>
      <c r="BK49" s="2">
        <v>25</v>
      </c>
      <c r="BL49" s="2">
        <v>43</v>
      </c>
      <c r="BM49" s="2">
        <v>46</v>
      </c>
      <c r="BN49" s="2" t="s">
        <v>457</v>
      </c>
      <c r="BO49" s="9" t="str">
        <f>HYPERLINK(".\links\SWISSP\AGAP001315-PD-SWISSP.txt","Ensconsin")</f>
        <v>Ensconsin</v>
      </c>
      <c r="BP49" s="2" t="str">
        <f>HYPERLINK("http://www.uniprot.org/uniprot/Q14244","3E-042")</f>
        <v>3E-042</v>
      </c>
      <c r="BQ49" s="2" t="str">
        <f>HYPERLINK("http://www.uniprot.org/uniprot/Q14244#expression","Q14244")</f>
        <v>Q14244</v>
      </c>
      <c r="BR49" s="2">
        <v>27</v>
      </c>
      <c r="BS49" s="2">
        <v>43</v>
      </c>
      <c r="BT49" s="2">
        <v>92</v>
      </c>
      <c r="BU49" s="2" t="s">
        <v>115</v>
      </c>
      <c r="BV49" s="9" t="str">
        <f>HYPERLINK(".\links\FLYBASE\AGAP001315-PD-FLYBASE.txt","FBpp0073121")</f>
        <v>FBpp0073121</v>
      </c>
      <c r="BW49" s="2" t="str">
        <f>HYPERLINK("http://flybase.org/reports/FBgn0264693#alliance_summary_container","3E-87")</f>
        <v>3E-87</v>
      </c>
      <c r="BX49" s="2">
        <v>851</v>
      </c>
      <c r="BY49" s="2">
        <v>48</v>
      </c>
      <c r="BZ49" s="2">
        <v>64</v>
      </c>
      <c r="CA49" s="2">
        <v>82</v>
      </c>
      <c r="CB49" s="9" t="str">
        <f>HYPERLINK(".\links\CDD\AGAP001315-PD-CDD.txt","MAP7, MAP7 (E-MAP-115) family")</f>
        <v>MAP7, MAP7 (E-MAP-115) family</v>
      </c>
      <c r="CC49" s="13">
        <v>4.9999999999999997E-21</v>
      </c>
      <c r="CD49" s="2">
        <v>100</v>
      </c>
      <c r="CE49" s="2" t="s">
        <v>458</v>
      </c>
      <c r="CF49" s="2" t="s">
        <v>459</v>
      </c>
      <c r="CG49" s="9" t="str">
        <f>HYPERLINK(".\links\KOG\AGAP001315-PD-KOG.txt","Myosin class VI heavy chain")</f>
        <v>Myosin class VI heavy chain</v>
      </c>
      <c r="CH49" s="13">
        <v>9E-13</v>
      </c>
      <c r="CI49" s="2">
        <v>9.5</v>
      </c>
      <c r="CJ49" s="2" t="s">
        <v>460</v>
      </c>
      <c r="CK49" s="2" t="s">
        <v>461</v>
      </c>
      <c r="CL49" s="9" t="str">
        <f>HYPERLINK(".\links\PFAM\AGAP001315-PD-PFAM.txt","MAP7, MAP7 (E-MAP-115) family")</f>
        <v>MAP7, MAP7 (E-MAP-115) family</v>
      </c>
      <c r="CM49" s="13">
        <v>8.9999999999999997E-22</v>
      </c>
      <c r="CN49" s="2">
        <v>100</v>
      </c>
      <c r="CO49" s="2" t="s">
        <v>458</v>
      </c>
      <c r="CP49" s="9" t="str">
        <f>HYPERLINK(".\links\SMART\AGAP001315-PD-SMART.txt","TOPEUc, DNA Topoisomerase I (eukaryota)")</f>
        <v>TOPEUc, DNA Topoisomerase I (eukaryota)</v>
      </c>
      <c r="CQ49" s="13">
        <v>5.9999999999999995E-4</v>
      </c>
      <c r="CR49" s="2">
        <v>25.8</v>
      </c>
      <c r="CS49" s="2" t="s">
        <v>425</v>
      </c>
      <c r="CT49" s="2" t="s">
        <v>454</v>
      </c>
      <c r="CU49" s="2" t="s">
        <v>454</v>
      </c>
      <c r="CV49" s="2" t="s">
        <v>454</v>
      </c>
      <c r="CW49" s="2" t="str">
        <f>HYPERLINK(".\links\pep\AGAP001315-PD-pep.txt","AGAP001315-PD")</f>
        <v>AGAP001315-PD</v>
      </c>
      <c r="CX49" s="2" t="s">
        <v>88</v>
      </c>
      <c r="CY49" s="2">
        <v>944</v>
      </c>
      <c r="CZ49" s="2" t="s">
        <v>103</v>
      </c>
      <c r="DA49" s="2" t="s">
        <v>462</v>
      </c>
      <c r="DB49" s="2">
        <v>0</v>
      </c>
      <c r="DC49" s="2">
        <v>0</v>
      </c>
      <c r="DD49" s="2" t="str">
        <f>HYPERLINK("https://www.kegg.jp/kegg-bin/search_pathway_text?map=aga&amp;keyword=AGAP001315&amp;mode=1&amp;viewImage=true","AGAP001315")</f>
        <v>AGAP001315</v>
      </c>
      <c r="DE49" s="2" t="s">
        <v>453</v>
      </c>
      <c r="DF49" s="2" t="s">
        <v>86</v>
      </c>
      <c r="DG49" s="2" t="s">
        <v>87</v>
      </c>
      <c r="DH49" s="2" t="str">
        <f>HYPERLINK("https://vectorbase.org/vectorbase/app/record/gene/AGAP001315","AGAP001315-RD")</f>
        <v>AGAP001315-RD</v>
      </c>
      <c r="DI49" s="2" t="s">
        <v>140</v>
      </c>
      <c r="DJ49" s="2">
        <v>3071</v>
      </c>
      <c r="DK49" s="2" t="str">
        <f>HYPERLINK(".\links\netoglyc\AGAP001315-PD-netoglyc.txt","8")</f>
        <v>8</v>
      </c>
      <c r="DL49" s="2">
        <v>18.3</v>
      </c>
      <c r="DM49" s="2">
        <v>4.4000000000000004</v>
      </c>
      <c r="DN49" s="2">
        <v>3.8</v>
      </c>
      <c r="DO49" s="2" t="s">
        <v>94</v>
      </c>
      <c r="DP49" s="2" t="s">
        <v>463</v>
      </c>
      <c r="DQ49" s="2" t="str">
        <f>HYPERLINK(".\links\Sigp\AGAP001315-PD-SigP.txt","CYT")</f>
        <v>CYT</v>
      </c>
      <c r="DR49" s="2" t="s">
        <v>89</v>
      </c>
      <c r="DS49" s="2">
        <v>104.188</v>
      </c>
      <c r="DT49" s="2">
        <v>5.95</v>
      </c>
      <c r="DU49" s="2" t="s">
        <v>89</v>
      </c>
      <c r="DV49" s="2" t="s">
        <v>89</v>
      </c>
      <c r="DW49" s="2" t="s">
        <v>373</v>
      </c>
      <c r="DX49" s="2">
        <v>944</v>
      </c>
      <c r="DY49" s="12">
        <v>0</v>
      </c>
      <c r="DZ49" s="2" t="s">
        <v>89</v>
      </c>
      <c r="EA49" s="2" t="s">
        <v>89</v>
      </c>
      <c r="EB49" s="2" t="s">
        <v>89</v>
      </c>
      <c r="EC49" s="2" t="str">
        <f>HYPERLINK(".\links\gpi\AGAP001315-PD-gpi.txt","Y-NoSP")</f>
        <v>Y-NoSP</v>
      </c>
      <c r="ED49" s="2">
        <v>0.41</v>
      </c>
      <c r="EF49" s="2">
        <v>1</v>
      </c>
      <c r="EG49" s="2" t="s">
        <v>89</v>
      </c>
      <c r="EH49" s="2" t="s">
        <v>89</v>
      </c>
      <c r="EI49" s="2">
        <v>18.3262711864407</v>
      </c>
      <c r="EJ49" s="2">
        <v>3.8135593220339001</v>
      </c>
      <c r="EK49" s="2">
        <v>4.4491525423728797</v>
      </c>
      <c r="EL49" s="2">
        <v>8.2627118644067803</v>
      </c>
      <c r="EM49" s="2" t="s">
        <v>89</v>
      </c>
      <c r="EN49" s="2">
        <v>2</v>
      </c>
      <c r="EO49" s="2">
        <v>2</v>
      </c>
      <c r="EP49" s="2" t="s">
        <v>89</v>
      </c>
      <c r="EQ49" s="2" t="s">
        <v>89</v>
      </c>
      <c r="ER49" s="2" t="s">
        <v>89</v>
      </c>
      <c r="ES49" s="2" t="s">
        <v>89</v>
      </c>
      <c r="ET49" s="2" t="str">
        <f>HYPERLINK(".\links\REFSEQ-INVERTEBRATE\AGAP001315-PD-REFSEQ-INVERTEBRATE.txt","AGAP001315-PD")</f>
        <v>AGAP001315-PD</v>
      </c>
      <c r="EU49" s="2" t="str">
        <f>HYPERLINK("http://www.ncbi.nlm.nih.gov/sutils/blink.cgi?pid=XP_001689365.2","0.0")</f>
        <v>0.0</v>
      </c>
      <c r="EV49" s="2" t="str">
        <f>HYPERLINK("http://www.ncbi.nlm.nih.gov/protein/XP_001689365.2","XP_001689365.2")</f>
        <v>XP_001689365.2</v>
      </c>
      <c r="EW49" s="2">
        <v>100</v>
      </c>
      <c r="EX49" s="2">
        <v>100</v>
      </c>
      <c r="EY49" s="2">
        <v>100</v>
      </c>
      <c r="EZ49" s="2" t="s">
        <v>95</v>
      </c>
    </row>
    <row r="50" spans="1:156" x14ac:dyDescent="0.25">
      <c r="A50" s="2" t="s">
        <v>2796</v>
      </c>
      <c r="B50" s="2">
        <v>-0.59349619011027099</v>
      </c>
      <c r="C50" s="2">
        <f t="shared" si="0"/>
        <v>0.66273490469196661</v>
      </c>
      <c r="D50" s="2">
        <v>5.9188839620104003</v>
      </c>
      <c r="E50" s="2">
        <v>11.121964145440501</v>
      </c>
      <c r="F50" s="2">
        <v>8.5311396560114805E-4</v>
      </c>
      <c r="G50" s="2">
        <v>3.7225837671128803E-2</v>
      </c>
      <c r="H50" s="2" t="s">
        <v>2797</v>
      </c>
      <c r="I50" s="2" t="s">
        <v>87</v>
      </c>
      <c r="J50" s="2" t="str">
        <f>HYPERLINK("https://vectorbase.org/vectorbase/app/record/gene/AGAP012216","AGAP012216-RA")</f>
        <v>AGAP012216-RA</v>
      </c>
      <c r="K50" s="2" t="str">
        <f>HYPERLINK(".\links\pep\AGAP012216-PA-pep.txt","AGAP012216-PA")</f>
        <v>AGAP012216-PA</v>
      </c>
      <c r="L50" s="12" t="s">
        <v>88</v>
      </c>
      <c r="M50" s="2">
        <v>571</v>
      </c>
      <c r="N50" s="2">
        <v>0</v>
      </c>
      <c r="O50" s="2">
        <v>0</v>
      </c>
      <c r="P50" s="2" t="s">
        <v>2798</v>
      </c>
      <c r="Q50" s="9" t="s">
        <v>2799</v>
      </c>
      <c r="R50" s="2" t="s">
        <v>2786</v>
      </c>
      <c r="S50" s="2" t="str">
        <f>HYPERLINK(".\links\KOG\AGAP012216-PA-KOG.txt","KOG")</f>
        <v>KOG</v>
      </c>
      <c r="T50" s="2">
        <v>9.9999999999999993E-89</v>
      </c>
      <c r="U50" s="2">
        <v>104.5</v>
      </c>
      <c r="V50" s="2" t="s">
        <v>2800</v>
      </c>
      <c r="W50" s="10" t="s">
        <v>2801</v>
      </c>
      <c r="X50" s="2" t="s">
        <v>2786</v>
      </c>
      <c r="Y50" s="2" t="str">
        <f>HYPERLINK(".\links\REFSEQVERTEBRATE95\AGAP012216-PA-REFSEQVERTEBRATE95.txt","REFSEQVERTEBRATE95")</f>
        <v>REFSEQVERTEBRATE95</v>
      </c>
      <c r="Z50" s="13">
        <v>0</v>
      </c>
      <c r="AA50" s="2">
        <v>101.2</v>
      </c>
      <c r="AB50" s="14" t="s">
        <v>89</v>
      </c>
      <c r="AC50" s="14" t="str">
        <f>HYPERLINK(".\links\Sigp\AGAP012216-PA-SigP.txt","CYT")</f>
        <v>CYT</v>
      </c>
      <c r="AD50" s="2" t="s">
        <v>89</v>
      </c>
      <c r="AE50" s="2">
        <v>65.748999999999995</v>
      </c>
      <c r="AF50" s="2">
        <v>9.1999999999999993</v>
      </c>
      <c r="AG50" s="2" t="s">
        <v>89</v>
      </c>
      <c r="AH50" s="2" t="s">
        <v>89</v>
      </c>
      <c r="AI50" s="2" t="s">
        <v>2802</v>
      </c>
      <c r="AJ50" s="14" t="str">
        <f>HYPERLINK(".\links\tmhmm\AGAP012216-PA-tmhmm.txt","8")</f>
        <v>8</v>
      </c>
      <c r="AK50" s="2">
        <v>29.4</v>
      </c>
      <c r="AL50" s="2">
        <v>17.3</v>
      </c>
      <c r="AM50" s="2">
        <v>53.2</v>
      </c>
      <c r="AN50" s="14" t="str">
        <f>HYPERLINK(".\links\gpi\AGAP012216-PA-gpi.txt","N")</f>
        <v>N</v>
      </c>
      <c r="AO50" s="15" t="str">
        <f>HYPERLINK(".\links\netoglyc\AGAP012216-PA-netoglyc.txt","1")</f>
        <v>1</v>
      </c>
      <c r="AP50" s="14">
        <v>12.4</v>
      </c>
      <c r="AQ50" s="2">
        <v>5.6</v>
      </c>
      <c r="AR50" s="2">
        <v>4</v>
      </c>
      <c r="AS50" s="2" t="s">
        <v>94</v>
      </c>
      <c r="AT50" s="9" t="str">
        <f>HYPERLINK(".\links\NR-LIGHT\AGAP012216-PA-NR-LIGHT.txt","AGAP012216-PA")</f>
        <v>AGAP012216-PA</v>
      </c>
      <c r="AU50" s="2" t="str">
        <f>HYPERLINK("http://www.ncbi.nlm.nih.gov/sutils/blink.cgi?pid=XP_320321.3","0.0")</f>
        <v>0.0</v>
      </c>
      <c r="AV50" s="2" t="str">
        <f>HYPERLINK("http://www.ncbi.nlm.nih.gov/protein/XP_320321.3","XP_320321.3")</f>
        <v>XP_320321.3</v>
      </c>
      <c r="AW50" s="2">
        <v>100</v>
      </c>
      <c r="AX50" s="2">
        <v>100</v>
      </c>
      <c r="AY50" s="2">
        <v>100</v>
      </c>
      <c r="AZ50" s="2" t="s">
        <v>95</v>
      </c>
      <c r="BA50" s="9" t="str">
        <f>HYPERLINK(".\links\REFSEQ-INVERTEBRATE\AGAP012216-PA-REFSEQ-INVERTEBRATE.txt","AGAP012216-PA")</f>
        <v>AGAP012216-PA</v>
      </c>
      <c r="BB50" s="2" t="str">
        <f>HYPERLINK("http://www.ncbi.nlm.nih.gov/sutils/blink.cgi?pid=XP_320321.3","0.0")</f>
        <v>0.0</v>
      </c>
      <c r="BC50" s="2" t="str">
        <f>HYPERLINK("http://www.ncbi.nlm.nih.gov/protein/XP_320321.3","XP_320321.3")</f>
        <v>XP_320321.3</v>
      </c>
      <c r="BD50" s="2">
        <v>100</v>
      </c>
      <c r="BE50" s="2">
        <v>100</v>
      </c>
      <c r="BF50" s="2">
        <v>100</v>
      </c>
      <c r="BG50" s="2" t="s">
        <v>95</v>
      </c>
      <c r="BH50" s="9" t="str">
        <f>HYPERLINK(".\links\REFSEQ-PROTOZOA\AGAP012216-PA-REFSEQ-PROTOZOA.txt","cholesterol acyltransferase")</f>
        <v>cholesterol acyltransferase</v>
      </c>
      <c r="BI50" s="2" t="str">
        <f>HYPERLINK("http://www.ncbi.nlm.nih.gov/sutils/blink.cgi?pid=XP_004342463.2","3E-085")</f>
        <v>3E-085</v>
      </c>
      <c r="BJ50" s="2" t="str">
        <f>HYPERLINK("http://www.ncbi.nlm.nih.gov/protein/XP_004342463.2","XP_004342463.2")</f>
        <v>XP_004342463.2</v>
      </c>
      <c r="BK50" s="2">
        <v>36</v>
      </c>
      <c r="BL50" s="2">
        <v>54</v>
      </c>
      <c r="BM50" s="2">
        <v>86</v>
      </c>
      <c r="BN50" s="2" t="s">
        <v>150</v>
      </c>
      <c r="BO50" s="9" t="str">
        <f>HYPERLINK(".\links\SWISSP\AGAP012216-PA-SWISSP.txt","Sterol O-acyltransferase 1")</f>
        <v>Sterol O-acyltransferase 1</v>
      </c>
      <c r="BP50" s="2" t="str">
        <f>HYPERLINK("http://www.uniprot.org/uniprot/Q61263","1E-100")</f>
        <v>1E-100</v>
      </c>
      <c r="BQ50" s="2" t="str">
        <f>HYPERLINK("http://www.uniprot.org/uniprot/Q61263#expression","Q61263")</f>
        <v>Q61263</v>
      </c>
      <c r="BR50" s="2">
        <v>41</v>
      </c>
      <c r="BS50" s="2">
        <v>60</v>
      </c>
      <c r="BT50" s="2">
        <v>81</v>
      </c>
      <c r="BU50" s="2" t="s">
        <v>566</v>
      </c>
      <c r="BV50" s="9" t="str">
        <f>HYPERLINK(".\links\FLYBASE\AGAP012216-PA-FLYBASE.txt","FBpp0293880")</f>
        <v>FBpp0293880</v>
      </c>
      <c r="BW50" s="2" t="str">
        <f>HYPERLINK("http://flybase.org/reports/FBgn0037612#alliance_summary_container","1E-119")</f>
        <v>1E-119</v>
      </c>
      <c r="BX50" s="2">
        <v>559</v>
      </c>
      <c r="BY50" s="2">
        <v>37</v>
      </c>
      <c r="BZ50" s="2">
        <v>55</v>
      </c>
      <c r="CA50" s="2">
        <v>96</v>
      </c>
      <c r="CB50" s="9" t="str">
        <f>HYPERLINK(".\links\CDD\AGAP012216-PA-CDD.txt","PLN03242, diacylglycerol o-acyltransferase")</f>
        <v>PLN03242, diacylglycerol o-acyltransferase</v>
      </c>
      <c r="CC50" s="13">
        <v>3.0000000000000002E-36</v>
      </c>
      <c r="CD50" s="2">
        <v>70.5</v>
      </c>
      <c r="CE50" s="2" t="s">
        <v>2803</v>
      </c>
      <c r="CF50" s="2" t="s">
        <v>2804</v>
      </c>
      <c r="CG50" s="9" t="str">
        <f>HYPERLINK(".\links\KOG\AGAP012216-PA-KOG.txt","Sterol O-acyltransferase/Diacylglycerol O-acyltransferase")</f>
        <v>Sterol O-acyltransferase/Diacylglycerol O-acyltransferase</v>
      </c>
      <c r="CH50" s="13">
        <v>9.9999999999999993E-89</v>
      </c>
      <c r="CI50" s="2">
        <v>104.6</v>
      </c>
      <c r="CJ50" s="2" t="s">
        <v>2805</v>
      </c>
      <c r="CK50" s="2" t="s">
        <v>172</v>
      </c>
      <c r="CL50" s="9" t="str">
        <f>HYPERLINK(".\links\PFAM\AGAP012216-PA-PFAM.txt","MBOAT, MBOAT, membrane-bound O-acyltransferase family")</f>
        <v>MBOAT, MBOAT, membrane-bound O-acyltransferase family</v>
      </c>
      <c r="CM50" s="13">
        <v>1E-26</v>
      </c>
      <c r="CN50" s="2">
        <v>96.4</v>
      </c>
      <c r="CO50" s="2" t="s">
        <v>2806</v>
      </c>
      <c r="CP50" s="9" t="str">
        <f>HYPERLINK(".\links\SMART\AGAP012216-PA-SMART.txt","DnaG_DnaB_bind, DNA primase DnaG DnaB-binding")</f>
        <v>DnaG_DnaB_bind, DNA primase DnaG DnaB-binding</v>
      </c>
      <c r="CQ50" s="13">
        <v>0.74</v>
      </c>
      <c r="CR50" s="2">
        <v>35.200000000000003</v>
      </c>
      <c r="CS50" s="2" t="s">
        <v>993</v>
      </c>
      <c r="CT50" s="2" t="s">
        <v>2800</v>
      </c>
      <c r="CU50" s="2" t="s">
        <v>2800</v>
      </c>
      <c r="CV50" s="2" t="s">
        <v>2800</v>
      </c>
      <c r="CW50" s="2" t="str">
        <f>HYPERLINK(".\links\pep\AGAP012216-PA-pep.txt","AGAP012216-PA")</f>
        <v>AGAP012216-PA</v>
      </c>
      <c r="CX50" s="2" t="s">
        <v>88</v>
      </c>
      <c r="CY50" s="2">
        <v>571</v>
      </c>
      <c r="CZ50" s="2" t="s">
        <v>103</v>
      </c>
      <c r="DA50" s="2" t="s">
        <v>2807</v>
      </c>
      <c r="DB50" s="2">
        <v>0</v>
      </c>
      <c r="DC50" s="2">
        <v>0</v>
      </c>
      <c r="DD50" s="2" t="str">
        <f>HYPERLINK("https://www.kegg.jp/kegg-bin/search_pathway_text?map=aga&amp;keyword=AGAP012216&amp;mode=1&amp;viewImage=true","AGAP012216")</f>
        <v>AGAP012216</v>
      </c>
      <c r="DE50" s="2" t="s">
        <v>2796</v>
      </c>
      <c r="DF50" s="2" t="s">
        <v>2797</v>
      </c>
      <c r="DG50" s="2" t="s">
        <v>87</v>
      </c>
      <c r="DH50" s="2" t="str">
        <f>HYPERLINK("https://vectorbase.org/vectorbase/app/record/gene/AGAP012216","AGAP012216-RA")</f>
        <v>AGAP012216-RA</v>
      </c>
      <c r="DI50" s="2" t="s">
        <v>140</v>
      </c>
      <c r="DJ50" s="2">
        <v>1716</v>
      </c>
      <c r="DK50" s="2" t="str">
        <f>HYPERLINK(".\links\netoglyc\AGAP012216-PA-netoglyc.txt","1")</f>
        <v>1</v>
      </c>
      <c r="DL50" s="2">
        <v>12.4</v>
      </c>
      <c r="DM50" s="2">
        <v>5.6</v>
      </c>
      <c r="DN50" s="2">
        <v>4</v>
      </c>
      <c r="DO50" s="2" t="s">
        <v>94</v>
      </c>
      <c r="DP50" s="2" t="s">
        <v>89</v>
      </c>
      <c r="DQ50" s="2" t="str">
        <f>HYPERLINK(".\links\Sigp\AGAP012216-PA-SigP.txt","CYT")</f>
        <v>CYT</v>
      </c>
      <c r="DR50" s="2" t="s">
        <v>89</v>
      </c>
      <c r="DS50" s="2">
        <v>65.748999999999995</v>
      </c>
      <c r="DT50" s="2">
        <v>9.1999999999999993</v>
      </c>
      <c r="DU50" s="2" t="s">
        <v>89</v>
      </c>
      <c r="DV50" s="2" t="s">
        <v>89</v>
      </c>
      <c r="DW50" s="2" t="s">
        <v>2802</v>
      </c>
      <c r="DX50" s="2">
        <v>571</v>
      </c>
      <c r="DY50" s="12" t="str">
        <f>HYPERLINK(".\links\tmhmm\AGAP012216-PA-tmhmm.txt","8")</f>
        <v>8</v>
      </c>
      <c r="DZ50" s="2">
        <v>29.4</v>
      </c>
      <c r="EA50" s="2">
        <v>17.3</v>
      </c>
      <c r="EB50" s="2">
        <v>53.2</v>
      </c>
      <c r="EC50" s="2" t="str">
        <f>HYPERLINK(".\links\gpi\AGAP012216-PA-gpi.txt","N")</f>
        <v>N</v>
      </c>
      <c r="ED50" s="2">
        <v>0.25</v>
      </c>
      <c r="EF50" s="2">
        <v>9</v>
      </c>
      <c r="EG50" s="2" t="s">
        <v>89</v>
      </c>
      <c r="EH50" s="2" t="s">
        <v>89</v>
      </c>
      <c r="EI50" s="2">
        <v>12.4343257443082</v>
      </c>
      <c r="EJ50" s="2">
        <v>4.0280210157618201</v>
      </c>
      <c r="EK50" s="2">
        <v>5.6042031523642697</v>
      </c>
      <c r="EL50" s="2">
        <v>9.6322241681261005</v>
      </c>
      <c r="EM50" s="2" t="s">
        <v>89</v>
      </c>
      <c r="EN50" s="2" t="s">
        <v>89</v>
      </c>
      <c r="EO50" s="2">
        <v>1</v>
      </c>
      <c r="EP50" s="2" t="s">
        <v>89</v>
      </c>
      <c r="EQ50" s="2" t="s">
        <v>89</v>
      </c>
      <c r="ER50" s="2" t="s">
        <v>89</v>
      </c>
      <c r="ES50" s="2" t="s">
        <v>89</v>
      </c>
      <c r="ET50" s="2" t="str">
        <f>HYPERLINK(".\links\REFSEQ-INVERTEBRATE\AGAP012216-PA-REFSEQ-INVERTEBRATE.txt","AGAP012216-PA")</f>
        <v>AGAP012216-PA</v>
      </c>
      <c r="EU50" s="2" t="str">
        <f>HYPERLINK("http://www.ncbi.nlm.nih.gov/sutils/blink.cgi?pid=XP_320321.3","0.0")</f>
        <v>0.0</v>
      </c>
      <c r="EV50" s="2" t="str">
        <f>HYPERLINK("http://www.ncbi.nlm.nih.gov/protein/XP_320321.3","XP_320321.3")</f>
        <v>XP_320321.3</v>
      </c>
      <c r="EW50" s="2">
        <v>100</v>
      </c>
      <c r="EX50" s="2">
        <v>100</v>
      </c>
      <c r="EY50" s="2">
        <v>100</v>
      </c>
      <c r="EZ50" s="2" t="s">
        <v>95</v>
      </c>
    </row>
    <row r="51" spans="1:156" x14ac:dyDescent="0.25">
      <c r="A51" s="2" t="s">
        <v>1673</v>
      </c>
      <c r="B51" s="2">
        <v>-0.61807915938187696</v>
      </c>
      <c r="C51" s="2">
        <f t="shared" si="0"/>
        <v>0.65153782440528263</v>
      </c>
      <c r="D51" s="2">
        <v>10.021581820741799</v>
      </c>
      <c r="E51" s="2">
        <v>11.3357736891209</v>
      </c>
      <c r="F51" s="2">
        <v>7.6028152246378005E-4</v>
      </c>
      <c r="G51" s="2">
        <v>3.4596484435433401E-2</v>
      </c>
      <c r="H51" s="2" t="s">
        <v>1674</v>
      </c>
      <c r="I51" s="2" t="s">
        <v>87</v>
      </c>
      <c r="J51" s="2" t="str">
        <f>HYPERLINK("https://vectorbase.org/vectorbase/app/record/gene/AGAP006459","AGAP006459-RA")</f>
        <v>AGAP006459-RA</v>
      </c>
      <c r="K51" s="2" t="str">
        <f>HYPERLINK(".\links\pep\AGAP006459-PA-pep.txt","AGAP006459-PA")</f>
        <v>AGAP006459-PA</v>
      </c>
      <c r="L51" s="12" t="s">
        <v>88</v>
      </c>
      <c r="M51" s="2">
        <v>110</v>
      </c>
      <c r="N51" s="2">
        <v>0</v>
      </c>
      <c r="O51" s="2">
        <v>1</v>
      </c>
      <c r="P51" s="2" t="s">
        <v>1675</v>
      </c>
      <c r="Q51" s="9" t="s">
        <v>1676</v>
      </c>
      <c r="R51" s="2" t="s">
        <v>245</v>
      </c>
      <c r="S51" s="2" t="str">
        <f>HYPERLINK(".\links\KOG\AGAP006459-PA-KOG.txt","KOG")</f>
        <v>KOG</v>
      </c>
      <c r="T51" s="2">
        <v>6.0000000000000002E-45</v>
      </c>
      <c r="U51" s="2">
        <v>99.1</v>
      </c>
      <c r="V51" s="2" t="s">
        <v>1677</v>
      </c>
      <c r="W51" s="10" t="s">
        <v>1678</v>
      </c>
      <c r="X51" s="2" t="s">
        <v>245</v>
      </c>
      <c r="Y51" s="2" t="str">
        <f>HYPERLINK(".\links\REFSEQVERTEBRATE95\AGAP006459-PA-REFSEQVERTEBRATE95.txt","REFSEQVERTEBRATE95")</f>
        <v>REFSEQVERTEBRATE95</v>
      </c>
      <c r="Z51" s="13">
        <v>8.9999999999999997E-54</v>
      </c>
      <c r="AA51" s="2">
        <v>98.2</v>
      </c>
      <c r="AB51" s="14" t="str">
        <f>HYPERLINK(".\links\pep\AGAP006459-PA-sulf.txt","2")</f>
        <v>2</v>
      </c>
      <c r="AC51" s="14" t="str">
        <f>HYPERLINK(".\links\Sigp\AGAP006459-PA-SigP.txt","CYT")</f>
        <v>CYT</v>
      </c>
      <c r="AD51" s="2" t="s">
        <v>89</v>
      </c>
      <c r="AE51" s="2">
        <v>12.488</v>
      </c>
      <c r="AF51" s="2">
        <v>6.82</v>
      </c>
      <c r="AG51" s="2" t="s">
        <v>89</v>
      </c>
      <c r="AH51" s="2" t="s">
        <v>89</v>
      </c>
      <c r="AI51" s="2" t="s">
        <v>93</v>
      </c>
      <c r="AJ51" s="14">
        <v>0</v>
      </c>
      <c r="AK51" s="2" t="s">
        <v>89</v>
      </c>
      <c r="AL51" s="2" t="s">
        <v>89</v>
      </c>
      <c r="AM51" s="2" t="s">
        <v>89</v>
      </c>
      <c r="AN51" s="14" t="str">
        <f>HYPERLINK(".\links\gpi\AGAP006459-PA-gpi.txt","N")</f>
        <v>N</v>
      </c>
      <c r="AO51" s="15" t="str">
        <f>HYPERLINK(".\links\netoglyc\AGAP006459-PA-netoglyc.txt","0")</f>
        <v>0</v>
      </c>
      <c r="AP51" s="14">
        <v>8.1999999999999993</v>
      </c>
      <c r="AQ51" s="2">
        <v>8.1999999999999993</v>
      </c>
      <c r="AR51" s="2">
        <v>2.7</v>
      </c>
      <c r="AS51" s="2" t="s">
        <v>94</v>
      </c>
      <c r="AT51" s="9" t="str">
        <f>HYPERLINK(".\links\NR-LIGHT\AGAP006459-PA-NR-LIGHT.txt","AGAP006459-PA")</f>
        <v>AGAP006459-PA</v>
      </c>
      <c r="AU51" s="2" t="str">
        <f>HYPERLINK("http://www.ncbi.nlm.nih.gov/sutils/blink.cgi?pid=XP_316499.2","1E-058")</f>
        <v>1E-058</v>
      </c>
      <c r="AV51" s="2" t="str">
        <f>HYPERLINK("http://www.ncbi.nlm.nih.gov/protein/XP_316499.2","XP_316499.2")</f>
        <v>XP_316499.2</v>
      </c>
      <c r="AW51" s="2">
        <v>100</v>
      </c>
      <c r="AX51" s="2">
        <v>100</v>
      </c>
      <c r="AY51" s="2">
        <v>100</v>
      </c>
      <c r="AZ51" s="2" t="s">
        <v>95</v>
      </c>
      <c r="BA51" s="9" t="str">
        <f>HYPERLINK(".\links\REFSEQ-INVERTEBRATE\AGAP006459-PA-REFSEQ-INVERTEBRATE.txt","AGAP006459-PA")</f>
        <v>AGAP006459-PA</v>
      </c>
      <c r="BB51" s="2" t="str">
        <f>HYPERLINK("http://www.ncbi.nlm.nih.gov/sutils/blink.cgi?pid=XP_316499.2","1E-058")</f>
        <v>1E-058</v>
      </c>
      <c r="BC51" s="2" t="str">
        <f>HYPERLINK("http://www.ncbi.nlm.nih.gov/protein/XP_316499.2","XP_316499.2")</f>
        <v>XP_316499.2</v>
      </c>
      <c r="BD51" s="2">
        <v>100</v>
      </c>
      <c r="BE51" s="2">
        <v>100</v>
      </c>
      <c r="BF51" s="2">
        <v>100</v>
      </c>
      <c r="BG51" s="2" t="s">
        <v>95</v>
      </c>
      <c r="BH51" s="9" t="str">
        <f>HYPERLINK(".\links\REFSEQ-PROTOZOA\AGAP006459-PA-REFSEQ-PROTOZOA.txt","protein translation factor SUI1")</f>
        <v>protein translation factor SUI1</v>
      </c>
      <c r="BI51" s="2" t="str">
        <f>HYPERLINK("http://www.ncbi.nlm.nih.gov/sutils/blink.cgi?pid=XP_014158272.1","2E-035")</f>
        <v>2E-035</v>
      </c>
      <c r="BJ51" s="2" t="str">
        <f>HYPERLINK("http://www.ncbi.nlm.nih.gov/protein/XP_014158272.1","XP_014158272.1")</f>
        <v>XP_014158272.1</v>
      </c>
      <c r="BK51" s="2">
        <v>66</v>
      </c>
      <c r="BL51" s="2">
        <v>79</v>
      </c>
      <c r="BM51" s="2">
        <v>100</v>
      </c>
      <c r="BN51" s="2" t="s">
        <v>168</v>
      </c>
      <c r="BO51" s="9" t="str">
        <f>HYPERLINK(".\links\SWISSP\AGAP006459-PA-SWISSP.txt","Eukaryotic translation initiation factor eIF1")</f>
        <v>Eukaryotic translation initiation factor eIF1</v>
      </c>
      <c r="BP51" s="2" t="str">
        <f>HYPERLINK("http://www.uniprot.org/uniprot/P42678","1E-059")</f>
        <v>1E-059</v>
      </c>
      <c r="BQ51" s="2" t="str">
        <f>HYPERLINK("http://www.uniprot.org/uniprot/P42678#expression","P42678")</f>
        <v>P42678</v>
      </c>
      <c r="BR51" s="2">
        <v>100</v>
      </c>
      <c r="BS51" s="2">
        <v>100</v>
      </c>
      <c r="BT51" s="2">
        <v>100</v>
      </c>
      <c r="BU51" s="2" t="s">
        <v>215</v>
      </c>
      <c r="BV51" s="9" t="str">
        <f>HYPERLINK(".\links\FLYBASE\AGAP006459-PA-FLYBASE.txt","FBpp0072908")</f>
        <v>FBpp0072908</v>
      </c>
      <c r="BW51" s="2" t="str">
        <f>HYPERLINK("http://flybase.org/reports/FBgn0035423#alliance_summary_container","1E-74")</f>
        <v>1E-74</v>
      </c>
      <c r="BX51" s="2">
        <v>110</v>
      </c>
      <c r="BY51" s="2">
        <v>93</v>
      </c>
      <c r="BZ51" s="2">
        <v>96</v>
      </c>
      <c r="CA51" s="2">
        <v>100</v>
      </c>
      <c r="CB51" s="9" t="str">
        <f>HYPERLINK(".\links\CDD\AGAP006459-PA-CDD.txt","Eukaryotic_translation_initiation_factor_1, translation initiation factor SUI1, eukaryotic")</f>
        <v>Eukaryotic_translation_initiation_factor_1, translation initiation factor SUI1, eukaryotic</v>
      </c>
      <c r="CC51" s="13">
        <v>2E-41</v>
      </c>
      <c r="CD51" s="2">
        <v>101.8</v>
      </c>
      <c r="CE51" s="2" t="s">
        <v>1679</v>
      </c>
      <c r="CF51" s="2" t="s">
        <v>1680</v>
      </c>
      <c r="CG51" s="9" t="str">
        <f>HYPERLINK(".\links\KOG\AGAP006459-PA-KOG.txt","Translation initiation factor 1 (eIF-1/SUI1)")</f>
        <v>Translation initiation factor 1 (eIF-1/SUI1)</v>
      </c>
      <c r="CH51" s="13">
        <v>6.0000000000000002E-45</v>
      </c>
      <c r="CI51" s="2">
        <v>99.1</v>
      </c>
      <c r="CJ51" s="2" t="s">
        <v>1681</v>
      </c>
      <c r="CK51" s="2" t="s">
        <v>252</v>
      </c>
      <c r="CL51" s="9" t="str">
        <f>HYPERLINK(".\links\PFAM\AGAP006459-PA-PFAM.txt","SUI1, Translation initiation factor SUI1")</f>
        <v>SUI1, Translation initiation factor SUI1</v>
      </c>
      <c r="CM51" s="13">
        <v>3E-23</v>
      </c>
      <c r="CN51" s="2">
        <v>97.4</v>
      </c>
      <c r="CO51" s="2" t="s">
        <v>1682</v>
      </c>
      <c r="CP51" s="9" t="str">
        <f>HYPERLINK(".\links\SMART\AGAP006459-PA-SMART.txt","TOP1Ac, Bacterial DNA topoisomerase I DNA-binding domain")</f>
        <v>TOP1Ac, Bacterial DNA topoisomerase I DNA-binding domain</v>
      </c>
      <c r="CQ51" s="13">
        <v>0.98</v>
      </c>
      <c r="CR51" s="2">
        <v>23.2</v>
      </c>
      <c r="CS51" s="2" t="s">
        <v>1683</v>
      </c>
      <c r="CT51" s="2" t="s">
        <v>1677</v>
      </c>
      <c r="CU51" s="2" t="s">
        <v>1677</v>
      </c>
      <c r="CV51" s="2" t="s">
        <v>1677</v>
      </c>
      <c r="CW51" s="2" t="str">
        <f>HYPERLINK(".\links\pep\AGAP006459-PA-pep.txt","AGAP006459-PA")</f>
        <v>AGAP006459-PA</v>
      </c>
      <c r="CX51" s="2" t="s">
        <v>88</v>
      </c>
      <c r="CY51" s="2">
        <v>110</v>
      </c>
      <c r="CZ51" s="2" t="s">
        <v>103</v>
      </c>
      <c r="DA51" s="2" t="s">
        <v>1684</v>
      </c>
      <c r="DB51" s="2">
        <v>0</v>
      </c>
      <c r="DC51" s="2">
        <v>1</v>
      </c>
      <c r="DD51" s="2" t="str">
        <f>HYPERLINK("https://www.kegg.jp/kegg-bin/search_pathway_text?map=aga&amp;keyword=AGAP006459&amp;mode=1&amp;viewImage=true","AGAP006459")</f>
        <v>AGAP006459</v>
      </c>
      <c r="DE51" s="2" t="s">
        <v>1673</v>
      </c>
      <c r="DF51" s="2" t="s">
        <v>1674</v>
      </c>
      <c r="DG51" s="2" t="s">
        <v>87</v>
      </c>
      <c r="DH51" s="2" t="str">
        <f>HYPERLINK("https://vectorbase.org/vectorbase/app/record/gene/AGAP006459","AGAP006459-RA")</f>
        <v>AGAP006459-RA</v>
      </c>
      <c r="DI51" s="2" t="s">
        <v>105</v>
      </c>
      <c r="DJ51" s="2">
        <v>2005</v>
      </c>
      <c r="DK51" s="2" t="str">
        <f>HYPERLINK(".\links\netoglyc\AGAP006459-PA-netoglyc.txt","0")</f>
        <v>0</v>
      </c>
      <c r="DL51" s="2">
        <v>8.1999999999999993</v>
      </c>
      <c r="DM51" s="2">
        <v>8.1999999999999993</v>
      </c>
      <c r="DN51" s="2">
        <v>2.7</v>
      </c>
      <c r="DO51" s="2" t="s">
        <v>94</v>
      </c>
      <c r="DP51" s="2" t="s">
        <v>89</v>
      </c>
      <c r="DQ51" s="2" t="str">
        <f>HYPERLINK(".\links\Sigp\AGAP006459-PA-SigP.txt","CYT")</f>
        <v>CYT</v>
      </c>
      <c r="DR51" s="2" t="s">
        <v>89</v>
      </c>
      <c r="DS51" s="2">
        <v>12.488</v>
      </c>
      <c r="DT51" s="2">
        <v>6.82</v>
      </c>
      <c r="DU51" s="2" t="s">
        <v>89</v>
      </c>
      <c r="DV51" s="2" t="s">
        <v>89</v>
      </c>
      <c r="DW51" s="2" t="s">
        <v>93</v>
      </c>
      <c r="DX51" s="2">
        <v>110</v>
      </c>
      <c r="DY51" s="12">
        <v>0</v>
      </c>
      <c r="DZ51" s="2" t="s">
        <v>89</v>
      </c>
      <c r="EA51" s="2" t="s">
        <v>89</v>
      </c>
      <c r="EB51" s="2" t="s">
        <v>89</v>
      </c>
      <c r="EC51" s="2" t="str">
        <f>HYPERLINK(".\links\gpi\AGAP006459-PA-gpi.txt","N")</f>
        <v>N</v>
      </c>
      <c r="ED51" s="2">
        <v>0.26</v>
      </c>
      <c r="EF51" s="2">
        <v>3</v>
      </c>
      <c r="EG51" s="2" t="str">
        <f>HYPERLINK(".\links\pep\AGAP006459-PA-sulf.txt","2")</f>
        <v>2</v>
      </c>
      <c r="EH51" s="2" t="s">
        <v>89</v>
      </c>
      <c r="EI51" s="2">
        <v>8.1818181818181799</v>
      </c>
      <c r="EJ51" s="2">
        <v>2.7272727272727302</v>
      </c>
      <c r="EK51" s="2">
        <v>8.1818181818181799</v>
      </c>
      <c r="EL51" s="2">
        <v>10.909090909090899</v>
      </c>
      <c r="EM51" s="2" t="s">
        <v>89</v>
      </c>
      <c r="EN51" s="2">
        <v>1</v>
      </c>
      <c r="EO51" s="2">
        <v>1</v>
      </c>
      <c r="EP51" s="2" t="s">
        <v>89</v>
      </c>
      <c r="EQ51" s="2" t="s">
        <v>89</v>
      </c>
      <c r="ER51" s="2" t="s">
        <v>89</v>
      </c>
      <c r="ES51" s="2" t="s">
        <v>89</v>
      </c>
      <c r="ET51" s="2" t="str">
        <f>HYPERLINK(".\links\REFSEQ-INVERTEBRATE\AGAP006459-PA-REFSEQ-INVERTEBRATE.txt","AGAP006459-PA")</f>
        <v>AGAP006459-PA</v>
      </c>
      <c r="EU51" s="2" t="str">
        <f>HYPERLINK("http://www.ncbi.nlm.nih.gov/sutils/blink.cgi?pid=XP_316499.2","3E-78")</f>
        <v>3E-78</v>
      </c>
      <c r="EV51" s="2" t="str">
        <f>HYPERLINK("http://www.ncbi.nlm.nih.gov/protein/XP_316499.2","XP_316499.2")</f>
        <v>XP_316499.2</v>
      </c>
      <c r="EW51" s="2">
        <v>100</v>
      </c>
      <c r="EX51" s="2">
        <v>100</v>
      </c>
      <c r="EY51" s="2">
        <v>100</v>
      </c>
      <c r="EZ51" s="2" t="s">
        <v>95</v>
      </c>
    </row>
    <row r="52" spans="1:156" x14ac:dyDescent="0.25">
      <c r="A52" s="2" t="s">
        <v>2555</v>
      </c>
      <c r="B52" s="2">
        <v>-0.62981109464829099</v>
      </c>
      <c r="C52" s="2">
        <f t="shared" si="0"/>
        <v>0.64626103068894958</v>
      </c>
      <c r="D52" s="2">
        <v>5.4399748097912699</v>
      </c>
      <c r="E52" s="2">
        <v>10.411723838640301</v>
      </c>
      <c r="F52" s="2">
        <v>1.25217801402174E-3</v>
      </c>
      <c r="G52" s="2">
        <v>4.8304127953947201E-2</v>
      </c>
      <c r="H52" s="2" t="s">
        <v>2556</v>
      </c>
      <c r="I52" s="2" t="s">
        <v>87</v>
      </c>
      <c r="J52" s="2" t="str">
        <f>HYPERLINK("https://vectorbase.org/vectorbase/app/record/gene/AGAP010403","AGAP010403-RA")</f>
        <v>AGAP010403-RA</v>
      </c>
      <c r="K52" s="2" t="str">
        <f>HYPERLINK(".\links\pep\AGAP010403-PA-pep.txt","AGAP010403-PA")</f>
        <v>AGAP010403-PA</v>
      </c>
      <c r="L52" s="12" t="s">
        <v>88</v>
      </c>
      <c r="M52" s="2">
        <v>277</v>
      </c>
      <c r="N52" s="2">
        <v>0</v>
      </c>
      <c r="O52" s="2">
        <v>0</v>
      </c>
      <c r="P52" s="2" t="s">
        <v>2557</v>
      </c>
      <c r="Q52" s="9" t="s">
        <v>2558</v>
      </c>
      <c r="R52" s="2" t="s">
        <v>164</v>
      </c>
      <c r="S52" s="2" t="str">
        <f>HYPERLINK(".\links\KOG\AGAP010403-PA-KOG.txt","KOG")</f>
        <v>KOG</v>
      </c>
      <c r="T52" s="2">
        <v>1.9999999999999999E-36</v>
      </c>
      <c r="U52" s="2">
        <v>85.5</v>
      </c>
      <c r="V52" s="2" t="s">
        <v>2559</v>
      </c>
      <c r="W52" s="10" t="s">
        <v>564</v>
      </c>
      <c r="X52" s="2" t="s">
        <v>164</v>
      </c>
      <c r="Y52" s="2" t="str">
        <f>HYPERLINK(".\links\COG\AGAP010403-PA-COG.txt","COG")</f>
        <v>COG</v>
      </c>
      <c r="Z52" s="13">
        <v>1.9999999999999999E-34</v>
      </c>
      <c r="AA52" s="2">
        <v>73.5</v>
      </c>
      <c r="AB52" s="14" t="s">
        <v>89</v>
      </c>
      <c r="AC52" s="14" t="str">
        <f>HYPERLINK(".\links\Sigp\AGAP010403-PA-SigP.txt","CYT")</f>
        <v>CYT</v>
      </c>
      <c r="AD52" s="2" t="s">
        <v>89</v>
      </c>
      <c r="AE52" s="2">
        <v>30.079000000000001</v>
      </c>
      <c r="AF52" s="2">
        <v>8.6999999999999993</v>
      </c>
      <c r="AG52" s="2" t="s">
        <v>89</v>
      </c>
      <c r="AH52" s="2" t="s">
        <v>89</v>
      </c>
      <c r="AI52" s="2" t="s">
        <v>2560</v>
      </c>
      <c r="AJ52" s="14">
        <v>0</v>
      </c>
      <c r="AK52" s="2" t="s">
        <v>89</v>
      </c>
      <c r="AL52" s="2" t="s">
        <v>89</v>
      </c>
      <c r="AM52" s="2" t="s">
        <v>89</v>
      </c>
      <c r="AN52" s="14" t="str">
        <f>HYPERLINK(".\links\gpi\AGAP010403-PA-gpi.txt","N")</f>
        <v>N</v>
      </c>
      <c r="AO52" s="15" t="str">
        <f>HYPERLINK(".\links\netoglyc\AGAP010403-PA-netoglyc.txt","0")</f>
        <v>0</v>
      </c>
      <c r="AP52" s="14">
        <v>14.1</v>
      </c>
      <c r="AQ52" s="2">
        <v>6.9</v>
      </c>
      <c r="AR52" s="2">
        <v>2.9</v>
      </c>
      <c r="AS52" s="2" t="s">
        <v>94</v>
      </c>
      <c r="AT52" s="9" t="str">
        <f>HYPERLINK(".\links\NR-LIGHT\AGAP010403-PA-NR-LIGHT.txt","AGAP010403-PA, partial")</f>
        <v>AGAP010403-PA, partial</v>
      </c>
      <c r="AU52" s="2" t="str">
        <f>HYPERLINK("http://www.ncbi.nlm.nih.gov/sutils/blink.cgi?pid=XP_311547.4","1E-136")</f>
        <v>1E-136</v>
      </c>
      <c r="AV52" s="2" t="str">
        <f>HYPERLINK("http://www.ncbi.nlm.nih.gov/protein/XP_311547.4","XP_311547.4")</f>
        <v>XP_311547.4</v>
      </c>
      <c r="AW52" s="2">
        <v>100</v>
      </c>
      <c r="AX52" s="2">
        <v>100</v>
      </c>
      <c r="AY52" s="2">
        <v>100</v>
      </c>
      <c r="AZ52" s="2" t="s">
        <v>95</v>
      </c>
      <c r="BA52" s="9" t="str">
        <f>HYPERLINK(".\links\REFSEQ-INVERTEBRATE\AGAP010403-PA-REFSEQ-INVERTEBRATE.txt","AGAP010403-PA, partial")</f>
        <v>AGAP010403-PA, partial</v>
      </c>
      <c r="BB52" s="2" t="str">
        <f>HYPERLINK("http://www.ncbi.nlm.nih.gov/sutils/blink.cgi?pid=XP_311547.4","1E-136")</f>
        <v>1E-136</v>
      </c>
      <c r="BC52" s="2" t="str">
        <f>HYPERLINK("http://www.ncbi.nlm.nih.gov/protein/XP_311547.4","XP_311547.4")</f>
        <v>XP_311547.4</v>
      </c>
      <c r="BD52" s="2">
        <v>100</v>
      </c>
      <c r="BE52" s="2">
        <v>100</v>
      </c>
      <c r="BF52" s="2">
        <v>100</v>
      </c>
      <c r="BG52" s="2" t="s">
        <v>95</v>
      </c>
      <c r="BH52" s="9" t="str">
        <f>HYPERLINK(".\links\REFSEQ-PROTOZOA\AGAP010403-PA-REFSEQ-PROTOZOA.txt","enoyl-CoA hydratase")</f>
        <v>enoyl-CoA hydratase</v>
      </c>
      <c r="BI52" s="2" t="str">
        <f>HYPERLINK("http://www.ncbi.nlm.nih.gov/sutils/blink.cgi?pid=XP_008610686.1","4E-053")</f>
        <v>4E-053</v>
      </c>
      <c r="BJ52" s="2" t="str">
        <f>HYPERLINK("http://www.ncbi.nlm.nih.gov/protein/XP_008610686.1","XP_008610686.1")</f>
        <v>XP_008610686.1</v>
      </c>
      <c r="BK52" s="2">
        <v>42</v>
      </c>
      <c r="BL52" s="2">
        <v>61</v>
      </c>
      <c r="BM52" s="2">
        <v>97</v>
      </c>
      <c r="BN52" s="2" t="s">
        <v>133</v>
      </c>
      <c r="BO52" s="9" t="str">
        <f>HYPERLINK(".\links\SWISSP\AGAP010403-PA-SWISSP.txt","Enoyl-CoA hydratase domain-containing protein 3, mitochondrial")</f>
        <v>Enoyl-CoA hydratase domain-containing protein 3, mitochondrial</v>
      </c>
      <c r="BP52" s="2" t="str">
        <f>HYPERLINK("http://www.uniprot.org/uniprot/A9JS71","3E-076")</f>
        <v>3E-076</v>
      </c>
      <c r="BQ52" s="2" t="str">
        <f>HYPERLINK("http://www.uniprot.org/uniprot/A9JS71#expression","A9JS71")</f>
        <v>A9JS71</v>
      </c>
      <c r="BR52" s="2">
        <v>55</v>
      </c>
      <c r="BS52" s="2">
        <v>76</v>
      </c>
      <c r="BT52" s="2">
        <v>84</v>
      </c>
      <c r="BU52" s="2" t="s">
        <v>447</v>
      </c>
      <c r="BV52" s="9" t="str">
        <f>HYPERLINK(".\links\FLYBASE\AGAP010403-PA-FLYBASE.txt","FBpp0086132")</f>
        <v>FBpp0086132</v>
      </c>
      <c r="BW52" s="2" t="str">
        <f>HYPERLINK("http://flybase.org/reports/FBgn0034191#alliance_summary_container","1E-89")</f>
        <v>1E-89</v>
      </c>
      <c r="BX52" s="2">
        <v>285</v>
      </c>
      <c r="BY52" s="2">
        <v>50</v>
      </c>
      <c r="BZ52" s="2">
        <v>72</v>
      </c>
      <c r="CA52" s="2">
        <v>87</v>
      </c>
      <c r="CB52" s="9" t="str">
        <f>HYPERLINK(".\links\CDD\AGAP010403-PA-CDD.txt","PRK08139, enoyl-CoA hydratase")</f>
        <v>PRK08139, enoyl-CoA hydratase</v>
      </c>
      <c r="CC52" s="13">
        <v>6.0000000000000001E-80</v>
      </c>
      <c r="CD52" s="2">
        <v>93.2</v>
      </c>
      <c r="CE52" s="2" t="s">
        <v>2561</v>
      </c>
      <c r="CF52" s="2" t="s">
        <v>2562</v>
      </c>
      <c r="CG52" s="9" t="str">
        <f>HYPERLINK(".\links\KOG\AGAP010403-PA-KOG.txt","Enoyl-CoA isomerase")</f>
        <v>Enoyl-CoA isomerase</v>
      </c>
      <c r="CH52" s="13">
        <v>1.9999999999999999E-88</v>
      </c>
      <c r="CI52" s="2">
        <v>86.1</v>
      </c>
      <c r="CJ52" s="2" t="s">
        <v>2563</v>
      </c>
      <c r="CK52" s="2" t="s">
        <v>172</v>
      </c>
      <c r="CL52" s="9" t="str">
        <f>HYPERLINK(".\links\PFAM\AGAP010403-PA-PFAM.txt","ECH_1, Enoyl-CoA hydratase/isomerase")</f>
        <v>ECH_1, Enoyl-CoA hydratase/isomerase</v>
      </c>
      <c r="CM52" s="13">
        <v>7.9999999999999994E-39</v>
      </c>
      <c r="CN52" s="2">
        <v>100</v>
      </c>
      <c r="CO52" s="2" t="s">
        <v>2564</v>
      </c>
      <c r="CP52" s="9" t="str">
        <f>HYPERLINK(".\links\SMART\AGAP010403-PA-SMART.txt","LPD_N, Lipoprotein N-terminal Domain")</f>
        <v>LPD_N, Lipoprotein N-terminal Domain</v>
      </c>
      <c r="CQ52" s="13">
        <v>0.15</v>
      </c>
      <c r="CR52" s="2">
        <v>4.4000000000000004</v>
      </c>
      <c r="CS52" s="2" t="s">
        <v>173</v>
      </c>
      <c r="CT52" s="2" t="s">
        <v>2559</v>
      </c>
      <c r="CU52" s="2" t="s">
        <v>2559</v>
      </c>
      <c r="CV52" s="2" t="s">
        <v>2559</v>
      </c>
      <c r="CW52" s="2" t="str">
        <f>HYPERLINK(".\links\pep\AGAP010403-PA-pep.txt","AGAP010403-PA")</f>
        <v>AGAP010403-PA</v>
      </c>
      <c r="CX52" s="2" t="s">
        <v>88</v>
      </c>
      <c r="CY52" s="2">
        <v>277</v>
      </c>
      <c r="CZ52" s="2" t="s">
        <v>103</v>
      </c>
      <c r="DA52" s="2" t="s">
        <v>2565</v>
      </c>
      <c r="DB52" s="2">
        <v>0</v>
      </c>
      <c r="DC52" s="2">
        <v>0</v>
      </c>
      <c r="DD52" s="2" t="str">
        <f>HYPERLINK("https://www.kegg.jp/kegg-bin/search_pathway_text?map=aga&amp;keyword=AGAP010403&amp;mode=1&amp;viewImage=true","AGAP010403")</f>
        <v>AGAP010403</v>
      </c>
      <c r="DE52" s="2" t="s">
        <v>2555</v>
      </c>
      <c r="DF52" s="2" t="s">
        <v>2556</v>
      </c>
      <c r="DG52" s="2" t="s">
        <v>87</v>
      </c>
      <c r="DH52" s="2" t="str">
        <f>HYPERLINK("https://vectorbase.org/vectorbase/app/record/gene/AGAP010403","AGAP010403-RA")</f>
        <v>AGAP010403-RA</v>
      </c>
      <c r="DI52" s="2" t="s">
        <v>140</v>
      </c>
      <c r="DJ52" s="2">
        <v>1945</v>
      </c>
      <c r="DK52" s="2" t="str">
        <f>HYPERLINK(".\links\netoglyc\AGAP010403-PA-netoglyc.txt","0")</f>
        <v>0</v>
      </c>
      <c r="DL52" s="2">
        <v>14.1</v>
      </c>
      <c r="DM52" s="2">
        <v>6.9</v>
      </c>
      <c r="DN52" s="2">
        <v>2.9</v>
      </c>
      <c r="DO52" s="2" t="s">
        <v>94</v>
      </c>
      <c r="DP52" s="2" t="s">
        <v>89</v>
      </c>
      <c r="DQ52" s="2" t="str">
        <f>HYPERLINK(".\links\Sigp\AGAP010403-PA-SigP.txt","CYT")</f>
        <v>CYT</v>
      </c>
      <c r="DR52" s="2" t="s">
        <v>89</v>
      </c>
      <c r="DS52" s="2">
        <v>30.079000000000001</v>
      </c>
      <c r="DT52" s="2">
        <v>8.6999999999999993</v>
      </c>
      <c r="DU52" s="2" t="s">
        <v>89</v>
      </c>
      <c r="DV52" s="2" t="s">
        <v>89</v>
      </c>
      <c r="DW52" s="2" t="s">
        <v>2560</v>
      </c>
      <c r="DX52" s="2">
        <v>277</v>
      </c>
      <c r="DY52" s="12">
        <v>0</v>
      </c>
      <c r="DZ52" s="2" t="s">
        <v>89</v>
      </c>
      <c r="EA52" s="2" t="s">
        <v>89</v>
      </c>
      <c r="EB52" s="2" t="s">
        <v>89</v>
      </c>
      <c r="EC52" s="2" t="str">
        <f>HYPERLINK(".\links\gpi\AGAP010403-PA-gpi.txt","Y-NoSP")</f>
        <v>Y-NoSP</v>
      </c>
      <c r="ED52" s="2">
        <v>0.19</v>
      </c>
      <c r="EF52" s="2">
        <v>9</v>
      </c>
      <c r="EG52" s="2" t="s">
        <v>89</v>
      </c>
      <c r="EH52" s="2" t="s">
        <v>89</v>
      </c>
      <c r="EI52" s="2">
        <v>14.079422382671501</v>
      </c>
      <c r="EJ52" s="2">
        <v>2.8880866425992799</v>
      </c>
      <c r="EK52" s="2">
        <v>6.8592057761732903</v>
      </c>
      <c r="EL52" s="2">
        <v>9.7472924187725596</v>
      </c>
      <c r="EM52" s="2" t="s">
        <v>89</v>
      </c>
      <c r="EN52" s="2">
        <v>1</v>
      </c>
      <c r="EO52" s="2">
        <v>3</v>
      </c>
      <c r="EP52" s="2" t="s">
        <v>89</v>
      </c>
      <c r="EQ52" s="2" t="s">
        <v>89</v>
      </c>
      <c r="ER52" s="2" t="s">
        <v>89</v>
      </c>
      <c r="ES52" s="2" t="s">
        <v>89</v>
      </c>
      <c r="ET52" s="2" t="str">
        <f>HYPERLINK(".\links\REFSEQ-INVERTEBRATE\AGAP010403-PA-REFSEQ-INVERTEBRATE.txt","AGAP010403-PA, partial")</f>
        <v>AGAP010403-PA, partial</v>
      </c>
      <c r="EU52" s="2" t="str">
        <f>HYPERLINK("http://www.ncbi.nlm.nih.gov/sutils/blink.cgi?pid=XP_311547.4","0.0")</f>
        <v>0.0</v>
      </c>
      <c r="EV52" s="2" t="str">
        <f>HYPERLINK("http://www.ncbi.nlm.nih.gov/protein/XP_311547.4","XP_311547.4")</f>
        <v>XP_311547.4</v>
      </c>
      <c r="EW52" s="2">
        <v>100</v>
      </c>
      <c r="EX52" s="2">
        <v>100</v>
      </c>
      <c r="EY52" s="2">
        <v>100</v>
      </c>
      <c r="EZ52" s="2" t="s">
        <v>95</v>
      </c>
    </row>
    <row r="53" spans="1:156" x14ac:dyDescent="0.25">
      <c r="A53" s="2" t="s">
        <v>1249</v>
      </c>
      <c r="B53" s="2">
        <v>-0.631721470036122</v>
      </c>
      <c r="C53" s="2">
        <f t="shared" si="0"/>
        <v>0.6454058367074581</v>
      </c>
      <c r="D53" s="2">
        <v>7.3837199456129596</v>
      </c>
      <c r="E53" s="2">
        <v>12.040470713726201</v>
      </c>
      <c r="F53" s="2">
        <v>5.2057824019739502E-4</v>
      </c>
      <c r="G53" s="2">
        <v>2.7330892676636201E-2</v>
      </c>
      <c r="H53" s="2" t="s">
        <v>1250</v>
      </c>
      <c r="I53" s="2" t="s">
        <v>87</v>
      </c>
      <c r="J53" s="2" t="str">
        <f>HYPERLINK("https://vectorbase.org/vectorbase/app/record/gene/AGAP004657","AGAP004657-RA")</f>
        <v>AGAP004657-RA</v>
      </c>
      <c r="K53" s="2" t="str">
        <f>HYPERLINK(".\links\pep\AGAP004657-PA-pep.txt","AGAP004657-PA")</f>
        <v>AGAP004657-PA</v>
      </c>
      <c r="L53" s="12" t="s">
        <v>88</v>
      </c>
      <c r="M53" s="2">
        <v>180</v>
      </c>
      <c r="N53" s="2">
        <v>0</v>
      </c>
      <c r="O53" s="2">
        <v>3</v>
      </c>
      <c r="P53" s="2" t="s">
        <v>1251</v>
      </c>
      <c r="Q53" s="9" t="s">
        <v>1252</v>
      </c>
      <c r="R53" s="2" t="s">
        <v>347</v>
      </c>
      <c r="S53" s="2" t="str">
        <f>HYPERLINK(".\links\KOG\AGAP004657-PA-KOG.txt","KOG")</f>
        <v>KOG</v>
      </c>
      <c r="T53" s="2">
        <v>8.0000000000000003E-61</v>
      </c>
      <c r="U53" s="2">
        <v>97.2</v>
      </c>
      <c r="V53" s="2" t="s">
        <v>1253</v>
      </c>
      <c r="W53" s="10" t="s">
        <v>1254</v>
      </c>
      <c r="X53" s="2" t="s">
        <v>663</v>
      </c>
      <c r="Y53" s="2" t="str">
        <f>HYPERLINK(".\links\REFSEQVERTEBRATE95\AGAP004657-PA-REFSEQVERTEBRATE95.txt","REFSEQVERTEBRATE95")</f>
        <v>REFSEQVERTEBRATE95</v>
      </c>
      <c r="Z53" s="13">
        <v>6.0000000000000001E-80</v>
      </c>
      <c r="AA53" s="2">
        <v>94.1</v>
      </c>
      <c r="AB53" s="14" t="s">
        <v>89</v>
      </c>
      <c r="AC53" s="14" t="str">
        <f>HYPERLINK(".\links\Sigp\AGAP004657-PA-SigP.txt","CYT")</f>
        <v>CYT</v>
      </c>
      <c r="AD53" s="2" t="s">
        <v>89</v>
      </c>
      <c r="AE53" s="2">
        <v>19.100999999999999</v>
      </c>
      <c r="AF53" s="2">
        <v>7.66</v>
      </c>
      <c r="AG53" s="2" t="s">
        <v>89</v>
      </c>
      <c r="AH53" s="2" t="s">
        <v>89</v>
      </c>
      <c r="AI53" s="2" t="s">
        <v>1255</v>
      </c>
      <c r="AJ53" s="14" t="str">
        <f>HYPERLINK(".\links\tmhmm\AGAP004657-PA-tmhmm.txt","2")</f>
        <v>2</v>
      </c>
      <c r="AK53" s="2">
        <v>24.4</v>
      </c>
      <c r="AL53" s="2">
        <v>15.6</v>
      </c>
      <c r="AM53" s="2">
        <v>60</v>
      </c>
      <c r="AN53" s="14" t="str">
        <f>HYPERLINK(".\links\gpi\AGAP004657-PA-gpi.txt","N")</f>
        <v>N</v>
      </c>
      <c r="AO53" s="15" t="str">
        <f>HYPERLINK(".\links\netoglyc\AGAP004657-PA-netoglyc.txt","2")</f>
        <v>2</v>
      </c>
      <c r="AP53" s="14">
        <v>12.8</v>
      </c>
      <c r="AQ53" s="2">
        <v>13.3</v>
      </c>
      <c r="AR53" s="2">
        <v>6.7</v>
      </c>
      <c r="AS53" s="2" t="s">
        <v>94</v>
      </c>
      <c r="AT53" s="9" t="str">
        <f>HYPERLINK(".\links\NR-LIGHT\AGAP004657-PA-NR-LIGHT.txt","AGAP004657-PA")</f>
        <v>AGAP004657-PA</v>
      </c>
      <c r="AU53" s="2" t="str">
        <f>HYPERLINK("http://www.ncbi.nlm.nih.gov/sutils/blink.cgi?pid=XP_316737.3","1E-100")</f>
        <v>1E-100</v>
      </c>
      <c r="AV53" s="2" t="str">
        <f>HYPERLINK("http://www.ncbi.nlm.nih.gov/protein/XP_316737.3","XP_316737.3")</f>
        <v>XP_316737.3</v>
      </c>
      <c r="AW53" s="2">
        <v>100</v>
      </c>
      <c r="AX53" s="2">
        <v>100</v>
      </c>
      <c r="AY53" s="2">
        <v>100</v>
      </c>
      <c r="AZ53" s="2" t="s">
        <v>95</v>
      </c>
      <c r="BA53" s="9" t="str">
        <f>HYPERLINK(".\links\REFSEQ-INVERTEBRATE\AGAP004657-PA-REFSEQ-INVERTEBRATE.txt","AGAP004657-PB")</f>
        <v>AGAP004657-PB</v>
      </c>
      <c r="BB53" s="2" t="str">
        <f>HYPERLINK("http://www.ncbi.nlm.nih.gov/sutils/blink.cgi?pid=XP_003436883.1","1E-100")</f>
        <v>1E-100</v>
      </c>
      <c r="BC53" s="2" t="str">
        <f>HYPERLINK("http://www.ncbi.nlm.nih.gov/protein/XP_003436883.1","XP_003436883.1")</f>
        <v>XP_003436883.1</v>
      </c>
      <c r="BD53" s="2">
        <v>100</v>
      </c>
      <c r="BE53" s="2">
        <v>100</v>
      </c>
      <c r="BF53" s="2">
        <v>100</v>
      </c>
      <c r="BG53" s="2" t="s">
        <v>95</v>
      </c>
      <c r="BH53" s="9" t="str">
        <f>HYPERLINK(".\links\REFSEQ-PROTOZOA\AGAP004657-PA-REFSEQ-PROTOZOA.txt","hypothetical protein SARC_08298")</f>
        <v>hypothetical protein SARC_08298</v>
      </c>
      <c r="BI53" s="2" t="str">
        <f>HYPERLINK("http://www.ncbi.nlm.nih.gov/sutils/blink.cgi?pid=XP_014153205.1","2E-044")</f>
        <v>2E-044</v>
      </c>
      <c r="BJ53" s="2" t="str">
        <f>HYPERLINK("http://www.ncbi.nlm.nih.gov/protein/XP_014153205.1","XP_014153205.1")</f>
        <v>XP_014153205.1</v>
      </c>
      <c r="BK53" s="2">
        <v>54</v>
      </c>
      <c r="BL53" s="2">
        <v>66</v>
      </c>
      <c r="BM53" s="2">
        <v>89</v>
      </c>
      <c r="BN53" s="2" t="s">
        <v>168</v>
      </c>
      <c r="BO53" s="9" t="str">
        <f>HYPERLINK(".\links\SWISSP\AGAP004657-PA-SWISSP.txt","Mitochondrial import inner membrane translocase subunit Tim17-B")</f>
        <v>Mitochondrial import inner membrane translocase subunit Tim17-B</v>
      </c>
      <c r="BP53" s="2" t="str">
        <f>HYPERLINK("http://www.uniprot.org/uniprot/Q9Z0V7","8E-060")</f>
        <v>8E-060</v>
      </c>
      <c r="BQ53" s="2" t="str">
        <f>HYPERLINK("http://www.uniprot.org/uniprot/Q9Z0V7#expression","Q9Z0V7")</f>
        <v>Q9Z0V7</v>
      </c>
      <c r="BR53" s="2">
        <v>67</v>
      </c>
      <c r="BS53" s="2">
        <v>77</v>
      </c>
      <c r="BT53" s="2">
        <v>99</v>
      </c>
      <c r="BU53" s="2" t="s">
        <v>566</v>
      </c>
      <c r="BV53" s="9" t="str">
        <f>HYPERLINK(".\links\FLYBASE\AGAP004657-PA-FLYBASE.txt","FBpp0311388")</f>
        <v>FBpp0311388</v>
      </c>
      <c r="BW53" s="2" t="str">
        <f>HYPERLINK("http://flybase.org/reports/FBgn0263977#alliance_summary_container","1E-105")</f>
        <v>1E-105</v>
      </c>
      <c r="BX53" s="2">
        <v>173</v>
      </c>
      <c r="BY53" s="2">
        <v>86</v>
      </c>
      <c r="BZ53" s="2">
        <v>92</v>
      </c>
      <c r="CA53" s="2">
        <v>96</v>
      </c>
      <c r="CB53" s="9" t="str">
        <f>HYPERLINK(".\links\CDD\AGAP004657-PA-CDD.txt","3a0801so1tim17, mitochondrial import inner membrane translocase subunit tim17")</f>
        <v>3a0801so1tim17, mitochondrial import inner membrane translocase subunit tim17</v>
      </c>
      <c r="CC53" s="13">
        <v>6.0000000000000002E-58</v>
      </c>
      <c r="CD53" s="2">
        <v>104.7</v>
      </c>
      <c r="CE53" s="2" t="s">
        <v>1256</v>
      </c>
      <c r="CF53" s="2" t="s">
        <v>1257</v>
      </c>
      <c r="CG53" s="9" t="str">
        <f>HYPERLINK(".\links\KOG\AGAP004657-PA-KOG.txt","subunit TIM17")</f>
        <v>subunit TIM17</v>
      </c>
      <c r="CH53" s="13">
        <v>8.0000000000000003E-61</v>
      </c>
      <c r="CI53" s="2">
        <v>97.3</v>
      </c>
      <c r="CJ53" s="2" t="s">
        <v>1258</v>
      </c>
      <c r="CK53" s="2" t="s">
        <v>278</v>
      </c>
      <c r="CL53" s="9" t="str">
        <f>HYPERLINK(".\links\PFAM\AGAP004657-PA-PFAM.txt","Tim17, Tim17/Tim22/Tim23/Pmp24 family")</f>
        <v>Tim17, Tim17/Tim22/Tim23/Pmp24 family</v>
      </c>
      <c r="CM53" s="13">
        <v>2.0000000000000001E-27</v>
      </c>
      <c r="CN53" s="2">
        <v>106.7</v>
      </c>
      <c r="CO53" s="2" t="s">
        <v>1259</v>
      </c>
      <c r="CP53" s="9" t="str">
        <f>HYPERLINK(".\links\SMART\AGAP004657-PA-SMART.txt","Asparaginase, Asparaginase, found in various plant, animal and bacterial cells")</f>
        <v>Asparaginase, Asparaginase, found in various plant, animal and bacterial cells</v>
      </c>
      <c r="CQ53" s="13">
        <v>0.77</v>
      </c>
      <c r="CR53" s="2">
        <v>17</v>
      </c>
      <c r="CS53" s="2" t="s">
        <v>1260</v>
      </c>
      <c r="CT53" s="2" t="s">
        <v>1253</v>
      </c>
      <c r="CU53" s="2" t="s">
        <v>1253</v>
      </c>
      <c r="CV53" s="2" t="s">
        <v>1253</v>
      </c>
      <c r="CW53" s="2" t="str">
        <f>HYPERLINK(".\links\pep\AGAP004657-PA-pep.txt","AGAP004657-PA")</f>
        <v>AGAP004657-PA</v>
      </c>
      <c r="CX53" s="2" t="s">
        <v>88</v>
      </c>
      <c r="CY53" s="2">
        <v>180</v>
      </c>
      <c r="CZ53" s="2" t="s">
        <v>103</v>
      </c>
      <c r="DA53" s="2" t="s">
        <v>1261</v>
      </c>
      <c r="DB53" s="2">
        <v>0</v>
      </c>
      <c r="DC53" s="2">
        <v>3</v>
      </c>
      <c r="DD53" s="2" t="str">
        <f>HYPERLINK("https://www.kegg.jp/kegg-bin/search_pathway_text?map=aga&amp;keyword=AGAP004657&amp;mode=1&amp;viewImage=true","AGAP004657")</f>
        <v>AGAP004657</v>
      </c>
      <c r="DE53" s="2" t="s">
        <v>1249</v>
      </c>
      <c r="DF53" s="2" t="s">
        <v>1250</v>
      </c>
      <c r="DG53" s="2" t="s">
        <v>87</v>
      </c>
      <c r="DH53" s="2" t="str">
        <f>HYPERLINK("https://vectorbase.org/vectorbase/app/record/gene/AGAP004657","AGAP004657-RA")</f>
        <v>AGAP004657-RA</v>
      </c>
      <c r="DI53" s="2" t="s">
        <v>122</v>
      </c>
      <c r="DJ53" s="2">
        <v>1148</v>
      </c>
      <c r="DK53" s="2" t="str">
        <f>HYPERLINK(".\links\netoglyc\AGAP004657-PA-netoglyc.txt","2")</f>
        <v>2</v>
      </c>
      <c r="DL53" s="2">
        <v>12.8</v>
      </c>
      <c r="DM53" s="2">
        <v>13.3</v>
      </c>
      <c r="DN53" s="2">
        <v>6.7</v>
      </c>
      <c r="DO53" s="2" t="s">
        <v>94</v>
      </c>
      <c r="DP53" s="2" t="s">
        <v>89</v>
      </c>
      <c r="DQ53" s="2" t="str">
        <f>HYPERLINK(".\links\Sigp\AGAP004657-PA-SigP.txt","CYT")</f>
        <v>CYT</v>
      </c>
      <c r="DR53" s="2" t="s">
        <v>89</v>
      </c>
      <c r="DS53" s="2">
        <v>19.100999999999999</v>
      </c>
      <c r="DT53" s="2">
        <v>7.66</v>
      </c>
      <c r="DU53" s="2" t="s">
        <v>89</v>
      </c>
      <c r="DV53" s="2" t="s">
        <v>89</v>
      </c>
      <c r="DW53" s="2" t="s">
        <v>1255</v>
      </c>
      <c r="DX53" s="2">
        <v>180</v>
      </c>
      <c r="DY53" s="12" t="str">
        <f>HYPERLINK(".\links\tmhmm\AGAP004657-PA-tmhmm.txt","2")</f>
        <v>2</v>
      </c>
      <c r="DZ53" s="2">
        <v>24.4</v>
      </c>
      <c r="EA53" s="2">
        <v>15.6</v>
      </c>
      <c r="EB53" s="2">
        <v>60</v>
      </c>
      <c r="EC53" s="2" t="str">
        <f>HYPERLINK(".\links\gpi\AGAP004657-PA-gpi.txt","Y-NoSP")</f>
        <v>Y-NoSP</v>
      </c>
      <c r="ED53" s="2">
        <v>0.38</v>
      </c>
      <c r="EF53" s="2">
        <v>4</v>
      </c>
      <c r="EG53" s="2" t="s">
        <v>89</v>
      </c>
      <c r="EH53" s="2" t="s">
        <v>89</v>
      </c>
      <c r="EI53" s="2">
        <v>12.7777777777778</v>
      </c>
      <c r="EJ53" s="2">
        <v>6.6666666666666696</v>
      </c>
      <c r="EK53" s="2">
        <v>13.3333333333333</v>
      </c>
      <c r="EL53" s="2">
        <v>20</v>
      </c>
      <c r="EM53" s="2" t="s">
        <v>89</v>
      </c>
      <c r="EN53" s="2">
        <v>1</v>
      </c>
      <c r="EO53" s="2">
        <v>1</v>
      </c>
      <c r="EP53" s="2" t="s">
        <v>89</v>
      </c>
      <c r="EQ53" s="2" t="s">
        <v>89</v>
      </c>
      <c r="ER53" s="2" t="s">
        <v>89</v>
      </c>
      <c r="ES53" s="2" t="s">
        <v>89</v>
      </c>
      <c r="ET53" s="2" t="str">
        <f>HYPERLINK(".\links\REFSEQ-INVERTEBRATE\AGAP004657-PA-REFSEQ-INVERTEBRATE.txt","AGAP004657-PB")</f>
        <v>AGAP004657-PB</v>
      </c>
      <c r="EU53" s="2" t="str">
        <f>HYPERLINK("http://www.ncbi.nlm.nih.gov/sutils/blink.cgi?pid=XP_003436883.1","1E-130")</f>
        <v>1E-130</v>
      </c>
      <c r="EV53" s="2" t="str">
        <f>HYPERLINK("http://www.ncbi.nlm.nih.gov/protein/XP_003436883.1","XP_003436883.1")</f>
        <v>XP_003436883.1</v>
      </c>
      <c r="EW53" s="2">
        <v>100</v>
      </c>
      <c r="EX53" s="2">
        <v>100</v>
      </c>
      <c r="EY53" s="2">
        <v>100</v>
      </c>
      <c r="EZ53" s="2" t="s">
        <v>95</v>
      </c>
    </row>
    <row r="54" spans="1:156" x14ac:dyDescent="0.25">
      <c r="A54" s="2" t="s">
        <v>589</v>
      </c>
      <c r="B54" s="2">
        <v>-0.63239051035786398</v>
      </c>
      <c r="C54" s="2">
        <f t="shared" si="0"/>
        <v>0.64510660339127157</v>
      </c>
      <c r="D54" s="2">
        <v>4.9011947081796299</v>
      </c>
      <c r="E54" s="2">
        <v>10.7873570508011</v>
      </c>
      <c r="F54" s="2">
        <v>1.02195690723238E-3</v>
      </c>
      <c r="G54" s="2">
        <v>4.1978531434842002E-2</v>
      </c>
      <c r="H54" s="2" t="s">
        <v>590</v>
      </c>
      <c r="I54" s="2" t="s">
        <v>87</v>
      </c>
      <c r="J54" s="2" t="str">
        <f>HYPERLINK("https://vectorbase.org/vectorbase/app/record/gene/AGAP002470","AGAP002470-RA")</f>
        <v>AGAP002470-RA</v>
      </c>
      <c r="K54" s="2" t="str">
        <f>HYPERLINK(".\links\pep\AGAP002470-PA-pep.txt","AGAP002470-PA")</f>
        <v>AGAP002470-PA</v>
      </c>
      <c r="L54" s="12" t="s">
        <v>88</v>
      </c>
      <c r="M54" s="2">
        <v>139</v>
      </c>
      <c r="N54" s="2">
        <v>0</v>
      </c>
      <c r="O54" s="2">
        <v>1</v>
      </c>
      <c r="P54" s="2" t="s">
        <v>591</v>
      </c>
      <c r="Q54" s="9" t="s">
        <v>592</v>
      </c>
      <c r="R54" s="2" t="s">
        <v>145</v>
      </c>
      <c r="S54" s="2" t="str">
        <f>HYPERLINK(".\links\NR-LIGHT\AGAP002470-PA-NR-LIGHT.txt","NR-LIGHT")</f>
        <v>NR-LIGHT</v>
      </c>
      <c r="T54" s="2">
        <v>4.9999999999999999E-67</v>
      </c>
      <c r="U54" s="2">
        <v>90</v>
      </c>
      <c r="V54" s="2" t="s">
        <v>593</v>
      </c>
      <c r="W54" s="10" t="s">
        <v>594</v>
      </c>
      <c r="X54" s="2" t="s">
        <v>245</v>
      </c>
      <c r="Y54" s="2" t="str">
        <f>HYPERLINK(".\links\REFSEQ-INVERTEBRATE\AGAP002470-PA-REFSEQ-INVERTEBRATE.txt","REFSEQ-INVERTEBRATE")</f>
        <v>REFSEQ-INVERTEBRATE</v>
      </c>
      <c r="Z54" s="13">
        <v>4.0000000000000001E-97</v>
      </c>
      <c r="AA54" s="2">
        <v>100</v>
      </c>
      <c r="AB54" s="14" t="s">
        <v>89</v>
      </c>
      <c r="AC54" s="14" t="str">
        <f>HYPERLINK(".\links\Sigp\AGAP002470-PA-SigP.txt","CYT")</f>
        <v>CYT</v>
      </c>
      <c r="AD54" s="2" t="s">
        <v>89</v>
      </c>
      <c r="AE54" s="2">
        <v>15.917</v>
      </c>
      <c r="AF54" s="2">
        <v>10.38</v>
      </c>
      <c r="AG54" s="2" t="s">
        <v>89</v>
      </c>
      <c r="AH54" s="2" t="s">
        <v>89</v>
      </c>
      <c r="AI54" s="2" t="s">
        <v>93</v>
      </c>
      <c r="AJ54" s="14">
        <v>0</v>
      </c>
      <c r="AK54" s="2" t="s">
        <v>89</v>
      </c>
      <c r="AL54" s="2" t="s">
        <v>89</v>
      </c>
      <c r="AM54" s="2" t="s">
        <v>89</v>
      </c>
      <c r="AN54" s="14" t="str">
        <f>HYPERLINK(".\links\gpi\AGAP002470-PA-gpi.txt","N")</f>
        <v>N</v>
      </c>
      <c r="AO54" s="15" t="str">
        <f>HYPERLINK(".\links\netoglyc\AGAP002470-PA-netoglyc.txt","1")</f>
        <v>1</v>
      </c>
      <c r="AP54" s="14">
        <v>12.9</v>
      </c>
      <c r="AQ54" s="2">
        <v>9.4</v>
      </c>
      <c r="AR54" s="2">
        <v>6.5</v>
      </c>
      <c r="AS54" s="2" t="s">
        <v>94</v>
      </c>
      <c r="AT54" s="9" t="str">
        <f>HYPERLINK(".\links\NR-LIGHT\AGAP002470-PA-NR-LIGHT.txt","AGAP002470-PA")</f>
        <v>AGAP002470-PA</v>
      </c>
      <c r="AU54" s="2" t="str">
        <f>HYPERLINK("http://www.ncbi.nlm.nih.gov/sutils/blink.cgi?pid=XP_312468.5","8E-070")</f>
        <v>8E-070</v>
      </c>
      <c r="AV54" s="2" t="str">
        <f>HYPERLINK("http://www.ncbi.nlm.nih.gov/protein/XP_312468.5","XP_312468.5")</f>
        <v>XP_312468.5</v>
      </c>
      <c r="AW54" s="2">
        <v>100</v>
      </c>
      <c r="AX54" s="2">
        <v>100</v>
      </c>
      <c r="AY54" s="2">
        <v>85</v>
      </c>
      <c r="AZ54" s="2" t="s">
        <v>95</v>
      </c>
      <c r="BA54" s="9" t="str">
        <f>HYPERLINK(".\links\REFSEQ-INVERTEBRATE\AGAP002470-PA-REFSEQ-INVERTEBRATE.txt","AGAP002470-PA")</f>
        <v>AGAP002470-PA</v>
      </c>
      <c r="BB54" s="2" t="str">
        <f>HYPERLINK("http://www.ncbi.nlm.nih.gov/sutils/blink.cgi?pid=XP_312468.5","7E-070")</f>
        <v>7E-070</v>
      </c>
      <c r="BC54" s="2" t="str">
        <f>HYPERLINK("http://www.ncbi.nlm.nih.gov/protein/XP_312468.5","XP_312468.5")</f>
        <v>XP_312468.5</v>
      </c>
      <c r="BD54" s="2">
        <v>100</v>
      </c>
      <c r="BE54" s="2">
        <v>100</v>
      </c>
      <c r="BF54" s="2">
        <v>85</v>
      </c>
      <c r="BG54" s="2" t="s">
        <v>95</v>
      </c>
      <c r="BH54" s="9" t="str">
        <f>HYPERLINK(".\links\REFSEQ-PROTOZOA\AGAP002470-PA-REFSEQ-PROTOZOA.txt","hypothetical protein")</f>
        <v>hypothetical protein</v>
      </c>
      <c r="BI54" s="2" t="str">
        <f>HYPERLINK("http://www.ncbi.nlm.nih.gov/sutils/blink.cgi?pid=XP_001742612.1","9E-015")</f>
        <v>9E-015</v>
      </c>
      <c r="BJ54" s="2" t="str">
        <f>HYPERLINK("http://www.ncbi.nlm.nih.gov/protein/XP_001742612.1","XP_001742612.1")</f>
        <v>XP_001742612.1</v>
      </c>
      <c r="BK54" s="2">
        <v>52</v>
      </c>
      <c r="BL54" s="2">
        <v>63</v>
      </c>
      <c r="BM54" s="2">
        <v>91</v>
      </c>
      <c r="BN54" s="2" t="s">
        <v>389</v>
      </c>
      <c r="BO54" s="9" t="str">
        <f>HYPERLINK(".\links\SWISSP\AGAP002470-PA-SWISSP.txt","39S ribosomal protein L27, mitochondrial")</f>
        <v>39S ribosomal protein L27, mitochondrial</v>
      </c>
      <c r="BP54" s="2" t="str">
        <f>HYPERLINK("http://www.uniprot.org/uniprot/Q99N92","7E-022")</f>
        <v>7E-022</v>
      </c>
      <c r="BQ54" s="2" t="str">
        <f>HYPERLINK("http://www.uniprot.org/uniprot/Q99N92#expression","Q99N92")</f>
        <v>Q99N92</v>
      </c>
      <c r="BR54" s="2">
        <v>45</v>
      </c>
      <c r="BS54" s="2">
        <v>58</v>
      </c>
      <c r="BT54" s="2">
        <v>90</v>
      </c>
      <c r="BU54" s="2" t="s">
        <v>566</v>
      </c>
      <c r="BV54" s="9" t="str">
        <f>HYPERLINK(".\links\FLYBASE\AGAP002470-PA-FLYBASE.txt","FBpp0311697")</f>
        <v>FBpp0311697</v>
      </c>
      <c r="BW54" s="2" t="str">
        <f>HYPERLINK("http://flybase.org/reports/FBgn0053002#alliance_summary_container","6E-78")</f>
        <v>6E-78</v>
      </c>
      <c r="BX54" s="2">
        <v>138</v>
      </c>
      <c r="BY54" s="2">
        <v>82</v>
      </c>
      <c r="BZ54" s="2">
        <v>89</v>
      </c>
      <c r="CA54" s="2">
        <v>91</v>
      </c>
      <c r="CB54" s="9" t="str">
        <f>HYPERLINK(".\links\CDD\AGAP002470-PA-CDD.txt","Ribosomal_L27, Ribosomal L27 protein")</f>
        <v>Ribosomal_L27, Ribosomal L27 protein</v>
      </c>
      <c r="CC54" s="13">
        <v>1.9999999999999999E-20</v>
      </c>
      <c r="CD54" s="2">
        <v>94.8</v>
      </c>
      <c r="CE54" s="2" t="s">
        <v>595</v>
      </c>
      <c r="CF54" s="2" t="s">
        <v>596</v>
      </c>
      <c r="CG54" s="9" t="str">
        <f>HYPERLINK(".\links\KOG\AGAP002470-PA-KOG.txt","Mitochondrial ribosomal protein MRP7 (L2)")</f>
        <v>Mitochondrial ribosomal protein MRP7 (L2)</v>
      </c>
      <c r="CH54" s="13">
        <v>4.0000000000000003E-18</v>
      </c>
      <c r="CI54" s="2">
        <v>66.7</v>
      </c>
      <c r="CJ54" s="2" t="s">
        <v>597</v>
      </c>
      <c r="CK54" s="2" t="s">
        <v>252</v>
      </c>
      <c r="CL54" s="9" t="str">
        <f>HYPERLINK(".\links\PFAM\AGAP002470-PA-PFAM.txt","Ribosomal_L27, Ribosomal L27 protein")</f>
        <v>Ribosomal_L27, Ribosomal L27 protein</v>
      </c>
      <c r="CM54" s="13">
        <v>3.9999999999999996E-21</v>
      </c>
      <c r="CN54" s="2">
        <v>94.8</v>
      </c>
      <c r="CO54" s="2" t="s">
        <v>595</v>
      </c>
      <c r="CP54" s="9" t="str">
        <f>HYPERLINK(".\links\SMART\AGAP002470-PA-SMART.txt","Piwi, This domain is found in the protein Piwi and its relatives")</f>
        <v>Piwi, This domain is found in the protein Piwi and its relatives</v>
      </c>
      <c r="CQ54" s="13">
        <v>2.2999999999999998</v>
      </c>
      <c r="CR54" s="2">
        <v>16.899999999999999</v>
      </c>
      <c r="CS54" s="2" t="s">
        <v>598</v>
      </c>
      <c r="CT54" s="2" t="s">
        <v>593</v>
      </c>
      <c r="CU54" s="2" t="s">
        <v>593</v>
      </c>
      <c r="CV54" s="2" t="s">
        <v>593</v>
      </c>
      <c r="CW54" s="2" t="str">
        <f>HYPERLINK(".\links\pep\AGAP002470-PA-pep.txt","AGAP002470-PA")</f>
        <v>AGAP002470-PA</v>
      </c>
      <c r="CX54" s="2" t="s">
        <v>88</v>
      </c>
      <c r="CY54" s="2">
        <v>139</v>
      </c>
      <c r="CZ54" s="2" t="s">
        <v>103</v>
      </c>
      <c r="DA54" s="2" t="s">
        <v>599</v>
      </c>
      <c r="DB54" s="2">
        <v>0</v>
      </c>
      <c r="DC54" s="2">
        <v>1</v>
      </c>
      <c r="DD54" s="2" t="str">
        <f>HYPERLINK("https://www.kegg.jp/kegg-bin/search_pathway_text?map=aga&amp;keyword=AGAP002470&amp;mode=1&amp;viewImage=true","AGAP002470")</f>
        <v>AGAP002470</v>
      </c>
      <c r="DE54" s="2" t="s">
        <v>589</v>
      </c>
      <c r="DF54" s="2" t="s">
        <v>590</v>
      </c>
      <c r="DG54" s="2" t="s">
        <v>87</v>
      </c>
      <c r="DH54" s="2" t="str">
        <f>HYPERLINK("https://vectorbase.org/vectorbase/app/record/gene/AGAP002470","AGAP002470-RA")</f>
        <v>AGAP002470-RA</v>
      </c>
      <c r="DI54" s="2" t="s">
        <v>122</v>
      </c>
      <c r="DJ54" s="2">
        <v>555</v>
      </c>
      <c r="DK54" s="2" t="str">
        <f>HYPERLINK(".\links\netoglyc\AGAP002470-PA-netoglyc.txt","1")</f>
        <v>1</v>
      </c>
      <c r="DL54" s="2">
        <v>12.9</v>
      </c>
      <c r="DM54" s="2">
        <v>9.4</v>
      </c>
      <c r="DN54" s="2">
        <v>6.5</v>
      </c>
      <c r="DO54" s="2" t="s">
        <v>94</v>
      </c>
      <c r="DP54" s="2" t="s">
        <v>89</v>
      </c>
      <c r="DQ54" s="2" t="str">
        <f>HYPERLINK(".\links\Sigp\AGAP002470-PA-SigP.txt","CYT")</f>
        <v>CYT</v>
      </c>
      <c r="DR54" s="2" t="s">
        <v>89</v>
      </c>
      <c r="DS54" s="2">
        <v>15.917</v>
      </c>
      <c r="DT54" s="2">
        <v>10.38</v>
      </c>
      <c r="DU54" s="2" t="s">
        <v>89</v>
      </c>
      <c r="DV54" s="2" t="s">
        <v>89</v>
      </c>
      <c r="DW54" s="2" t="s">
        <v>93</v>
      </c>
      <c r="DX54" s="2">
        <v>139</v>
      </c>
      <c r="DY54" s="12">
        <v>0</v>
      </c>
      <c r="DZ54" s="2" t="s">
        <v>89</v>
      </c>
      <c r="EA54" s="2" t="s">
        <v>89</v>
      </c>
      <c r="EB54" s="2" t="s">
        <v>89</v>
      </c>
      <c r="EC54" s="2" t="str">
        <f>HYPERLINK(".\links\gpi\AGAP002470-PA-gpi.txt","N")</f>
        <v>N</v>
      </c>
      <c r="ED54" s="2">
        <v>0.38</v>
      </c>
      <c r="EF54" s="2">
        <v>2</v>
      </c>
      <c r="EG54" s="2" t="s">
        <v>89</v>
      </c>
      <c r="EH54" s="2" t="s">
        <v>89</v>
      </c>
      <c r="EI54" s="2">
        <v>12.9496402877698</v>
      </c>
      <c r="EJ54" s="2">
        <v>6.47482014388489</v>
      </c>
      <c r="EK54" s="2">
        <v>9.3525179856115095</v>
      </c>
      <c r="EL54" s="2">
        <v>15.8273381294964</v>
      </c>
      <c r="EM54" s="2" t="s">
        <v>89</v>
      </c>
      <c r="EN54" s="2" t="s">
        <v>89</v>
      </c>
      <c r="EO54" s="2">
        <v>1</v>
      </c>
      <c r="EP54" s="2" t="s">
        <v>89</v>
      </c>
      <c r="EQ54" s="2" t="s">
        <v>89</v>
      </c>
      <c r="ER54" s="2" t="s">
        <v>89</v>
      </c>
      <c r="ES54" s="2" t="s">
        <v>89</v>
      </c>
      <c r="ET54" s="2" t="str">
        <f>HYPERLINK(".\links\REFSEQ-INVERTEBRATE\AGAP002470-PA-REFSEQ-INVERTEBRATE.txt","39S ribosomal protein L27, mitochondrial")</f>
        <v>39S ribosomal protein L27, mitochondrial</v>
      </c>
      <c r="EU54" s="2" t="str">
        <f>HYPERLINK("http://www.ncbi.nlm.nih.gov/sutils/blink.cgi?pid=XP_035903857.1","4E-97")</f>
        <v>4E-97</v>
      </c>
      <c r="EV54" s="2" t="str">
        <f>HYPERLINK("http://www.ncbi.nlm.nih.gov/protein/XP_035903857.1","XP_035903857.1")</f>
        <v>XP_035903857.1</v>
      </c>
      <c r="EW54" s="2">
        <v>93</v>
      </c>
      <c r="EX54" s="2">
        <v>97</v>
      </c>
      <c r="EY54" s="2">
        <v>100</v>
      </c>
      <c r="EZ54" s="2" t="s">
        <v>600</v>
      </c>
    </row>
    <row r="55" spans="1:156" x14ac:dyDescent="0.25">
      <c r="A55" s="2" t="s">
        <v>920</v>
      </c>
      <c r="B55" s="2">
        <v>-0.63695515504960298</v>
      </c>
      <c r="C55" s="2">
        <f t="shared" si="0"/>
        <v>0.6430687306501125</v>
      </c>
      <c r="D55" s="2">
        <v>5.9039270012346003</v>
      </c>
      <c r="E55" s="2">
        <v>10.8963735231758</v>
      </c>
      <c r="F55" s="2">
        <v>9.6352714668876405E-4</v>
      </c>
      <c r="G55" s="2">
        <v>4.0230092277628499E-2</v>
      </c>
      <c r="H55" s="2" t="s">
        <v>921</v>
      </c>
      <c r="I55" s="2" t="s">
        <v>87</v>
      </c>
      <c r="J55" s="2" t="str">
        <f>HYPERLINK("https://vectorbase.org/vectorbase/app/record/gene/AGAP003662","AGAP003662-RA")</f>
        <v>AGAP003662-RA</v>
      </c>
      <c r="K55" s="2" t="str">
        <f>HYPERLINK(".\links\pep\AGAP003662-PA-pep.txt","AGAP003662-PA")</f>
        <v>AGAP003662-PA</v>
      </c>
      <c r="L55" s="12" t="s">
        <v>88</v>
      </c>
      <c r="M55" s="2">
        <v>194</v>
      </c>
      <c r="N55" s="2">
        <v>0</v>
      </c>
      <c r="O55" s="2">
        <v>0</v>
      </c>
      <c r="P55" s="2" t="s">
        <v>922</v>
      </c>
      <c r="Q55" s="9" t="s">
        <v>923</v>
      </c>
      <c r="R55" s="2" t="s">
        <v>924</v>
      </c>
      <c r="S55" s="2" t="str">
        <f>HYPERLINK(".\links\KOG\AGAP003662-PA-KOG.txt","KOG")</f>
        <v>KOG</v>
      </c>
      <c r="T55" s="2">
        <v>2.0000000000000001E-32</v>
      </c>
      <c r="U55" s="2">
        <v>95.7</v>
      </c>
      <c r="V55" s="2" t="s">
        <v>925</v>
      </c>
      <c r="W55" s="10" t="s">
        <v>926</v>
      </c>
      <c r="X55" s="2" t="s">
        <v>924</v>
      </c>
      <c r="Y55" s="2" t="str">
        <f>HYPERLINK(".\links\UNIPROTKB\AGAP003662-PA-UNIPROTKB.txt","UNIPROTKB")</f>
        <v>UNIPROTKB</v>
      </c>
      <c r="Z55" s="13">
        <v>1.9999999999999999E-39</v>
      </c>
      <c r="AA55" s="2">
        <v>90.2</v>
      </c>
      <c r="AB55" s="14" t="s">
        <v>89</v>
      </c>
      <c r="AC55" s="14" t="str">
        <f>HYPERLINK(".\links\Sigp\AGAP003662-PA-SigP.txt","ANC")</f>
        <v>ANC</v>
      </c>
      <c r="AD55" s="2" t="s">
        <v>89</v>
      </c>
      <c r="AE55" s="2">
        <v>21.774000000000001</v>
      </c>
      <c r="AF55" s="2">
        <v>6.72</v>
      </c>
      <c r="AG55" s="2" t="s">
        <v>89</v>
      </c>
      <c r="AH55" s="2" t="s">
        <v>89</v>
      </c>
      <c r="AI55" s="2" t="s">
        <v>927</v>
      </c>
      <c r="AJ55" s="14" t="str">
        <f>HYPERLINK(".\links\tmhmm\AGAP003662-PA-tmhmm.txt","2")</f>
        <v>2</v>
      </c>
      <c r="AK55" s="2">
        <v>22.7</v>
      </c>
      <c r="AL55" s="2">
        <v>21.1</v>
      </c>
      <c r="AM55" s="2">
        <v>56.2</v>
      </c>
      <c r="AN55" s="14" t="str">
        <f>HYPERLINK(".\links\gpi\AGAP003662-PA-gpi.txt","N")</f>
        <v>N</v>
      </c>
      <c r="AO55" s="15" t="str">
        <f>HYPERLINK(".\links\netoglyc\AGAP003662-PA-netoglyc.txt","2")</f>
        <v>2</v>
      </c>
      <c r="AP55" s="14">
        <v>17</v>
      </c>
      <c r="AQ55" s="2">
        <v>4.0999999999999996</v>
      </c>
      <c r="AR55" s="2">
        <v>4.0999999999999996</v>
      </c>
      <c r="AS55" s="2" t="s">
        <v>94</v>
      </c>
      <c r="AT55" s="9" t="str">
        <f>HYPERLINK(".\links\NR-LIGHT\AGAP003662-PA-NR-LIGHT.txt","AGAP003662-PA")</f>
        <v>AGAP003662-PA</v>
      </c>
      <c r="AU55" s="2" t="str">
        <f>HYPERLINK("http://www.ncbi.nlm.nih.gov/sutils/blink.cgi?pid=XP_562528.2","1E-106")</f>
        <v>1E-106</v>
      </c>
      <c r="AV55" s="2" t="str">
        <f>HYPERLINK("http://www.ncbi.nlm.nih.gov/protein/XP_562528.2","XP_562528.2")</f>
        <v>XP_562528.2</v>
      </c>
      <c r="AW55" s="2">
        <v>100</v>
      </c>
      <c r="AX55" s="2">
        <v>100</v>
      </c>
      <c r="AY55" s="2">
        <v>100</v>
      </c>
      <c r="AZ55" s="2" t="s">
        <v>95</v>
      </c>
      <c r="BA55" s="9" t="str">
        <f>HYPERLINK(".\links\REFSEQ-INVERTEBRATE\AGAP003662-PA-REFSEQ-INVERTEBRATE.txt","AGAP003662-PA")</f>
        <v>AGAP003662-PA</v>
      </c>
      <c r="BB55" s="2" t="str">
        <f>HYPERLINK("http://www.ncbi.nlm.nih.gov/sutils/blink.cgi?pid=XP_562528.2","1E-106")</f>
        <v>1E-106</v>
      </c>
      <c r="BC55" s="2" t="str">
        <f>HYPERLINK("http://www.ncbi.nlm.nih.gov/protein/XP_562528.2","XP_562528.2")</f>
        <v>XP_562528.2</v>
      </c>
      <c r="BD55" s="2">
        <v>100</v>
      </c>
      <c r="BE55" s="2">
        <v>100</v>
      </c>
      <c r="BF55" s="2">
        <v>100</v>
      </c>
      <c r="BG55" s="2" t="s">
        <v>95</v>
      </c>
      <c r="BH55" s="9" t="str">
        <f>HYPERLINK(".\links\REFSEQ-PROTOZOA\AGAP003662-PA-REFSEQ-PROTOZOA.txt","hypothetical protein SARC_09821")</f>
        <v>hypothetical protein SARC_09821</v>
      </c>
      <c r="BI55" s="2" t="str">
        <f>HYPERLINK("http://www.ncbi.nlm.nih.gov/sutils/blink.cgi?pid=XP_014151627.1","9E-023")</f>
        <v>9E-023</v>
      </c>
      <c r="BJ55" s="2" t="str">
        <f>HYPERLINK("http://www.ncbi.nlm.nih.gov/protein/XP_014151627.1","XP_014151627.1")</f>
        <v>XP_014151627.1</v>
      </c>
      <c r="BK55" s="2">
        <v>33</v>
      </c>
      <c r="BL55" s="2">
        <v>51</v>
      </c>
      <c r="BM55" s="2">
        <v>84</v>
      </c>
      <c r="BN55" s="2" t="s">
        <v>168</v>
      </c>
      <c r="BO55" s="9" t="str">
        <f>HYPERLINK(".\links\SWISSP\AGAP003662-PA-SWISSP.txt","Prenylated Rab acceptor protein 1")</f>
        <v>Prenylated Rab acceptor protein 1</v>
      </c>
      <c r="BP55" s="2" t="str">
        <f>HYPERLINK("http://www.uniprot.org/uniprot/Q9UI14","1E-030")</f>
        <v>1E-030</v>
      </c>
      <c r="BQ55" s="2" t="str">
        <f>HYPERLINK("http://www.uniprot.org/uniprot/Q9UI14#expression","Q9UI14")</f>
        <v>Q9UI14</v>
      </c>
      <c r="BR55" s="2">
        <v>42</v>
      </c>
      <c r="BS55" s="2">
        <v>62</v>
      </c>
      <c r="BT55" s="2">
        <v>81</v>
      </c>
      <c r="BU55" s="2" t="s">
        <v>115</v>
      </c>
      <c r="BV55" s="9" t="str">
        <f>HYPERLINK(".\links\FLYBASE\AGAP003662-PA-FLYBASE.txt","FBpp0087526")</f>
        <v>FBpp0087526</v>
      </c>
      <c r="BW55" s="2" t="str">
        <f>HYPERLINK("http://flybase.org/reports/FBgn0033468#alliance_summary_container","1E-60")</f>
        <v>1E-60</v>
      </c>
      <c r="BX55" s="2">
        <v>193</v>
      </c>
      <c r="BY55" s="2">
        <v>46</v>
      </c>
      <c r="BZ55" s="2">
        <v>71</v>
      </c>
      <c r="CA55" s="2">
        <v>97</v>
      </c>
      <c r="CB55" s="9" t="str">
        <f>HYPERLINK(".\links\CDD\AGAP003662-PA-CDD.txt","PRA1, PRA1 family protein")</f>
        <v>PRA1, PRA1 family protein</v>
      </c>
      <c r="CC55" s="13">
        <v>8.0000000000000004E-33</v>
      </c>
      <c r="CD55" s="2">
        <v>93.6</v>
      </c>
      <c r="CE55" s="2" t="s">
        <v>928</v>
      </c>
      <c r="CF55" s="2" t="s">
        <v>929</v>
      </c>
      <c r="CG55" s="9" t="str">
        <f>HYPERLINK(".\links\KOG\AGAP003662-PA-KOG.txt","Prenylated rab acceptor 1")</f>
        <v>Prenylated rab acceptor 1</v>
      </c>
      <c r="CH55" s="13">
        <v>2.0000000000000001E-32</v>
      </c>
      <c r="CI55" s="2">
        <v>95.7</v>
      </c>
      <c r="CJ55" s="2" t="s">
        <v>930</v>
      </c>
      <c r="CK55" s="2" t="s">
        <v>278</v>
      </c>
      <c r="CL55" s="9" t="str">
        <f>HYPERLINK(".\links\PFAM\AGAP003662-PA-PFAM.txt","PRA1, PRA1 family protein")</f>
        <v>PRA1, PRA1 family protein</v>
      </c>
      <c r="CM55" s="13">
        <v>2.0000000000000001E-33</v>
      </c>
      <c r="CN55" s="2">
        <v>93.6</v>
      </c>
      <c r="CO55" s="2" t="s">
        <v>928</v>
      </c>
      <c r="CP55" s="9" t="str">
        <f>HYPERLINK(".\links\SMART\AGAP003662-PA-SMART.txt","AKAP_110, A-kinase anchor protein 110 kDa")</f>
        <v>AKAP_110, A-kinase anchor protein 110 kDa</v>
      </c>
      <c r="CQ55" s="13">
        <v>1.4</v>
      </c>
      <c r="CR55" s="2">
        <v>2.9</v>
      </c>
      <c r="CS55" s="2" t="s">
        <v>931</v>
      </c>
      <c r="CT55" s="2" t="s">
        <v>925</v>
      </c>
      <c r="CU55" s="2" t="s">
        <v>925</v>
      </c>
      <c r="CV55" s="2" t="s">
        <v>925</v>
      </c>
      <c r="CW55" s="2" t="str">
        <f>HYPERLINK(".\links\pep\AGAP003662-PA-pep.txt","AGAP003662-PA")</f>
        <v>AGAP003662-PA</v>
      </c>
      <c r="CX55" s="2" t="s">
        <v>88</v>
      </c>
      <c r="CY55" s="2">
        <v>194</v>
      </c>
      <c r="CZ55" s="2" t="s">
        <v>103</v>
      </c>
      <c r="DA55" s="2" t="s">
        <v>932</v>
      </c>
      <c r="DB55" s="2">
        <v>0</v>
      </c>
      <c r="DC55" s="2">
        <v>0</v>
      </c>
      <c r="DD55" s="2" t="str">
        <f>HYPERLINK("https://www.kegg.jp/kegg-bin/search_pathway_text?map=aga&amp;keyword=AGAP003662&amp;mode=1&amp;viewImage=true","AGAP003662")</f>
        <v>AGAP003662</v>
      </c>
      <c r="DE55" s="2" t="s">
        <v>920</v>
      </c>
      <c r="DF55" s="2" t="s">
        <v>921</v>
      </c>
      <c r="DG55" s="2" t="s">
        <v>87</v>
      </c>
      <c r="DH55" s="2" t="str">
        <f>HYPERLINK("https://vectorbase.org/vectorbase/app/record/gene/AGAP003662","AGAP003662-RA")</f>
        <v>AGAP003662-RA</v>
      </c>
      <c r="DI55" s="2" t="s">
        <v>140</v>
      </c>
      <c r="DJ55" s="2">
        <v>1144</v>
      </c>
      <c r="DK55" s="2" t="str">
        <f>HYPERLINK(".\links\netoglyc\AGAP003662-PA-netoglyc.txt","2")</f>
        <v>2</v>
      </c>
      <c r="DL55" s="2">
        <v>17</v>
      </c>
      <c r="DM55" s="2">
        <v>4.0999999999999996</v>
      </c>
      <c r="DN55" s="2">
        <v>4.0999999999999996</v>
      </c>
      <c r="DO55" s="2" t="s">
        <v>94</v>
      </c>
      <c r="DP55" s="2" t="s">
        <v>89</v>
      </c>
      <c r="DQ55" s="2" t="str">
        <f>HYPERLINK(".\links\Sigp\AGAP003662-PA-SigP.txt","ANC")</f>
        <v>ANC</v>
      </c>
      <c r="DR55" s="2" t="s">
        <v>89</v>
      </c>
      <c r="DS55" s="2">
        <v>21.774000000000001</v>
      </c>
      <c r="DT55" s="2">
        <v>6.72</v>
      </c>
      <c r="DU55" s="2" t="s">
        <v>89</v>
      </c>
      <c r="DV55" s="2" t="s">
        <v>89</v>
      </c>
      <c r="DW55" s="2" t="s">
        <v>927</v>
      </c>
      <c r="DX55" s="2">
        <v>194</v>
      </c>
      <c r="DY55" s="12" t="str">
        <f>HYPERLINK(".\links\tmhmm\AGAP003662-PA-tmhmm.txt","2")</f>
        <v>2</v>
      </c>
      <c r="DZ55" s="2">
        <v>22.7</v>
      </c>
      <c r="EA55" s="2">
        <v>21.1</v>
      </c>
      <c r="EB55" s="2">
        <v>56.2</v>
      </c>
      <c r="EC55" s="2" t="str">
        <f>HYPERLINK(".\links\gpi\AGAP003662-PA-gpi.txt","Y-NoSP")</f>
        <v>Y-NoSP</v>
      </c>
      <c r="ED55" s="2">
        <v>0.37</v>
      </c>
      <c r="EF55" s="2">
        <v>3</v>
      </c>
      <c r="EG55" s="2" t="s">
        <v>89</v>
      </c>
      <c r="EH55" s="2" t="s">
        <v>89</v>
      </c>
      <c r="EI55" s="2">
        <v>17.010309278350501</v>
      </c>
      <c r="EJ55" s="2">
        <v>4.1237113402061896</v>
      </c>
      <c r="EK55" s="2">
        <v>4.1237113402061896</v>
      </c>
      <c r="EL55" s="2">
        <v>8.2474226804123703</v>
      </c>
      <c r="EM55" s="2" t="s">
        <v>89</v>
      </c>
      <c r="EN55" s="2" t="s">
        <v>89</v>
      </c>
      <c r="EO55" s="2" t="s">
        <v>89</v>
      </c>
      <c r="EP55" s="2" t="s">
        <v>89</v>
      </c>
      <c r="EQ55" s="2" t="s">
        <v>89</v>
      </c>
      <c r="ER55" s="2" t="s">
        <v>89</v>
      </c>
      <c r="ES55" s="2" t="s">
        <v>89</v>
      </c>
      <c r="ET55" s="2" t="str">
        <f>HYPERLINK(".\links\REFSEQ-INVERTEBRATE\AGAP003662-PA-REFSEQ-INVERTEBRATE.txt","AGAP003662-PA")</f>
        <v>AGAP003662-PA</v>
      </c>
      <c r="EU55" s="2" t="str">
        <f>HYPERLINK("http://www.ncbi.nlm.nih.gov/sutils/blink.cgi?pid=XP_562528.2","1E-141")</f>
        <v>1E-141</v>
      </c>
      <c r="EV55" s="2" t="str">
        <f>HYPERLINK("http://www.ncbi.nlm.nih.gov/protein/XP_562528.2","XP_562528.2")</f>
        <v>XP_562528.2</v>
      </c>
      <c r="EW55" s="2">
        <v>100</v>
      </c>
      <c r="EX55" s="2">
        <v>100</v>
      </c>
      <c r="EY55" s="2">
        <v>100</v>
      </c>
      <c r="EZ55" s="2" t="s">
        <v>95</v>
      </c>
    </row>
    <row r="56" spans="1:156" x14ac:dyDescent="0.25">
      <c r="A56" s="2" t="s">
        <v>1772</v>
      </c>
      <c r="B56" s="2">
        <v>-0.64899000791647299</v>
      </c>
      <c r="C56" s="2">
        <f t="shared" si="0"/>
        <v>0.63772661270862707</v>
      </c>
      <c r="D56" s="2">
        <v>5.7974462925288996</v>
      </c>
      <c r="E56" s="2">
        <v>11.737861395135001</v>
      </c>
      <c r="F56" s="2">
        <v>6.1241355188756095E-4</v>
      </c>
      <c r="G56" s="2">
        <v>3.03005469197818E-2</v>
      </c>
      <c r="H56" s="2" t="s">
        <v>1773</v>
      </c>
      <c r="I56" s="2" t="s">
        <v>87</v>
      </c>
      <c r="J56" s="2" t="str">
        <f>HYPERLINK("https://vectorbase.org/vectorbase/app/record/gene/AGAP007020","AGAP007020-RA")</f>
        <v>AGAP007020-RA</v>
      </c>
      <c r="K56" s="2" t="str">
        <f>HYPERLINK(".\links\pep\AGAP007020-PA-pep.txt","AGAP007020-PA")</f>
        <v>AGAP007020-PA</v>
      </c>
      <c r="L56" s="12" t="s">
        <v>88</v>
      </c>
      <c r="M56" s="2">
        <v>223</v>
      </c>
      <c r="N56" s="2">
        <v>0</v>
      </c>
      <c r="O56" s="2">
        <v>2</v>
      </c>
      <c r="P56" s="2" t="s">
        <v>1774</v>
      </c>
      <c r="Q56" s="9" t="s">
        <v>1775</v>
      </c>
      <c r="R56" s="2" t="s">
        <v>740</v>
      </c>
      <c r="S56" s="2" t="str">
        <f>HYPERLINK(".\links\NR-LIGHT\AGAP007020-PA-NR-LIGHT.txt","NR-LIGHT")</f>
        <v>NR-LIGHT</v>
      </c>
      <c r="T56" s="2">
        <v>0</v>
      </c>
      <c r="U56" s="2">
        <v>99.5</v>
      </c>
      <c r="V56" s="2" t="s">
        <v>1776</v>
      </c>
      <c r="W56" s="10" t="s">
        <v>1777</v>
      </c>
      <c r="X56" s="2" t="s">
        <v>740</v>
      </c>
      <c r="Y56" s="2" t="str">
        <f>HYPERLINK(".\links\ARTHORPODA\AGAP007020-PA-ARTHORPODA.txt","ARTHORPODA")</f>
        <v>ARTHORPODA</v>
      </c>
      <c r="Z56" s="13">
        <v>0</v>
      </c>
      <c r="AA56" s="2">
        <v>100</v>
      </c>
      <c r="AB56" s="14" t="s">
        <v>89</v>
      </c>
      <c r="AC56" s="14" t="str">
        <f>HYPERLINK(".\links\Sigp\AGAP007020-PA-SigP.txt","CYT")</f>
        <v>CYT</v>
      </c>
      <c r="AD56" s="2" t="s">
        <v>89</v>
      </c>
      <c r="AE56" s="2">
        <v>24.567</v>
      </c>
      <c r="AF56" s="2">
        <v>5.21</v>
      </c>
      <c r="AG56" s="2" t="s">
        <v>89</v>
      </c>
      <c r="AH56" s="2" t="s">
        <v>89</v>
      </c>
      <c r="AI56" s="2" t="s">
        <v>1322</v>
      </c>
      <c r="AJ56" s="14">
        <v>0</v>
      </c>
      <c r="AK56" s="2" t="s">
        <v>89</v>
      </c>
      <c r="AL56" s="2" t="s">
        <v>89</v>
      </c>
      <c r="AM56" s="2" t="s">
        <v>89</v>
      </c>
      <c r="AN56" s="14" t="str">
        <f>HYPERLINK(".\links\gpi\AGAP007020-PA-gpi.txt","N")</f>
        <v>N</v>
      </c>
      <c r="AO56" s="15" t="str">
        <f>HYPERLINK(".\links\netoglyc\AGAP007020-PA-netoglyc.txt","3")</f>
        <v>3</v>
      </c>
      <c r="AP56" s="14">
        <v>13</v>
      </c>
      <c r="AQ56" s="2">
        <v>5.8</v>
      </c>
      <c r="AR56" s="2">
        <v>8.5</v>
      </c>
      <c r="AS56" s="2" t="s">
        <v>94</v>
      </c>
      <c r="AT56" s="9" t="str">
        <f>HYPERLINK(".\links\NR-LIGHT\AGAP007020-PA-NR-LIGHT.txt","AGAP007020-PA")</f>
        <v>AGAP007020-PA</v>
      </c>
      <c r="AU56" s="2" t="str">
        <f>HYPERLINK("http://www.ncbi.nlm.nih.gov/sutils/blink.cgi?pid=XP_308753.2","1E-127")</f>
        <v>1E-127</v>
      </c>
      <c r="AV56" s="2" t="str">
        <f>HYPERLINK("http://www.ncbi.nlm.nih.gov/protein/XP_308753.2","XP_308753.2")</f>
        <v>XP_308753.2</v>
      </c>
      <c r="AW56" s="2">
        <v>100</v>
      </c>
      <c r="AX56" s="2">
        <v>100</v>
      </c>
      <c r="AY56" s="2">
        <v>100</v>
      </c>
      <c r="AZ56" s="2" t="s">
        <v>95</v>
      </c>
      <c r="BA56" s="9" t="str">
        <f>HYPERLINK(".\links\REFSEQ-INVERTEBRATE\AGAP007020-PA-REFSEQ-INVERTEBRATE.txt","AGAP007020-PA")</f>
        <v>AGAP007020-PA</v>
      </c>
      <c r="BB56" s="2" t="str">
        <f>HYPERLINK("http://www.ncbi.nlm.nih.gov/sutils/blink.cgi?pid=XP_308753.2","1E-128")</f>
        <v>1E-128</v>
      </c>
      <c r="BC56" s="2" t="str">
        <f>HYPERLINK("http://www.ncbi.nlm.nih.gov/protein/XP_308753.2","XP_308753.2")</f>
        <v>XP_308753.2</v>
      </c>
      <c r="BD56" s="2">
        <v>100</v>
      </c>
      <c r="BE56" s="2">
        <v>100</v>
      </c>
      <c r="BF56" s="2">
        <v>100</v>
      </c>
      <c r="BG56" s="2" t="s">
        <v>95</v>
      </c>
      <c r="BH56" s="9" t="str">
        <f>HYPERLINK(".\links\REFSEQ-PROTOZOA\AGAP007020-PA-REFSEQ-PROTOZOA.txt","glutathione peroxidase")</f>
        <v>glutathione peroxidase</v>
      </c>
      <c r="BI56" s="2" t="str">
        <f>HYPERLINK("http://www.ncbi.nlm.nih.gov/sutils/blink.cgi?pid=XP_004995725.1","3E-072")</f>
        <v>3E-072</v>
      </c>
      <c r="BJ56" s="2" t="str">
        <f>HYPERLINK("http://www.ncbi.nlm.nih.gov/protein/XP_004995725.1","XP_004995725.1")</f>
        <v>XP_004995725.1</v>
      </c>
      <c r="BK56" s="2">
        <v>59</v>
      </c>
      <c r="BL56" s="2">
        <v>73</v>
      </c>
      <c r="BM56" s="2">
        <v>100</v>
      </c>
      <c r="BN56" s="2" t="s">
        <v>182</v>
      </c>
      <c r="BO56" s="9" t="str">
        <f>HYPERLINK(".\links\SWISSP\AGAP007020-PA-SWISSP.txt","Peroxiredoxin-6")</f>
        <v>Peroxiredoxin-6</v>
      </c>
      <c r="BP56" s="2" t="str">
        <f>HYPERLINK("http://www.uniprot.org/uniprot/O77834","5E-071")</f>
        <v>5E-071</v>
      </c>
      <c r="BQ56" s="2" t="str">
        <f>HYPERLINK("http://www.uniprot.org/uniprot/O77834#expression","O77834")</f>
        <v>O77834</v>
      </c>
      <c r="BR56" s="2">
        <v>60</v>
      </c>
      <c r="BS56" s="2">
        <v>70</v>
      </c>
      <c r="BT56" s="2">
        <v>98</v>
      </c>
      <c r="BU56" s="2" t="s">
        <v>183</v>
      </c>
      <c r="BV56" s="9" t="str">
        <f>HYPERLINK(".\links\FLYBASE\AGAP007020-PA-FLYBASE.txt","FBpp0077368")</f>
        <v>FBpp0077368</v>
      </c>
      <c r="BW56" s="2" t="str">
        <f>HYPERLINK("http://flybase.org/reports/FBgn0031479#alliance_summary_container","1E-111")</f>
        <v>1E-111</v>
      </c>
      <c r="BX56" s="2">
        <v>222</v>
      </c>
      <c r="BY56" s="2">
        <v>68</v>
      </c>
      <c r="BZ56" s="2">
        <v>81</v>
      </c>
      <c r="CA56" s="2">
        <v>100</v>
      </c>
      <c r="CB56" s="9" t="str">
        <f>HYPERLINK(".\links\CDD\AGAP007020-PA-CDD.txt","PRX_1cys, Peroxiredoxin (PRX) family, 1-cys PRX subfamily")</f>
        <v>PRX_1cys, Peroxiredoxin (PRX) family, 1-cys PRX subfamily</v>
      </c>
      <c r="CC56" s="13">
        <v>3.0000000000000002E-91</v>
      </c>
      <c r="CD56" s="2">
        <v>106.4</v>
      </c>
      <c r="CE56" s="2" t="s">
        <v>1778</v>
      </c>
      <c r="CF56" s="2" t="s">
        <v>1779</v>
      </c>
      <c r="CG56" s="9" t="str">
        <f>HYPERLINK(".\links\KOG\AGAP007020-PA-KOG.txt","thiol specific antioxidant and related enzymes")</f>
        <v>thiol specific antioxidant and related enzymes</v>
      </c>
      <c r="CH56" s="13">
        <v>9.0000000000000004E-95</v>
      </c>
      <c r="CI56" s="2">
        <v>98.2</v>
      </c>
      <c r="CJ56" s="2" t="s">
        <v>1780</v>
      </c>
      <c r="CK56" s="2" t="s">
        <v>264</v>
      </c>
      <c r="CL56" s="9" t="str">
        <f>HYPERLINK(".\links\PFAM\AGAP007020-PA-PFAM.txt","AhpC-TSA, AhpC/TSA family")</f>
        <v>AhpC-TSA, AhpC/TSA family</v>
      </c>
      <c r="CM56" s="13">
        <v>4.9999999999999996E-25</v>
      </c>
      <c r="CN56" s="2">
        <v>112.1</v>
      </c>
      <c r="CO56" s="2" t="s">
        <v>1781</v>
      </c>
      <c r="CP56" s="9" t="str">
        <f>HYPERLINK(".\links\SMART\AGAP007020-PA-SMART.txt","PH, Pleckstrin homology domain")</f>
        <v>PH, Pleckstrin homology domain</v>
      </c>
      <c r="CQ56" s="13">
        <v>2.8</v>
      </c>
      <c r="CR56" s="2">
        <v>17.600000000000001</v>
      </c>
      <c r="CS56" s="2" t="s">
        <v>1782</v>
      </c>
      <c r="CT56" s="2" t="s">
        <v>1776</v>
      </c>
      <c r="CU56" s="2" t="s">
        <v>1776</v>
      </c>
      <c r="CV56" s="2" t="s">
        <v>1776</v>
      </c>
      <c r="CW56" s="2" t="str">
        <f>HYPERLINK(".\links\pep\AGAP007020-PA-pep.txt","AGAP007020-PA")</f>
        <v>AGAP007020-PA</v>
      </c>
      <c r="CX56" s="2" t="s">
        <v>88</v>
      </c>
      <c r="CY56" s="2">
        <v>223</v>
      </c>
      <c r="CZ56" s="2" t="s">
        <v>103</v>
      </c>
      <c r="DA56" s="2" t="s">
        <v>1783</v>
      </c>
      <c r="DB56" s="2">
        <v>0</v>
      </c>
      <c r="DC56" s="2">
        <v>2</v>
      </c>
      <c r="DD56" s="2" t="str">
        <f>HYPERLINK("https://www.kegg.jp/kegg-bin/search_pathway_text?map=aga&amp;keyword=AGAP007020&amp;mode=1&amp;viewImage=true","AGAP007020")</f>
        <v>AGAP007020</v>
      </c>
      <c r="DE56" s="2" t="s">
        <v>1772</v>
      </c>
      <c r="DF56" s="2" t="s">
        <v>1773</v>
      </c>
      <c r="DG56" s="2" t="s">
        <v>87</v>
      </c>
      <c r="DH56" s="2" t="str">
        <f>HYPERLINK("https://vectorbase.org/vectorbase/app/record/gene/AGAP007020","AGAP007020-RA")</f>
        <v>AGAP007020-RA</v>
      </c>
      <c r="DI56" s="2" t="s">
        <v>140</v>
      </c>
      <c r="DJ56" s="2">
        <v>870</v>
      </c>
      <c r="DK56" s="2" t="str">
        <f>HYPERLINK(".\links\netoglyc\AGAP007020-PA-netoglyc.txt","3")</f>
        <v>3</v>
      </c>
      <c r="DL56" s="2">
        <v>13</v>
      </c>
      <c r="DM56" s="2">
        <v>5.8</v>
      </c>
      <c r="DN56" s="2">
        <v>8.5</v>
      </c>
      <c r="DO56" s="2" t="s">
        <v>94</v>
      </c>
      <c r="DP56" s="2" t="s">
        <v>89</v>
      </c>
      <c r="DQ56" s="2" t="str">
        <f>HYPERLINK(".\links\Sigp\AGAP007020-PA-SigP.txt","CYT")</f>
        <v>CYT</v>
      </c>
      <c r="DR56" s="2" t="s">
        <v>89</v>
      </c>
      <c r="DS56" s="2">
        <v>24.567</v>
      </c>
      <c r="DT56" s="2">
        <v>5.21</v>
      </c>
      <c r="DU56" s="2" t="s">
        <v>89</v>
      </c>
      <c r="DV56" s="2" t="s">
        <v>89</v>
      </c>
      <c r="DW56" s="2" t="s">
        <v>1322</v>
      </c>
      <c r="DX56" s="2">
        <v>223</v>
      </c>
      <c r="DY56" s="12">
        <v>0</v>
      </c>
      <c r="DZ56" s="2" t="s">
        <v>89</v>
      </c>
      <c r="EA56" s="2" t="s">
        <v>89</v>
      </c>
      <c r="EB56" s="2" t="s">
        <v>89</v>
      </c>
      <c r="EC56" s="2" t="str">
        <f>HYPERLINK(".\links\gpi\AGAP007020-PA-gpi.txt","N")</f>
        <v>N</v>
      </c>
      <c r="ED56" s="2">
        <v>0.31</v>
      </c>
      <c r="EF56" s="2">
        <v>5</v>
      </c>
      <c r="EG56" s="2" t="s">
        <v>89</v>
      </c>
      <c r="EH56" s="2" t="s">
        <v>89</v>
      </c>
      <c r="EI56" s="2">
        <v>13.004484304932699</v>
      </c>
      <c r="EJ56" s="2">
        <v>8.52017937219731</v>
      </c>
      <c r="EK56" s="2">
        <v>5.8295964125560502</v>
      </c>
      <c r="EL56" s="2">
        <v>14.349775784753399</v>
      </c>
      <c r="EM56" s="2" t="s">
        <v>89</v>
      </c>
      <c r="EN56" s="2" t="s">
        <v>89</v>
      </c>
      <c r="EO56" s="2">
        <v>1</v>
      </c>
      <c r="EP56" s="2" t="s">
        <v>89</v>
      </c>
      <c r="EQ56" s="2" t="s">
        <v>89</v>
      </c>
      <c r="ER56" s="2" t="s">
        <v>89</v>
      </c>
      <c r="ES56" s="2" t="s">
        <v>89</v>
      </c>
      <c r="ET56" s="2" t="str">
        <f>HYPERLINK(".\links\REFSEQ-INVERTEBRATE\AGAP007020-PA-REFSEQ-INVERTEBRATE.txt","AGAP007020-PA")</f>
        <v>AGAP007020-PA</v>
      </c>
      <c r="EU56" s="2" t="str">
        <f>HYPERLINK("http://www.ncbi.nlm.nih.gov/sutils/blink.cgi?pid=XP_308753.2","1E-164")</f>
        <v>1E-164</v>
      </c>
      <c r="EV56" s="2" t="str">
        <f>HYPERLINK("http://www.ncbi.nlm.nih.gov/protein/XP_308753.2","XP_308753.2")</f>
        <v>XP_308753.2</v>
      </c>
      <c r="EW56" s="2">
        <v>100</v>
      </c>
      <c r="EX56" s="2">
        <v>100</v>
      </c>
      <c r="EY56" s="2">
        <v>100</v>
      </c>
      <c r="EZ56" s="2" t="s">
        <v>95</v>
      </c>
    </row>
    <row r="57" spans="1:156" x14ac:dyDescent="0.25">
      <c r="A57" s="2" t="s">
        <v>1892</v>
      </c>
      <c r="B57" s="2">
        <v>-0.65685143968034099</v>
      </c>
      <c r="C57" s="2">
        <f t="shared" si="0"/>
        <v>0.6342610087991597</v>
      </c>
      <c r="D57" s="2">
        <v>8.51943234079984</v>
      </c>
      <c r="E57" s="2">
        <v>11.371249602043299</v>
      </c>
      <c r="F57" s="2">
        <v>7.4589679489716395E-4</v>
      </c>
      <c r="G57" s="2">
        <v>3.45285355446526E-2</v>
      </c>
      <c r="H57" s="2" t="s">
        <v>1893</v>
      </c>
      <c r="I57" s="2" t="s">
        <v>89</v>
      </c>
      <c r="J57" s="2" t="str">
        <f>HYPERLINK("https://vectorbase.org/vectorbase/app/record/gene/AGAP007580","AGAP007580-RA")</f>
        <v>AGAP007580-RA</v>
      </c>
      <c r="K57" s="2" t="str">
        <f>HYPERLINK(".\links\pep\AGAP007580-PA-pep.txt","AGAP007580-PA")</f>
        <v>AGAP007580-PA</v>
      </c>
      <c r="L57" s="12" t="s">
        <v>88</v>
      </c>
      <c r="M57" s="2">
        <v>189</v>
      </c>
      <c r="N57" s="2">
        <v>0</v>
      </c>
      <c r="O57" s="2">
        <v>0</v>
      </c>
      <c r="P57" s="2" t="s">
        <v>1894</v>
      </c>
      <c r="Q57" s="9" t="s">
        <v>1895</v>
      </c>
      <c r="R57" s="2" t="s">
        <v>245</v>
      </c>
      <c r="S57" s="2" t="str">
        <f>HYPERLINK(".\links\PFAM\AGAP007580-PA-PFAM.txt","PFAM")</f>
        <v>PFAM</v>
      </c>
      <c r="T57" s="2">
        <v>4.0000000000000001E-87</v>
      </c>
      <c r="U57" s="2">
        <v>100.5</v>
      </c>
      <c r="V57" s="2" t="s">
        <v>1896</v>
      </c>
      <c r="W57" s="10" t="s">
        <v>1897</v>
      </c>
      <c r="X57" s="2" t="s">
        <v>245</v>
      </c>
      <c r="Y57" s="2" t="str">
        <f>HYPERLINK(".\links\REFSEQVERTEBRATE95\AGAP007580-PA-REFSEQVERTEBRATE95.txt","REFSEQVERTEBRATE95")</f>
        <v>REFSEQVERTEBRATE95</v>
      </c>
      <c r="Z57" s="13">
        <v>2E-87</v>
      </c>
      <c r="AA57" s="2">
        <v>86</v>
      </c>
      <c r="AB57" s="14" t="s">
        <v>89</v>
      </c>
      <c r="AC57" s="14" t="str">
        <f>HYPERLINK(".\links\Sigp\AGAP007580-PA-SigP.txt","CYT")</f>
        <v>CYT</v>
      </c>
      <c r="AD57" s="2" t="s">
        <v>89</v>
      </c>
      <c r="AE57" s="2">
        <v>22.068000000000001</v>
      </c>
      <c r="AF57" s="2">
        <v>11.49</v>
      </c>
      <c r="AG57" s="2" t="s">
        <v>89</v>
      </c>
      <c r="AH57" s="2" t="s">
        <v>89</v>
      </c>
      <c r="AI57" s="2" t="s">
        <v>1898</v>
      </c>
      <c r="AJ57" s="14">
        <v>0</v>
      </c>
      <c r="AK57" s="2" t="s">
        <v>89</v>
      </c>
      <c r="AL57" s="2" t="s">
        <v>89</v>
      </c>
      <c r="AM57" s="2" t="s">
        <v>89</v>
      </c>
      <c r="AN57" s="14" t="str">
        <f>HYPERLINK(".\links\gpi\AGAP007580-PA-gpi.txt","N")</f>
        <v>N</v>
      </c>
      <c r="AO57" s="15" t="str">
        <f>HYPERLINK(".\links\netoglyc\AGAP007580-PA-netoglyc.txt","0")</f>
        <v>0</v>
      </c>
      <c r="AP57" s="14">
        <v>11.1</v>
      </c>
      <c r="AQ57" s="2">
        <v>6.3</v>
      </c>
      <c r="AR57" s="2">
        <v>4.2</v>
      </c>
      <c r="AS57" s="2" t="s">
        <v>94</v>
      </c>
      <c r="AT57" s="9" t="str">
        <f>HYPERLINK(".\links\NR-LIGHT\AGAP007580-PA-NR-LIGHT.txt","AGAP007580-PB")</f>
        <v>AGAP007580-PB</v>
      </c>
      <c r="AU57" s="2" t="str">
        <f>HYPERLINK("http://www.ncbi.nlm.nih.gov/sutils/blink.cgi?pid=XP_308294.3","1E-105")</f>
        <v>1E-105</v>
      </c>
      <c r="AV57" s="2" t="str">
        <f>HYPERLINK("http://www.ncbi.nlm.nih.gov/protein/XP_308294.3","XP_308294.3")</f>
        <v>XP_308294.3</v>
      </c>
      <c r="AW57" s="2">
        <v>100</v>
      </c>
      <c r="AX57" s="2">
        <v>100</v>
      </c>
      <c r="AY57" s="2">
        <v>100</v>
      </c>
      <c r="AZ57" s="2" t="s">
        <v>95</v>
      </c>
      <c r="BA57" s="9" t="str">
        <f>HYPERLINK(".\links\REFSEQ-INVERTEBRATE\AGAP007580-PA-REFSEQ-INVERTEBRATE.txt","AGAP007580-PA")</f>
        <v>AGAP007580-PA</v>
      </c>
      <c r="BB57" s="2" t="str">
        <f>HYPERLINK("http://www.ncbi.nlm.nih.gov/sutils/blink.cgi?pid=XP_001687888.1","1E-105")</f>
        <v>1E-105</v>
      </c>
      <c r="BC57" s="2" t="str">
        <f>HYPERLINK("http://www.ncbi.nlm.nih.gov/protein/XP_001687888.1","XP_001687888.1")</f>
        <v>XP_001687888.1</v>
      </c>
      <c r="BD57" s="2">
        <v>100</v>
      </c>
      <c r="BE57" s="2">
        <v>100</v>
      </c>
      <c r="BF57" s="2">
        <v>100</v>
      </c>
      <c r="BG57" s="2" t="s">
        <v>95</v>
      </c>
      <c r="BH57" s="9" t="str">
        <f>HYPERLINK(".\links\REFSEQ-PROTOZOA\AGAP007580-PA-REFSEQ-PROTOZOA.txt","hypothetical protein")</f>
        <v>hypothetical protein</v>
      </c>
      <c r="BI57" s="2" t="str">
        <f>HYPERLINK("http://www.ncbi.nlm.nih.gov/sutils/blink.cgi?pid=XP_001745439.1","2E-064")</f>
        <v>2E-064</v>
      </c>
      <c r="BJ57" s="2" t="str">
        <f>HYPERLINK("http://www.ncbi.nlm.nih.gov/protein/XP_001745439.1","XP_001745439.1")</f>
        <v>XP_001745439.1</v>
      </c>
      <c r="BK57" s="2">
        <v>66</v>
      </c>
      <c r="BL57" s="2">
        <v>80</v>
      </c>
      <c r="BM57" s="2">
        <v>102</v>
      </c>
      <c r="BN57" s="2" t="s">
        <v>389</v>
      </c>
      <c r="BO57" s="9" t="str">
        <f>HYPERLINK(".\links\SWISSP\AGAP007580-PA-SWISSP.txt","60S ribosomal protein L18")</f>
        <v>60S ribosomal protein L18</v>
      </c>
      <c r="BP57" s="2" t="str">
        <f>HYPERLINK("http://www.uniprot.org/uniprot/Q7QJM5","1E-106")</f>
        <v>1E-106</v>
      </c>
      <c r="BQ57" s="2" t="str">
        <f>HYPERLINK("http://www.uniprot.org/uniprot/Q7QJM5#expression","Q7QJM5")</f>
        <v>Q7QJM5</v>
      </c>
      <c r="BR57" s="2">
        <v>100</v>
      </c>
      <c r="BS57" s="2">
        <v>100</v>
      </c>
      <c r="BT57" s="2">
        <v>100</v>
      </c>
      <c r="BU57" s="2" t="s">
        <v>215</v>
      </c>
      <c r="BV57" s="9" t="str">
        <f>HYPERLINK(".\links\FLYBASE\AGAP007580-PA-FLYBASE.txt","FBpp0305562")</f>
        <v>FBpp0305562</v>
      </c>
      <c r="BW57" s="2" t="str">
        <f>HYPERLINK("http://flybase.org/reports/FBgn0035753#alliance_summary_container","2E-97")</f>
        <v>2E-97</v>
      </c>
      <c r="BX57" s="2">
        <v>188</v>
      </c>
      <c r="BY57" s="2">
        <v>70</v>
      </c>
      <c r="BZ57" s="2">
        <v>84</v>
      </c>
      <c r="CA57" s="2">
        <v>100</v>
      </c>
      <c r="CB57" s="9" t="str">
        <f>HYPERLINK(".\links\CDD\AGAP007580-PA-CDD.txt","Ribosomal_L18, Ribosomal protein 60S L18 and 50S L18e")</f>
        <v>Ribosomal_L18, Ribosomal protein 60S L18 and 50S L18e</v>
      </c>
      <c r="CC57" s="13">
        <v>2.0000000000000002E-86</v>
      </c>
      <c r="CD57" s="2">
        <v>100.5</v>
      </c>
      <c r="CE57" s="2" t="s">
        <v>1899</v>
      </c>
      <c r="CF57" s="2" t="s">
        <v>1900</v>
      </c>
      <c r="CG57" s="9" t="str">
        <f>HYPERLINK(".\links\KOG\AGAP007580-PA-KOG.txt","60s ribosomal protein L18")</f>
        <v>60s ribosomal protein L18</v>
      </c>
      <c r="CH57" s="13">
        <v>1.0000000000000001E-68</v>
      </c>
      <c r="CI57" s="2">
        <v>100.5</v>
      </c>
      <c r="CJ57" s="2" t="s">
        <v>1901</v>
      </c>
      <c r="CK57" s="2" t="s">
        <v>252</v>
      </c>
      <c r="CL57" s="9" t="str">
        <f>HYPERLINK(".\links\PFAM\AGAP007580-PA-PFAM.txt","Ribosomal_L18, Ribosomal protein 60S L18 and 50S L18e")</f>
        <v>Ribosomal_L18, Ribosomal protein 60S L18 and 50S L18e</v>
      </c>
      <c r="CM57" s="13">
        <v>4.0000000000000001E-87</v>
      </c>
      <c r="CN57" s="2">
        <v>100.5</v>
      </c>
      <c r="CO57" s="2" t="s">
        <v>1899</v>
      </c>
      <c r="CP57" s="9" t="str">
        <f>HYPERLINK(".\links\SMART\AGAP007580-PA-SMART.txt","Elp3, Elongator protein 3, MiaB family, Radical SAM")</f>
        <v>Elp3, Elongator protein 3, MiaB family, Radical SAM</v>
      </c>
      <c r="CQ57" s="13">
        <v>0.69</v>
      </c>
      <c r="CR57" s="2">
        <v>57.4</v>
      </c>
      <c r="CS57" s="2" t="s">
        <v>1147</v>
      </c>
      <c r="CT57" s="2" t="s">
        <v>1896</v>
      </c>
      <c r="CU57" s="2" t="s">
        <v>1896</v>
      </c>
      <c r="CV57" s="2" t="s">
        <v>1896</v>
      </c>
      <c r="CW57" s="2" t="str">
        <f>HYPERLINK(".\links\pep\AGAP007580-PA-pep.txt","AGAP007580-PA")</f>
        <v>AGAP007580-PA</v>
      </c>
      <c r="CX57" s="2" t="s">
        <v>88</v>
      </c>
      <c r="CY57" s="2">
        <v>189</v>
      </c>
      <c r="CZ57" s="2" t="s">
        <v>103</v>
      </c>
      <c r="DA57" s="2">
        <v>0</v>
      </c>
      <c r="DB57" s="2">
        <v>0</v>
      </c>
      <c r="DD57" s="2" t="str">
        <f>HYPERLINK("https://www.kegg.jp/kegg-bin/search_pathway_text?map=aga&amp;keyword=AGAP007580&amp;mode=1&amp;viewImage=true","AGAP007580")</f>
        <v>AGAP007580</v>
      </c>
      <c r="DE57" s="2" t="s">
        <v>1892</v>
      </c>
      <c r="DF57" s="2" t="s">
        <v>1893</v>
      </c>
      <c r="DG57" s="2" t="s">
        <v>89</v>
      </c>
      <c r="DH57" s="2" t="str">
        <f>HYPERLINK("https://vectorbase.org/vectorbase/app/record/gene/AGAP007580","AGAP007580-RA")</f>
        <v>AGAP007580-RA</v>
      </c>
      <c r="DI57" s="2" t="s">
        <v>158</v>
      </c>
      <c r="DJ57" s="2">
        <v>859</v>
      </c>
      <c r="DK57" s="2" t="str">
        <f>HYPERLINK(".\links\netoglyc\AGAP007580-PA-netoglyc.txt","0")</f>
        <v>0</v>
      </c>
      <c r="DL57" s="2">
        <v>11.1</v>
      </c>
      <c r="DM57" s="2">
        <v>6.3</v>
      </c>
      <c r="DN57" s="2">
        <v>4.2</v>
      </c>
      <c r="DO57" s="2" t="s">
        <v>94</v>
      </c>
      <c r="DP57" s="2" t="s">
        <v>1902</v>
      </c>
      <c r="DQ57" s="2" t="str">
        <f>HYPERLINK(".\links\Sigp\AGAP007580-PA-SigP.txt","CYT")</f>
        <v>CYT</v>
      </c>
      <c r="DR57" s="2" t="s">
        <v>89</v>
      </c>
      <c r="DS57" s="2">
        <v>22.068000000000001</v>
      </c>
      <c r="DT57" s="2">
        <v>11.49</v>
      </c>
      <c r="DU57" s="2" t="s">
        <v>89</v>
      </c>
      <c r="DV57" s="2" t="s">
        <v>89</v>
      </c>
      <c r="DW57" s="2" t="s">
        <v>1898</v>
      </c>
      <c r="DX57" s="2">
        <v>189</v>
      </c>
      <c r="DY57" s="12">
        <v>0</v>
      </c>
      <c r="DZ57" s="2" t="s">
        <v>89</v>
      </c>
      <c r="EA57" s="2" t="s">
        <v>89</v>
      </c>
      <c r="EB57" s="2" t="s">
        <v>89</v>
      </c>
      <c r="EC57" s="2" t="str">
        <f>HYPERLINK(".\links\gpi\AGAP007580-PA-gpi.txt","N")</f>
        <v>N</v>
      </c>
      <c r="ED57" s="2">
        <v>0.39</v>
      </c>
      <c r="EF57" s="2">
        <v>2</v>
      </c>
      <c r="EG57" s="2" t="s">
        <v>89</v>
      </c>
      <c r="EH57" s="2" t="s">
        <v>89</v>
      </c>
      <c r="EI57" s="2">
        <v>11.1111111111111</v>
      </c>
      <c r="EJ57" s="2">
        <v>4.2328042328042299</v>
      </c>
      <c r="EK57" s="2">
        <v>6.3492063492063497</v>
      </c>
      <c r="EL57" s="2">
        <v>10.5820105820106</v>
      </c>
      <c r="EM57" s="2">
        <v>1</v>
      </c>
      <c r="EN57" s="2">
        <v>1</v>
      </c>
      <c r="EO57" s="2">
        <v>1</v>
      </c>
      <c r="EP57" s="2" t="s">
        <v>89</v>
      </c>
      <c r="EQ57" s="2" t="s">
        <v>89</v>
      </c>
      <c r="ER57" s="2" t="s">
        <v>89</v>
      </c>
      <c r="ES57" s="2" t="s">
        <v>89</v>
      </c>
      <c r="ET57" s="2" t="str">
        <f>HYPERLINK(".\links\REFSEQ-INVERTEBRATE\AGAP007580-PA-REFSEQ-INVERTEBRATE.txt","AGAP007580-PA")</f>
        <v>AGAP007580-PA</v>
      </c>
      <c r="EU57" s="2" t="str">
        <f>HYPERLINK("http://www.ncbi.nlm.nih.gov/sutils/blink.cgi?pid=XP_001687888.1","1E-137")</f>
        <v>1E-137</v>
      </c>
      <c r="EV57" s="2" t="str">
        <f>HYPERLINK("http://www.ncbi.nlm.nih.gov/protein/XP_001687888.1","XP_001687888.1")</f>
        <v>XP_001687888.1</v>
      </c>
      <c r="EW57" s="2">
        <v>100</v>
      </c>
      <c r="EX57" s="2">
        <v>100</v>
      </c>
      <c r="EY57" s="2">
        <v>100</v>
      </c>
      <c r="EZ57" s="2" t="s">
        <v>95</v>
      </c>
    </row>
    <row r="58" spans="1:156" x14ac:dyDescent="0.25">
      <c r="A58" s="2" t="s">
        <v>1041</v>
      </c>
      <c r="B58" s="2">
        <v>-0.66917674227130697</v>
      </c>
      <c r="C58" s="2">
        <f t="shared" si="0"/>
        <v>0.6288654398954272</v>
      </c>
      <c r="D58" s="2">
        <v>7.5558905595564303</v>
      </c>
      <c r="E58" s="2">
        <v>10.6039503889281</v>
      </c>
      <c r="F58" s="2">
        <v>1.1284629913255999E-3</v>
      </c>
      <c r="G58" s="2">
        <v>4.4163130557530503E-2</v>
      </c>
      <c r="H58" s="2" t="s">
        <v>1042</v>
      </c>
      <c r="I58" s="2" t="s">
        <v>87</v>
      </c>
      <c r="J58" s="2" t="str">
        <f>HYPERLINK("https://vectorbase.org/vectorbase/app/record/gene/AGAP003987","AGAP003987-RA")</f>
        <v>AGAP003987-RA</v>
      </c>
      <c r="K58" s="2" t="str">
        <f>HYPERLINK(".\links\pep\AGAP003987-PA-pep.txt","AGAP003987-PA")</f>
        <v>AGAP003987-PA</v>
      </c>
      <c r="L58" s="12" t="s">
        <v>88</v>
      </c>
      <c r="M58" s="2">
        <v>270</v>
      </c>
      <c r="N58" s="2">
        <v>0</v>
      </c>
      <c r="O58" s="2">
        <v>0</v>
      </c>
      <c r="P58" s="2" t="s">
        <v>1043</v>
      </c>
      <c r="Q58" s="9" t="s">
        <v>1044</v>
      </c>
      <c r="R58" s="2" t="s">
        <v>1045</v>
      </c>
      <c r="S58" s="2" t="str">
        <f>HYPERLINK(".\links\KOG\AGAP003987-PA-KOG.txt","KOG")</f>
        <v>KOG</v>
      </c>
      <c r="T58" s="2">
        <v>1.9999999999999998E-65</v>
      </c>
      <c r="U58" s="2">
        <v>74.8</v>
      </c>
      <c r="V58" s="2" t="s">
        <v>1046</v>
      </c>
      <c r="W58" s="10" t="s">
        <v>1047</v>
      </c>
      <c r="X58" s="2" t="s">
        <v>1045</v>
      </c>
      <c r="Y58" s="2" t="str">
        <f>HYPERLINK(".\links\KOG\AGAP003987-PA-KOG.txt","KOG")</f>
        <v>KOG</v>
      </c>
      <c r="Z58" s="13">
        <v>1.9999999999999999E-44</v>
      </c>
      <c r="AA58" s="2">
        <v>76.3</v>
      </c>
      <c r="AB58" s="14" t="str">
        <f>HYPERLINK(".\links\pep\AGAP003987-PA-sulf.txt","1")</f>
        <v>1</v>
      </c>
      <c r="AC58" s="14" t="str">
        <f>HYPERLINK(".\links\Sigp\AGAP003987-PA-SigP.txt","CYT")</f>
        <v>CYT</v>
      </c>
      <c r="AD58" s="2" t="s">
        <v>89</v>
      </c>
      <c r="AE58" s="2">
        <v>29.675999999999998</v>
      </c>
      <c r="AF58" s="2">
        <v>4.9400000000000004</v>
      </c>
      <c r="AG58" s="2" t="s">
        <v>89</v>
      </c>
      <c r="AH58" s="2" t="s">
        <v>89</v>
      </c>
      <c r="AI58" s="2" t="s">
        <v>373</v>
      </c>
      <c r="AJ58" s="14">
        <v>0</v>
      </c>
      <c r="AK58" s="2" t="s">
        <v>89</v>
      </c>
      <c r="AL58" s="2" t="s">
        <v>89</v>
      </c>
      <c r="AM58" s="2" t="s">
        <v>89</v>
      </c>
      <c r="AN58" s="14" t="str">
        <f>HYPERLINK(".\links\gpi\AGAP003987-PA-gpi.txt","N")</f>
        <v>N</v>
      </c>
      <c r="AO58" s="15" t="str">
        <f>HYPERLINK(".\links\netoglyc\AGAP003987-PA-netoglyc.txt","1")</f>
        <v>1</v>
      </c>
      <c r="AP58" s="14">
        <v>17</v>
      </c>
      <c r="AQ58" s="2">
        <v>6.3</v>
      </c>
      <c r="AR58" s="2">
        <v>3</v>
      </c>
      <c r="AS58" s="2" t="s">
        <v>94</v>
      </c>
      <c r="AT58" s="9" t="str">
        <f>HYPERLINK(".\links\NR-LIGHT\AGAP003987-PA-NR-LIGHT.txt","AGAP003987-PA")</f>
        <v>AGAP003987-PA</v>
      </c>
      <c r="AU58" s="2" t="str">
        <f>HYPERLINK("http://www.ncbi.nlm.nih.gov/sutils/blink.cgi?pid=XP_318437.3","1E-150")</f>
        <v>1E-150</v>
      </c>
      <c r="AV58" s="2" t="str">
        <f>HYPERLINK("http://www.ncbi.nlm.nih.gov/protein/XP_318437.3","XP_318437.3")</f>
        <v>XP_318437.3</v>
      </c>
      <c r="AW58" s="2">
        <v>100</v>
      </c>
      <c r="AX58" s="2">
        <v>100</v>
      </c>
      <c r="AY58" s="2">
        <v>100</v>
      </c>
      <c r="AZ58" s="2" t="s">
        <v>95</v>
      </c>
      <c r="BA58" s="9" t="str">
        <f>HYPERLINK(".\links\REFSEQ-INVERTEBRATE\AGAP003987-PA-REFSEQ-INVERTEBRATE.txt","AGAP003987-PA")</f>
        <v>AGAP003987-PA</v>
      </c>
      <c r="BB58" s="2" t="str">
        <f>HYPERLINK("http://www.ncbi.nlm.nih.gov/sutils/blink.cgi?pid=XP_318437.3","1E-150")</f>
        <v>1E-150</v>
      </c>
      <c r="BC58" s="2" t="str">
        <f>HYPERLINK("http://www.ncbi.nlm.nih.gov/protein/XP_318437.3","XP_318437.3")</f>
        <v>XP_318437.3</v>
      </c>
      <c r="BD58" s="2">
        <v>100</v>
      </c>
      <c r="BE58" s="2">
        <v>100</v>
      </c>
      <c r="BF58" s="2">
        <v>100</v>
      </c>
      <c r="BG58" s="2" t="s">
        <v>95</v>
      </c>
      <c r="BH58" s="9" t="str">
        <f>HYPERLINK(".\links\REFSEQ-PROTOZOA\AGAP003987-PA-REFSEQ-PROTOZOA.txt","hypothetical protein")</f>
        <v>hypothetical protein</v>
      </c>
      <c r="BI58" s="2" t="str">
        <f>HYPERLINK("http://www.ncbi.nlm.nih.gov/sutils/blink.cgi?pid=XP_001742755.1","3E-006")</f>
        <v>3E-006</v>
      </c>
      <c r="BJ58" s="2" t="str">
        <f>HYPERLINK("http://www.ncbi.nlm.nih.gov/protein/XP_001742755.1","XP_001742755.1")</f>
        <v>XP_001742755.1</v>
      </c>
      <c r="BK58" s="2">
        <v>23</v>
      </c>
      <c r="BL58" s="2">
        <v>42</v>
      </c>
      <c r="BM58" s="2">
        <v>85</v>
      </c>
      <c r="BN58" s="2" t="s">
        <v>389</v>
      </c>
      <c r="BO58" s="9" t="str">
        <f>HYPERLINK(".\links\SWISSP\AGAP003987-PA-SWISSP.txt","Complement component 1 Q subcomponent-binding protein, mitochondrial")</f>
        <v>Complement component 1 Q subcomponent-binding protein, mitochondrial</v>
      </c>
      <c r="BP58" s="2" t="str">
        <f>HYPERLINK("http://www.uniprot.org/uniprot/Q3T0B6","2E-028")</f>
        <v>2E-028</v>
      </c>
      <c r="BQ58" s="2" t="str">
        <f>HYPERLINK("http://www.uniprot.org/uniprot/Q3T0B6#expression","Q3T0B6")</f>
        <v>Q3T0B6</v>
      </c>
      <c r="BR58" s="2">
        <v>34</v>
      </c>
      <c r="BS58" s="2">
        <v>56</v>
      </c>
      <c r="BT58" s="2">
        <v>76</v>
      </c>
      <c r="BU58" s="2" t="s">
        <v>183</v>
      </c>
      <c r="BV58" s="9" t="str">
        <f>HYPERLINK(".\links\FLYBASE\AGAP003987-PA-FLYBASE.txt","FBpp0086051")</f>
        <v>FBpp0086051</v>
      </c>
      <c r="BW58" s="2" t="str">
        <f>HYPERLINK("http://flybase.org/reports/FBgn0034259#alliance_summary_container","1E-95")</f>
        <v>1E-95</v>
      </c>
      <c r="BX58" s="2">
        <v>263</v>
      </c>
      <c r="BY58" s="2">
        <v>66</v>
      </c>
      <c r="BZ58" s="2">
        <v>82</v>
      </c>
      <c r="CA58" s="2">
        <v>75</v>
      </c>
      <c r="CB58" s="9" t="str">
        <f>HYPERLINK(".\links\CDD\AGAP003987-PA-CDD.txt","MAM33, Mitochondrial glycoprotein")</f>
        <v>MAM33, Mitochondrial glycoprotein</v>
      </c>
      <c r="CC58" s="13">
        <v>8.9999999999999995E-23</v>
      </c>
      <c r="CD58" s="2">
        <v>105.2</v>
      </c>
      <c r="CE58" s="2" t="s">
        <v>1048</v>
      </c>
      <c r="CF58" s="2" t="s">
        <v>1049</v>
      </c>
      <c r="CG58" s="9" t="str">
        <f>HYPERLINK(".\links\KOG\AGAP003987-PA-KOG.txt","Q subcomponent binding protein/mRNA splicing factor SF2, subunit P32")</f>
        <v>Q subcomponent binding protein/mRNA splicing factor SF2, subunit P32</v>
      </c>
      <c r="CH58" s="13">
        <v>1.9999999999999998E-65</v>
      </c>
      <c r="CI58" s="2">
        <v>74.8</v>
      </c>
      <c r="CJ58" s="2" t="s">
        <v>1050</v>
      </c>
      <c r="CK58" s="2" t="s">
        <v>1051</v>
      </c>
      <c r="CL58" s="9" t="str">
        <f>HYPERLINK(".\links\PFAM\AGAP003987-PA-PFAM.txt","MAM33, Mitochondrial glycoprotein")</f>
        <v>MAM33, Mitochondrial glycoprotein</v>
      </c>
      <c r="CM58" s="13">
        <v>1.9999999999999999E-23</v>
      </c>
      <c r="CN58" s="2">
        <v>105.2</v>
      </c>
      <c r="CO58" s="2" t="s">
        <v>1048</v>
      </c>
      <c r="CP58" s="9" t="str">
        <f>HYPERLINK(".\links\SMART\AGAP003987-PA-SMART.txt","DM13, Domain present in fly proteins (CG14681, CG12492, CG6217), worm H06A10")</f>
        <v>DM13, Domain present in fly proteins (CG14681, CG12492, CG6217), worm H06A10</v>
      </c>
      <c r="CQ58" s="13">
        <v>0.08</v>
      </c>
      <c r="CR58" s="2">
        <v>35.200000000000003</v>
      </c>
      <c r="CS58" s="2" t="s">
        <v>1052</v>
      </c>
      <c r="CT58" s="2" t="s">
        <v>1046</v>
      </c>
      <c r="CU58" s="2" t="s">
        <v>1046</v>
      </c>
      <c r="CV58" s="2" t="s">
        <v>1046</v>
      </c>
      <c r="CW58" s="2" t="str">
        <f>HYPERLINK(".\links\pep\AGAP003987-PA-pep.txt","AGAP003987-PA")</f>
        <v>AGAP003987-PA</v>
      </c>
      <c r="CX58" s="2" t="s">
        <v>88</v>
      </c>
      <c r="CY58" s="2">
        <v>270</v>
      </c>
      <c r="CZ58" s="2" t="s">
        <v>103</v>
      </c>
      <c r="DA58" s="2" t="s">
        <v>1053</v>
      </c>
      <c r="DB58" s="2">
        <v>0</v>
      </c>
      <c r="DC58" s="2">
        <v>0</v>
      </c>
      <c r="DD58" s="2" t="str">
        <f>HYPERLINK("https://www.kegg.jp/kegg-bin/search_pathway_text?map=aga&amp;keyword=AGAP003987&amp;mode=1&amp;viewImage=true","AGAP003987")</f>
        <v>AGAP003987</v>
      </c>
      <c r="DE58" s="2" t="s">
        <v>1041</v>
      </c>
      <c r="DF58" s="2" t="s">
        <v>1042</v>
      </c>
      <c r="DG58" s="2" t="s">
        <v>87</v>
      </c>
      <c r="DH58" s="2" t="str">
        <f>HYPERLINK("https://vectorbase.org/vectorbase/app/record/gene/AGAP003987","AGAP003987-RA")</f>
        <v>AGAP003987-RA</v>
      </c>
      <c r="DI58" s="2" t="s">
        <v>158</v>
      </c>
      <c r="DJ58" s="2">
        <v>1214</v>
      </c>
      <c r="DK58" s="2" t="str">
        <f>HYPERLINK(".\links\netoglyc\AGAP003987-PA-netoglyc.txt","1")</f>
        <v>1</v>
      </c>
      <c r="DL58" s="2">
        <v>17</v>
      </c>
      <c r="DM58" s="2">
        <v>6.3</v>
      </c>
      <c r="DN58" s="2">
        <v>3</v>
      </c>
      <c r="DO58" s="2" t="s">
        <v>94</v>
      </c>
      <c r="DP58" s="2" t="s">
        <v>89</v>
      </c>
      <c r="DQ58" s="2" t="str">
        <f>HYPERLINK(".\links\Sigp\AGAP003987-PA-SigP.txt","CYT")</f>
        <v>CYT</v>
      </c>
      <c r="DR58" s="2" t="s">
        <v>89</v>
      </c>
      <c r="DS58" s="2">
        <v>29.675999999999998</v>
      </c>
      <c r="DT58" s="2">
        <v>4.9400000000000004</v>
      </c>
      <c r="DU58" s="2" t="s">
        <v>89</v>
      </c>
      <c r="DV58" s="2" t="s">
        <v>89</v>
      </c>
      <c r="DW58" s="2" t="s">
        <v>373</v>
      </c>
      <c r="DX58" s="2">
        <v>270</v>
      </c>
      <c r="DY58" s="12">
        <v>0</v>
      </c>
      <c r="DZ58" s="2" t="s">
        <v>89</v>
      </c>
      <c r="EA58" s="2" t="s">
        <v>89</v>
      </c>
      <c r="EB58" s="2" t="s">
        <v>89</v>
      </c>
      <c r="EC58" s="2" t="str">
        <f>HYPERLINK(".\links\gpi\AGAP003987-PA-gpi.txt","N")</f>
        <v>N</v>
      </c>
      <c r="ED58" s="2">
        <v>0.3</v>
      </c>
      <c r="EF58" s="2">
        <v>4</v>
      </c>
      <c r="EG58" s="2" t="str">
        <f>HYPERLINK(".\links\pep\AGAP003987-PA-sulf.txt","1")</f>
        <v>1</v>
      </c>
      <c r="EH58" s="2" t="s">
        <v>89</v>
      </c>
      <c r="EI58" s="2">
        <v>17.037037037036999</v>
      </c>
      <c r="EJ58" s="2">
        <v>2.9629629629629601</v>
      </c>
      <c r="EK58" s="2">
        <v>6.2962962962963003</v>
      </c>
      <c r="EL58" s="2">
        <v>9.2592592592592595</v>
      </c>
      <c r="EM58" s="2">
        <v>1</v>
      </c>
      <c r="EN58" s="2">
        <v>2</v>
      </c>
      <c r="EO58" s="2">
        <v>2</v>
      </c>
      <c r="EP58" s="2" t="s">
        <v>89</v>
      </c>
      <c r="EQ58" s="2" t="s">
        <v>89</v>
      </c>
      <c r="ER58" s="2" t="s">
        <v>89</v>
      </c>
      <c r="ES58" s="2" t="s">
        <v>89</v>
      </c>
      <c r="ET58" s="2" t="str">
        <f>HYPERLINK(".\links\REFSEQ-INVERTEBRATE\AGAP003987-PA-REFSEQ-INVERTEBRATE.txt","AGAP003987-PA")</f>
        <v>AGAP003987-PA</v>
      </c>
      <c r="EU58" s="2" t="str">
        <f>HYPERLINK("http://www.ncbi.nlm.nih.gov/sutils/blink.cgi?pid=XP_318437.3","0.0")</f>
        <v>0.0</v>
      </c>
      <c r="EV58" s="2" t="str">
        <f>HYPERLINK("http://www.ncbi.nlm.nih.gov/protein/XP_318437.3","XP_318437.3")</f>
        <v>XP_318437.3</v>
      </c>
      <c r="EW58" s="2">
        <v>100</v>
      </c>
      <c r="EX58" s="2">
        <v>100</v>
      </c>
      <c r="EY58" s="2">
        <v>100</v>
      </c>
      <c r="EZ58" s="2" t="s">
        <v>95</v>
      </c>
    </row>
    <row r="59" spans="1:156" x14ac:dyDescent="0.25">
      <c r="A59" s="2" t="s">
        <v>2900</v>
      </c>
      <c r="B59" s="2">
        <v>-0.67039289428227999</v>
      </c>
      <c r="C59" s="2">
        <f t="shared" si="0"/>
        <v>0.62833554709942452</v>
      </c>
      <c r="D59" s="2">
        <v>5.6927619510032397</v>
      </c>
      <c r="E59" s="2">
        <v>11.9377609223964</v>
      </c>
      <c r="F59" s="2">
        <v>5.5007549457637098E-4</v>
      </c>
      <c r="G59" s="2">
        <v>2.79046211202452E-2</v>
      </c>
      <c r="H59" s="2" t="s">
        <v>2901</v>
      </c>
      <c r="I59" s="2" t="s">
        <v>87</v>
      </c>
      <c r="J59" s="2" t="str">
        <f>HYPERLINK("https://vectorbase.org/vectorbase/app/record/gene/AGAP012717","AGAP012717-RA")</f>
        <v>AGAP012717-RA</v>
      </c>
      <c r="K59" s="2" t="str">
        <f>HYPERLINK(".\links\pep\AGAP012717-PA-pep.txt","AGAP012717-PA")</f>
        <v>AGAP012717-PA</v>
      </c>
      <c r="L59" s="12" t="s">
        <v>88</v>
      </c>
      <c r="M59" s="2">
        <v>211</v>
      </c>
      <c r="N59" s="2">
        <v>0</v>
      </c>
      <c r="O59" s="2">
        <v>0</v>
      </c>
      <c r="P59" s="2" t="s">
        <v>2902</v>
      </c>
      <c r="Q59" s="9" t="s">
        <v>2903</v>
      </c>
      <c r="R59" s="2" t="s">
        <v>2904</v>
      </c>
      <c r="S59" s="2" t="str">
        <f>HYPERLINK(".\links\KOG\AGAP012717-PA-KOG.txt","KOG")</f>
        <v>KOG</v>
      </c>
      <c r="T59" s="2">
        <v>9.9999999999999996E-75</v>
      </c>
      <c r="U59" s="2">
        <v>99.5</v>
      </c>
      <c r="V59" s="2" t="s">
        <v>2905</v>
      </c>
      <c r="W59" s="10" t="s">
        <v>2906</v>
      </c>
      <c r="X59" s="2" t="s">
        <v>2904</v>
      </c>
      <c r="Y59" s="2" t="str">
        <f>HYPERLINK(".\links\REFSEQVERTEBRATE95\AGAP012717-PA-REFSEQVERTEBRATE95.txt","REFSEQVERTEBRATE95")</f>
        <v>REFSEQVERTEBRATE95</v>
      </c>
      <c r="Z59" s="13">
        <v>9.0000000000000004E-95</v>
      </c>
      <c r="AA59" s="2">
        <v>99.5</v>
      </c>
      <c r="AB59" s="14" t="s">
        <v>89</v>
      </c>
      <c r="AC59" s="14" t="str">
        <f>HYPERLINK(".\links\Sigp\AGAP012717-PA-SigP.txt","SIG")</f>
        <v>SIG</v>
      </c>
      <c r="AD59" s="2" t="s">
        <v>2907</v>
      </c>
      <c r="AE59" s="2">
        <v>24.614000000000001</v>
      </c>
      <c r="AF59" s="2">
        <v>9.18</v>
      </c>
      <c r="AG59" s="2">
        <v>23.183</v>
      </c>
      <c r="AH59" s="2">
        <v>9.18</v>
      </c>
      <c r="AI59" s="2" t="s">
        <v>2908</v>
      </c>
      <c r="AJ59" s="14" t="str">
        <f>HYPERLINK(".\links\tmhmm\AGAP012717-PA-tmhmm.txt","1")</f>
        <v>1</v>
      </c>
      <c r="AK59" s="2">
        <v>10</v>
      </c>
      <c r="AL59" s="2">
        <v>0.5</v>
      </c>
      <c r="AM59" s="2">
        <v>89.6</v>
      </c>
      <c r="AN59" s="14" t="str">
        <f>HYPERLINK(".\links\gpi\AGAP012717-PA-gpi.txt","Y")</f>
        <v>Y</v>
      </c>
      <c r="AO59" s="15" t="str">
        <f>HYPERLINK(".\links\netoglyc\AGAP012717-PA-netoglyc.txt","0")</f>
        <v>0</v>
      </c>
      <c r="AP59" s="14">
        <v>10.4</v>
      </c>
      <c r="AQ59" s="2">
        <v>4.3</v>
      </c>
      <c r="AR59" s="2">
        <v>2.4</v>
      </c>
      <c r="AS59" s="2" t="s">
        <v>94</v>
      </c>
      <c r="AT59" s="9" t="str">
        <f>HYPERLINK(".\links\NR-LIGHT\AGAP012717-PA-NR-LIGHT.txt","AGAP012717-PA")</f>
        <v>AGAP012717-PA</v>
      </c>
      <c r="AU59" s="2" t="str">
        <f>HYPERLINK("http://www.ncbi.nlm.nih.gov/sutils/blink.cgi?pid=XP_307637.2","1E-116")</f>
        <v>1E-116</v>
      </c>
      <c r="AV59" s="2" t="str">
        <f>HYPERLINK("http://www.ncbi.nlm.nih.gov/protein/XP_307637.2","XP_307637.2")</f>
        <v>XP_307637.2</v>
      </c>
      <c r="AW59" s="2">
        <v>100</v>
      </c>
      <c r="AX59" s="2">
        <v>100</v>
      </c>
      <c r="AY59" s="2">
        <v>100</v>
      </c>
      <c r="AZ59" s="2" t="s">
        <v>95</v>
      </c>
      <c r="BA59" s="9" t="str">
        <f>HYPERLINK(".\links\REFSEQ-INVERTEBRATE\AGAP012717-PA-REFSEQ-INVERTEBRATE.txt","AGAP012717-PA")</f>
        <v>AGAP012717-PA</v>
      </c>
      <c r="BB59" s="2" t="str">
        <f>HYPERLINK("http://www.ncbi.nlm.nih.gov/sutils/blink.cgi?pid=XP_307637.2","1E-116")</f>
        <v>1E-116</v>
      </c>
      <c r="BC59" s="2" t="str">
        <f>HYPERLINK("http://www.ncbi.nlm.nih.gov/protein/XP_307637.2","XP_307637.2")</f>
        <v>XP_307637.2</v>
      </c>
      <c r="BD59" s="2">
        <v>100</v>
      </c>
      <c r="BE59" s="2">
        <v>100</v>
      </c>
      <c r="BF59" s="2">
        <v>100</v>
      </c>
      <c r="BG59" s="2" t="s">
        <v>95</v>
      </c>
      <c r="BH59" s="9" t="str">
        <f>HYPERLINK(".\links\REFSEQ-PROTOZOA\AGAP012717-PA-REFSEQ-PROTOZOA.txt","hypothetical protein CAOG_05907")</f>
        <v>hypothetical protein CAOG_05907</v>
      </c>
      <c r="BI59" s="2" t="str">
        <f>HYPERLINK("http://www.ncbi.nlm.nih.gov/sutils/blink.cgi?pid=XP_004345497.1","2E-051")</f>
        <v>2E-051</v>
      </c>
      <c r="BJ59" s="2" t="str">
        <f>HYPERLINK("http://www.ncbi.nlm.nih.gov/protein/XP_004345497.1","XP_004345497.1")</f>
        <v>XP_004345497.1</v>
      </c>
      <c r="BK59" s="2">
        <v>46</v>
      </c>
      <c r="BL59" s="2">
        <v>68</v>
      </c>
      <c r="BM59" s="2">
        <v>100</v>
      </c>
      <c r="BN59" s="2" t="s">
        <v>150</v>
      </c>
      <c r="BO59" s="9" t="str">
        <f>HYPERLINK(".\links\SWISSP\AGAP012717-PA-SWISSP.txt","Vesicle-trafficking protein SEC22b-B")</f>
        <v>Vesicle-trafficking protein SEC22b-B</v>
      </c>
      <c r="BP59" s="2" t="str">
        <f>HYPERLINK("http://www.uniprot.org/uniprot/Q7SXP0","5E-067")</f>
        <v>5E-067</v>
      </c>
      <c r="BQ59" s="2" t="str">
        <f>HYPERLINK("http://www.uniprot.org/uniprot/Q7SXP0#expression","Q7SXP0")</f>
        <v>Q7SXP0</v>
      </c>
      <c r="BR59" s="2">
        <v>57</v>
      </c>
      <c r="BS59" s="2">
        <v>73</v>
      </c>
      <c r="BT59" s="2">
        <v>99</v>
      </c>
      <c r="BU59" s="2" t="s">
        <v>744</v>
      </c>
      <c r="BV59" s="9" t="str">
        <f>HYPERLINK(".\links\FLYBASE\AGAP012717-PA-FLYBASE.txt","FBpp0070136")</f>
        <v>FBpp0070136</v>
      </c>
      <c r="BW59" s="2" t="str">
        <f>HYPERLINK("http://flybase.org/reports/FBgn0260855#alliance_summary_container","1E-134")</f>
        <v>1E-134</v>
      </c>
      <c r="BX59" s="2">
        <v>211</v>
      </c>
      <c r="BY59" s="2">
        <v>81</v>
      </c>
      <c r="BZ59" s="2">
        <v>93</v>
      </c>
      <c r="CA59" s="2">
        <v>100</v>
      </c>
      <c r="CB59" s="9" t="str">
        <f>HYPERLINK(".\links\CDD\AGAP012717-PA-CDD.txt","Longin, Regulated-SNARE-like domain")</f>
        <v>Longin, Regulated-SNARE-like domain</v>
      </c>
      <c r="CC59" s="13">
        <v>3.9999999999999997E-24</v>
      </c>
      <c r="CD59" s="2">
        <v>102.6</v>
      </c>
      <c r="CE59" s="2" t="s">
        <v>2909</v>
      </c>
      <c r="CF59" s="2" t="s">
        <v>2910</v>
      </c>
      <c r="CG59" s="9" t="str">
        <f>HYPERLINK(".\links\KOG\AGAP012717-PA-KOG.txt","Synaptobrevin/VAMP-like protein SEC22")</f>
        <v>Synaptobrevin/VAMP-like protein SEC22</v>
      </c>
      <c r="CH59" s="13">
        <v>9.9999999999999996E-75</v>
      </c>
      <c r="CI59" s="2">
        <v>99.5</v>
      </c>
      <c r="CJ59" s="2" t="s">
        <v>2911</v>
      </c>
      <c r="CK59" s="2" t="s">
        <v>278</v>
      </c>
      <c r="CL59" s="9" t="str">
        <f>HYPERLINK(".\links\PFAM\AGAP012717-PA-PFAM.txt","Longin, Regulated-SNARE-like domain")</f>
        <v>Longin, Regulated-SNARE-like domain</v>
      </c>
      <c r="CM59" s="13">
        <v>9.0000000000000002E-25</v>
      </c>
      <c r="CN59" s="2">
        <v>102.6</v>
      </c>
      <c r="CO59" s="2" t="s">
        <v>2909</v>
      </c>
      <c r="CP59" s="9" t="str">
        <f>HYPERLINK(".\links\SMART\AGAP012717-PA-SMART.txt","BAR, BAR domain")</f>
        <v>BAR, BAR domain</v>
      </c>
      <c r="CQ59" s="13">
        <v>0.19</v>
      </c>
      <c r="CR59" s="2">
        <v>39.299999999999997</v>
      </c>
      <c r="CS59" s="2" t="s">
        <v>2912</v>
      </c>
      <c r="CT59" s="2" t="s">
        <v>2905</v>
      </c>
      <c r="CU59" s="2" t="s">
        <v>2905</v>
      </c>
      <c r="CV59" s="2" t="s">
        <v>2905</v>
      </c>
      <c r="CW59" s="2" t="str">
        <f>HYPERLINK(".\links\pep\AGAP012717-PA-pep.txt","AGAP012717-PA")</f>
        <v>AGAP012717-PA</v>
      </c>
      <c r="CX59" s="2" t="s">
        <v>88</v>
      </c>
      <c r="CY59" s="2">
        <v>211</v>
      </c>
      <c r="CZ59" s="2" t="s">
        <v>103</v>
      </c>
      <c r="DA59" s="2" t="s">
        <v>2913</v>
      </c>
      <c r="DB59" s="2">
        <v>0</v>
      </c>
      <c r="DC59" s="2">
        <v>0</v>
      </c>
      <c r="DD59" s="2" t="str">
        <f>HYPERLINK("https://www.kegg.jp/kegg-bin/search_pathway_text?map=aga&amp;keyword=AGAP012717&amp;mode=1&amp;viewImage=true","AGAP012717")</f>
        <v>AGAP012717</v>
      </c>
      <c r="DE59" s="2" t="s">
        <v>2900</v>
      </c>
      <c r="DF59" s="2" t="s">
        <v>2901</v>
      </c>
      <c r="DG59" s="2" t="s">
        <v>87</v>
      </c>
      <c r="DH59" s="2" t="str">
        <f>HYPERLINK("https://vectorbase.org/vectorbase/app/record/gene/AGAP012717","AGAP012717-RA")</f>
        <v>AGAP012717-RA</v>
      </c>
      <c r="DI59" s="2" t="s">
        <v>158</v>
      </c>
      <c r="DJ59" s="2">
        <v>710</v>
      </c>
      <c r="DK59" s="2" t="str">
        <f>HYPERLINK(".\links\netoglyc\AGAP012717-PA-netoglyc.txt","0")</f>
        <v>0</v>
      </c>
      <c r="DL59" s="2">
        <v>10.4</v>
      </c>
      <c r="DM59" s="2">
        <v>4.3</v>
      </c>
      <c r="DN59" s="2">
        <v>2.4</v>
      </c>
      <c r="DO59" s="2" t="s">
        <v>94</v>
      </c>
      <c r="DP59" s="2" t="s">
        <v>89</v>
      </c>
      <c r="DQ59" s="2" t="str">
        <f>HYPERLINK(".\links\Sigp\AGAP012717-PA-SigP.txt","SIG")</f>
        <v>SIG</v>
      </c>
      <c r="DR59" s="2" t="s">
        <v>2907</v>
      </c>
      <c r="DS59" s="2">
        <v>24.614000000000001</v>
      </c>
      <c r="DT59" s="2">
        <v>9.18</v>
      </c>
      <c r="DU59" s="2">
        <v>23.183</v>
      </c>
      <c r="DV59" s="2">
        <v>9.18</v>
      </c>
      <c r="DW59" s="2" t="s">
        <v>2908</v>
      </c>
      <c r="DX59" s="2">
        <v>211</v>
      </c>
      <c r="DY59" s="12" t="str">
        <f>HYPERLINK(".\links\tmhmm\AGAP012717-PA-tmhmm.txt","1")</f>
        <v>1</v>
      </c>
      <c r="DZ59" s="2">
        <v>10</v>
      </c>
      <c r="EA59" s="2">
        <v>0.5</v>
      </c>
      <c r="EB59" s="2">
        <v>89.6</v>
      </c>
      <c r="EC59" s="2" t="str">
        <f>HYPERLINK(".\links\gpi\AGAP012717-PA-gpi.txt","Y-NoSP")</f>
        <v>Y-NoSP</v>
      </c>
      <c r="ED59" s="2">
        <v>0.32</v>
      </c>
      <c r="EF59" s="2">
        <v>3</v>
      </c>
      <c r="EG59" s="2" t="s">
        <v>89</v>
      </c>
      <c r="EH59" s="2" t="s">
        <v>89</v>
      </c>
      <c r="EI59" s="2">
        <v>10.4265402843602</v>
      </c>
      <c r="EJ59" s="2">
        <v>2.3696682464454999</v>
      </c>
      <c r="EK59" s="2">
        <v>4.2654028436019003</v>
      </c>
      <c r="EL59" s="2">
        <v>6.6350710900473899</v>
      </c>
      <c r="EM59" s="2" t="s">
        <v>89</v>
      </c>
      <c r="EN59" s="2">
        <v>1</v>
      </c>
      <c r="EO59" s="2">
        <v>1</v>
      </c>
      <c r="EP59" s="2" t="s">
        <v>89</v>
      </c>
      <c r="EQ59" s="2" t="s">
        <v>89</v>
      </c>
      <c r="ER59" s="2" t="s">
        <v>89</v>
      </c>
      <c r="ES59" s="2" t="s">
        <v>89</v>
      </c>
      <c r="ET59" s="2" t="str">
        <f>HYPERLINK(".\links\REFSEQ-INVERTEBRATE\AGAP012717-PA-REFSEQ-INVERTEBRATE.txt","AGAP012717-PA")</f>
        <v>AGAP012717-PA</v>
      </c>
      <c r="EU59" s="2" t="str">
        <f>HYPERLINK("http://www.ncbi.nlm.nih.gov/sutils/blink.cgi?pid=XP_307637.2","1E-157")</f>
        <v>1E-157</v>
      </c>
      <c r="EV59" s="2" t="str">
        <f>HYPERLINK("http://www.ncbi.nlm.nih.gov/protein/XP_307637.2","XP_307637.2")</f>
        <v>XP_307637.2</v>
      </c>
      <c r="EW59" s="2">
        <v>100</v>
      </c>
      <c r="EX59" s="2">
        <v>100</v>
      </c>
      <c r="EY59" s="2">
        <v>100</v>
      </c>
      <c r="EZ59" s="2" t="s">
        <v>95</v>
      </c>
    </row>
    <row r="60" spans="1:156" x14ac:dyDescent="0.25">
      <c r="A60" s="2" t="s">
        <v>886</v>
      </c>
      <c r="B60" s="2">
        <v>-0.67082664471307396</v>
      </c>
      <c r="C60" s="2">
        <f t="shared" si="0"/>
        <v>0.6281466645979058</v>
      </c>
      <c r="D60" s="2">
        <v>5.0717952545598699</v>
      </c>
      <c r="E60" s="2">
        <v>11.7308670502343</v>
      </c>
      <c r="F60" s="2">
        <v>6.1471946413758395E-4</v>
      </c>
      <c r="G60" s="2">
        <v>3.03005469197818E-2</v>
      </c>
      <c r="H60" s="2" t="s">
        <v>86</v>
      </c>
      <c r="I60" s="2" t="s">
        <v>87</v>
      </c>
      <c r="J60" s="2" t="str">
        <f>HYPERLINK("https://vectorbase.org/vectorbase/app/record/gene/AGAP003558","AGAP003558-RA")</f>
        <v>AGAP003558-RA</v>
      </c>
      <c r="K60" s="2" t="str">
        <f>HYPERLINK(".\links\pep\AGAP003558-PA-pep.txt","AGAP003558-PA")</f>
        <v>AGAP003558-PA</v>
      </c>
      <c r="L60" s="12" t="s">
        <v>88</v>
      </c>
      <c r="M60" s="2">
        <v>108</v>
      </c>
      <c r="N60" s="2">
        <v>0</v>
      </c>
      <c r="O60" s="2">
        <v>0</v>
      </c>
      <c r="P60" s="2" t="s">
        <v>89</v>
      </c>
      <c r="Q60" s="9" t="s">
        <v>887</v>
      </c>
      <c r="R60" s="2" t="s">
        <v>333</v>
      </c>
      <c r="S60" s="2" t="str">
        <f>HYPERLINK(".\links\REFSEQ-INVERTEBRATE\AGAP003558-PA-REFSEQ-INVERTEBRATE.txt","REFSEQ-INVERTEBRATE")</f>
        <v>REFSEQ-INVERTEBRATE</v>
      </c>
      <c r="T60" s="2">
        <v>4.0000000000000002E-9</v>
      </c>
      <c r="U60" s="2">
        <v>95.6</v>
      </c>
      <c r="V60" s="2" t="s">
        <v>888</v>
      </c>
      <c r="W60" s="10" t="s">
        <v>889</v>
      </c>
      <c r="X60" s="2" t="s">
        <v>333</v>
      </c>
      <c r="Y60" s="2" t="str">
        <f>HYPERLINK(".\links\REFSEQ-INVERTEBRATE\AGAP003558-PA-REFSEQ-INVERTEBRATE.txt","REFSEQ-INVERTEBRATE")</f>
        <v>REFSEQ-INVERTEBRATE</v>
      </c>
      <c r="Z60" s="13">
        <v>2.0000000000000001E-42</v>
      </c>
      <c r="AA60" s="2">
        <v>100</v>
      </c>
      <c r="AB60" s="14" t="s">
        <v>89</v>
      </c>
      <c r="AC60" s="14" t="str">
        <f>HYPERLINK(".\links\Sigp\AGAP003558-PA-SigP.txt","BL")</f>
        <v>BL</v>
      </c>
      <c r="AD60" s="2" t="s">
        <v>350</v>
      </c>
      <c r="AE60" s="2">
        <v>12.512</v>
      </c>
      <c r="AF60" s="2">
        <v>7.64</v>
      </c>
      <c r="AG60" s="2">
        <v>10.544</v>
      </c>
      <c r="AH60" s="2">
        <v>7.83</v>
      </c>
      <c r="AI60" s="2" t="s">
        <v>890</v>
      </c>
      <c r="AJ60" s="14" t="str">
        <f>HYPERLINK(".\links\tmhmm\AGAP003558-PA-tmhmm.txt","1")</f>
        <v>1</v>
      </c>
      <c r="AK60" s="2">
        <v>20.399999999999999</v>
      </c>
      <c r="AL60" s="2">
        <v>4.5999999999999996</v>
      </c>
      <c r="AM60" s="2">
        <v>75</v>
      </c>
      <c r="AN60" s="14" t="str">
        <f>HYPERLINK(".\links\gpi\AGAP003558-PA-gpi.txt","N")</f>
        <v>N</v>
      </c>
      <c r="AO60" s="15" t="str">
        <f>HYPERLINK(".\links\netoglyc\AGAP003558-PA-netoglyc.txt","0")</f>
        <v>0</v>
      </c>
      <c r="AP60" s="14">
        <v>13</v>
      </c>
      <c r="AQ60" s="2">
        <v>4.5999999999999996</v>
      </c>
      <c r="AR60" s="2">
        <v>5.6</v>
      </c>
      <c r="AS60" s="2" t="s">
        <v>94</v>
      </c>
      <c r="AT60" s="9" t="str">
        <f>HYPERLINK(".\links\NR-LIGHT\AGAP003558-PA-NR-LIGHT.txt","AGAP003558-PA")</f>
        <v>AGAP003558-PA</v>
      </c>
      <c r="AU60" s="2" t="str">
        <f>HYPERLINK("http://www.ncbi.nlm.nih.gov/sutils/blink.cgi?pid=XP_001230920.1","2E-060")</f>
        <v>2E-060</v>
      </c>
      <c r="AV60" s="2" t="str">
        <f>HYPERLINK("http://www.ncbi.nlm.nih.gov/protein/XP_001230920.1","XP_001230920.1")</f>
        <v>XP_001230920.1</v>
      </c>
      <c r="AW60" s="2">
        <v>100</v>
      </c>
      <c r="AX60" s="2">
        <v>100</v>
      </c>
      <c r="AY60" s="2">
        <v>100</v>
      </c>
      <c r="AZ60" s="2" t="s">
        <v>95</v>
      </c>
      <c r="BA60" s="9" t="str">
        <f>HYPERLINK(".\links\REFSEQ-INVERTEBRATE\AGAP003558-PA-REFSEQ-INVERTEBRATE.txt","AGAP003558-PA")</f>
        <v>AGAP003558-PA</v>
      </c>
      <c r="BB60" s="2" t="str">
        <f>HYPERLINK("http://www.ncbi.nlm.nih.gov/sutils/blink.cgi?pid=XP_001230920.1","2E-060")</f>
        <v>2E-060</v>
      </c>
      <c r="BC60" s="2" t="str">
        <f>HYPERLINK("http://www.ncbi.nlm.nih.gov/protein/XP_001230920.1","XP_001230920.1")</f>
        <v>XP_001230920.1</v>
      </c>
      <c r="BD60" s="2">
        <v>100</v>
      </c>
      <c r="BE60" s="2">
        <v>100</v>
      </c>
      <c r="BF60" s="2">
        <v>100</v>
      </c>
      <c r="BG60" s="2" t="s">
        <v>95</v>
      </c>
      <c r="BH60" s="9" t="str">
        <f>HYPERLINK(".\links\REFSEQ-PROTOZOA\AGAP003558-PA-REFSEQ-PROTOZOA.txt","hypothetical protein (macronuclear)")</f>
        <v>hypothetical protein (macronuclear)</v>
      </c>
      <c r="BI60" s="2" t="str">
        <f>HYPERLINK("http://www.ncbi.nlm.nih.gov/sutils/blink.cgi?pid=XP_001446845.1","4E-009")</f>
        <v>4E-009</v>
      </c>
      <c r="BJ60" s="2" t="str">
        <f>HYPERLINK("http://www.ncbi.nlm.nih.gov/protein/XP_001446845.1","XP_001446845.1")</f>
        <v>XP_001446845.1</v>
      </c>
      <c r="BK60" s="2">
        <v>54</v>
      </c>
      <c r="BL60" s="2">
        <v>68</v>
      </c>
      <c r="BM60" s="2">
        <v>19</v>
      </c>
      <c r="BN60" s="2" t="s">
        <v>665</v>
      </c>
      <c r="BO60" s="9" t="str">
        <f>HYPERLINK(".\links\SWISSP\AGAP003558-PA-SWISSP.txt","Putative RING-H2 finger protein ATL35")</f>
        <v>Putative RING-H2 finger protein ATL35</v>
      </c>
      <c r="BP60" s="2" t="str">
        <f>HYPERLINK("http://www.uniprot.org/uniprot/Q9M0R6","2E-007")</f>
        <v>2E-007</v>
      </c>
      <c r="BQ60" s="2" t="str">
        <f>HYPERLINK("http://www.uniprot.org/uniprot/Q9M0R6#expression","Q9M0R6")</f>
        <v>Q9M0R6</v>
      </c>
      <c r="BR60" s="2">
        <v>41</v>
      </c>
      <c r="BS60" s="2">
        <v>60</v>
      </c>
      <c r="BT60" s="2">
        <v>16</v>
      </c>
      <c r="BU60" s="2" t="s">
        <v>891</v>
      </c>
      <c r="BV60" s="9" t="str">
        <f>HYPERLINK(".\links\FLYBASE\AGAP003558-PA-FLYBASE.txt","FBpp0297426")</f>
        <v>FBpp0297426</v>
      </c>
      <c r="BW60" s="2" t="str">
        <f>HYPERLINK("http://flybase.org/reports/FBgn0004919#alliance_summary_container","1E-08")</f>
        <v>1E-08</v>
      </c>
      <c r="BX60" s="2">
        <v>461</v>
      </c>
      <c r="BY60" s="2">
        <v>36</v>
      </c>
      <c r="BZ60" s="2">
        <v>60</v>
      </c>
      <c r="CA60" s="2">
        <v>13</v>
      </c>
      <c r="CB60" s="9" t="str">
        <f>HYPERLINK(".\links\CDD\AGAP003558-PA-CDD.txt","zf-RING_2, Ring finger domain")</f>
        <v>zf-RING_2, Ring finger domain</v>
      </c>
      <c r="CC60" s="13">
        <v>1E-8</v>
      </c>
      <c r="CD60" s="2">
        <v>95.5</v>
      </c>
      <c r="CE60" s="2" t="s">
        <v>892</v>
      </c>
      <c r="CF60" s="2" t="s">
        <v>893</v>
      </c>
      <c r="CG60" s="9" t="str">
        <f>HYPERLINK(".\links\KOG\AGAP003558-PA-KOG.txt","Predicted E3 ubiquitin ligase")</f>
        <v>Predicted E3 ubiquitin ligase</v>
      </c>
      <c r="CH60" s="13">
        <v>4.9999999999999998E-8</v>
      </c>
      <c r="CI60" s="2">
        <v>31</v>
      </c>
      <c r="CJ60" s="2" t="s">
        <v>894</v>
      </c>
      <c r="CK60" s="2" t="s">
        <v>264</v>
      </c>
      <c r="CL60" s="9" t="str">
        <f>HYPERLINK(".\links\PFAM\AGAP003558-PA-PFAM.txt","zf-RING_2, Ring finger domain")</f>
        <v>zf-RING_2, Ring finger domain</v>
      </c>
      <c r="CM60" s="13">
        <v>3E-9</v>
      </c>
      <c r="CN60" s="2">
        <v>95.5</v>
      </c>
      <c r="CO60" s="2" t="s">
        <v>892</v>
      </c>
      <c r="CP60" s="9" t="str">
        <f>HYPERLINK(".\links\SMART\AGAP003558-PA-SMART.txt","RING, Ring finger")</f>
        <v>RING, Ring finger</v>
      </c>
      <c r="CQ60" s="13">
        <v>5.0000000000000004E-6</v>
      </c>
      <c r="CR60" s="2">
        <v>102.5</v>
      </c>
      <c r="CS60" s="2" t="s">
        <v>325</v>
      </c>
      <c r="CT60" s="2" t="s">
        <v>888</v>
      </c>
      <c r="CU60" s="2" t="s">
        <v>888</v>
      </c>
      <c r="CV60" s="2" t="s">
        <v>888</v>
      </c>
      <c r="CW60" s="2" t="str">
        <f>HYPERLINK(".\links\pep\AGAP003558-PA-pep.txt","AGAP003558-PA")</f>
        <v>AGAP003558-PA</v>
      </c>
      <c r="CX60" s="2" t="s">
        <v>88</v>
      </c>
      <c r="CY60" s="2">
        <v>108</v>
      </c>
      <c r="CZ60" s="2" t="s">
        <v>103</v>
      </c>
      <c r="DA60" s="2" t="s">
        <v>895</v>
      </c>
      <c r="DB60" s="2">
        <v>0</v>
      </c>
      <c r="DC60" s="2">
        <v>0</v>
      </c>
      <c r="DD60" s="2" t="str">
        <f>HYPERLINK("https://www.kegg.jp/kegg-bin/search_pathway_text?map=aga&amp;keyword=AGAP003558&amp;mode=1&amp;viewImage=true","AGAP003558")</f>
        <v>AGAP003558</v>
      </c>
      <c r="DE60" s="2" t="s">
        <v>886</v>
      </c>
      <c r="DF60" s="2" t="s">
        <v>86</v>
      </c>
      <c r="DG60" s="2" t="s">
        <v>87</v>
      </c>
      <c r="DH60" s="2" t="str">
        <f>HYPERLINK("https://vectorbase.org/vectorbase/app/record/gene/AGAP003558","AGAP003558-RA")</f>
        <v>AGAP003558-RA</v>
      </c>
      <c r="DI60" s="2" t="s">
        <v>140</v>
      </c>
      <c r="DJ60" s="2">
        <v>998</v>
      </c>
      <c r="DK60" s="2" t="str">
        <f>HYPERLINK(".\links\netoglyc\AGAP003558-PA-netoglyc.txt","0")</f>
        <v>0</v>
      </c>
      <c r="DL60" s="2">
        <v>13</v>
      </c>
      <c r="DM60" s="2">
        <v>4.5999999999999996</v>
      </c>
      <c r="DN60" s="2">
        <v>5.6</v>
      </c>
      <c r="DO60" s="2" t="s">
        <v>94</v>
      </c>
      <c r="DP60" s="2" t="s">
        <v>89</v>
      </c>
      <c r="DQ60" s="2" t="str">
        <f>HYPERLINK(".\links\Sigp\AGAP003558-PA-SigP.txt","BL")</f>
        <v>BL</v>
      </c>
      <c r="DR60" s="2" t="s">
        <v>350</v>
      </c>
      <c r="DS60" s="2">
        <v>12.512</v>
      </c>
      <c r="DT60" s="2">
        <v>7.64</v>
      </c>
      <c r="DU60" s="2">
        <v>10.544</v>
      </c>
      <c r="DV60" s="2">
        <v>7.83</v>
      </c>
      <c r="DW60" s="2" t="s">
        <v>890</v>
      </c>
      <c r="DX60" s="2">
        <v>108</v>
      </c>
      <c r="DY60" s="12" t="str">
        <f>HYPERLINK(".\links\tmhmm\AGAP003558-PA-tmhmm.txt","1")</f>
        <v>1</v>
      </c>
      <c r="DZ60" s="2">
        <v>20.399999999999999</v>
      </c>
      <c r="EA60" s="2">
        <v>4.5999999999999996</v>
      </c>
      <c r="EB60" s="2">
        <v>75</v>
      </c>
      <c r="EC60" s="2" t="str">
        <f>HYPERLINK(".\links\gpi\AGAP003558-PA-gpi.txt","N")</f>
        <v>N</v>
      </c>
      <c r="ED60" s="2">
        <v>0.3</v>
      </c>
      <c r="EE60" s="2" t="s">
        <v>896</v>
      </c>
      <c r="EF60" s="2">
        <v>6</v>
      </c>
      <c r="EG60" s="2" t="s">
        <v>89</v>
      </c>
      <c r="EH60" s="2" t="s">
        <v>89</v>
      </c>
      <c r="EI60" s="2">
        <v>12.962962962962999</v>
      </c>
      <c r="EJ60" s="2">
        <v>5.5555555555555598</v>
      </c>
      <c r="EK60" s="2">
        <v>4.6296296296296298</v>
      </c>
      <c r="EL60" s="2">
        <v>10.185185185185199</v>
      </c>
      <c r="EM60" s="2" t="s">
        <v>89</v>
      </c>
      <c r="EN60" s="2" t="s">
        <v>89</v>
      </c>
      <c r="EO60" s="2">
        <v>1</v>
      </c>
      <c r="EP60" s="2" t="s">
        <v>89</v>
      </c>
      <c r="EQ60" s="2" t="s">
        <v>89</v>
      </c>
      <c r="ER60" s="2" t="s">
        <v>89</v>
      </c>
      <c r="ES60" s="2" t="s">
        <v>89</v>
      </c>
      <c r="ET60" s="2" t="str">
        <f>HYPERLINK(".\links\REFSEQ-INVERTEBRATE\AGAP003558-PA-REFSEQ-INVERTEBRATE.txt","AGAP003558-PA")</f>
        <v>AGAP003558-PA</v>
      </c>
      <c r="EU60" s="2" t="str">
        <f>HYPERLINK("http://www.ncbi.nlm.nih.gov/sutils/blink.cgi?pid=XP_001230920.1","3E-78")</f>
        <v>3E-78</v>
      </c>
      <c r="EV60" s="2" t="str">
        <f>HYPERLINK("http://www.ncbi.nlm.nih.gov/protein/XP_001230920.1","XP_001230920.1")</f>
        <v>XP_001230920.1</v>
      </c>
      <c r="EW60" s="2">
        <v>100</v>
      </c>
      <c r="EX60" s="2">
        <v>100</v>
      </c>
      <c r="EY60" s="2">
        <v>100</v>
      </c>
      <c r="EZ60" s="2" t="s">
        <v>95</v>
      </c>
    </row>
    <row r="61" spans="1:156" x14ac:dyDescent="0.25">
      <c r="A61" s="2" t="s">
        <v>255</v>
      </c>
      <c r="B61" s="2">
        <v>-0.68109131514372201</v>
      </c>
      <c r="C61" s="2">
        <f t="shared" si="0"/>
        <v>0.62369330814300161</v>
      </c>
      <c r="D61" s="2">
        <v>5.6727283338723904</v>
      </c>
      <c r="E61" s="2">
        <v>10.7690071496282</v>
      </c>
      <c r="F61" s="2">
        <v>1.0321386091124399E-3</v>
      </c>
      <c r="G61" s="2">
        <v>4.1988035584383403E-2</v>
      </c>
      <c r="H61" s="2" t="s">
        <v>256</v>
      </c>
      <c r="I61" s="2" t="s">
        <v>87</v>
      </c>
      <c r="J61" s="2" t="str">
        <f>HYPERLINK("https://vectorbase.org/vectorbase/app/record/gene/AGAP000761","AGAP000761-RA")</f>
        <v>AGAP000761-RA</v>
      </c>
      <c r="K61" s="2" t="str">
        <f>HYPERLINK(".\links\pep\AGAP000761-PA-pep.txt","AGAP000761-PA")</f>
        <v>AGAP000761-PA</v>
      </c>
      <c r="L61" s="12" t="s">
        <v>88</v>
      </c>
      <c r="M61" s="2">
        <v>229</v>
      </c>
      <c r="N61" s="2">
        <v>0</v>
      </c>
      <c r="O61" s="2">
        <v>2</v>
      </c>
      <c r="P61" s="2" t="s">
        <v>257</v>
      </c>
      <c r="Q61" s="9" t="s">
        <v>258</v>
      </c>
      <c r="R61" s="2" t="s">
        <v>179</v>
      </c>
      <c r="S61" s="2" t="str">
        <f>HYPERLINK(".\links\NR-LIGHT\AGAP000761-PA-NR-LIGHT.txt","NR-LIGHT")</f>
        <v>NR-LIGHT</v>
      </c>
      <c r="T61" s="2">
        <v>0</v>
      </c>
      <c r="U61" s="2">
        <v>100</v>
      </c>
      <c r="V61" s="2" t="s">
        <v>259</v>
      </c>
      <c r="W61" s="10" t="s">
        <v>260</v>
      </c>
      <c r="X61" s="2" t="s">
        <v>179</v>
      </c>
      <c r="Y61" s="2" t="str">
        <f>HYPERLINK(".\links\ARTHORPODA\AGAP000761-PA-ARTHORPODA.txt","ARTHORPODA")</f>
        <v>ARTHORPODA</v>
      </c>
      <c r="Z61" s="2">
        <v>0</v>
      </c>
      <c r="AA61" s="2">
        <v>100</v>
      </c>
      <c r="AB61" s="14" t="s">
        <v>89</v>
      </c>
      <c r="AC61" s="14" t="str">
        <f>HYPERLINK(".\links\Sigp\AGAP000761-PA-SigP.txt","CYT")</f>
        <v>CYT</v>
      </c>
      <c r="AD61" s="2" t="s">
        <v>89</v>
      </c>
      <c r="AE61" s="2">
        <v>26.914999999999999</v>
      </c>
      <c r="AF61" s="2">
        <v>8.1199999999999992</v>
      </c>
      <c r="AG61" s="2" t="s">
        <v>89</v>
      </c>
      <c r="AH61" s="2" t="s">
        <v>89</v>
      </c>
      <c r="AI61" s="2" t="s">
        <v>93</v>
      </c>
      <c r="AJ61" s="14">
        <v>0</v>
      </c>
      <c r="AK61" s="2" t="s">
        <v>89</v>
      </c>
      <c r="AL61" s="2" t="s">
        <v>89</v>
      </c>
      <c r="AM61" s="2" t="s">
        <v>89</v>
      </c>
      <c r="AN61" s="14" t="str">
        <f>HYPERLINK(".\links\gpi\AGAP000761-PA-gpi.txt","N")</f>
        <v>N</v>
      </c>
      <c r="AO61" s="15" t="str">
        <f>HYPERLINK(".\links\netoglyc\AGAP000761-PA-netoglyc.txt","0")</f>
        <v>0</v>
      </c>
      <c r="AP61" s="14">
        <v>8.6999999999999993</v>
      </c>
      <c r="AQ61" s="2">
        <v>4.4000000000000004</v>
      </c>
      <c r="AR61" s="2">
        <v>4.8</v>
      </c>
      <c r="AS61" s="2" t="s">
        <v>94</v>
      </c>
      <c r="AT61" s="9" t="str">
        <f>HYPERLINK(".\links\NR-LIGHT\AGAP000761-PA-NR-LIGHT.txt","AGAP000761-PA")</f>
        <v>AGAP000761-PA</v>
      </c>
      <c r="AU61" s="2" t="str">
        <f>HYPERLINK("http://www.ncbi.nlm.nih.gov/sutils/blink.cgi?pid=XP_311299.1","1E-134")</f>
        <v>1E-134</v>
      </c>
      <c r="AV61" s="2" t="str">
        <f>HYPERLINK("http://www.ncbi.nlm.nih.gov/protein/XP_311299.1","XP_311299.1")</f>
        <v>XP_311299.1</v>
      </c>
      <c r="AW61" s="2">
        <v>100</v>
      </c>
      <c r="AX61" s="2">
        <v>100</v>
      </c>
      <c r="AY61" s="2">
        <v>100</v>
      </c>
      <c r="AZ61" s="2" t="s">
        <v>95</v>
      </c>
      <c r="BA61" s="9" t="str">
        <f>HYPERLINK(".\links\REFSEQ-INVERTEBRATE\AGAP000761-PA-REFSEQ-INVERTEBRATE.txt","AGAP000761-PA")</f>
        <v>AGAP000761-PA</v>
      </c>
      <c r="BB61" s="2" t="str">
        <f>HYPERLINK("http://www.ncbi.nlm.nih.gov/sutils/blink.cgi?pid=XP_311299.1","1E-134")</f>
        <v>1E-134</v>
      </c>
      <c r="BC61" s="2" t="str">
        <f>HYPERLINK("http://www.ncbi.nlm.nih.gov/protein/XP_311299.1","XP_311299.1")</f>
        <v>XP_311299.1</v>
      </c>
      <c r="BD61" s="2">
        <v>100</v>
      </c>
      <c r="BE61" s="2">
        <v>100</v>
      </c>
      <c r="BF61" s="2">
        <v>100</v>
      </c>
      <c r="BG61" s="2" t="s">
        <v>95</v>
      </c>
      <c r="BH61" s="9" t="str">
        <f>HYPERLINK(".\links\REFSEQ-PROTOZOA\AGAP000761-PA-REFSEQ-PROTOZOA.txt","glutathione S-transferase domain-containing protein")</f>
        <v>glutathione S-transferase domain-containing protein</v>
      </c>
      <c r="BI61" s="2" t="str">
        <f>HYPERLINK("http://www.ncbi.nlm.nih.gov/sutils/blink.cgi?pid=XP_004346352.1","2E-039")</f>
        <v>2E-039</v>
      </c>
      <c r="BJ61" s="2" t="str">
        <f>HYPERLINK("http://www.ncbi.nlm.nih.gov/protein/XP_004346352.1","XP_004346352.1")</f>
        <v>XP_004346352.1</v>
      </c>
      <c r="BK61" s="2">
        <v>40</v>
      </c>
      <c r="BL61" s="2">
        <v>57</v>
      </c>
      <c r="BM61" s="2">
        <v>102</v>
      </c>
      <c r="BN61" s="2" t="s">
        <v>150</v>
      </c>
      <c r="BO61" s="9" t="str">
        <f>HYPERLINK(".\links\SWISSP\AGAP000761-PA-SWISSP.txt","Glutathione S-transferase theta-1")</f>
        <v>Glutathione S-transferase theta-1</v>
      </c>
      <c r="BP61" s="2" t="str">
        <f>HYPERLINK("http://www.uniprot.org/uniprot/P30711","8E-040")</f>
        <v>8E-040</v>
      </c>
      <c r="BQ61" s="2" t="str">
        <f>HYPERLINK("http://www.uniprot.org/uniprot/P30711#expression","P30711")</f>
        <v>P30711</v>
      </c>
      <c r="BR61" s="2">
        <v>39</v>
      </c>
      <c r="BS61" s="2">
        <v>59</v>
      </c>
      <c r="BT61" s="2">
        <v>90</v>
      </c>
      <c r="BU61" s="2" t="s">
        <v>115</v>
      </c>
      <c r="BV61" s="9" t="str">
        <f>HYPERLINK(".\links\FLYBASE\AGAP000761-PA-FLYBASE.txt","FBpp0309051")</f>
        <v>FBpp0309051</v>
      </c>
      <c r="BW61" s="2" t="str">
        <f>HYPERLINK("http://flybase.org/reports/FBgn0031117#alliance_summary_container","3E-79")</f>
        <v>3E-79</v>
      </c>
      <c r="BX61" s="2">
        <v>228</v>
      </c>
      <c r="BY61" s="2">
        <v>52</v>
      </c>
      <c r="BZ61" s="2">
        <v>66</v>
      </c>
      <c r="CA61" s="2">
        <v>101</v>
      </c>
      <c r="CB61" s="9" t="str">
        <f>HYPERLINK(".\links\CDD\AGAP000761-PA-CDD.txt","GST_C_Theta, C-terminal, alpha helical domain of Class Theta Glutathione S-transferases")</f>
        <v>GST_C_Theta, C-terminal, alpha helical domain of Class Theta Glutathione S-transferases</v>
      </c>
      <c r="CC61" s="13">
        <v>1E-50</v>
      </c>
      <c r="CD61" s="2">
        <v>100.8</v>
      </c>
      <c r="CE61" s="2" t="s">
        <v>261</v>
      </c>
      <c r="CF61" s="2" t="s">
        <v>262</v>
      </c>
      <c r="CG61" s="9" t="str">
        <f>HYPERLINK(".\links\KOG\AGAP000761-PA-KOG.txt","Glutathione S-transferase")</f>
        <v>Glutathione S-transferase</v>
      </c>
      <c r="CH61" s="13">
        <v>3.9999999999999997E-39</v>
      </c>
      <c r="CI61" s="2">
        <v>96</v>
      </c>
      <c r="CJ61" s="2" t="s">
        <v>263</v>
      </c>
      <c r="CK61" s="2" t="s">
        <v>264</v>
      </c>
      <c r="CL61" s="9" t="str">
        <f>HYPERLINK(".\links\PFAM\AGAP000761-PA-PFAM.txt","GST_N, Glutathione S-transferase, N-terminal domain")</f>
        <v>GST_N, Glutathione S-transferase, N-terminal domain</v>
      </c>
      <c r="CM61" s="13">
        <v>4.9999999999999998E-7</v>
      </c>
      <c r="CN61" s="2">
        <v>97.4</v>
      </c>
      <c r="CO61" s="2" t="s">
        <v>265</v>
      </c>
      <c r="CP61" s="9" t="str">
        <f>HYPERLINK(".\links\SMART\AGAP000761-PA-SMART.txt","COG6, Conserved oligomeric complex COG6")</f>
        <v>COG6, Conserved oligomeric complex COG6</v>
      </c>
      <c r="CQ61" s="13">
        <v>2.3E-2</v>
      </c>
      <c r="CR61" s="2">
        <v>16.100000000000001</v>
      </c>
      <c r="CS61" s="2" t="s">
        <v>266</v>
      </c>
      <c r="CT61" s="2" t="s">
        <v>259</v>
      </c>
      <c r="CU61" s="2" t="s">
        <v>259</v>
      </c>
      <c r="CV61" s="2" t="s">
        <v>259</v>
      </c>
      <c r="CW61" s="2" t="str">
        <f>HYPERLINK(".\links\pep\AGAP000761-PA-pep.txt","AGAP000761-PA")</f>
        <v>AGAP000761-PA</v>
      </c>
      <c r="CX61" s="2" t="s">
        <v>88</v>
      </c>
      <c r="CY61" s="2">
        <v>229</v>
      </c>
      <c r="CZ61" s="2" t="s">
        <v>103</v>
      </c>
      <c r="DA61" s="2" t="s">
        <v>267</v>
      </c>
      <c r="DB61" s="2">
        <v>0</v>
      </c>
      <c r="DC61" s="2">
        <v>2</v>
      </c>
      <c r="DD61" s="2" t="str">
        <f>HYPERLINK("https://www.kegg.jp/kegg-bin/search_pathway_text?map=aga&amp;keyword=AGAP000761&amp;mode=1&amp;viewImage=true","AGAP000761")</f>
        <v>AGAP000761</v>
      </c>
      <c r="DE61" s="2" t="s">
        <v>255</v>
      </c>
      <c r="DF61" s="2" t="s">
        <v>256</v>
      </c>
      <c r="DG61" s="2" t="s">
        <v>87</v>
      </c>
      <c r="DH61" s="2" t="str">
        <f>HYPERLINK("https://vectorbase.org/vectorbase/app/record/gene/AGAP000761","AGAP000761-RA")</f>
        <v>AGAP000761-RA</v>
      </c>
      <c r="DI61" s="2" t="s">
        <v>140</v>
      </c>
      <c r="DJ61" s="2">
        <v>997</v>
      </c>
      <c r="DK61" s="2" t="str">
        <f>HYPERLINK(".\links\netoglyc\AGAP000761-PA-netoglyc.txt","0")</f>
        <v>0</v>
      </c>
      <c r="DL61" s="2">
        <v>8.6999999999999993</v>
      </c>
      <c r="DM61" s="2">
        <v>4.4000000000000004</v>
      </c>
      <c r="DN61" s="2">
        <v>4.8</v>
      </c>
      <c r="DO61" s="2" t="s">
        <v>94</v>
      </c>
      <c r="DP61" s="2" t="s">
        <v>89</v>
      </c>
      <c r="DQ61" s="2" t="str">
        <f>HYPERLINK(".\links\Sigp\AGAP000761-PA-SigP.txt","CYT")</f>
        <v>CYT</v>
      </c>
      <c r="DR61" s="2" t="s">
        <v>89</v>
      </c>
      <c r="DS61" s="2">
        <v>26.914999999999999</v>
      </c>
      <c r="DT61" s="2">
        <v>8.1199999999999992</v>
      </c>
      <c r="DU61" s="2" t="s">
        <v>89</v>
      </c>
      <c r="DV61" s="2" t="s">
        <v>89</v>
      </c>
      <c r="DW61" s="2" t="s">
        <v>93</v>
      </c>
      <c r="DX61" s="2">
        <v>229</v>
      </c>
      <c r="DY61" s="12">
        <v>0</v>
      </c>
      <c r="DZ61" s="2" t="s">
        <v>89</v>
      </c>
      <c r="EA61" s="2" t="s">
        <v>89</v>
      </c>
      <c r="EB61" s="2" t="s">
        <v>89</v>
      </c>
      <c r="EC61" s="2" t="str">
        <f>HYPERLINK(".\links\gpi\AGAP000761-PA-gpi.txt","N")</f>
        <v>N</v>
      </c>
      <c r="ED61" s="2">
        <v>0.26</v>
      </c>
      <c r="EF61" s="2">
        <v>6</v>
      </c>
      <c r="EG61" s="2" t="s">
        <v>89</v>
      </c>
      <c r="EH61" s="2" t="s">
        <v>89</v>
      </c>
      <c r="EI61" s="2">
        <v>8.7336244541484707</v>
      </c>
      <c r="EJ61" s="2">
        <v>4.8034934497816604</v>
      </c>
      <c r="EK61" s="2">
        <v>4.3668122270742398</v>
      </c>
      <c r="EL61" s="2">
        <v>9.1703056768558895</v>
      </c>
      <c r="EM61" s="2" t="s">
        <v>89</v>
      </c>
      <c r="EN61" s="2">
        <v>1</v>
      </c>
      <c r="EO61" s="2">
        <v>1</v>
      </c>
      <c r="EP61" s="2" t="s">
        <v>89</v>
      </c>
      <c r="EQ61" s="2" t="s">
        <v>89</v>
      </c>
      <c r="ER61" s="2" t="s">
        <v>89</v>
      </c>
      <c r="ES61" s="2" t="s">
        <v>89</v>
      </c>
      <c r="ET61" s="2" t="str">
        <f>HYPERLINK(".\links\REFSEQ-INVERTEBRATE\AGAP000761-PA-REFSEQ-INVERTEBRATE.txt","AGAP000761-PA")</f>
        <v>AGAP000761-PA</v>
      </c>
      <c r="EU61" s="2" t="str">
        <f>HYPERLINK("http://www.ncbi.nlm.nih.gov/sutils/blink.cgi?pid=XP_311299.1","1E-174")</f>
        <v>1E-174</v>
      </c>
      <c r="EV61" s="2" t="str">
        <f>HYPERLINK("http://www.ncbi.nlm.nih.gov/protein/XP_311299.1","XP_311299.1")</f>
        <v>XP_311299.1</v>
      </c>
      <c r="EW61" s="2">
        <v>100</v>
      </c>
      <c r="EX61" s="2">
        <v>100</v>
      </c>
      <c r="EY61" s="2">
        <v>100</v>
      </c>
      <c r="EZ61" s="2" t="s">
        <v>95</v>
      </c>
    </row>
    <row r="62" spans="1:156" x14ac:dyDescent="0.25">
      <c r="A62" s="2" t="s">
        <v>1447</v>
      </c>
      <c r="B62" s="2">
        <v>-0.68519623623168602</v>
      </c>
      <c r="C62" s="2">
        <f t="shared" si="0"/>
        <v>0.62192122680305517</v>
      </c>
      <c r="D62" s="2">
        <v>5.0625391382004103</v>
      </c>
      <c r="E62" s="2">
        <v>11.590828895713299</v>
      </c>
      <c r="F62" s="2">
        <v>6.62778637796111E-4</v>
      </c>
      <c r="G62" s="2">
        <v>3.1643964827870803E-2</v>
      </c>
      <c r="H62" s="2" t="s">
        <v>1448</v>
      </c>
      <c r="I62" s="2" t="s">
        <v>89</v>
      </c>
      <c r="J62" s="2" t="str">
        <f>HYPERLINK("https://vectorbase.org/vectorbase/app/record/gene/AGAP005118","AGAP005118-RA")</f>
        <v>AGAP005118-RA</v>
      </c>
      <c r="K62" s="2" t="str">
        <f>HYPERLINK(".\links\pep\AGAP005118-PA-pep.txt","AGAP005118-PA")</f>
        <v>AGAP005118-PA</v>
      </c>
      <c r="L62" s="12" t="s">
        <v>88</v>
      </c>
      <c r="M62" s="2">
        <v>155</v>
      </c>
      <c r="N62" s="2">
        <v>0</v>
      </c>
      <c r="O62" s="2">
        <v>2</v>
      </c>
      <c r="P62" s="2" t="s">
        <v>1449</v>
      </c>
      <c r="Q62" s="9" t="s">
        <v>1450</v>
      </c>
      <c r="R62" s="2" t="s">
        <v>245</v>
      </c>
      <c r="S62" s="2" t="str">
        <f>HYPERLINK(".\links\KOG\AGAP005118-PA-KOG.txt","KOG")</f>
        <v>KOG</v>
      </c>
      <c r="T62" s="2">
        <v>2E-51</v>
      </c>
      <c r="U62" s="2">
        <v>96.6</v>
      </c>
      <c r="V62" s="2" t="s">
        <v>1451</v>
      </c>
      <c r="W62" s="10" t="s">
        <v>1452</v>
      </c>
      <c r="X62" s="2" t="s">
        <v>245</v>
      </c>
      <c r="Y62" s="2" t="str">
        <f>HYPERLINK(".\links\ARTHORPODA\AGAP005118-PA-ARTHORPODA.txt","ARTHORPODA")</f>
        <v>ARTHORPODA</v>
      </c>
      <c r="Z62" s="13">
        <v>0</v>
      </c>
      <c r="AA62" s="2">
        <v>100</v>
      </c>
      <c r="AB62" s="14" t="s">
        <v>89</v>
      </c>
      <c r="AC62" s="14" t="str">
        <f>HYPERLINK(".\links\Sigp\AGAP005118-PA-SigP.txt","BL/SIG")</f>
        <v>BL/SIG</v>
      </c>
      <c r="AD62" s="2" t="s">
        <v>89</v>
      </c>
      <c r="AE62" s="2">
        <v>17.832999999999998</v>
      </c>
      <c r="AF62" s="2">
        <v>7.75</v>
      </c>
      <c r="AG62" s="2" t="s">
        <v>89</v>
      </c>
      <c r="AH62" s="2" t="s">
        <v>89</v>
      </c>
      <c r="AI62" s="2" t="s">
        <v>1322</v>
      </c>
      <c r="AJ62" s="14">
        <v>0</v>
      </c>
      <c r="AK62" s="2" t="s">
        <v>89</v>
      </c>
      <c r="AL62" s="2" t="s">
        <v>89</v>
      </c>
      <c r="AM62" s="2" t="s">
        <v>89</v>
      </c>
      <c r="AN62" s="14" t="str">
        <f>HYPERLINK(".\links\gpi\AGAP005118-PA-gpi.txt","N")</f>
        <v>N</v>
      </c>
      <c r="AO62" s="15" t="str">
        <f>HYPERLINK(".\links\netoglyc\AGAP005118-PA-netoglyc.txt","0")</f>
        <v>0</v>
      </c>
      <c r="AP62" s="14">
        <v>8.4</v>
      </c>
      <c r="AQ62" s="2">
        <v>6.5</v>
      </c>
      <c r="AR62" s="2">
        <v>5.2</v>
      </c>
      <c r="AS62" s="2" t="s">
        <v>94</v>
      </c>
      <c r="AT62" s="9" t="str">
        <f>HYPERLINK(".\links\NR-LIGHT\AGAP005118-PA-NR-LIGHT.txt","AGAP005118-PA")</f>
        <v>AGAP005118-PA</v>
      </c>
      <c r="AU62" s="2" t="str">
        <f>HYPERLINK("http://www.ncbi.nlm.nih.gov/sutils/blink.cgi?pid=XP_313999.2","1E-085")</f>
        <v>1E-085</v>
      </c>
      <c r="AV62" s="2" t="str">
        <f>HYPERLINK("http://www.ncbi.nlm.nih.gov/protein/XP_313999.2","XP_313999.2")</f>
        <v>XP_313999.2</v>
      </c>
      <c r="AW62" s="2">
        <v>100</v>
      </c>
      <c r="AX62" s="2">
        <v>100</v>
      </c>
      <c r="AY62" s="2">
        <v>100</v>
      </c>
      <c r="AZ62" s="2" t="s">
        <v>95</v>
      </c>
      <c r="BA62" s="9" t="str">
        <f>HYPERLINK(".\links\REFSEQ-INVERTEBRATE\AGAP005118-PA-REFSEQ-INVERTEBRATE.txt","AGAP005118-PA")</f>
        <v>AGAP005118-PA</v>
      </c>
      <c r="BB62" s="2" t="str">
        <f>HYPERLINK("http://www.ncbi.nlm.nih.gov/sutils/blink.cgi?pid=XP_313999.2","9E-086")</f>
        <v>9E-086</v>
      </c>
      <c r="BC62" s="2" t="str">
        <f>HYPERLINK("http://www.ncbi.nlm.nih.gov/protein/XP_313999.2","XP_313999.2")</f>
        <v>XP_313999.2</v>
      </c>
      <c r="BD62" s="2">
        <v>100</v>
      </c>
      <c r="BE62" s="2">
        <v>100</v>
      </c>
      <c r="BF62" s="2">
        <v>100</v>
      </c>
      <c r="BG62" s="2" t="s">
        <v>95</v>
      </c>
      <c r="BH62" s="9" t="str">
        <f>HYPERLINK(".\links\REFSEQ-PROTOZOA\AGAP005118-PA-REFSEQ-PROTOZOA.txt","RecF/RecN/SMC N terminal domain containing protein")</f>
        <v>RecF/RecN/SMC N terminal domain containing protein</v>
      </c>
      <c r="BI62" s="2" t="str">
        <f>HYPERLINK("http://www.ncbi.nlm.nih.gov/sutils/blink.cgi?pid=XP_001304719.1","0.030")</f>
        <v>0.030</v>
      </c>
      <c r="BJ62" s="2" t="str">
        <f>HYPERLINK("http://www.ncbi.nlm.nih.gov/protein/XP_001304719.1","XP_001304719.1")</f>
        <v>XP_001304719.1</v>
      </c>
      <c r="BK62" s="2">
        <v>27</v>
      </c>
      <c r="BL62" s="2">
        <v>48</v>
      </c>
      <c r="BM62" s="2">
        <v>11</v>
      </c>
      <c r="BN62" s="2" t="s">
        <v>879</v>
      </c>
      <c r="BO62" s="9" t="str">
        <f>HYPERLINK(".\links\SWISSP\AGAP005118-PA-SWISSP.txt","28S ribosomal protein S17, mitochondrial")</f>
        <v>28S ribosomal protein S17, mitochondrial</v>
      </c>
      <c r="BP62" s="2" t="str">
        <f>HYPERLINK("http://www.uniprot.org/uniprot/P82916","1E-015")</f>
        <v>1E-015</v>
      </c>
      <c r="BQ62" s="2" t="str">
        <f>HYPERLINK("http://www.uniprot.org/uniprot/P82916#expression","P82916")</f>
        <v>P82916</v>
      </c>
      <c r="BR62" s="2">
        <v>41</v>
      </c>
      <c r="BS62" s="2">
        <v>61</v>
      </c>
      <c r="BT62" s="2">
        <v>73</v>
      </c>
      <c r="BU62" s="2" t="s">
        <v>183</v>
      </c>
      <c r="BV62" s="9" t="str">
        <f>HYPERLINK(".\links\FLYBASE\AGAP005118-PA-FLYBASE.txt","FBpp0072184")</f>
        <v>FBpp0072184</v>
      </c>
      <c r="BW62" s="2" t="str">
        <f>HYPERLINK("http://flybase.org/reports/FBgn0034986#alliance_summary_container","1E-95")</f>
        <v>1E-95</v>
      </c>
      <c r="BX62" s="2">
        <v>155</v>
      </c>
      <c r="BY62" s="2">
        <v>81</v>
      </c>
      <c r="BZ62" s="2">
        <v>90</v>
      </c>
      <c r="CA62" s="2">
        <v>100</v>
      </c>
      <c r="CB62" s="9" t="str">
        <f>HYPERLINK(".\links\CDD\AGAP005118-PA-CDD.txt","Ribosomal_S17, Ribosomal protein S17")</f>
        <v>Ribosomal_S17, Ribosomal protein S17</v>
      </c>
      <c r="CC62" s="13">
        <v>6.9999999999999999E-4</v>
      </c>
      <c r="CD62" s="2">
        <v>80.900000000000006</v>
      </c>
      <c r="CE62" s="2" t="s">
        <v>1453</v>
      </c>
      <c r="CF62" s="2" t="s">
        <v>1454</v>
      </c>
      <c r="CG62" s="9" t="str">
        <f>HYPERLINK(".\links\KOG\AGAP005118-PA-KOG.txt","Mitochondrial/chloroplast ribosomal S17-like protein")</f>
        <v>Mitochondrial/chloroplast ribosomal S17-like protein</v>
      </c>
      <c r="CH62" s="13">
        <v>2E-51</v>
      </c>
      <c r="CI62" s="2">
        <v>96.7</v>
      </c>
      <c r="CJ62" s="2" t="s">
        <v>1455</v>
      </c>
      <c r="CK62" s="2" t="s">
        <v>252</v>
      </c>
      <c r="CL62" s="9" t="str">
        <f>HYPERLINK(".\links\PFAM\AGAP005118-PA-PFAM.txt","Ribosomal_S17, Ribosomal protein S17")</f>
        <v>Ribosomal_S17, Ribosomal protein S17</v>
      </c>
      <c r="CM62" s="13">
        <v>2.0000000000000001E-4</v>
      </c>
      <c r="CN62" s="2">
        <v>80.900000000000006</v>
      </c>
      <c r="CO62" s="2" t="s">
        <v>1453</v>
      </c>
      <c r="CP62" s="9" t="str">
        <f>HYPERLINK(".\links\SMART\AGAP005118-PA-SMART.txt","BRO1, BRO1-like domain")</f>
        <v>BRO1, BRO1-like domain</v>
      </c>
      <c r="CQ62" s="13">
        <v>1.4</v>
      </c>
      <c r="CR62" s="2">
        <v>10</v>
      </c>
      <c r="CS62" s="2" t="s">
        <v>1456</v>
      </c>
      <c r="CT62" s="2" t="s">
        <v>1451</v>
      </c>
      <c r="CU62" s="2" t="s">
        <v>1451</v>
      </c>
      <c r="CV62" s="2" t="s">
        <v>1451</v>
      </c>
      <c r="CW62" s="2" t="str">
        <f>HYPERLINK(".\links\pep\AGAP005118-PA-pep.txt","AGAP005118-PA")</f>
        <v>AGAP005118-PA</v>
      </c>
      <c r="CX62" s="2" t="s">
        <v>88</v>
      </c>
      <c r="CY62" s="2">
        <v>155</v>
      </c>
      <c r="CZ62" s="2" t="s">
        <v>103</v>
      </c>
      <c r="DA62" s="2">
        <v>0</v>
      </c>
      <c r="DB62" s="2">
        <v>2</v>
      </c>
      <c r="DD62" s="2" t="str">
        <f>HYPERLINK("https://www.kegg.jp/kegg-bin/search_pathway_text?map=aga&amp;keyword=AGAP005118&amp;mode=1&amp;viewImage=true","AGAP005118")</f>
        <v>AGAP005118</v>
      </c>
      <c r="DE62" s="2" t="s">
        <v>1447</v>
      </c>
      <c r="DF62" s="2" t="s">
        <v>1448</v>
      </c>
      <c r="DG62" s="2" t="s">
        <v>89</v>
      </c>
      <c r="DH62" s="2" t="str">
        <f>HYPERLINK("https://vectorbase.org/vectorbase/app/record/gene/AGAP005118","AGAP005118-RA")</f>
        <v>AGAP005118-RA</v>
      </c>
      <c r="DI62" s="2" t="s">
        <v>122</v>
      </c>
      <c r="DJ62" s="2">
        <v>692</v>
      </c>
      <c r="DK62" s="2" t="str">
        <f>HYPERLINK(".\links\netoglyc\AGAP005118-PA-netoglyc.txt","0")</f>
        <v>0</v>
      </c>
      <c r="DL62" s="2">
        <v>8.4</v>
      </c>
      <c r="DM62" s="2">
        <v>6.5</v>
      </c>
      <c r="DN62" s="2">
        <v>5.2</v>
      </c>
      <c r="DO62" s="2" t="s">
        <v>94</v>
      </c>
      <c r="DP62" s="2" t="s">
        <v>89</v>
      </c>
      <c r="DQ62" s="2" t="str">
        <f>HYPERLINK(".\links\Sigp\AGAP005118-PA-SigP.txt","BL/SIG")</f>
        <v>BL/SIG</v>
      </c>
      <c r="DR62" s="2" t="s">
        <v>89</v>
      </c>
      <c r="DS62" s="2">
        <v>17.832999999999998</v>
      </c>
      <c r="DT62" s="2">
        <v>7.75</v>
      </c>
      <c r="DU62" s="2" t="s">
        <v>89</v>
      </c>
      <c r="DV62" s="2" t="s">
        <v>89</v>
      </c>
      <c r="DW62" s="2" t="s">
        <v>1322</v>
      </c>
      <c r="DX62" s="2">
        <v>155</v>
      </c>
      <c r="DY62" s="12">
        <v>0</v>
      </c>
      <c r="DZ62" s="2" t="s">
        <v>89</v>
      </c>
      <c r="EA62" s="2" t="s">
        <v>89</v>
      </c>
      <c r="EB62" s="2" t="s">
        <v>89</v>
      </c>
      <c r="EC62" s="2" t="str">
        <f>HYPERLINK(".\links\gpi\AGAP005118-PA-gpi.txt","N")</f>
        <v>N</v>
      </c>
      <c r="ED62" s="2">
        <v>0.33</v>
      </c>
      <c r="EF62" s="2">
        <v>2</v>
      </c>
      <c r="EG62" s="2" t="s">
        <v>89</v>
      </c>
      <c r="EH62" s="2" t="s">
        <v>89</v>
      </c>
      <c r="EI62" s="2">
        <v>8.3870967741935498</v>
      </c>
      <c r="EJ62" s="2">
        <v>5.1612903225806503</v>
      </c>
      <c r="EK62" s="2">
        <v>6.4516129032258096</v>
      </c>
      <c r="EL62" s="2">
        <v>11.6129032258065</v>
      </c>
      <c r="EM62" s="2" t="s">
        <v>89</v>
      </c>
      <c r="EN62" s="2" t="s">
        <v>89</v>
      </c>
      <c r="EO62" s="2" t="s">
        <v>89</v>
      </c>
      <c r="EP62" s="2" t="s">
        <v>89</v>
      </c>
      <c r="EQ62" s="2" t="s">
        <v>89</v>
      </c>
      <c r="ER62" s="2" t="s">
        <v>89</v>
      </c>
      <c r="ES62" s="2" t="s">
        <v>89</v>
      </c>
      <c r="ET62" s="2" t="str">
        <f>HYPERLINK(".\links\REFSEQ-INVERTEBRATE\AGAP005118-PA-REFSEQ-INVERTEBRATE.txt","AGAP005118-PA")</f>
        <v>AGAP005118-PA</v>
      </c>
      <c r="EU62" s="2" t="str">
        <f>HYPERLINK("http://www.ncbi.nlm.nih.gov/sutils/blink.cgi?pid=XP_313999.2","1E-112")</f>
        <v>1E-112</v>
      </c>
      <c r="EV62" s="2" t="str">
        <f>HYPERLINK("http://www.ncbi.nlm.nih.gov/protein/XP_313999.2","XP_313999.2")</f>
        <v>XP_313999.2</v>
      </c>
      <c r="EW62" s="2">
        <v>100</v>
      </c>
      <c r="EX62" s="2">
        <v>100</v>
      </c>
      <c r="EY62" s="2">
        <v>100</v>
      </c>
      <c r="EZ62" s="2" t="s">
        <v>95</v>
      </c>
    </row>
    <row r="63" spans="1:156" x14ac:dyDescent="0.25">
      <c r="A63" s="2" t="s">
        <v>2329</v>
      </c>
      <c r="B63" s="2">
        <v>-0.68575762246598604</v>
      </c>
      <c r="C63" s="2">
        <f t="shared" si="0"/>
        <v>0.62167926985054833</v>
      </c>
      <c r="D63" s="2">
        <v>6.0323789698938102</v>
      </c>
      <c r="E63" s="2">
        <v>12.9938851017099</v>
      </c>
      <c r="F63" s="2">
        <v>3.1250987002040499E-4</v>
      </c>
      <c r="G63" s="2">
        <v>1.9344724337832801E-2</v>
      </c>
      <c r="H63" s="2" t="s">
        <v>737</v>
      </c>
      <c r="I63" s="2" t="s">
        <v>87</v>
      </c>
      <c r="J63" s="2" t="str">
        <f>HYPERLINK("https://vectorbase.org/vectorbase/app/record/gene/AGAP009738","AGAP009738-RA")</f>
        <v>AGAP009738-RA</v>
      </c>
      <c r="K63" s="2" t="str">
        <f>HYPERLINK(".\links\pep\AGAP009738-PA-pep.txt","AGAP009738-PA")</f>
        <v>AGAP009738-PA</v>
      </c>
      <c r="L63" s="12" t="s">
        <v>88</v>
      </c>
      <c r="M63" s="2">
        <v>135</v>
      </c>
      <c r="N63" s="2">
        <v>0</v>
      </c>
      <c r="O63" s="2">
        <v>1</v>
      </c>
      <c r="P63" s="2" t="s">
        <v>2330</v>
      </c>
      <c r="Q63" s="9" t="s">
        <v>2331</v>
      </c>
      <c r="R63" s="2" t="s">
        <v>740</v>
      </c>
      <c r="S63" s="2" t="str">
        <f>HYPERLINK(".\links\REFSEQ-INVERTEBRATE\AGAP009738-PA-REFSEQ-INVERTEBRATE.txt","REFSEQ-INVERTEBRATE")</f>
        <v>REFSEQ-INVERTEBRATE</v>
      </c>
      <c r="T63" s="2">
        <v>8.9999999999999997E-54</v>
      </c>
      <c r="U63" s="2">
        <v>98</v>
      </c>
      <c r="V63" s="2" t="s">
        <v>2332</v>
      </c>
      <c r="W63" s="10" t="s">
        <v>2333</v>
      </c>
      <c r="X63" s="2" t="s">
        <v>740</v>
      </c>
      <c r="Y63" s="2" t="str">
        <f>HYPERLINK(".\links\ARTHORPODA\AGAP009738-PA-ARTHORPODA.txt","ARTHORPODA")</f>
        <v>ARTHORPODA</v>
      </c>
      <c r="Z63" s="13">
        <v>3E-98</v>
      </c>
      <c r="AA63" s="2">
        <v>100</v>
      </c>
      <c r="AB63" s="14" t="s">
        <v>89</v>
      </c>
      <c r="AC63" s="14" t="str">
        <f>HYPERLINK(".\links\Sigp\AGAP009738-PA-SigP.txt","CYT")</f>
        <v>CYT</v>
      </c>
      <c r="AD63" s="2" t="s">
        <v>89</v>
      </c>
      <c r="AE63" s="2">
        <v>15.555</v>
      </c>
      <c r="AF63" s="2">
        <v>6.09</v>
      </c>
      <c r="AG63" s="2" t="s">
        <v>89</v>
      </c>
      <c r="AH63" s="2" t="s">
        <v>89</v>
      </c>
      <c r="AI63" s="2" t="s">
        <v>93</v>
      </c>
      <c r="AJ63" s="14">
        <v>0</v>
      </c>
      <c r="AK63" s="2" t="s">
        <v>89</v>
      </c>
      <c r="AL63" s="2" t="s">
        <v>89</v>
      </c>
      <c r="AM63" s="2" t="s">
        <v>89</v>
      </c>
      <c r="AN63" s="14" t="str">
        <f>HYPERLINK(".\links\gpi\AGAP009738-PA-gpi.txt","N")</f>
        <v>N</v>
      </c>
      <c r="AO63" s="15" t="str">
        <f>HYPERLINK(".\links\netoglyc\AGAP009738-PA-netoglyc.txt","0")</f>
        <v>0</v>
      </c>
      <c r="AP63" s="14">
        <v>12.6</v>
      </c>
      <c r="AQ63" s="2">
        <v>3.7</v>
      </c>
      <c r="AR63" s="2">
        <v>6.7</v>
      </c>
      <c r="AS63" s="2" t="s">
        <v>94</v>
      </c>
      <c r="AT63" s="9" t="str">
        <f>HYPERLINK(".\links\NR-LIGHT\AGAP009738-PA-NR-LIGHT.txt","AGAP009738-PA")</f>
        <v>AGAP009738-PA</v>
      </c>
      <c r="AU63" s="2" t="str">
        <f>HYPERLINK("http://www.ncbi.nlm.nih.gov/sutils/blink.cgi?pid=XP_318823.2","8E-070")</f>
        <v>8E-070</v>
      </c>
      <c r="AV63" s="2" t="str">
        <f>HYPERLINK("http://www.ncbi.nlm.nih.gov/protein/XP_318823.2","XP_318823.2")</f>
        <v>XP_318823.2</v>
      </c>
      <c r="AW63" s="2">
        <v>100</v>
      </c>
      <c r="AX63" s="2">
        <v>100</v>
      </c>
      <c r="AY63" s="2">
        <v>100</v>
      </c>
      <c r="AZ63" s="2" t="s">
        <v>95</v>
      </c>
      <c r="BA63" s="9" t="str">
        <f>HYPERLINK(".\links\REFSEQ-INVERTEBRATE\AGAP009738-PA-REFSEQ-INVERTEBRATE.txt","AGAP009738-PA")</f>
        <v>AGAP009738-PA</v>
      </c>
      <c r="BB63" s="2" t="str">
        <f>HYPERLINK("http://www.ncbi.nlm.nih.gov/sutils/blink.cgi?pid=XP_318823.2","7E-070")</f>
        <v>7E-070</v>
      </c>
      <c r="BC63" s="2" t="str">
        <f>HYPERLINK("http://www.ncbi.nlm.nih.gov/protein/XP_318823.2","XP_318823.2")</f>
        <v>XP_318823.2</v>
      </c>
      <c r="BD63" s="2">
        <v>100</v>
      </c>
      <c r="BE63" s="2">
        <v>100</v>
      </c>
      <c r="BF63" s="2">
        <v>100</v>
      </c>
      <c r="BG63" s="2" t="s">
        <v>95</v>
      </c>
      <c r="BH63" s="9" t="str">
        <f>HYPERLINK(".\links\REFSEQ-PROTOZOA\AGAP009738-PA-REFSEQ-PROTOZOA.txt","thioredoxin domain-containing protein 17")</f>
        <v>thioredoxin domain-containing protein 17</v>
      </c>
      <c r="BI63" s="2" t="str">
        <f>HYPERLINK("http://www.ncbi.nlm.nih.gov/sutils/blink.cgi?pid=XP_004991836.1","3E-014")</f>
        <v>3E-014</v>
      </c>
      <c r="BJ63" s="2" t="str">
        <f>HYPERLINK("http://www.ncbi.nlm.nih.gov/protein/XP_004991836.1","XP_004991836.1")</f>
        <v>XP_004991836.1</v>
      </c>
      <c r="BK63" s="2">
        <v>37</v>
      </c>
      <c r="BL63" s="2">
        <v>56</v>
      </c>
      <c r="BM63" s="2">
        <v>87</v>
      </c>
      <c r="BN63" s="2" t="s">
        <v>182</v>
      </c>
      <c r="BO63" s="9" t="str">
        <f>HYPERLINK(".\links\SWISSP\AGAP009738-PA-SWISSP.txt","Thioredoxin domain-containing protein 17")</f>
        <v>Thioredoxin domain-containing protein 17</v>
      </c>
      <c r="BP63" s="2" t="str">
        <f>HYPERLINK("http://www.uniprot.org/uniprot/Q9BRA2","2E-021")</f>
        <v>2E-021</v>
      </c>
      <c r="BQ63" s="2" t="str">
        <f>HYPERLINK("http://www.uniprot.org/uniprot/Q9BRA2#expression","Q9BRA2")</f>
        <v>Q9BRA2</v>
      </c>
      <c r="BR63" s="2">
        <v>43</v>
      </c>
      <c r="BS63" s="2">
        <v>65</v>
      </c>
      <c r="BT63" s="2">
        <v>97</v>
      </c>
      <c r="BU63" s="2" t="s">
        <v>115</v>
      </c>
      <c r="BV63" s="9" t="str">
        <f>HYPERLINK(".\links\FLYBASE\AGAP009738-PA-FLYBASE.txt","FBpp0303003")</f>
        <v>FBpp0303003</v>
      </c>
      <c r="BW63" s="2" t="str">
        <f>HYPERLINK("http://flybase.org/reports/FBgn0000318#alliance_summary_container","1E-64")</f>
        <v>1E-64</v>
      </c>
      <c r="BX63" s="2">
        <v>126</v>
      </c>
      <c r="BY63" s="2">
        <v>67</v>
      </c>
      <c r="BZ63" s="2">
        <v>81</v>
      </c>
      <c r="CA63" s="2">
        <v>100</v>
      </c>
      <c r="CB63" s="9" t="str">
        <f>HYPERLINK(".\links\CDD\AGAP009738-PA-CDD.txt","DUF953, Eukaryotic protein of unknown function (DUF953)")</f>
        <v>DUF953, Eukaryotic protein of unknown function (DUF953)</v>
      </c>
      <c r="CC63" s="13">
        <v>1E-41</v>
      </c>
      <c r="CD63" s="2">
        <v>99.2</v>
      </c>
      <c r="CE63" s="2" t="s">
        <v>745</v>
      </c>
      <c r="CF63" s="2" t="s">
        <v>2334</v>
      </c>
      <c r="CG63" s="9" t="str">
        <f>HYPERLINK(".\links\KOG\AGAP009738-PA-KOG.txt","Uncharacterized conserved protein")</f>
        <v>Uncharacterized conserved protein</v>
      </c>
      <c r="CH63" s="13">
        <v>1.9999999999999999E-36</v>
      </c>
      <c r="CI63" s="2">
        <v>101.6</v>
      </c>
      <c r="CJ63" s="2" t="s">
        <v>747</v>
      </c>
      <c r="CK63" s="2" t="s">
        <v>101</v>
      </c>
      <c r="CL63" s="9" t="str">
        <f>HYPERLINK(".\links\PFAM\AGAP009738-PA-PFAM.txt","DUF953, Eukaryotic protein of unknown function (DUF953)")</f>
        <v>DUF953, Eukaryotic protein of unknown function (DUF953)</v>
      </c>
      <c r="CM63" s="13">
        <v>2.0000000000000001E-42</v>
      </c>
      <c r="CN63" s="2">
        <v>99.2</v>
      </c>
      <c r="CO63" s="2" t="s">
        <v>745</v>
      </c>
      <c r="CP63" s="9" t="str">
        <f>HYPERLINK(".\links\SMART\AGAP009738-PA-SMART.txt","COG6, Conserved oligomeric complex COG6")</f>
        <v>COG6, Conserved oligomeric complex COG6</v>
      </c>
      <c r="CQ63" s="13">
        <v>2.2000000000000002</v>
      </c>
      <c r="CR63" s="2">
        <v>2.8</v>
      </c>
      <c r="CS63" s="2" t="s">
        <v>266</v>
      </c>
      <c r="CT63" s="2" t="s">
        <v>2332</v>
      </c>
      <c r="CU63" s="2" t="s">
        <v>2332</v>
      </c>
      <c r="CV63" s="2" t="s">
        <v>2332</v>
      </c>
      <c r="CW63" s="2" t="str">
        <f>HYPERLINK(".\links\pep\AGAP009738-PA-pep.txt","AGAP009738-PA")</f>
        <v>AGAP009738-PA</v>
      </c>
      <c r="CX63" s="2" t="s">
        <v>88</v>
      </c>
      <c r="CY63" s="2">
        <v>135</v>
      </c>
      <c r="CZ63" s="2" t="s">
        <v>103</v>
      </c>
      <c r="DA63" s="2" t="s">
        <v>2335</v>
      </c>
      <c r="DB63" s="2">
        <v>0</v>
      </c>
      <c r="DC63" s="2">
        <v>1</v>
      </c>
      <c r="DD63" s="2" t="str">
        <f>HYPERLINK("https://www.kegg.jp/kegg-bin/search_pathway_text?map=aga&amp;keyword=AGAP009738&amp;mode=1&amp;viewImage=true","AGAP009738")</f>
        <v>AGAP009738</v>
      </c>
      <c r="DE63" s="2" t="s">
        <v>2329</v>
      </c>
      <c r="DF63" s="2" t="s">
        <v>737</v>
      </c>
      <c r="DG63" s="2" t="s">
        <v>87</v>
      </c>
      <c r="DH63" s="2" t="str">
        <f>HYPERLINK("https://vectorbase.org/vectorbase/app/record/gene/AGAP009738","AGAP009738-RA")</f>
        <v>AGAP009738-RA</v>
      </c>
      <c r="DI63" s="2" t="s">
        <v>140</v>
      </c>
      <c r="DJ63" s="2">
        <v>759</v>
      </c>
      <c r="DK63" s="2" t="str">
        <f>HYPERLINK(".\links\netoglyc\AGAP009738-PA-netoglyc.txt","0")</f>
        <v>0</v>
      </c>
      <c r="DL63" s="2">
        <v>12.6</v>
      </c>
      <c r="DM63" s="2">
        <v>3.7</v>
      </c>
      <c r="DN63" s="2">
        <v>6.7</v>
      </c>
      <c r="DO63" s="2" t="s">
        <v>94</v>
      </c>
      <c r="DP63" s="2" t="s">
        <v>89</v>
      </c>
      <c r="DQ63" s="2" t="str">
        <f>HYPERLINK(".\links\Sigp\AGAP009738-PA-SigP.txt","CYT")</f>
        <v>CYT</v>
      </c>
      <c r="DR63" s="2" t="s">
        <v>89</v>
      </c>
      <c r="DS63" s="2">
        <v>15.555</v>
      </c>
      <c r="DT63" s="2">
        <v>6.09</v>
      </c>
      <c r="DU63" s="2" t="s">
        <v>89</v>
      </c>
      <c r="DV63" s="2" t="s">
        <v>89</v>
      </c>
      <c r="DW63" s="2" t="s">
        <v>93</v>
      </c>
      <c r="DX63" s="2">
        <v>135</v>
      </c>
      <c r="DY63" s="12">
        <v>0</v>
      </c>
      <c r="DZ63" s="2" t="s">
        <v>89</v>
      </c>
      <c r="EA63" s="2" t="s">
        <v>89</v>
      </c>
      <c r="EB63" s="2" t="s">
        <v>89</v>
      </c>
      <c r="EC63" s="2" t="str">
        <f>HYPERLINK(".\links\gpi\AGAP009738-PA-gpi.txt","Y-NoSP")</f>
        <v>Y-NoSP</v>
      </c>
      <c r="ED63" s="2">
        <v>0.28000000000000003</v>
      </c>
      <c r="EF63" s="2">
        <v>4</v>
      </c>
      <c r="EG63" s="2" t="s">
        <v>89</v>
      </c>
      <c r="EH63" s="2" t="s">
        <v>89</v>
      </c>
      <c r="EI63" s="2">
        <v>12.592592592592601</v>
      </c>
      <c r="EJ63" s="2">
        <v>6.6666666666666696</v>
      </c>
      <c r="EK63" s="2">
        <v>3.7037037037037002</v>
      </c>
      <c r="EL63" s="2">
        <v>10.3703703703704</v>
      </c>
      <c r="EM63" s="2" t="s">
        <v>89</v>
      </c>
      <c r="EN63" s="2" t="s">
        <v>89</v>
      </c>
      <c r="EO63" s="2" t="s">
        <v>89</v>
      </c>
      <c r="EP63" s="2" t="s">
        <v>89</v>
      </c>
      <c r="EQ63" s="2" t="s">
        <v>89</v>
      </c>
      <c r="ER63" s="2" t="s">
        <v>89</v>
      </c>
      <c r="ES63" s="2" t="s">
        <v>89</v>
      </c>
      <c r="ET63" s="2" t="str">
        <f>HYPERLINK(".\links\REFSEQ-INVERTEBRATE\AGAP009738-PA-REFSEQ-INVERTEBRATE.txt","thioredoxin domain-containing protein 17")</f>
        <v>thioredoxin domain-containing protein 17</v>
      </c>
      <c r="EU63" s="2" t="str">
        <f>HYPERLINK("http://www.ncbi.nlm.nih.gov/sutils/blink.cgi?pid=XP_035906897.1","1E-95")</f>
        <v>1E-95</v>
      </c>
      <c r="EV63" s="2" t="str">
        <f>HYPERLINK("http://www.ncbi.nlm.nih.gov/protein/XP_035906897.1","XP_035906897.1")</f>
        <v>XP_035906897.1</v>
      </c>
      <c r="EW63" s="2">
        <v>97</v>
      </c>
      <c r="EX63" s="2">
        <v>100</v>
      </c>
      <c r="EY63" s="2">
        <v>100</v>
      </c>
      <c r="EZ63" s="2" t="s">
        <v>600</v>
      </c>
    </row>
    <row r="64" spans="1:156" x14ac:dyDescent="0.25">
      <c r="A64" s="2" t="s">
        <v>2668</v>
      </c>
      <c r="B64" s="2">
        <v>-0.68636809756655703</v>
      </c>
      <c r="C64" s="2">
        <f t="shared" si="0"/>
        <v>0.62141626247986803</v>
      </c>
      <c r="D64" s="2">
        <v>4.8490345317226096</v>
      </c>
      <c r="E64" s="2">
        <v>10.401363586923001</v>
      </c>
      <c r="F64" s="2">
        <v>1.2592229240985799E-3</v>
      </c>
      <c r="G64" s="2">
        <v>4.84005287829515E-2</v>
      </c>
      <c r="H64" s="2" t="s">
        <v>2669</v>
      </c>
      <c r="I64" s="2" t="s">
        <v>87</v>
      </c>
      <c r="J64" s="2" t="str">
        <f>HYPERLINK("https://vectorbase.org/vectorbase/app/record/gene/AGAP011141","AGAP011141-RA")</f>
        <v>AGAP011141-RA</v>
      </c>
      <c r="K64" s="2" t="str">
        <f>HYPERLINK(".\links\pep\AGAP011141-PA-pep.txt","AGAP011141-PA")</f>
        <v>AGAP011141-PA</v>
      </c>
      <c r="L64" s="12" t="s">
        <v>88</v>
      </c>
      <c r="M64" s="2">
        <v>516</v>
      </c>
      <c r="N64" s="2">
        <v>0</v>
      </c>
      <c r="O64" s="2">
        <v>3</v>
      </c>
      <c r="P64" s="2" t="s">
        <v>2670</v>
      </c>
      <c r="Q64" s="9" t="s">
        <v>2671</v>
      </c>
      <c r="R64" s="2" t="s">
        <v>586</v>
      </c>
      <c r="S64" s="2" t="str">
        <f>HYPERLINK(".\links\REFSEQ-INVERTEBRATE\AGAP011141-PA-REFSEQ-INVERTEBRATE.txt","REFSEQ-INVERTEBRATE")</f>
        <v>REFSEQ-INVERTEBRATE</v>
      </c>
      <c r="T64" s="2">
        <v>0</v>
      </c>
      <c r="U64" s="2">
        <v>107.8</v>
      </c>
      <c r="V64" s="2" t="s">
        <v>2672</v>
      </c>
      <c r="W64" s="10" t="s">
        <v>2673</v>
      </c>
      <c r="X64" s="2" t="s">
        <v>333</v>
      </c>
      <c r="Y64" s="2" t="str">
        <f>HYPERLINK(".\links\ARTHORPODA\AGAP011141-PA-ARTHORPODA.txt","ARTHORPODA")</f>
        <v>ARTHORPODA</v>
      </c>
      <c r="Z64" s="13">
        <v>0</v>
      </c>
      <c r="AA64" s="2">
        <v>100.9</v>
      </c>
      <c r="AB64" s="14" t="str">
        <f>HYPERLINK(".\links\pep\AGAP011141-PA-sulf.txt","1")</f>
        <v>1</v>
      </c>
      <c r="AC64" s="14" t="str">
        <f>HYPERLINK(".\links\Sigp\AGAP011141-PA-SigP.txt","CYT")</f>
        <v>CYT</v>
      </c>
      <c r="AD64" s="2" t="s">
        <v>89</v>
      </c>
      <c r="AE64" s="2">
        <v>59.332000000000001</v>
      </c>
      <c r="AF64" s="2">
        <v>5.14</v>
      </c>
      <c r="AG64" s="2" t="s">
        <v>89</v>
      </c>
      <c r="AH64" s="2" t="s">
        <v>89</v>
      </c>
      <c r="AI64" s="2" t="s">
        <v>93</v>
      </c>
      <c r="AJ64" s="14">
        <v>0</v>
      </c>
      <c r="AK64" s="2" t="s">
        <v>89</v>
      </c>
      <c r="AL64" s="2" t="s">
        <v>89</v>
      </c>
      <c r="AM64" s="2" t="s">
        <v>89</v>
      </c>
      <c r="AN64" s="14" t="str">
        <f>HYPERLINK(".\links\gpi\AGAP011141-PA-gpi.txt","N")</f>
        <v>N</v>
      </c>
      <c r="AO64" s="15" t="str">
        <f>HYPERLINK(".\links\netoglyc\AGAP011141-PA-netoglyc.txt","4")</f>
        <v>4</v>
      </c>
      <c r="AP64" s="14">
        <v>11.8</v>
      </c>
      <c r="AQ64" s="2">
        <v>3.9</v>
      </c>
      <c r="AR64" s="2">
        <v>6.2</v>
      </c>
      <c r="AS64" s="2" t="s">
        <v>94</v>
      </c>
      <c r="AT64" s="9" t="str">
        <f>HYPERLINK(".\links\NR-LIGHT\AGAP011141-PA-NR-LIGHT.txt","AGAP011141-PA")</f>
        <v>AGAP011141-PA</v>
      </c>
      <c r="AU64" s="2" t="str">
        <f>HYPERLINK("http://www.ncbi.nlm.nih.gov/sutils/blink.cgi?pid=XP_309507.4","0.0")</f>
        <v>0.0</v>
      </c>
      <c r="AV64" s="2" t="str">
        <f>HYPERLINK("http://www.ncbi.nlm.nih.gov/protein/XP_309507.4","XP_309507.4")</f>
        <v>XP_309507.4</v>
      </c>
      <c r="AW64" s="2">
        <v>90</v>
      </c>
      <c r="AX64" s="2">
        <v>91</v>
      </c>
      <c r="AY64" s="2">
        <v>107</v>
      </c>
      <c r="AZ64" s="2" t="s">
        <v>95</v>
      </c>
      <c r="BA64" s="9" t="str">
        <f>HYPERLINK(".\links\REFSEQ-INVERTEBRATE\AGAP011141-PA-REFSEQ-INVERTEBRATE.txt","AGAP011141-PA")</f>
        <v>AGAP011141-PA</v>
      </c>
      <c r="BB64" s="2" t="str">
        <f>HYPERLINK("http://www.ncbi.nlm.nih.gov/sutils/blink.cgi?pid=XP_309507.4","0.0")</f>
        <v>0.0</v>
      </c>
      <c r="BC64" s="2" t="str">
        <f>HYPERLINK("http://www.ncbi.nlm.nih.gov/protein/XP_309507.4","XP_309507.4")</f>
        <v>XP_309507.4</v>
      </c>
      <c r="BD64" s="2">
        <v>90</v>
      </c>
      <c r="BE64" s="2">
        <v>91</v>
      </c>
      <c r="BF64" s="2">
        <v>107</v>
      </c>
      <c r="BG64" s="2" t="s">
        <v>95</v>
      </c>
      <c r="BH64" s="9" t="str">
        <f>HYPERLINK(".\links\REFSEQ-PROTOZOA\AGAP011141-PA-REFSEQ-PROTOZOA.txt","uncharacterized protein")</f>
        <v>uncharacterized protein</v>
      </c>
      <c r="BI64" s="2" t="str">
        <f>HYPERLINK("http://www.ncbi.nlm.nih.gov/sutils/blink.cgi?pid=XP_003871745.1","1E-010")</f>
        <v>1E-010</v>
      </c>
      <c r="BJ64" s="2" t="str">
        <f>HYPERLINK("http://www.ncbi.nlm.nih.gov/protein/XP_003871745.1","XP_003871745.1")</f>
        <v>XP_003871745.1</v>
      </c>
      <c r="BK64" s="2">
        <v>23</v>
      </c>
      <c r="BL64" s="2">
        <v>42</v>
      </c>
      <c r="BM64" s="2">
        <v>79</v>
      </c>
      <c r="BN64" s="2" t="s">
        <v>2086</v>
      </c>
      <c r="BO64" s="9" t="str">
        <f>HYPERLINK(".\links\SWISSP\AGAP011141-PA-SWISSP.txt","Tubulin-specific chaperone cofactor E-like protein")</f>
        <v>Tubulin-specific chaperone cofactor E-like protein</v>
      </c>
      <c r="BP64" s="2" t="str">
        <f>HYPERLINK("http://www.uniprot.org/uniprot/Q8C5W3","4E-051")</f>
        <v>4E-051</v>
      </c>
      <c r="BQ64" s="2" t="str">
        <f>HYPERLINK("http://www.uniprot.org/uniprot/Q8C5W3#expression","Q8C5W3")</f>
        <v>Q8C5W3</v>
      </c>
      <c r="BR64" s="2">
        <v>34</v>
      </c>
      <c r="BS64" s="2">
        <v>51</v>
      </c>
      <c r="BT64" s="2">
        <v>95</v>
      </c>
      <c r="BU64" s="2" t="s">
        <v>566</v>
      </c>
      <c r="BV64" s="9" t="str">
        <f>HYPERLINK(".\links\FLYBASE\AGAP011141-PA-FLYBASE.txt","FBpp0304278")</f>
        <v>FBpp0304278</v>
      </c>
      <c r="BW64" s="2" t="str">
        <f>HYPERLINK("http://flybase.org/reports/FBgn0265512#alliance_summary_container","1E-101")</f>
        <v>1E-101</v>
      </c>
      <c r="BX64" s="2">
        <v>459</v>
      </c>
      <c r="BY64" s="2">
        <v>54</v>
      </c>
      <c r="BZ64" s="2">
        <v>75</v>
      </c>
      <c r="CA64" s="2">
        <v>59</v>
      </c>
      <c r="CB64" s="9" t="str">
        <f>HYPERLINK(".\links\CDD\AGAP011141-PA-CDD.txt","LRR_RI, leucine-rich repeats, ribonuclease inhibitor (RI)-like subfamily")</f>
        <v>LRR_RI, leucine-rich repeats, ribonuclease inhibitor (RI)-like subfamily</v>
      </c>
      <c r="CC64" s="13">
        <v>6.9999999999999999E-6</v>
      </c>
      <c r="CD64" s="2">
        <v>35.700000000000003</v>
      </c>
      <c r="CE64" s="2" t="s">
        <v>407</v>
      </c>
      <c r="CF64" s="2" t="s">
        <v>2674</v>
      </c>
      <c r="CG64" s="9" t="str">
        <f>HYPERLINK(".\links\KOG\AGAP011141-PA-KOG.txt","Uncharacterized conserved protein")</f>
        <v>Uncharacterized conserved protein</v>
      </c>
      <c r="CH64" s="13">
        <v>7.0000000000000003E-68</v>
      </c>
      <c r="CI64" s="2">
        <v>113.6</v>
      </c>
      <c r="CJ64" s="2" t="s">
        <v>2675</v>
      </c>
      <c r="CK64" s="2" t="s">
        <v>101</v>
      </c>
      <c r="CL64" s="9" t="str">
        <f>HYPERLINK(".\links\PFAM\AGAP011141-PA-PFAM.txt","Ubiquitin_2, Ubiquitin-like domain")</f>
        <v>Ubiquitin_2, Ubiquitin-like domain</v>
      </c>
      <c r="CM64" s="13">
        <v>2.0000000000000001E-4</v>
      </c>
      <c r="CN64" s="2">
        <v>91.9</v>
      </c>
      <c r="CO64" s="2" t="s">
        <v>2676</v>
      </c>
      <c r="CP64" s="9" t="str">
        <f>HYPERLINK(".\links\SMART\AGAP011141-PA-SMART.txt","UBQ, Ubiquitin homologues")</f>
        <v>UBQ, Ubiquitin homologues</v>
      </c>
      <c r="CQ64" s="13">
        <v>1E-4</v>
      </c>
      <c r="CR64" s="2">
        <v>106.9</v>
      </c>
      <c r="CS64" s="2" t="s">
        <v>2006</v>
      </c>
      <c r="CT64" s="2" t="s">
        <v>2672</v>
      </c>
      <c r="CU64" s="2" t="s">
        <v>2672</v>
      </c>
      <c r="CV64" s="2" t="s">
        <v>2672</v>
      </c>
      <c r="CW64" s="2" t="str">
        <f>HYPERLINK(".\links\pep\AGAP011141-PA-pep.txt","AGAP011141-PA")</f>
        <v>AGAP011141-PA</v>
      </c>
      <c r="CX64" s="2" t="s">
        <v>88</v>
      </c>
      <c r="CY64" s="2">
        <v>516</v>
      </c>
      <c r="CZ64" s="2" t="s">
        <v>103</v>
      </c>
      <c r="DA64" s="2" t="s">
        <v>2677</v>
      </c>
      <c r="DB64" s="2">
        <v>0</v>
      </c>
      <c r="DC64" s="2">
        <v>3</v>
      </c>
      <c r="DD64" s="2" t="str">
        <f>HYPERLINK("https://www.kegg.jp/kegg-bin/search_pathway_text?map=aga&amp;keyword=AGAP011141&amp;mode=1&amp;viewImage=true","AGAP011141")</f>
        <v>AGAP011141</v>
      </c>
      <c r="DE64" s="2" t="s">
        <v>2668</v>
      </c>
      <c r="DF64" s="2" t="s">
        <v>2669</v>
      </c>
      <c r="DG64" s="2" t="s">
        <v>87</v>
      </c>
      <c r="DH64" s="2" t="str">
        <f>HYPERLINK("https://vectorbase.org/vectorbase/app/record/gene/AGAP011141","AGAP011141-RA")</f>
        <v>AGAP011141-RA</v>
      </c>
      <c r="DI64" s="2" t="s">
        <v>140</v>
      </c>
      <c r="DJ64" s="2">
        <v>2210</v>
      </c>
      <c r="DK64" s="2" t="str">
        <f>HYPERLINK(".\links\netoglyc\AGAP011141-PA-netoglyc.txt","4")</f>
        <v>4</v>
      </c>
      <c r="DL64" s="2">
        <v>11.8</v>
      </c>
      <c r="DM64" s="2">
        <v>3.9</v>
      </c>
      <c r="DN64" s="2">
        <v>6.2</v>
      </c>
      <c r="DO64" s="2" t="s">
        <v>94</v>
      </c>
      <c r="DP64" s="2" t="s">
        <v>89</v>
      </c>
      <c r="DQ64" s="2" t="str">
        <f>HYPERLINK(".\links\Sigp\AGAP011141-PA-SigP.txt","CYT")</f>
        <v>CYT</v>
      </c>
      <c r="DR64" s="2" t="s">
        <v>89</v>
      </c>
      <c r="DS64" s="2">
        <v>59.332000000000001</v>
      </c>
      <c r="DT64" s="2">
        <v>5.14</v>
      </c>
      <c r="DU64" s="2" t="s">
        <v>89</v>
      </c>
      <c r="DV64" s="2" t="s">
        <v>89</v>
      </c>
      <c r="DW64" s="2" t="s">
        <v>93</v>
      </c>
      <c r="DX64" s="2">
        <v>516</v>
      </c>
      <c r="DY64" s="12">
        <v>0</v>
      </c>
      <c r="DZ64" s="2" t="s">
        <v>89</v>
      </c>
      <c r="EA64" s="2" t="s">
        <v>89</v>
      </c>
      <c r="EB64" s="2" t="s">
        <v>89</v>
      </c>
      <c r="EC64" s="2" t="str">
        <f>HYPERLINK(".\links\gpi\AGAP011141-PA-gpi.txt","N")</f>
        <v>N</v>
      </c>
      <c r="ED64" s="2">
        <v>0.24</v>
      </c>
      <c r="EF64" s="2">
        <v>8</v>
      </c>
      <c r="EG64" s="2" t="str">
        <f>HYPERLINK(".\links\pep\AGAP011141-PA-sulf.txt","1")</f>
        <v>1</v>
      </c>
      <c r="EH64" s="2" t="s">
        <v>89</v>
      </c>
      <c r="EI64" s="2">
        <v>11.821705426356599</v>
      </c>
      <c r="EJ64" s="2">
        <v>6.2015503875968996</v>
      </c>
      <c r="EK64" s="2">
        <v>3.87596899224806</v>
      </c>
      <c r="EL64" s="2">
        <v>10.077519379845</v>
      </c>
      <c r="EM64" s="2" t="s">
        <v>89</v>
      </c>
      <c r="EN64" s="2" t="s">
        <v>89</v>
      </c>
      <c r="EO64" s="2" t="s">
        <v>89</v>
      </c>
      <c r="EP64" s="2" t="s">
        <v>89</v>
      </c>
      <c r="EQ64" s="2" t="s">
        <v>89</v>
      </c>
      <c r="ER64" s="2" t="s">
        <v>89</v>
      </c>
      <c r="ES64" s="2" t="s">
        <v>89</v>
      </c>
      <c r="ET64" s="2" t="str">
        <f>HYPERLINK(".\links\REFSEQ-INVERTEBRATE\AGAP011141-PA-REFSEQ-INVERTEBRATE.txt","AGAP011141-PA")</f>
        <v>AGAP011141-PA</v>
      </c>
      <c r="EU64" s="2" t="str">
        <f>HYPERLINK("http://www.ncbi.nlm.nih.gov/sutils/blink.cgi?pid=XP_309507.4","0.0")</f>
        <v>0.0</v>
      </c>
      <c r="EV64" s="2" t="str">
        <f>HYPERLINK("http://www.ncbi.nlm.nih.gov/protein/XP_309507.4","XP_309507.4")</f>
        <v>XP_309507.4</v>
      </c>
      <c r="EW64" s="2">
        <v>90</v>
      </c>
      <c r="EX64" s="2">
        <v>91</v>
      </c>
      <c r="EY64" s="2">
        <v>107</v>
      </c>
      <c r="EZ64" s="2" t="s">
        <v>95</v>
      </c>
    </row>
    <row r="65" spans="1:156" x14ac:dyDescent="0.25">
      <c r="A65" s="2" t="s">
        <v>2818</v>
      </c>
      <c r="B65" s="2">
        <v>-0.68871287070343301</v>
      </c>
      <c r="C65" s="2">
        <f t="shared" si="0"/>
        <v>0.62040711177053609</v>
      </c>
      <c r="D65" s="2">
        <v>6.3856893966002701</v>
      </c>
      <c r="E65" s="2">
        <v>10.720633178376501</v>
      </c>
      <c r="F65" s="2">
        <v>1.05947410840822E-3</v>
      </c>
      <c r="G65" s="2">
        <v>4.2728109212963397E-2</v>
      </c>
      <c r="H65" s="2" t="s">
        <v>86</v>
      </c>
      <c r="I65" s="2" t="s">
        <v>87</v>
      </c>
      <c r="J65" s="2" t="str">
        <f>HYPERLINK("https://vectorbase.org/vectorbase/app/record/gene/AGAP012364","AGAP012364-RA")</f>
        <v>AGAP012364-RA</v>
      </c>
      <c r="K65" s="2" t="str">
        <f>HYPERLINK(".\links\pep\AGAP012364-PA-pep.txt","AGAP012364-PA")</f>
        <v>AGAP012364-PA</v>
      </c>
      <c r="L65" s="12" t="s">
        <v>88</v>
      </c>
      <c r="M65" s="2">
        <v>315</v>
      </c>
      <c r="N65" s="2">
        <v>0</v>
      </c>
      <c r="O65" s="2">
        <v>1</v>
      </c>
      <c r="P65" s="2" t="s">
        <v>89</v>
      </c>
      <c r="Q65" s="9" t="s">
        <v>2819</v>
      </c>
      <c r="R65" s="2" t="s">
        <v>586</v>
      </c>
      <c r="S65" s="2" t="str">
        <f>HYPERLINK(".\links\REFSEQ-INVERTEBRATE\AGAP012364-PA-REFSEQ-INVERTEBRATE.txt","REFSEQ-INVERTEBRATE")</f>
        <v>REFSEQ-INVERTEBRATE</v>
      </c>
      <c r="T65" s="2">
        <v>0</v>
      </c>
      <c r="U65" s="2">
        <v>75.2</v>
      </c>
      <c r="V65" s="2" t="s">
        <v>2820</v>
      </c>
      <c r="W65" s="10" t="s">
        <v>2821</v>
      </c>
      <c r="X65" s="2" t="s">
        <v>586</v>
      </c>
      <c r="Y65" s="2" t="str">
        <f>HYPERLINK(".\links\REFSEQ-INVERTEBRATE\AGAP012364-PA-REFSEQ-INVERTEBRATE.txt","REFSEQ-INVERTEBRATE")</f>
        <v>REFSEQ-INVERTEBRATE</v>
      </c>
      <c r="Z65" s="2">
        <v>0</v>
      </c>
      <c r="AA65" s="2">
        <v>102.5</v>
      </c>
      <c r="AB65" s="14" t="s">
        <v>89</v>
      </c>
      <c r="AC65" s="14" t="str">
        <f>HYPERLINK(".\links\Sigp\AGAP012364-PA-SigP.txt","CYT")</f>
        <v>CYT</v>
      </c>
      <c r="AD65" s="2" t="s">
        <v>89</v>
      </c>
      <c r="AE65" s="2">
        <v>36.378999999999998</v>
      </c>
      <c r="AF65" s="2">
        <v>9.01</v>
      </c>
      <c r="AG65" s="2" t="s">
        <v>89</v>
      </c>
      <c r="AH65" s="2" t="s">
        <v>89</v>
      </c>
      <c r="AI65" s="2" t="s">
        <v>2822</v>
      </c>
      <c r="AJ65" s="14">
        <v>0</v>
      </c>
      <c r="AK65" s="2" t="s">
        <v>89</v>
      </c>
      <c r="AL65" s="2" t="s">
        <v>89</v>
      </c>
      <c r="AM65" s="2" t="s">
        <v>89</v>
      </c>
      <c r="AN65" s="14" t="str">
        <f>HYPERLINK(".\links\gpi\AGAP012364-PA-gpi.txt","N")</f>
        <v>N</v>
      </c>
      <c r="AO65" s="15" t="str">
        <f>HYPERLINK(".\links\netoglyc\AGAP012364-PA-netoglyc.txt","2")</f>
        <v>2</v>
      </c>
      <c r="AP65" s="14">
        <v>13.7</v>
      </c>
      <c r="AQ65" s="2">
        <v>3.2</v>
      </c>
      <c r="AR65" s="2">
        <v>4.0999999999999996</v>
      </c>
      <c r="AS65" s="2" t="s">
        <v>94</v>
      </c>
      <c r="AT65" s="9" t="str">
        <f>HYPERLINK(".\links\NR-LIGHT\AGAP012364-PA-NR-LIGHT.txt","AGAP012364-PA, partial")</f>
        <v>AGAP012364-PA, partial</v>
      </c>
      <c r="AU65" s="2" t="str">
        <f>HYPERLINK("http://www.ncbi.nlm.nih.gov/sutils/blink.cgi?pid=XP_001238263.2","1E-144")</f>
        <v>1E-144</v>
      </c>
      <c r="AV65" s="2" t="str">
        <f>HYPERLINK("http://www.ncbi.nlm.nih.gov/protein/XP_001238263.2","XP_001238263.2")</f>
        <v>XP_001238263.2</v>
      </c>
      <c r="AW65" s="2">
        <v>100</v>
      </c>
      <c r="AX65" s="2">
        <v>100</v>
      </c>
      <c r="AY65" s="2">
        <v>100</v>
      </c>
      <c r="AZ65" s="2" t="s">
        <v>95</v>
      </c>
      <c r="BA65" s="9" t="str">
        <f>HYPERLINK(".\links\REFSEQ-INVERTEBRATE\AGAP012364-PA-REFSEQ-INVERTEBRATE.txt","AGAP012364-PA, partial")</f>
        <v>AGAP012364-PA, partial</v>
      </c>
      <c r="BB65" s="2" t="str">
        <f>HYPERLINK("http://www.ncbi.nlm.nih.gov/sutils/blink.cgi?pid=XP_001238263.2","1E-144")</f>
        <v>1E-144</v>
      </c>
      <c r="BC65" s="2" t="str">
        <f>HYPERLINK("http://www.ncbi.nlm.nih.gov/protein/XP_001238263.2","XP_001238263.2")</f>
        <v>XP_001238263.2</v>
      </c>
      <c r="BD65" s="2">
        <v>100</v>
      </c>
      <c r="BE65" s="2">
        <v>100</v>
      </c>
      <c r="BF65" s="2">
        <v>100</v>
      </c>
      <c r="BG65" s="2" t="s">
        <v>95</v>
      </c>
      <c r="BH65" s="9" t="str">
        <f>HYPERLINK(".\links\REFSEQ-PROTOZOA\AGAP012364-PA-REFSEQ-PROTOZOA.txt","microtubule-associated protein")</f>
        <v>microtubule-associated protein</v>
      </c>
      <c r="BI65" s="2" t="str">
        <f>HYPERLINK("http://www.ncbi.nlm.nih.gov/sutils/blink.cgi?pid=XP_004344295.1","4E-040")</f>
        <v>4E-040</v>
      </c>
      <c r="BJ65" s="2" t="str">
        <f>HYPERLINK("http://www.ncbi.nlm.nih.gov/protein/XP_004344295.1","XP_004344295.1")</f>
        <v>XP_004344295.1</v>
      </c>
      <c r="BK65" s="2">
        <v>38</v>
      </c>
      <c r="BL65" s="2">
        <v>58</v>
      </c>
      <c r="BM65" s="2">
        <v>59</v>
      </c>
      <c r="BN65" s="2" t="s">
        <v>150</v>
      </c>
      <c r="BO65" s="9" t="str">
        <f>HYPERLINK(".\links\SWISSP\AGAP012364-PA-SWISSP.txt","Regulator of microtubule dynamics protein 1")</f>
        <v>Regulator of microtubule dynamics protein 1</v>
      </c>
      <c r="BP65" s="2" t="str">
        <f>HYPERLINK("http://www.uniprot.org/uniprot/Q32KL4","1E-045")</f>
        <v>1E-045</v>
      </c>
      <c r="BQ65" s="2" t="str">
        <f>HYPERLINK("http://www.uniprot.org/uniprot/Q32KL4#expression","Q32KL4")</f>
        <v>Q32KL4</v>
      </c>
      <c r="BR65" s="2">
        <v>36</v>
      </c>
      <c r="BS65" s="2">
        <v>57</v>
      </c>
      <c r="BT65" s="2">
        <v>87</v>
      </c>
      <c r="BU65" s="2" t="s">
        <v>183</v>
      </c>
      <c r="BV65" s="9" t="str">
        <f>HYPERLINK(".\links\FLYBASE\AGAP012364-PA-FLYBASE.txt","FBpp0307598")</f>
        <v>FBpp0307598</v>
      </c>
      <c r="BW65" s="2" t="str">
        <f>HYPERLINK("http://flybase.org/reports/FBgn0021796#alliance_summary_container","1.9")</f>
        <v>1.9</v>
      </c>
      <c r="BX65" s="2">
        <v>2471</v>
      </c>
      <c r="BY65" s="2">
        <v>50</v>
      </c>
      <c r="BZ65" s="2">
        <v>58</v>
      </c>
      <c r="CA65" s="2">
        <v>1</v>
      </c>
      <c r="CB65" s="9" t="str">
        <f>HYPERLINK(".\links\CDD\AGAP012364-PA-CDD.txt","TPR, Tetratricopeptide repeat")</f>
        <v>TPR, Tetratricopeptide repeat</v>
      </c>
      <c r="CC65" s="13">
        <v>6.0000000000000002E-5</v>
      </c>
      <c r="CD65" s="2">
        <v>104.1</v>
      </c>
      <c r="CE65" s="2" t="s">
        <v>2823</v>
      </c>
      <c r="CF65" s="2" t="s">
        <v>2824</v>
      </c>
      <c r="CG65" s="9" t="str">
        <f>HYPERLINK(".\links\KOG\AGAP012364-PA-KOG.txt","Cdc23 subunit")</f>
        <v>Cdc23 subunit</v>
      </c>
      <c r="CH65" s="13">
        <v>1.2E-2</v>
      </c>
      <c r="CI65" s="2">
        <v>18.399999999999999</v>
      </c>
      <c r="CJ65" s="2" t="s">
        <v>2825</v>
      </c>
      <c r="CK65" s="2" t="s">
        <v>119</v>
      </c>
      <c r="CL65" s="9" t="str">
        <f>HYPERLINK(".\links\PFAM\AGAP012364-PA-PFAM.txt","TAtT, TRAP transporter T-component")</f>
        <v>TAtT, TRAP transporter T-component</v>
      </c>
      <c r="CM65" s="13">
        <v>0.17</v>
      </c>
      <c r="CN65" s="2">
        <v>41.3</v>
      </c>
      <c r="CO65" s="2" t="s">
        <v>2826</v>
      </c>
      <c r="CP65" s="9" t="str">
        <f>HYPERLINK(".\links\SMART\AGAP012364-PA-SMART.txt","ZnMc, Zinc-dependent metalloprotease")</f>
        <v>ZnMc, Zinc-dependent metalloprotease</v>
      </c>
      <c r="CQ65" s="13">
        <v>0.68</v>
      </c>
      <c r="CR65" s="2">
        <v>20.9</v>
      </c>
      <c r="CS65" s="2" t="s">
        <v>2827</v>
      </c>
      <c r="CT65" s="2" t="s">
        <v>2820</v>
      </c>
      <c r="CU65" s="2" t="s">
        <v>2820</v>
      </c>
      <c r="CV65" s="2" t="s">
        <v>2820</v>
      </c>
      <c r="CW65" s="2" t="str">
        <f>HYPERLINK(".\links\pep\AGAP012364-PA-pep.txt","AGAP012364-PA")</f>
        <v>AGAP012364-PA</v>
      </c>
      <c r="CX65" s="2" t="s">
        <v>88</v>
      </c>
      <c r="CY65" s="2">
        <v>315</v>
      </c>
      <c r="CZ65" s="2" t="s">
        <v>103</v>
      </c>
      <c r="DA65" s="2" t="s">
        <v>2828</v>
      </c>
      <c r="DB65" s="2">
        <v>0</v>
      </c>
      <c r="DC65" s="2">
        <v>1</v>
      </c>
      <c r="DD65" s="2" t="str">
        <f>HYPERLINK("https://www.kegg.jp/kegg-bin/search_pathway_text?map=aga&amp;keyword=AGAP012364&amp;mode=1&amp;viewImage=true","AGAP012364")</f>
        <v>AGAP012364</v>
      </c>
      <c r="DE65" s="2" t="s">
        <v>2818</v>
      </c>
      <c r="DF65" s="2" t="s">
        <v>86</v>
      </c>
      <c r="DG65" s="2" t="s">
        <v>87</v>
      </c>
      <c r="DH65" s="2" t="str">
        <f>HYPERLINK("https://vectorbase.org/vectorbase/app/record/gene/AGAP012364","AGAP012364-RA")</f>
        <v>AGAP012364-RA</v>
      </c>
      <c r="DI65" s="2" t="s">
        <v>105</v>
      </c>
      <c r="DJ65" s="2">
        <v>1821</v>
      </c>
      <c r="DK65" s="2" t="str">
        <f>HYPERLINK(".\links\netoglyc\AGAP012364-PA-netoglyc.txt","2")</f>
        <v>2</v>
      </c>
      <c r="DL65" s="2">
        <v>13.7</v>
      </c>
      <c r="DM65" s="2">
        <v>3.2</v>
      </c>
      <c r="DN65" s="2">
        <v>4.0999999999999996</v>
      </c>
      <c r="DO65" s="2" t="s">
        <v>94</v>
      </c>
      <c r="DP65" s="2" t="s">
        <v>89</v>
      </c>
      <c r="DQ65" s="2" t="str">
        <f>HYPERLINK(".\links\Sigp\AGAP012364-PA-SigP.txt","CYT")</f>
        <v>CYT</v>
      </c>
      <c r="DR65" s="2" t="s">
        <v>89</v>
      </c>
      <c r="DS65" s="2">
        <v>36.378999999999998</v>
      </c>
      <c r="DT65" s="2">
        <v>9.01</v>
      </c>
      <c r="DU65" s="2" t="s">
        <v>89</v>
      </c>
      <c r="DV65" s="2" t="s">
        <v>89</v>
      </c>
      <c r="DW65" s="2" t="s">
        <v>2822</v>
      </c>
      <c r="DX65" s="2">
        <v>315</v>
      </c>
      <c r="DY65" s="12">
        <v>0</v>
      </c>
      <c r="DZ65" s="2" t="s">
        <v>89</v>
      </c>
      <c r="EA65" s="2" t="s">
        <v>89</v>
      </c>
      <c r="EB65" s="2" t="s">
        <v>89</v>
      </c>
      <c r="EC65" s="2" t="str">
        <f>HYPERLINK(".\links\gpi\AGAP012364-PA-gpi.txt","Y-NoSP")</f>
        <v>Y-NoSP</v>
      </c>
      <c r="ED65" s="2">
        <v>0.27</v>
      </c>
      <c r="EF65" s="2">
        <v>2</v>
      </c>
      <c r="EG65" s="2" t="s">
        <v>89</v>
      </c>
      <c r="EH65" s="2" t="s">
        <v>89</v>
      </c>
      <c r="EI65" s="2">
        <v>13.6507936507937</v>
      </c>
      <c r="EJ65" s="2">
        <v>4.1269841269841301</v>
      </c>
      <c r="EK65" s="2">
        <v>3.17460317460317</v>
      </c>
      <c r="EL65" s="2">
        <v>7.3015873015872996</v>
      </c>
      <c r="EM65" s="2" t="s">
        <v>89</v>
      </c>
      <c r="EN65" s="2" t="s">
        <v>89</v>
      </c>
      <c r="EO65" s="2" t="s">
        <v>89</v>
      </c>
      <c r="EP65" s="2" t="s">
        <v>89</v>
      </c>
      <c r="EQ65" s="2" t="s">
        <v>89</v>
      </c>
      <c r="ER65" s="2" t="s">
        <v>89</v>
      </c>
      <c r="ES65" s="2" t="s">
        <v>89</v>
      </c>
      <c r="ET65" s="2" t="str">
        <f>HYPERLINK(".\links\REFSEQ-INVERTEBRATE\AGAP012364-PA-REFSEQ-INVERTEBRATE.txt","regulator of microtubule dynamics protein 1-like")</f>
        <v>regulator of microtubule dynamics protein 1-like</v>
      </c>
      <c r="EU65" s="2" t="str">
        <f>HYPERLINK("http://www.ncbi.nlm.nih.gov/sutils/blink.cgi?pid=XP_035901134.1","0.0")</f>
        <v>0.0</v>
      </c>
      <c r="EV65" s="2" t="str">
        <f>HYPERLINK("http://www.ncbi.nlm.nih.gov/protein/XP_035901134.1","XP_035901134.1")</f>
        <v>XP_035901134.1</v>
      </c>
      <c r="EW65" s="2">
        <v>90</v>
      </c>
      <c r="EX65" s="2">
        <v>93</v>
      </c>
      <c r="EY65" s="2">
        <v>100</v>
      </c>
      <c r="EZ65" s="2" t="s">
        <v>600</v>
      </c>
    </row>
    <row r="66" spans="1:156" x14ac:dyDescent="0.25">
      <c r="A66" s="2" t="s">
        <v>2094</v>
      </c>
      <c r="B66" s="2">
        <v>-0.70030332006061102</v>
      </c>
      <c r="C66" s="2">
        <f t="shared" si="0"/>
        <v>0.61544279902420862</v>
      </c>
      <c r="D66" s="2">
        <v>6.9265088194819198</v>
      </c>
      <c r="E66" s="2">
        <v>11.6368283148811</v>
      </c>
      <c r="F66" s="2">
        <v>6.4658757703587005E-4</v>
      </c>
      <c r="G66" s="2">
        <v>3.1150307387786898E-2</v>
      </c>
      <c r="H66" s="2" t="s">
        <v>2095</v>
      </c>
      <c r="I66" s="2" t="s">
        <v>87</v>
      </c>
      <c r="J66" s="2" t="str">
        <f>HYPERLINK("https://vectorbase.org/vectorbase/app/record/gene/AGAP008653","AGAP008653-RA")</f>
        <v>AGAP008653-RA</v>
      </c>
      <c r="K66" s="2" t="str">
        <f>HYPERLINK(".\links\pep\AGAP008653-PA-pep.txt","AGAP008653-PA")</f>
        <v>AGAP008653-PA</v>
      </c>
      <c r="L66" s="12" t="s">
        <v>88</v>
      </c>
      <c r="M66" s="2">
        <v>143</v>
      </c>
      <c r="N66" s="2">
        <v>0</v>
      </c>
      <c r="O66" s="2">
        <v>2</v>
      </c>
      <c r="P66" s="2" t="s">
        <v>2096</v>
      </c>
      <c r="Q66" s="9" t="s">
        <v>2097</v>
      </c>
      <c r="R66" s="2" t="s">
        <v>145</v>
      </c>
      <c r="S66" s="2" t="str">
        <f>HYPERLINK(".\links\KOG\AGAP008653-PA-KOG.txt","KOG")</f>
        <v>KOG</v>
      </c>
      <c r="T66" s="2">
        <v>2E-46</v>
      </c>
      <c r="U66" s="2">
        <v>93.3</v>
      </c>
      <c r="V66" s="2" t="s">
        <v>2098</v>
      </c>
      <c r="W66" s="10" t="s">
        <v>551</v>
      </c>
      <c r="X66" s="2" t="s">
        <v>145</v>
      </c>
      <c r="Y66" s="2" t="str">
        <f>HYPERLINK(".\links\KOG\AGAP008653-PA-KOG.txt","KOG")</f>
        <v>KOG</v>
      </c>
      <c r="Z66" s="13">
        <v>5.9999999999999998E-48</v>
      </c>
      <c r="AA66" s="2">
        <v>90.7</v>
      </c>
      <c r="AB66" s="14" t="s">
        <v>89</v>
      </c>
      <c r="AC66" s="14" t="str">
        <f>HYPERLINK(".\links\Sigp\AGAP008653-PA-SigP.txt","CYT")</f>
        <v>CYT</v>
      </c>
      <c r="AD66" s="2" t="s">
        <v>89</v>
      </c>
      <c r="AE66" s="2">
        <v>17.042999999999999</v>
      </c>
      <c r="AF66" s="2">
        <v>9.26</v>
      </c>
      <c r="AG66" s="2" t="s">
        <v>89</v>
      </c>
      <c r="AH66" s="2" t="s">
        <v>89</v>
      </c>
      <c r="AI66" s="2" t="s">
        <v>93</v>
      </c>
      <c r="AJ66" s="14">
        <v>0</v>
      </c>
      <c r="AK66" s="2" t="s">
        <v>89</v>
      </c>
      <c r="AL66" s="2" t="s">
        <v>89</v>
      </c>
      <c r="AM66" s="2" t="s">
        <v>89</v>
      </c>
      <c r="AN66" s="14" t="str">
        <f>HYPERLINK(".\links\gpi\AGAP008653-PA-gpi.txt","N")</f>
        <v>N</v>
      </c>
      <c r="AO66" s="15" t="str">
        <f>HYPERLINK(".\links\netoglyc\AGAP008653-PA-netoglyc.txt","2")</f>
        <v>2</v>
      </c>
      <c r="AP66" s="14">
        <v>8.4</v>
      </c>
      <c r="AQ66" s="2">
        <v>9.1</v>
      </c>
      <c r="AR66" s="2">
        <v>7</v>
      </c>
      <c r="AS66" s="2" t="s">
        <v>94</v>
      </c>
      <c r="AT66" s="9" t="str">
        <f>HYPERLINK(".\links\NR-LIGHT\AGAP008653-PA-NR-LIGHT.txt","AGAP008653-PA")</f>
        <v>AGAP008653-PA</v>
      </c>
      <c r="AU66" s="2" t="str">
        <f>HYPERLINK("http://www.ncbi.nlm.nih.gov/sutils/blink.cgi?pid=XP_314752.3","8E-086")</f>
        <v>8E-086</v>
      </c>
      <c r="AV66" s="2" t="str">
        <f>HYPERLINK("http://www.ncbi.nlm.nih.gov/protein/XP_314752.3","XP_314752.3")</f>
        <v>XP_314752.3</v>
      </c>
      <c r="AW66" s="2">
        <v>100</v>
      </c>
      <c r="AX66" s="2">
        <v>100</v>
      </c>
      <c r="AY66" s="2">
        <v>100</v>
      </c>
      <c r="AZ66" s="2" t="s">
        <v>95</v>
      </c>
      <c r="BA66" s="9" t="str">
        <f>HYPERLINK(".\links\REFSEQ-INVERTEBRATE\AGAP008653-PA-REFSEQ-INVERTEBRATE.txt","AGAP008653-PA")</f>
        <v>AGAP008653-PA</v>
      </c>
      <c r="BB66" s="2" t="str">
        <f>HYPERLINK("http://www.ncbi.nlm.nih.gov/sutils/blink.cgi?pid=XP_314752.3","7E-086")</f>
        <v>7E-086</v>
      </c>
      <c r="BC66" s="2" t="str">
        <f>HYPERLINK("http://www.ncbi.nlm.nih.gov/protein/XP_314752.3","XP_314752.3")</f>
        <v>XP_314752.3</v>
      </c>
      <c r="BD66" s="2">
        <v>100</v>
      </c>
      <c r="BE66" s="2">
        <v>100</v>
      </c>
      <c r="BF66" s="2">
        <v>100</v>
      </c>
      <c r="BG66" s="2" t="s">
        <v>95</v>
      </c>
      <c r="BH66" s="9" t="str">
        <f>HYPERLINK(".\links\REFSEQ-PROTOZOA\AGAP008653-PA-REFSEQ-PROTOZOA.txt","hypothetical protein PTSG_04425")</f>
        <v>hypothetical protein PTSG_04425</v>
      </c>
      <c r="BI66" s="2" t="str">
        <f>HYPERLINK("http://www.ncbi.nlm.nih.gov/sutils/blink.cgi?pid=XP_004994519.1","4E-024")</f>
        <v>4E-024</v>
      </c>
      <c r="BJ66" s="2" t="str">
        <f>HYPERLINK("http://www.ncbi.nlm.nih.gov/protein/XP_004994519.1","XP_004994519.1")</f>
        <v>XP_004994519.1</v>
      </c>
      <c r="BK66" s="2">
        <v>48</v>
      </c>
      <c r="BL66" s="2">
        <v>65</v>
      </c>
      <c r="BM66" s="2">
        <v>84</v>
      </c>
      <c r="BN66" s="2" t="s">
        <v>182</v>
      </c>
      <c r="BO66" s="9" t="str">
        <f>HYPERLINK(".\links\SWISSP\AGAP008653-PA-SWISSP.txt","Probable NADH dehydrogenase [ubiquinone] 1 alpha subcomplex subunit 12")</f>
        <v>Probable NADH dehydrogenase [ubiquinone] 1 alpha subcomplex subunit 12</v>
      </c>
      <c r="BP66" s="2" t="str">
        <f>HYPERLINK("http://www.uniprot.org/uniprot/Q9N2W7","6E-029")</f>
        <v>6E-029</v>
      </c>
      <c r="BQ66" s="2" t="str">
        <f>HYPERLINK("http://www.uniprot.org/uniprot/Q9N2W7#expression","Q9N2W7")</f>
        <v>Q9N2W7</v>
      </c>
      <c r="BR66" s="2">
        <v>42</v>
      </c>
      <c r="BS66" s="2">
        <v>62</v>
      </c>
      <c r="BT66" s="2">
        <v>92</v>
      </c>
      <c r="BU66" s="2" t="s">
        <v>666</v>
      </c>
      <c r="BV66" s="9" t="str">
        <f>HYPERLINK(".\links\FLYBASE\AGAP008653-PA-FLYBASE.txt","FBpp0271901")</f>
        <v>FBpp0271901</v>
      </c>
      <c r="BW66" s="2" t="str">
        <f>HYPERLINK("http://flybase.org/reports/FBgn0031436#alliance_summary_container","1E-65")</f>
        <v>1E-65</v>
      </c>
      <c r="BX66" s="2">
        <v>142</v>
      </c>
      <c r="BY66" s="2">
        <v>64</v>
      </c>
      <c r="BZ66" s="2">
        <v>81</v>
      </c>
      <c r="CA66" s="2">
        <v>97</v>
      </c>
      <c r="CB66" s="9" t="str">
        <f>HYPERLINK(".\links\CDD\AGAP008653-PA-CDD.txt","NDUFA12, NADH ubiquinone oxidoreductase subunit NDUFA12")</f>
        <v>NDUFA12, NADH ubiquinone oxidoreductase subunit NDUFA12</v>
      </c>
      <c r="CC66" s="13">
        <v>5.0000000000000002E-28</v>
      </c>
      <c r="CD66" s="2">
        <v>104.1</v>
      </c>
      <c r="CE66" s="2" t="s">
        <v>2099</v>
      </c>
      <c r="CF66" s="2" t="s">
        <v>2100</v>
      </c>
      <c r="CG66" s="9" t="str">
        <f>HYPERLINK(".\links\KOG\AGAP008653-PA-KOG.txt","B17")</f>
        <v>B17</v>
      </c>
      <c r="CH66" s="13">
        <v>2E-46</v>
      </c>
      <c r="CI66" s="2">
        <v>93.4</v>
      </c>
      <c r="CJ66" s="2" t="s">
        <v>2101</v>
      </c>
      <c r="CK66" s="2" t="s">
        <v>155</v>
      </c>
      <c r="CL66" s="9" t="str">
        <f>HYPERLINK(".\links\PFAM\AGAP008653-PA-PFAM.txt","NDUFA12, NADH ubiquinone oxidoreductase subunit NDUFA12")</f>
        <v>NDUFA12, NADH ubiquinone oxidoreductase subunit NDUFA12</v>
      </c>
      <c r="CM66" s="13">
        <v>9.9999999999999997E-29</v>
      </c>
      <c r="CN66" s="2">
        <v>104.1</v>
      </c>
      <c r="CO66" s="2" t="s">
        <v>2099</v>
      </c>
      <c r="CP66" s="9" t="str">
        <f>HYPERLINK(".\links\SMART\AGAP008653-PA-SMART.txt","Sema, semaphorin domain")</f>
        <v>Sema, semaphorin domain</v>
      </c>
      <c r="CQ66" s="13">
        <v>1</v>
      </c>
      <c r="CR66" s="2">
        <v>4.4000000000000004</v>
      </c>
      <c r="CS66" s="2" t="s">
        <v>2102</v>
      </c>
      <c r="CT66" s="2" t="s">
        <v>2098</v>
      </c>
      <c r="CU66" s="2" t="s">
        <v>2098</v>
      </c>
      <c r="CV66" s="2" t="s">
        <v>2098</v>
      </c>
      <c r="CW66" s="2" t="str">
        <f>HYPERLINK(".\links\pep\AGAP008653-PA-pep.txt","AGAP008653-PA")</f>
        <v>AGAP008653-PA</v>
      </c>
      <c r="CX66" s="2" t="s">
        <v>88</v>
      </c>
      <c r="CY66" s="2">
        <v>143</v>
      </c>
      <c r="CZ66" s="2" t="s">
        <v>103</v>
      </c>
      <c r="DA66" s="2" t="s">
        <v>2103</v>
      </c>
      <c r="DB66" s="2">
        <v>0</v>
      </c>
      <c r="DC66" s="2">
        <v>2</v>
      </c>
      <c r="DD66" s="2" t="str">
        <f>HYPERLINK("https://www.kegg.jp/kegg-bin/search_pathway_text?map=aga&amp;keyword=AGAP008653&amp;mode=1&amp;viewImage=true","AGAP008653")</f>
        <v>AGAP008653</v>
      </c>
      <c r="DE66" s="2" t="s">
        <v>2094</v>
      </c>
      <c r="DF66" s="2" t="s">
        <v>2095</v>
      </c>
      <c r="DG66" s="2" t="s">
        <v>87</v>
      </c>
      <c r="DH66" s="2" t="str">
        <f>HYPERLINK("https://vectorbase.org/vectorbase/app/record/gene/AGAP008653","AGAP008653-RA")</f>
        <v>AGAP008653-RA</v>
      </c>
      <c r="DI66" s="2" t="s">
        <v>122</v>
      </c>
      <c r="DJ66" s="2">
        <v>713</v>
      </c>
      <c r="DK66" s="2" t="str">
        <f>HYPERLINK(".\links\netoglyc\AGAP008653-PA-netoglyc.txt","2")</f>
        <v>2</v>
      </c>
      <c r="DL66" s="2">
        <v>8.4</v>
      </c>
      <c r="DM66" s="2">
        <v>9.1</v>
      </c>
      <c r="DN66" s="2">
        <v>7</v>
      </c>
      <c r="DO66" s="2" t="s">
        <v>94</v>
      </c>
      <c r="DP66" s="2" t="s">
        <v>89</v>
      </c>
      <c r="DQ66" s="2" t="str">
        <f>HYPERLINK(".\links\Sigp\AGAP008653-PA-SigP.txt","CYT")</f>
        <v>CYT</v>
      </c>
      <c r="DR66" s="2" t="s">
        <v>89</v>
      </c>
      <c r="DS66" s="2">
        <v>17.042999999999999</v>
      </c>
      <c r="DT66" s="2">
        <v>9.26</v>
      </c>
      <c r="DU66" s="2" t="s">
        <v>89</v>
      </c>
      <c r="DV66" s="2" t="s">
        <v>89</v>
      </c>
      <c r="DW66" s="2" t="s">
        <v>93</v>
      </c>
      <c r="DX66" s="2">
        <v>143</v>
      </c>
      <c r="DY66" s="12">
        <v>0</v>
      </c>
      <c r="DZ66" s="2" t="s">
        <v>89</v>
      </c>
      <c r="EA66" s="2" t="s">
        <v>89</v>
      </c>
      <c r="EB66" s="2" t="s">
        <v>89</v>
      </c>
      <c r="EC66" s="2" t="str">
        <f>HYPERLINK(".\links\gpi\AGAP008653-PA-gpi.txt","Y-NoSP")</f>
        <v>Y-NoSP</v>
      </c>
      <c r="ED66" s="2">
        <v>0.48</v>
      </c>
      <c r="EE66" s="2" t="s">
        <v>2104</v>
      </c>
      <c r="EF66" s="2">
        <v>0</v>
      </c>
      <c r="EG66" s="2" t="s">
        <v>89</v>
      </c>
      <c r="EH66" s="2" t="s">
        <v>89</v>
      </c>
      <c r="EI66" s="2">
        <v>8.3916083916083899</v>
      </c>
      <c r="EJ66" s="2">
        <v>6.9930069930069898</v>
      </c>
      <c r="EK66" s="2">
        <v>9.0909090909090899</v>
      </c>
      <c r="EL66" s="2">
        <v>16.083916083916101</v>
      </c>
      <c r="EM66" s="2" t="s">
        <v>89</v>
      </c>
      <c r="EN66" s="2" t="s">
        <v>89</v>
      </c>
      <c r="EO66" s="2" t="s">
        <v>89</v>
      </c>
      <c r="EP66" s="2" t="s">
        <v>89</v>
      </c>
      <c r="EQ66" s="2" t="s">
        <v>89</v>
      </c>
      <c r="ER66" s="2" t="s">
        <v>89</v>
      </c>
      <c r="ES66" s="2" t="s">
        <v>89</v>
      </c>
      <c r="ET66" s="2" t="str">
        <f>HYPERLINK(".\links\REFSEQ-INVERTEBRATE\AGAP008653-PA-REFSEQ-INVERTEBRATE.txt","AGAP008653-PA")</f>
        <v>AGAP008653-PA</v>
      </c>
      <c r="EU66" s="2" t="str">
        <f>HYPERLINK("http://www.ncbi.nlm.nih.gov/sutils/blink.cgi?pid=XP_314752.3","1E-103")</f>
        <v>1E-103</v>
      </c>
      <c r="EV66" s="2" t="str">
        <f>HYPERLINK("http://www.ncbi.nlm.nih.gov/protein/XP_314752.3","XP_314752.3")</f>
        <v>XP_314752.3</v>
      </c>
      <c r="EW66" s="2">
        <v>100</v>
      </c>
      <c r="EX66" s="2">
        <v>100</v>
      </c>
      <c r="EY66" s="2">
        <v>100</v>
      </c>
      <c r="EZ66" s="2" t="s">
        <v>95</v>
      </c>
    </row>
    <row r="67" spans="1:156" x14ac:dyDescent="0.25">
      <c r="A67" s="2" t="s">
        <v>1741</v>
      </c>
      <c r="B67" s="2">
        <v>-0.70339392853883398</v>
      </c>
      <c r="C67" s="2">
        <f t="shared" ref="C67:C130" si="1">2^B67</f>
        <v>0.6141257800028983</v>
      </c>
      <c r="D67" s="2">
        <v>5.3210865003544203</v>
      </c>
      <c r="E67" s="2">
        <v>11.345242069879401</v>
      </c>
      <c r="F67" s="2">
        <v>7.5641509366271905E-4</v>
      </c>
      <c r="G67" s="2">
        <v>3.4596484435433401E-2</v>
      </c>
      <c r="H67" s="2" t="s">
        <v>1742</v>
      </c>
      <c r="I67" s="2" t="s">
        <v>87</v>
      </c>
      <c r="J67" s="2" t="str">
        <f>HYPERLINK("https://vectorbase.org/vectorbase/app/record/gene/AGAP006953","AGAP006953-RA")</f>
        <v>AGAP006953-RA</v>
      </c>
      <c r="K67" s="2" t="str">
        <f>HYPERLINK(".\links\pep\AGAP006953-PA-pep.txt","AGAP006953-PA")</f>
        <v>AGAP006953-PA</v>
      </c>
      <c r="L67" s="12" t="s">
        <v>88</v>
      </c>
      <c r="M67" s="2">
        <v>183</v>
      </c>
      <c r="N67" s="2">
        <v>0</v>
      </c>
      <c r="O67" s="2">
        <v>0</v>
      </c>
      <c r="P67" s="2" t="s">
        <v>1743</v>
      </c>
      <c r="Q67" s="9" t="s">
        <v>1744</v>
      </c>
      <c r="R67" s="2" t="s">
        <v>145</v>
      </c>
      <c r="S67" s="2" t="str">
        <f>HYPERLINK(".\links\PFAM\AGAP006953-PA-PFAM.txt","PFAM")</f>
        <v>PFAM</v>
      </c>
      <c r="T67" s="2">
        <v>4.0000000000000002E-33</v>
      </c>
      <c r="U67" s="2">
        <v>100</v>
      </c>
      <c r="V67" s="2" t="s">
        <v>1745</v>
      </c>
      <c r="W67" s="10" t="s">
        <v>1746</v>
      </c>
      <c r="X67" s="2" t="s">
        <v>245</v>
      </c>
      <c r="Y67" s="2" t="str">
        <f>HYPERLINK(".\links\ARTHORPODA\AGAP006953-PA-ARTHORPODA.txt","ARTHORPODA")</f>
        <v>ARTHORPODA</v>
      </c>
      <c r="Z67" s="13">
        <v>0</v>
      </c>
      <c r="AA67" s="2">
        <v>100</v>
      </c>
      <c r="AB67" s="14" t="s">
        <v>89</v>
      </c>
      <c r="AC67" s="14" t="str">
        <f>HYPERLINK(".\links\Sigp\AGAP006953-PA-SigP.txt","CYT")</f>
        <v>CYT</v>
      </c>
      <c r="AD67" s="2" t="s">
        <v>89</v>
      </c>
      <c r="AE67" s="2">
        <v>20.849</v>
      </c>
      <c r="AF67" s="2">
        <v>9.56</v>
      </c>
      <c r="AG67" s="2" t="s">
        <v>89</v>
      </c>
      <c r="AH67" s="2" t="s">
        <v>89</v>
      </c>
      <c r="AI67" s="2" t="s">
        <v>1747</v>
      </c>
      <c r="AJ67" s="14">
        <v>0</v>
      </c>
      <c r="AK67" s="2" t="s">
        <v>89</v>
      </c>
      <c r="AL67" s="2" t="s">
        <v>89</v>
      </c>
      <c r="AM67" s="2" t="s">
        <v>89</v>
      </c>
      <c r="AN67" s="14" t="str">
        <f>HYPERLINK(".\links\gpi\AGAP006953-PA-gpi.txt","N")</f>
        <v>N</v>
      </c>
      <c r="AO67" s="15" t="str">
        <f>HYPERLINK(".\links\netoglyc\AGAP006953-PA-netoglyc.txt","1")</f>
        <v>1</v>
      </c>
      <c r="AP67" s="14">
        <v>9.8000000000000007</v>
      </c>
      <c r="AQ67" s="2">
        <v>6</v>
      </c>
      <c r="AR67" s="2">
        <v>8.1999999999999993</v>
      </c>
      <c r="AS67" s="2" t="s">
        <v>94</v>
      </c>
      <c r="AT67" s="9" t="str">
        <f>HYPERLINK(".\links\NR-LIGHT\AGAP006953-PA-NR-LIGHT.txt","AGAP006953-PA")</f>
        <v>AGAP006953-PA</v>
      </c>
      <c r="AU67" s="2" t="str">
        <f>HYPERLINK("http://www.ncbi.nlm.nih.gov/sutils/blink.cgi?pid=XP_308803.4","1E-100")</f>
        <v>1E-100</v>
      </c>
      <c r="AV67" s="2" t="str">
        <f>HYPERLINK("http://www.ncbi.nlm.nih.gov/protein/XP_308803.4","XP_308803.4")</f>
        <v>XP_308803.4</v>
      </c>
      <c r="AW67" s="2">
        <v>100</v>
      </c>
      <c r="AX67" s="2">
        <v>100</v>
      </c>
      <c r="AY67" s="2">
        <v>100</v>
      </c>
      <c r="AZ67" s="2" t="s">
        <v>95</v>
      </c>
      <c r="BA67" s="9" t="str">
        <f>HYPERLINK(".\links\REFSEQ-INVERTEBRATE\AGAP006953-PA-REFSEQ-INVERTEBRATE.txt","AGAP006953-PA")</f>
        <v>AGAP006953-PA</v>
      </c>
      <c r="BB67" s="2" t="str">
        <f>HYPERLINK("http://www.ncbi.nlm.nih.gov/sutils/blink.cgi?pid=XP_308803.4","1E-100")</f>
        <v>1E-100</v>
      </c>
      <c r="BC67" s="2" t="str">
        <f>HYPERLINK("http://www.ncbi.nlm.nih.gov/protein/XP_308803.4","XP_308803.4")</f>
        <v>XP_308803.4</v>
      </c>
      <c r="BD67" s="2">
        <v>100</v>
      </c>
      <c r="BE67" s="2">
        <v>100</v>
      </c>
      <c r="BF67" s="2">
        <v>100</v>
      </c>
      <c r="BG67" s="2" t="s">
        <v>95</v>
      </c>
      <c r="BH67" s="9" t="str">
        <f>HYPERLINK(".\links\REFSEQ-PROTOZOA\AGAP006953-PA-REFSEQ-PROTOZOA.txt","hypothetical protein, variant")</f>
        <v>hypothetical protein, variant</v>
      </c>
      <c r="BI67" s="2" t="str">
        <f>HYPERLINK("http://www.ncbi.nlm.nih.gov/sutils/blink.cgi?pid=XP_008915201.1","0.006")</f>
        <v>0.006</v>
      </c>
      <c r="BJ67" s="2" t="str">
        <f>HYPERLINK("http://www.ncbi.nlm.nih.gov/protein/XP_008915201.1","XP_008915201.1")</f>
        <v>XP_008915201.1</v>
      </c>
      <c r="BK67" s="2">
        <v>27</v>
      </c>
      <c r="BL67" s="2">
        <v>56</v>
      </c>
      <c r="BM67" s="2">
        <v>92</v>
      </c>
      <c r="BN67" s="2" t="s">
        <v>1281</v>
      </c>
      <c r="BO67" s="9" t="str">
        <f>HYPERLINK(".\links\SWISSP\AGAP006953-PA-SWISSP.txt","28S ribosomal protein S34, mitochondrial")</f>
        <v>28S ribosomal protein S34, mitochondrial</v>
      </c>
      <c r="BP67" s="2" t="str">
        <f>HYPERLINK("http://www.uniprot.org/uniprot/P82929","1E-007")</f>
        <v>1E-007</v>
      </c>
      <c r="BQ67" s="2" t="str">
        <f>HYPERLINK("http://www.uniprot.org/uniprot/P82929#expression","P82929")</f>
        <v>P82929</v>
      </c>
      <c r="BR67" s="2">
        <v>29</v>
      </c>
      <c r="BS67" s="2">
        <v>49</v>
      </c>
      <c r="BT67" s="2">
        <v>61</v>
      </c>
      <c r="BU67" s="2" t="s">
        <v>183</v>
      </c>
      <c r="BV67" s="9" t="str">
        <f>HYPERLINK(".\links\FLYBASE\AGAP006953-PA-FLYBASE.txt","FBpp0075138")</f>
        <v>FBpp0075138</v>
      </c>
      <c r="BW67" s="2" t="str">
        <f>HYPERLINK("http://flybase.org/reports/FBgn0285951#alliance_summary_container","6E-60")</f>
        <v>6E-60</v>
      </c>
      <c r="BX67" s="2">
        <v>188</v>
      </c>
      <c r="BY67" s="2">
        <v>51</v>
      </c>
      <c r="BZ67" s="2">
        <v>70</v>
      </c>
      <c r="CA67" s="2">
        <v>97</v>
      </c>
      <c r="CB67" s="9" t="str">
        <f>HYPERLINK(".\links\CDD\AGAP006953-PA-CDD.txt","MRP-S34, Mitochondrial 28S ribosomal protein S34")</f>
        <v>MRP-S34, Mitochondrial 28S ribosomal protein S34</v>
      </c>
      <c r="CC67" s="13">
        <v>2.0000000000000001E-32</v>
      </c>
      <c r="CD67" s="2">
        <v>100</v>
      </c>
      <c r="CE67" s="2" t="s">
        <v>1748</v>
      </c>
      <c r="CF67" s="2" t="s">
        <v>1749</v>
      </c>
      <c r="CG67" s="9" t="str">
        <f>HYPERLINK(".\links\KOG\AGAP006953-PA-KOG.txt","Glutathione S-transferase")</f>
        <v>Glutathione S-transferase</v>
      </c>
      <c r="CH67" s="13">
        <v>0.13</v>
      </c>
      <c r="CI67" s="2">
        <v>66.5</v>
      </c>
      <c r="CJ67" s="2" t="s">
        <v>1750</v>
      </c>
      <c r="CK67" s="2" t="s">
        <v>264</v>
      </c>
      <c r="CL67" s="9" t="str">
        <f>HYPERLINK(".\links\PFAM\AGAP006953-PA-PFAM.txt","MRP-S34, Mitochondrial 28S ribosomal protein S34")</f>
        <v>MRP-S34, Mitochondrial 28S ribosomal protein S34</v>
      </c>
      <c r="CM67" s="13">
        <v>4.0000000000000002E-33</v>
      </c>
      <c r="CN67" s="2">
        <v>100</v>
      </c>
      <c r="CO67" s="2" t="s">
        <v>1748</v>
      </c>
      <c r="CP67" s="9" t="str">
        <f>HYPERLINK(".\links\SMART\AGAP006953-PA-SMART.txt","VPS10, VPS10 domain")</f>
        <v>VPS10, VPS10 domain</v>
      </c>
      <c r="CQ67" s="13">
        <v>2.9000000000000001E-2</v>
      </c>
      <c r="CR67" s="2">
        <v>20.9</v>
      </c>
      <c r="CS67" s="2" t="s">
        <v>1751</v>
      </c>
      <c r="CT67" s="2" t="s">
        <v>1745</v>
      </c>
      <c r="CU67" s="2" t="s">
        <v>1745</v>
      </c>
      <c r="CV67" s="2" t="s">
        <v>1745</v>
      </c>
      <c r="CW67" s="2" t="str">
        <f>HYPERLINK(".\links\pep\AGAP006953-PA-pep.txt","AGAP006953-PA")</f>
        <v>AGAP006953-PA</v>
      </c>
      <c r="CX67" s="2" t="s">
        <v>88</v>
      </c>
      <c r="CY67" s="2">
        <v>183</v>
      </c>
      <c r="CZ67" s="2" t="s">
        <v>103</v>
      </c>
      <c r="DA67" s="2" t="s">
        <v>1752</v>
      </c>
      <c r="DB67" s="2">
        <v>0</v>
      </c>
      <c r="DC67" s="2">
        <v>0</v>
      </c>
      <c r="DD67" s="2" t="str">
        <f>HYPERLINK("https://www.kegg.jp/kegg-bin/search_pathway_text?map=aga&amp;keyword=AGAP006953&amp;mode=1&amp;viewImage=true","AGAP006953")</f>
        <v>AGAP006953</v>
      </c>
      <c r="DE67" s="2" t="s">
        <v>1741</v>
      </c>
      <c r="DF67" s="2" t="s">
        <v>1742</v>
      </c>
      <c r="DG67" s="2" t="s">
        <v>87</v>
      </c>
      <c r="DH67" s="2" t="str">
        <f>HYPERLINK("https://vectorbase.org/vectorbase/app/record/gene/AGAP006953","AGAP006953-RA")</f>
        <v>AGAP006953-RA</v>
      </c>
      <c r="DI67" s="2" t="s">
        <v>158</v>
      </c>
      <c r="DJ67" s="2">
        <v>600</v>
      </c>
      <c r="DK67" s="2" t="str">
        <f>HYPERLINK(".\links\netoglyc\AGAP006953-PA-netoglyc.txt","1")</f>
        <v>1</v>
      </c>
      <c r="DL67" s="2">
        <v>9.8000000000000007</v>
      </c>
      <c r="DM67" s="2">
        <v>6</v>
      </c>
      <c r="DN67" s="2">
        <v>8.1999999999999993</v>
      </c>
      <c r="DO67" s="2" t="s">
        <v>94</v>
      </c>
      <c r="DP67" s="2" t="s">
        <v>89</v>
      </c>
      <c r="DQ67" s="2" t="str">
        <f>HYPERLINK(".\links\Sigp\AGAP006953-PA-SigP.txt","CYT")</f>
        <v>CYT</v>
      </c>
      <c r="DR67" s="2" t="s">
        <v>89</v>
      </c>
      <c r="DS67" s="2">
        <v>20.849</v>
      </c>
      <c r="DT67" s="2">
        <v>9.56</v>
      </c>
      <c r="DU67" s="2" t="s">
        <v>89</v>
      </c>
      <c r="DV67" s="2" t="s">
        <v>89</v>
      </c>
      <c r="DW67" s="2" t="s">
        <v>1747</v>
      </c>
      <c r="DX67" s="2">
        <v>183</v>
      </c>
      <c r="DY67" s="12">
        <v>0</v>
      </c>
      <c r="DZ67" s="2" t="s">
        <v>89</v>
      </c>
      <c r="EA67" s="2" t="s">
        <v>89</v>
      </c>
      <c r="EB67" s="2" t="s">
        <v>89</v>
      </c>
      <c r="EC67" s="2" t="str">
        <f>HYPERLINK(".\links\gpi\AGAP006953-PA-gpi.txt","N")</f>
        <v>N</v>
      </c>
      <c r="ED67" s="2">
        <v>0.36</v>
      </c>
      <c r="EF67" s="2">
        <v>2</v>
      </c>
      <c r="EG67" s="2" t="s">
        <v>89</v>
      </c>
      <c r="EH67" s="2" t="s">
        <v>89</v>
      </c>
      <c r="EI67" s="2">
        <v>9.8360655737704903</v>
      </c>
      <c r="EJ67" s="2">
        <v>8.1967213114754092</v>
      </c>
      <c r="EK67" s="2">
        <v>6.0109289617486299</v>
      </c>
      <c r="EL67" s="2">
        <v>14.207650273224001</v>
      </c>
      <c r="EM67" s="2" t="s">
        <v>89</v>
      </c>
      <c r="EN67" s="2" t="s">
        <v>89</v>
      </c>
      <c r="EO67" s="2" t="s">
        <v>89</v>
      </c>
      <c r="EP67" s="2" t="s">
        <v>89</v>
      </c>
      <c r="EQ67" s="2" t="s">
        <v>89</v>
      </c>
      <c r="ER67" s="2" t="s">
        <v>89</v>
      </c>
      <c r="ES67" s="2" t="s">
        <v>89</v>
      </c>
      <c r="ET67" s="2" t="str">
        <f>HYPERLINK(".\links\REFSEQ-INVERTEBRATE\AGAP006953-PA-REFSEQ-INVERTEBRATE.txt","AGAP006953-PA")</f>
        <v>AGAP006953-PA</v>
      </c>
      <c r="EU67" s="2" t="str">
        <f>HYPERLINK("http://www.ncbi.nlm.nih.gov/sutils/blink.cgi?pid=XP_308803.4","1E-131")</f>
        <v>1E-131</v>
      </c>
      <c r="EV67" s="2" t="str">
        <f>HYPERLINK("http://www.ncbi.nlm.nih.gov/protein/XP_308803.4","XP_308803.4")</f>
        <v>XP_308803.4</v>
      </c>
      <c r="EW67" s="2">
        <v>100</v>
      </c>
      <c r="EX67" s="2">
        <v>100</v>
      </c>
      <c r="EY67" s="2">
        <v>100</v>
      </c>
      <c r="EZ67" s="2" t="s">
        <v>95</v>
      </c>
    </row>
    <row r="68" spans="1:156" x14ac:dyDescent="0.25">
      <c r="A68" s="2" t="s">
        <v>1008</v>
      </c>
      <c r="B68" s="2">
        <v>-0.71030374812089103</v>
      </c>
      <c r="C68" s="2">
        <f t="shared" si="1"/>
        <v>0.61119144373581324</v>
      </c>
      <c r="D68" s="2">
        <v>6.4131078644246502</v>
      </c>
      <c r="E68" s="2">
        <v>11.2968944257667</v>
      </c>
      <c r="F68" s="2">
        <v>7.76368435078767E-4</v>
      </c>
      <c r="G68" s="2">
        <v>3.5025401391032301E-2</v>
      </c>
      <c r="H68" s="2" t="s">
        <v>86</v>
      </c>
      <c r="I68" s="2" t="s">
        <v>87</v>
      </c>
      <c r="J68" s="2" t="str">
        <f>HYPERLINK("https://vectorbase.org/vectorbase/app/record/gene/AGAP003864","AGAP003864-RA")</f>
        <v>AGAP003864-RA</v>
      </c>
      <c r="K68" s="2" t="str">
        <f>HYPERLINK(".\links\pep\AGAP003864-PA-pep.txt","AGAP003864-PA")</f>
        <v>AGAP003864-PA</v>
      </c>
      <c r="L68" s="12" t="s">
        <v>88</v>
      </c>
      <c r="M68" s="2">
        <v>76</v>
      </c>
      <c r="N68" s="2">
        <v>0</v>
      </c>
      <c r="O68" s="2">
        <v>1</v>
      </c>
      <c r="P68" s="2" t="s">
        <v>89</v>
      </c>
      <c r="Q68" s="9" t="s">
        <v>1009</v>
      </c>
      <c r="R68" s="2" t="s">
        <v>1010</v>
      </c>
      <c r="S68" s="2" t="str">
        <f>HYPERLINK(".\links\REFSEQ-INVERTEBRATE\AGAP003864-PA-REFSEQ-INVERTEBRATE.txt","REFSEQ-INVERTEBRATE")</f>
        <v>REFSEQ-INVERTEBRATE</v>
      </c>
      <c r="T68" s="2">
        <v>7.9999999999999995E-36</v>
      </c>
      <c r="U68" s="2">
        <v>100</v>
      </c>
      <c r="V68" s="2" t="s">
        <v>1011</v>
      </c>
      <c r="W68" s="10" t="s">
        <v>1012</v>
      </c>
      <c r="X68" s="2" t="s">
        <v>1010</v>
      </c>
      <c r="Y68" s="2" t="str">
        <f>HYPERLINK(".\links\REFSEQ-INVERTEBRATE\AGAP003864-PA-REFSEQ-INVERTEBRATE.txt","REFSEQ-INVERTEBRATE")</f>
        <v>REFSEQ-INVERTEBRATE</v>
      </c>
      <c r="Z68" s="13">
        <v>1.9999999999999999E-49</v>
      </c>
      <c r="AA68" s="2">
        <v>85.3</v>
      </c>
      <c r="AB68" s="14" t="s">
        <v>89</v>
      </c>
      <c r="AC68" s="14" t="str">
        <f>HYPERLINK(".\links\Sigp\AGAP003864-PA-SigP.txt","ANC")</f>
        <v>ANC</v>
      </c>
      <c r="AD68" s="2" t="s">
        <v>89</v>
      </c>
      <c r="AE68" s="2">
        <v>8.5299999999999994</v>
      </c>
      <c r="AF68" s="2">
        <v>10.1</v>
      </c>
      <c r="AG68" s="2">
        <v>4.4950000000000001</v>
      </c>
      <c r="AH68" s="2">
        <v>9.98</v>
      </c>
      <c r="AI68" s="2" t="s">
        <v>1013</v>
      </c>
      <c r="AJ68" s="14" t="str">
        <f>HYPERLINK(".\links\tmhmm\AGAP003864-PA-tmhmm.txt","1")</f>
        <v>1</v>
      </c>
      <c r="AK68" s="2">
        <v>28.9</v>
      </c>
      <c r="AL68" s="2">
        <v>32.9</v>
      </c>
      <c r="AM68" s="2">
        <v>38.200000000000003</v>
      </c>
      <c r="AN68" s="14" t="str">
        <f>HYPERLINK(".\links\gpi\AGAP003864-PA-gpi.txt","N")</f>
        <v>N</v>
      </c>
      <c r="AO68" s="15" t="str">
        <f>HYPERLINK(".\links\netoglyc\AGAP003864-PA-netoglyc.txt","0")</f>
        <v>0</v>
      </c>
      <c r="AP68" s="14">
        <v>11.8</v>
      </c>
      <c r="AQ68" s="2">
        <v>7.9</v>
      </c>
      <c r="AR68" s="2">
        <v>3.9</v>
      </c>
      <c r="AS68" s="2" t="s">
        <v>94</v>
      </c>
      <c r="AT68" s="9" t="str">
        <f>HYPERLINK(".\links\NR-LIGHT\AGAP003864-PA-NR-LIGHT.txt","AGAP003864-PA")</f>
        <v>AGAP003864-PA</v>
      </c>
      <c r="AU68" s="2" t="str">
        <f>HYPERLINK("http://www.ncbi.nlm.nih.gov/sutils/blink.cgi?pid=XP_310423.3","9E-036")</f>
        <v>9E-036</v>
      </c>
      <c r="AV68" s="2" t="str">
        <f>HYPERLINK("http://www.ncbi.nlm.nih.gov/protein/XP_310423.3","XP_310423.3")</f>
        <v>XP_310423.3</v>
      </c>
      <c r="AW68" s="2">
        <v>100</v>
      </c>
      <c r="AX68" s="2">
        <v>100</v>
      </c>
      <c r="AY68" s="2">
        <v>100</v>
      </c>
      <c r="AZ68" s="2" t="s">
        <v>95</v>
      </c>
      <c r="BA68" s="9" t="str">
        <f>HYPERLINK(".\links\REFSEQ-INVERTEBRATE\AGAP003864-PA-REFSEQ-INVERTEBRATE.txt","AGAP003864-PA")</f>
        <v>AGAP003864-PA</v>
      </c>
      <c r="BB68" s="2" t="str">
        <f>HYPERLINK("http://www.ncbi.nlm.nih.gov/sutils/blink.cgi?pid=XP_310423.3","8E-036")</f>
        <v>8E-036</v>
      </c>
      <c r="BC68" s="2" t="str">
        <f>HYPERLINK("http://www.ncbi.nlm.nih.gov/protein/XP_310423.3","XP_310423.3")</f>
        <v>XP_310423.3</v>
      </c>
      <c r="BD68" s="2">
        <v>100</v>
      </c>
      <c r="BE68" s="2">
        <v>100</v>
      </c>
      <c r="BF68" s="2">
        <v>100</v>
      </c>
      <c r="BG68" s="2" t="s">
        <v>95</v>
      </c>
      <c r="BH68" s="9" t="str">
        <f>HYPERLINK(".\links\REFSEQ-PROTOZOA\AGAP003864-PA-REFSEQ-PROTOZOA.txt","hypothetical protein ENH_00005410")</f>
        <v>hypothetical protein ENH_00005410</v>
      </c>
      <c r="BI68" s="2" t="str">
        <f>HYPERLINK("http://www.ncbi.nlm.nih.gov/sutils/blink.cgi?pid=XP_013433931.1","3.8")</f>
        <v>3.8</v>
      </c>
      <c r="BJ68" s="2" t="str">
        <f>HYPERLINK("http://www.ncbi.nlm.nih.gov/protein/XP_013433931.1","XP_013433931.1")</f>
        <v>XP_013433931.1</v>
      </c>
      <c r="BK68" s="2">
        <v>33</v>
      </c>
      <c r="BL68" s="2">
        <v>52</v>
      </c>
      <c r="BM68" s="2">
        <v>6</v>
      </c>
      <c r="BN68" s="2" t="s">
        <v>1014</v>
      </c>
      <c r="BO68" s="9" t="str">
        <f>HYPERLINK(".\links\SWISSP\AGAP003864-PA-SWISSP.txt","Argininosuccinate lyase")</f>
        <v>Argininosuccinate lyase</v>
      </c>
      <c r="BP68" s="2" t="str">
        <f>HYPERLINK("http://www.uniprot.org/uniprot/A9W714","6.0")</f>
        <v>6.0</v>
      </c>
      <c r="BQ68" s="2" t="str">
        <f>HYPERLINK("http://www.uniprot.org/uniprot/A9W714#expression","A9W714")</f>
        <v>A9W714</v>
      </c>
      <c r="BR68" s="2">
        <v>32</v>
      </c>
      <c r="BS68" s="2">
        <v>50</v>
      </c>
      <c r="BT68" s="2">
        <v>12</v>
      </c>
      <c r="BU68" s="2" t="s">
        <v>1015</v>
      </c>
      <c r="BV68" s="9" t="str">
        <f>HYPERLINK(".\links\FLYBASE\AGAP003864-PA-FLYBASE.txt","FBpp0309301")</f>
        <v>FBpp0309301</v>
      </c>
      <c r="BW68" s="2" t="str">
        <f>HYPERLINK("http://flybase.org/reports/FBgn0040931#alliance_summary_container","4E-29")</f>
        <v>4E-29</v>
      </c>
      <c r="BX68" s="2">
        <v>77</v>
      </c>
      <c r="BY68" s="2">
        <v>60</v>
      </c>
      <c r="BZ68" s="2">
        <v>76</v>
      </c>
      <c r="CA68" s="2">
        <v>95</v>
      </c>
      <c r="CB68" s="9" t="str">
        <f>HYPERLINK(".\links\CDD\AGAP003864-PA-CDD.txt","pbuX, xanthine permease")</f>
        <v>pbuX, xanthine permease</v>
      </c>
      <c r="CC68" s="13">
        <v>0.21</v>
      </c>
      <c r="CD68" s="2">
        <v>5.9</v>
      </c>
      <c r="CE68" s="2" t="s">
        <v>1016</v>
      </c>
      <c r="CF68" s="2" t="s">
        <v>1017</v>
      </c>
      <c r="CG68" s="9" t="str">
        <f>HYPERLINK(".\links\KOG\AGAP003864-PA-KOG.txt","Rho GTPase-activating protein")</f>
        <v>Rho GTPase-activating protein</v>
      </c>
      <c r="CH68" s="13">
        <v>0.4</v>
      </c>
      <c r="CI68" s="2">
        <v>14.6</v>
      </c>
      <c r="CJ68" s="2" t="s">
        <v>1018</v>
      </c>
      <c r="CK68" s="2" t="s">
        <v>1019</v>
      </c>
      <c r="CL68" s="9" t="str">
        <f>HYPERLINK(".\links\PFAM\AGAP003864-PA-PFAM.txt","Keratin_assoc, Keratinocyte-associated protein 2")</f>
        <v>Keratin_assoc, Keratinocyte-associated protein 2</v>
      </c>
      <c r="CM68" s="13">
        <v>0.59</v>
      </c>
      <c r="CN68" s="2">
        <v>38.799999999999997</v>
      </c>
      <c r="CO68" s="2" t="s">
        <v>1020</v>
      </c>
      <c r="CP68" s="9" t="str">
        <f>HYPERLINK(".\links\SMART\AGAP003864-PA-SMART.txt","MCM, minichromosome maintenance proteins")</f>
        <v>MCM, minichromosome maintenance proteins</v>
      </c>
      <c r="CQ68" s="13">
        <v>0.28999999999999998</v>
      </c>
      <c r="CR68" s="2">
        <v>4.7</v>
      </c>
      <c r="CS68" s="2" t="s">
        <v>1021</v>
      </c>
      <c r="CT68" s="2" t="s">
        <v>1011</v>
      </c>
      <c r="CU68" s="2" t="s">
        <v>1011</v>
      </c>
      <c r="CV68" s="2" t="s">
        <v>1011</v>
      </c>
      <c r="CW68" s="2" t="str">
        <f>HYPERLINK(".\links\pep\AGAP003864-PA-pep.txt","AGAP003864-PA")</f>
        <v>AGAP003864-PA</v>
      </c>
      <c r="CX68" s="2" t="s">
        <v>88</v>
      </c>
      <c r="CY68" s="2">
        <v>76</v>
      </c>
      <c r="CZ68" s="2" t="s">
        <v>103</v>
      </c>
      <c r="DA68" s="2" t="s">
        <v>1022</v>
      </c>
      <c r="DB68" s="2">
        <v>0</v>
      </c>
      <c r="DC68" s="2">
        <v>1</v>
      </c>
      <c r="DD68" s="2" t="str">
        <f>HYPERLINK("https://www.kegg.jp/kegg-bin/search_pathway_text?map=aga&amp;keyword=AGAP003864&amp;mode=1&amp;viewImage=true","AGAP003864")</f>
        <v>AGAP003864</v>
      </c>
      <c r="DE68" s="2" t="s">
        <v>1008</v>
      </c>
      <c r="DF68" s="2" t="s">
        <v>86</v>
      </c>
      <c r="DG68" s="2" t="s">
        <v>87</v>
      </c>
      <c r="DH68" s="2" t="str">
        <f>HYPERLINK("https://vectorbase.org/vectorbase/app/record/gene/AGAP003864","AGAP003864-RA")</f>
        <v>AGAP003864-RA</v>
      </c>
      <c r="DI68" s="2" t="s">
        <v>140</v>
      </c>
      <c r="DJ68" s="2">
        <v>392</v>
      </c>
      <c r="DK68" s="2" t="str">
        <f>HYPERLINK(".\links\netoglyc\AGAP003864-PA-netoglyc.txt","0")</f>
        <v>0</v>
      </c>
      <c r="DL68" s="2">
        <v>11.8</v>
      </c>
      <c r="DM68" s="2">
        <v>7.9</v>
      </c>
      <c r="DN68" s="2">
        <v>3.9</v>
      </c>
      <c r="DO68" s="2" t="s">
        <v>94</v>
      </c>
      <c r="DP68" s="2" t="s">
        <v>89</v>
      </c>
      <c r="DQ68" s="2" t="str">
        <f>HYPERLINK(".\links\Sigp\AGAP003864-PA-SigP.txt","ANC")</f>
        <v>ANC</v>
      </c>
      <c r="DR68" s="2" t="s">
        <v>89</v>
      </c>
      <c r="DS68" s="2">
        <v>8.5299999999999994</v>
      </c>
      <c r="DT68" s="2">
        <v>10.1</v>
      </c>
      <c r="DU68" s="2">
        <v>4.4950000000000001</v>
      </c>
      <c r="DV68" s="2">
        <v>9.98</v>
      </c>
      <c r="DW68" s="2" t="s">
        <v>1013</v>
      </c>
      <c r="DX68" s="2">
        <v>76</v>
      </c>
      <c r="DY68" s="12" t="str">
        <f>HYPERLINK(".\links\tmhmm\AGAP003864-PA-tmhmm.txt","1")</f>
        <v>1</v>
      </c>
      <c r="DZ68" s="2">
        <v>28.9</v>
      </c>
      <c r="EA68" s="2">
        <v>32.9</v>
      </c>
      <c r="EB68" s="2">
        <v>38.200000000000003</v>
      </c>
      <c r="EC68" s="2" t="str">
        <f>HYPERLINK(".\links\gpi\AGAP003864-PA-gpi.txt","N")</f>
        <v>N</v>
      </c>
      <c r="ED68" s="2">
        <v>0.38</v>
      </c>
      <c r="EF68" s="2">
        <v>0</v>
      </c>
      <c r="EG68" s="2" t="s">
        <v>89</v>
      </c>
      <c r="EH68" s="2" t="s">
        <v>89</v>
      </c>
      <c r="EI68" s="2">
        <v>11.842105263157899</v>
      </c>
      <c r="EJ68" s="2">
        <v>3.9473684210526301</v>
      </c>
      <c r="EK68" s="2">
        <v>7.8947368421052602</v>
      </c>
      <c r="EL68" s="2">
        <v>11.842105263157899</v>
      </c>
      <c r="EM68" s="2" t="s">
        <v>89</v>
      </c>
      <c r="EN68" s="2" t="s">
        <v>89</v>
      </c>
      <c r="EO68" s="2" t="s">
        <v>89</v>
      </c>
      <c r="EP68" s="2" t="s">
        <v>89</v>
      </c>
      <c r="EQ68" s="2" t="s">
        <v>89</v>
      </c>
      <c r="ER68" s="2" t="s">
        <v>89</v>
      </c>
      <c r="ES68" s="2" t="s">
        <v>89</v>
      </c>
      <c r="ET68" s="2" t="str">
        <f>HYPERLINK(".\links\REFSEQ-INVERTEBRATE\AGAP003864-PA-REFSEQ-INVERTEBRATE.txt","AGAP003864-PA")</f>
        <v>AGAP003864-PA</v>
      </c>
      <c r="EU68" s="2" t="str">
        <f>HYPERLINK("http://www.ncbi.nlm.nih.gov/sutils/blink.cgi?pid=XP_310423.3","6E-49")</f>
        <v>6E-49</v>
      </c>
      <c r="EV68" s="2" t="str">
        <f>HYPERLINK("http://www.ncbi.nlm.nih.gov/protein/XP_310423.3","XP_310423.3")</f>
        <v>XP_310423.3</v>
      </c>
      <c r="EW68" s="2">
        <v>100</v>
      </c>
      <c r="EX68" s="2">
        <v>100</v>
      </c>
      <c r="EY68" s="2">
        <v>100</v>
      </c>
      <c r="EZ68" s="2" t="s">
        <v>95</v>
      </c>
    </row>
    <row r="69" spans="1:156" x14ac:dyDescent="0.25">
      <c r="A69" s="2" t="s">
        <v>1914</v>
      </c>
      <c r="B69" s="2">
        <v>-0.71270489330706699</v>
      </c>
      <c r="C69" s="2">
        <f t="shared" si="1"/>
        <v>0.61017505512657511</v>
      </c>
      <c r="D69" s="2">
        <v>6.7030800212566097</v>
      </c>
      <c r="E69" s="2">
        <v>10.8719822185822</v>
      </c>
      <c r="F69" s="2">
        <v>9.7629980633480602E-4</v>
      </c>
      <c r="G69" s="2">
        <v>4.03895275747541E-2</v>
      </c>
      <c r="H69" s="2" t="s">
        <v>1915</v>
      </c>
      <c r="I69" s="2" t="s">
        <v>87</v>
      </c>
      <c r="J69" s="2" t="str">
        <f>HYPERLINK("https://vectorbase.org/vectorbase/app/record/gene/AGAP007713","AGAP007713-RD")</f>
        <v>AGAP007713-RD</v>
      </c>
      <c r="K69" s="2" t="str">
        <f>HYPERLINK(".\links\pep\AGAP007713-PD-pep.txt","AGAP007713-PD")</f>
        <v>AGAP007713-PD</v>
      </c>
      <c r="L69" s="12" t="s">
        <v>88</v>
      </c>
      <c r="M69" s="2">
        <v>356</v>
      </c>
      <c r="N69" s="2">
        <v>0</v>
      </c>
      <c r="O69" s="2">
        <v>0</v>
      </c>
      <c r="P69" s="2" t="s">
        <v>1916</v>
      </c>
      <c r="Q69" s="9" t="s">
        <v>1917</v>
      </c>
      <c r="R69" s="2" t="s">
        <v>1918</v>
      </c>
      <c r="S69" s="2" t="str">
        <f>HYPERLINK(".\links\KOG\AGAP007713-PD-KOG.txt","KOG")</f>
        <v>KOG</v>
      </c>
      <c r="T69" s="2">
        <v>1.9999999999999999E-72</v>
      </c>
      <c r="U69" s="2">
        <v>93.8</v>
      </c>
      <c r="V69" s="2" t="s">
        <v>1919</v>
      </c>
      <c r="W69" s="10" t="s">
        <v>1920</v>
      </c>
      <c r="X69" s="2" t="s">
        <v>1918</v>
      </c>
      <c r="Y69" s="2" t="str">
        <f>HYPERLINK(".\links\COG\AGAP007713-PD-COG.txt","COG")</f>
        <v>COG</v>
      </c>
      <c r="Z69" s="13">
        <v>1.0000000000000001E-33</v>
      </c>
      <c r="AA69" s="2">
        <v>58.6</v>
      </c>
      <c r="AB69" s="14" t="s">
        <v>89</v>
      </c>
      <c r="AC69" s="14" t="str">
        <f>HYPERLINK(".\links\Sigp\AGAP007713-PD-SigP.txt","BL/SIG")</f>
        <v>BL/SIG</v>
      </c>
      <c r="AD69" s="2" t="s">
        <v>89</v>
      </c>
      <c r="AE69" s="2">
        <v>37.165999999999997</v>
      </c>
      <c r="AF69" s="2">
        <v>5.44</v>
      </c>
      <c r="AG69" s="2" t="s">
        <v>89</v>
      </c>
      <c r="AH69" s="2" t="s">
        <v>89</v>
      </c>
      <c r="AI69" s="2" t="s">
        <v>1921</v>
      </c>
      <c r="AJ69" s="14" t="str">
        <f>HYPERLINK(".\links\tmhmm\AGAP007713-PD-tmhmm.txt","5")</f>
        <v>5</v>
      </c>
      <c r="AK69" s="2">
        <v>31.2</v>
      </c>
      <c r="AL69" s="2">
        <v>11.2</v>
      </c>
      <c r="AM69" s="2">
        <v>57.6</v>
      </c>
      <c r="AN69" s="14" t="str">
        <f>HYPERLINK(".\links\gpi\AGAP007713-PD-gpi.txt","Y")</f>
        <v>Y</v>
      </c>
      <c r="AO69" s="15" t="str">
        <f>HYPERLINK(".\links\netoglyc\AGAP007713-PD-netoglyc.txt","0")</f>
        <v>0</v>
      </c>
      <c r="AP69" s="14">
        <v>13.5</v>
      </c>
      <c r="AQ69" s="2">
        <v>11</v>
      </c>
      <c r="AR69" s="2">
        <v>3.1</v>
      </c>
      <c r="AS69" s="2" t="s">
        <v>94</v>
      </c>
      <c r="AT69" s="9" t="str">
        <f>HYPERLINK(".\links\NR-LIGHT\AGAP007713-PD-NR-LIGHT.txt","AGAP007713-PD")</f>
        <v>AGAP007713-PD</v>
      </c>
      <c r="AU69" s="2" t="str">
        <f>HYPERLINK("http://www.ncbi.nlm.nih.gov/sutils/blink.cgi?pid=XP_308163.4","0.0")</f>
        <v>0.0</v>
      </c>
      <c r="AV69" s="2" t="str">
        <f>HYPERLINK("http://www.ncbi.nlm.nih.gov/protein/XP_308163.4","XP_308163.4")</f>
        <v>XP_308163.4</v>
      </c>
      <c r="AW69" s="2">
        <v>100</v>
      </c>
      <c r="AX69" s="2">
        <v>100</v>
      </c>
      <c r="AY69" s="2">
        <v>100</v>
      </c>
      <c r="AZ69" s="2" t="s">
        <v>95</v>
      </c>
      <c r="BA69" s="9" t="str">
        <f>HYPERLINK(".\links\REFSEQ-INVERTEBRATE\AGAP007713-PD-REFSEQ-INVERTEBRATE.txt","AGAP007713-PA")</f>
        <v>AGAP007713-PA</v>
      </c>
      <c r="BB69" s="2" t="str">
        <f>HYPERLINK("http://www.ncbi.nlm.nih.gov/sutils/blink.cgi?pid=XP_001687854.1","0.0")</f>
        <v>0.0</v>
      </c>
      <c r="BC69" s="2" t="str">
        <f>HYPERLINK("http://www.ncbi.nlm.nih.gov/protein/XP_001687854.1","XP_001687854.1")</f>
        <v>XP_001687854.1</v>
      </c>
      <c r="BD69" s="2">
        <v>100</v>
      </c>
      <c r="BE69" s="2">
        <v>100</v>
      </c>
      <c r="BF69" s="2">
        <v>100</v>
      </c>
      <c r="BG69" s="2" t="s">
        <v>95</v>
      </c>
      <c r="BH69" s="9" t="str">
        <f>HYPERLINK(".\links\REFSEQ-PROTOZOA\AGAP007713-PD-REFSEQ-PROTOZOA.txt","hypothetical protein SPRG_03530")</f>
        <v>hypothetical protein SPRG_03530</v>
      </c>
      <c r="BI69" s="2" t="str">
        <f>HYPERLINK("http://www.ncbi.nlm.nih.gov/sutils/blink.cgi?pid=XP_012197500.1","5E-082")</f>
        <v>5E-082</v>
      </c>
      <c r="BJ69" s="2" t="str">
        <f>HYPERLINK("http://www.ncbi.nlm.nih.gov/protein/XP_012197500.1","XP_012197500.1")</f>
        <v>XP_012197500.1</v>
      </c>
      <c r="BK69" s="2">
        <v>50</v>
      </c>
      <c r="BL69" s="2">
        <v>65</v>
      </c>
      <c r="BM69" s="2">
        <v>107</v>
      </c>
      <c r="BN69" s="2" t="s">
        <v>1922</v>
      </c>
      <c r="BO69" s="9" t="str">
        <f>HYPERLINK(".\links\SWISSP\AGAP007713-PD-SWISSP.txt","Zinc transporter ZIP11")</f>
        <v>Zinc transporter ZIP11</v>
      </c>
      <c r="BP69" s="2" t="str">
        <f>HYPERLINK("http://www.uniprot.org/uniprot/Q28J44","4E-099")</f>
        <v>4E-099</v>
      </c>
      <c r="BQ69" s="2" t="str">
        <f>HYPERLINK("http://www.uniprot.org/uniprot/Q28J44#expression","Q28J44")</f>
        <v>Q28J44</v>
      </c>
      <c r="BR69" s="2">
        <v>55</v>
      </c>
      <c r="BS69" s="2">
        <v>67</v>
      </c>
      <c r="BT69" s="2">
        <v>108</v>
      </c>
      <c r="BU69" s="2" t="s">
        <v>97</v>
      </c>
      <c r="BV69" s="9" t="str">
        <f>HYPERLINK(".\links\FLYBASE\AGAP007713-PD-FLYBASE.txt","FBpp0087144")</f>
        <v>FBpp0087144</v>
      </c>
      <c r="BW69" s="2" t="str">
        <f>HYPERLINK("http://flybase.org/reports/FBgn0033665#alliance_summary_container","1E-164")</f>
        <v>1E-164</v>
      </c>
      <c r="BX69" s="2">
        <v>341</v>
      </c>
      <c r="BY69" s="2">
        <v>68</v>
      </c>
      <c r="BZ69" s="2">
        <v>81</v>
      </c>
      <c r="CA69" s="2">
        <v>104</v>
      </c>
      <c r="CB69" s="9" t="str">
        <f>HYPERLINK(".\links\CDD\AGAP007713-PD-CDD.txt","COG0428, Predicted divalent heavy-metal cations transporter")</f>
        <v>COG0428, Predicted divalent heavy-metal cations transporter</v>
      </c>
      <c r="CC69" s="13">
        <v>2.0000000000000001E-32</v>
      </c>
      <c r="CD69" s="2">
        <v>59</v>
      </c>
      <c r="CE69" s="2" t="s">
        <v>1923</v>
      </c>
      <c r="CF69" s="2" t="s">
        <v>1924</v>
      </c>
      <c r="CG69" s="9" t="str">
        <f>HYPERLINK(".\links\KOG\AGAP007713-PD-KOG.txt","Zinc transporter and related ZIP domain-containing proteins")</f>
        <v>Zinc transporter and related ZIP domain-containing proteins</v>
      </c>
      <c r="CH69" s="13">
        <v>1.9999999999999999E-72</v>
      </c>
      <c r="CI69" s="2">
        <v>93.8</v>
      </c>
      <c r="CJ69" s="2" t="s">
        <v>1925</v>
      </c>
      <c r="CK69" s="2" t="s">
        <v>653</v>
      </c>
      <c r="CL69" s="9" t="str">
        <f>HYPERLINK(".\links\PFAM\AGAP007713-PD-PFAM.txt","Zip, ZIP Zinc transporter")</f>
        <v>Zip, ZIP Zinc transporter</v>
      </c>
      <c r="CM69" s="13">
        <v>1.9999999999999999E-20</v>
      </c>
      <c r="CN69" s="2">
        <v>99.1</v>
      </c>
      <c r="CO69" s="2" t="s">
        <v>1563</v>
      </c>
      <c r="CP69" s="9" t="str">
        <f>HYPERLINK(".\links\SMART\AGAP007713-PD-SMART.txt","PP2Ac, Protein phosphatase 2A homologues, catalytic domain")</f>
        <v>PP2Ac, Protein phosphatase 2A homologues, catalytic domain</v>
      </c>
      <c r="CQ69" s="13">
        <v>3.4</v>
      </c>
      <c r="CR69" s="2">
        <v>7.7</v>
      </c>
      <c r="CS69" s="2" t="s">
        <v>439</v>
      </c>
      <c r="CT69" s="2" t="s">
        <v>1919</v>
      </c>
      <c r="CU69" s="2" t="s">
        <v>1919</v>
      </c>
      <c r="CV69" s="2" t="s">
        <v>1919</v>
      </c>
      <c r="CW69" s="2" t="str">
        <f>HYPERLINK(".\links\pep\AGAP007713-PD-pep.txt","AGAP007713-PD")</f>
        <v>AGAP007713-PD</v>
      </c>
      <c r="CX69" s="2" t="s">
        <v>88</v>
      </c>
      <c r="CY69" s="2">
        <v>356</v>
      </c>
      <c r="CZ69" s="2" t="s">
        <v>103</v>
      </c>
      <c r="DA69" s="2" t="s">
        <v>1926</v>
      </c>
      <c r="DB69" s="2">
        <v>0</v>
      </c>
      <c r="DC69" s="2">
        <v>0</v>
      </c>
      <c r="DD69" s="2" t="str">
        <f>HYPERLINK("https://www.kegg.jp/kegg-bin/search_pathway_text?map=aga&amp;keyword=AGAP007713&amp;mode=1&amp;viewImage=true","AGAP007713")</f>
        <v>AGAP007713</v>
      </c>
      <c r="DE69" s="2" t="s">
        <v>1914</v>
      </c>
      <c r="DF69" s="2" t="s">
        <v>1915</v>
      </c>
      <c r="DG69" s="2" t="s">
        <v>87</v>
      </c>
      <c r="DH69" s="2" t="str">
        <f>HYPERLINK("https://vectorbase.org/vectorbase/app/record/gene/AGAP007713","AGAP007713-RD")</f>
        <v>AGAP007713-RD</v>
      </c>
      <c r="DI69" s="2" t="s">
        <v>122</v>
      </c>
      <c r="DJ69" s="2">
        <v>1490</v>
      </c>
      <c r="DK69" s="2" t="str">
        <f>HYPERLINK(".\links\netoglyc\AGAP007713-PD-netoglyc.txt","0")</f>
        <v>0</v>
      </c>
      <c r="DL69" s="2">
        <v>13.5</v>
      </c>
      <c r="DM69" s="2">
        <v>11</v>
      </c>
      <c r="DN69" s="2">
        <v>3.1</v>
      </c>
      <c r="DO69" s="2" t="s">
        <v>94</v>
      </c>
      <c r="DP69" s="2" t="s">
        <v>1927</v>
      </c>
      <c r="DQ69" s="2" t="str">
        <f>HYPERLINK(".\links\Sigp\AGAP007713-PD-SigP.txt","BL/SIG")</f>
        <v>BL/SIG</v>
      </c>
      <c r="DR69" s="2" t="s">
        <v>89</v>
      </c>
      <c r="DS69" s="2">
        <v>37.165999999999997</v>
      </c>
      <c r="DT69" s="2">
        <v>5.44</v>
      </c>
      <c r="DU69" s="2" t="s">
        <v>89</v>
      </c>
      <c r="DV69" s="2" t="s">
        <v>89</v>
      </c>
      <c r="DW69" s="2" t="s">
        <v>1921</v>
      </c>
      <c r="DX69" s="2">
        <v>356</v>
      </c>
      <c r="DY69" s="12" t="str">
        <f>HYPERLINK(".\links\tmhmm\AGAP007713-PD-tmhmm.txt","5")</f>
        <v>5</v>
      </c>
      <c r="DZ69" s="2">
        <v>31.2</v>
      </c>
      <c r="EA69" s="2">
        <v>11.2</v>
      </c>
      <c r="EB69" s="2">
        <v>57.6</v>
      </c>
      <c r="EC69" s="2" t="str">
        <f>HYPERLINK(".\links\gpi\AGAP007713-PD-gpi.txt","Y-NoSP")</f>
        <v>Y-NoSP</v>
      </c>
      <c r="ED69" s="2">
        <v>0.38</v>
      </c>
      <c r="EF69" s="2">
        <v>2</v>
      </c>
      <c r="EG69" s="2" t="s">
        <v>89</v>
      </c>
      <c r="EH69" s="2" t="s">
        <v>89</v>
      </c>
      <c r="EI69" s="2">
        <v>13.483146067415699</v>
      </c>
      <c r="EJ69" s="2">
        <v>3.0898876404494402</v>
      </c>
      <c r="EK69" s="2">
        <v>10.955056179775299</v>
      </c>
      <c r="EL69" s="2">
        <v>14.044943820224701</v>
      </c>
      <c r="EM69" s="2" t="s">
        <v>89</v>
      </c>
      <c r="EN69" s="2">
        <v>2</v>
      </c>
      <c r="EO69" s="2">
        <v>2</v>
      </c>
      <c r="EP69" s="2" t="s">
        <v>89</v>
      </c>
      <c r="EQ69" s="2" t="s">
        <v>89</v>
      </c>
      <c r="ER69" s="2" t="s">
        <v>89</v>
      </c>
      <c r="ES69" s="2" t="s">
        <v>89</v>
      </c>
      <c r="ET69" s="2" t="str">
        <f>HYPERLINK(".\links\REFSEQ-INVERTEBRATE\AGAP007713-PD-REFSEQ-INVERTEBRATE.txt","AGAP007713-PA")</f>
        <v>AGAP007713-PA</v>
      </c>
      <c r="EU69" s="2" t="str">
        <f>HYPERLINK("http://www.ncbi.nlm.nih.gov/sutils/blink.cgi?pid=XP_001687854.1","0.0")</f>
        <v>0.0</v>
      </c>
      <c r="EV69" s="2" t="str">
        <f>HYPERLINK("http://www.ncbi.nlm.nih.gov/protein/XP_001687854.1","XP_001687854.1")</f>
        <v>XP_001687854.1</v>
      </c>
      <c r="EW69" s="2">
        <v>100</v>
      </c>
      <c r="EX69" s="2">
        <v>100</v>
      </c>
      <c r="EY69" s="2">
        <v>100</v>
      </c>
      <c r="EZ69" s="2" t="s">
        <v>95</v>
      </c>
    </row>
    <row r="70" spans="1:156" x14ac:dyDescent="0.25">
      <c r="A70" s="2" t="s">
        <v>3147</v>
      </c>
      <c r="B70" s="2">
        <v>-0.71431337080977397</v>
      </c>
      <c r="C70" s="2">
        <f t="shared" si="1"/>
        <v>0.6094951429429537</v>
      </c>
      <c r="D70" s="2">
        <v>4.8312585357883098</v>
      </c>
      <c r="E70" s="2">
        <v>11.1814271664873</v>
      </c>
      <c r="F70" s="2">
        <v>8.2620197092129501E-4</v>
      </c>
      <c r="G70" s="2">
        <v>3.6373112767377598E-2</v>
      </c>
      <c r="H70" s="2" t="s">
        <v>86</v>
      </c>
      <c r="I70" s="2" t="s">
        <v>87</v>
      </c>
      <c r="J70" s="2" t="str">
        <f>HYPERLINK("https://vectorbase.org/vectorbase/app/record/gene/AGAP029082","AGAP029082-RA")</f>
        <v>AGAP029082-RA</v>
      </c>
      <c r="K70" s="2" t="str">
        <f>HYPERLINK(".\links\pep\AGAP029082-PA-pep.txt","AGAP029082-PA")</f>
        <v>AGAP029082-PA</v>
      </c>
      <c r="L70" s="12" t="s">
        <v>88</v>
      </c>
      <c r="M70" s="2">
        <v>104</v>
      </c>
      <c r="N70" s="2">
        <v>0</v>
      </c>
      <c r="O70" s="2">
        <v>0</v>
      </c>
      <c r="P70" s="2" t="s">
        <v>89</v>
      </c>
      <c r="Q70" s="9" t="s">
        <v>3148</v>
      </c>
      <c r="R70" s="2" t="s">
        <v>245</v>
      </c>
      <c r="S70" s="2" t="str">
        <f>HYPERLINK(".\links\REFSEQ-INVERTEBRATE\AGAP029082-PA-REFSEQ-INVERTEBRATE.txt","REFSEQ-INVERTEBRATE")</f>
        <v>REFSEQ-INVERTEBRATE</v>
      </c>
      <c r="T70" s="2">
        <v>5.0000000000000002E-43</v>
      </c>
      <c r="U70" s="2">
        <v>100</v>
      </c>
      <c r="V70" s="2" t="s">
        <v>3149</v>
      </c>
      <c r="W70" s="10" t="s">
        <v>3150</v>
      </c>
      <c r="X70" s="2" t="s">
        <v>245</v>
      </c>
      <c r="Y70" s="2" t="str">
        <f>HYPERLINK(".\links\REFSEQ-INVERTEBRATE\AGAP029082-PA-REFSEQ-INVERTEBRATE.txt","REFSEQ-INVERTEBRATE")</f>
        <v>REFSEQ-INVERTEBRATE</v>
      </c>
      <c r="Z70" s="13">
        <v>3E-65</v>
      </c>
      <c r="AA70" s="2">
        <v>100</v>
      </c>
      <c r="AB70" s="14" t="s">
        <v>89</v>
      </c>
      <c r="AC70" s="14" t="str">
        <f>HYPERLINK(".\links\Sigp\AGAP029082-PA-SigP.txt","CYT")</f>
        <v>CYT</v>
      </c>
      <c r="AD70" s="2" t="s">
        <v>89</v>
      </c>
      <c r="AE70" s="2">
        <v>12.257</v>
      </c>
      <c r="AF70" s="2">
        <v>10.32</v>
      </c>
      <c r="AG70" s="2" t="s">
        <v>89</v>
      </c>
      <c r="AH70" s="2" t="s">
        <v>89</v>
      </c>
      <c r="AI70" s="2" t="s">
        <v>93</v>
      </c>
      <c r="AJ70" s="14">
        <v>0</v>
      </c>
      <c r="AK70" s="2" t="s">
        <v>89</v>
      </c>
      <c r="AL70" s="2" t="s">
        <v>89</v>
      </c>
      <c r="AM70" s="2" t="s">
        <v>89</v>
      </c>
      <c r="AN70" s="9" t="str">
        <f>HYPERLINK(".\links\gpi\AGAP029082-PA-gpi.txt","N")</f>
        <v>N</v>
      </c>
      <c r="AO70" s="15" t="str">
        <f>HYPERLINK(".\links\netoglyc\AGAP029082-PA-netoglyc.txt","0")</f>
        <v>0</v>
      </c>
      <c r="AP70" s="14">
        <v>10.6</v>
      </c>
      <c r="AQ70" s="2">
        <v>3.8</v>
      </c>
      <c r="AR70" s="2">
        <v>2.9</v>
      </c>
      <c r="AS70" s="2" t="s">
        <v>94</v>
      </c>
      <c r="AT70" s="9" t="str">
        <f>HYPERLINK(".\links\NR-LIGHT\AGAP029082-PA-NR-LIGHT.txt","hypothetical protein ZHAS_00002139")</f>
        <v>hypothetical protein ZHAS_00002139</v>
      </c>
      <c r="AU70" s="2" t="str">
        <f>HYPERLINK("http://www.ncbi.nlm.nih.gov/sutils/blink.cgi?pid=KFB35441.1","5E-050")</f>
        <v>5E-050</v>
      </c>
      <c r="AV70" s="2" t="str">
        <f>HYPERLINK("http://www.ncbi.nlm.nih.gov/protein/KFB35441.1","KFB35441.1")</f>
        <v>KFB35441.1</v>
      </c>
      <c r="AW70" s="2">
        <v>92</v>
      </c>
      <c r="AX70" s="2">
        <v>99</v>
      </c>
      <c r="AY70" s="2">
        <v>25</v>
      </c>
      <c r="AZ70" s="2" t="s">
        <v>1982</v>
      </c>
      <c r="BA70" s="9" t="str">
        <f>HYPERLINK(".\links\REFSEQ-INVERTEBRATE\AGAP029082-PA-REFSEQ-INVERTEBRATE.txt","ribosomal protein 63, mitochondrial-like")</f>
        <v>ribosomal protein 63, mitochondrial-like</v>
      </c>
      <c r="BB70" s="2" t="str">
        <f>HYPERLINK("http://www.ncbi.nlm.nih.gov/sutils/blink.cgi?pid=XP_019533504.1","5E-043")</f>
        <v>5E-043</v>
      </c>
      <c r="BC70" s="2" t="str">
        <f>HYPERLINK("http://www.ncbi.nlm.nih.gov/protein/XP_019533504.1","XP_019533504.1")</f>
        <v>XP_019533504.1</v>
      </c>
      <c r="BD70" s="2">
        <v>80</v>
      </c>
      <c r="BE70" s="2">
        <v>88</v>
      </c>
      <c r="BF70" s="2">
        <v>100</v>
      </c>
      <c r="BG70" s="2" t="s">
        <v>2012</v>
      </c>
      <c r="BH70" s="9" t="str">
        <f>HYPERLINK(".\links\REFSEQ-PROTOZOA\AGAP029082-PA-REFSEQ-PROTOZOA.txt","hypothetical protein (macronuclear)")</f>
        <v>hypothetical protein (macronuclear)</v>
      </c>
      <c r="BI70" s="2" t="str">
        <f>HYPERLINK("http://www.ncbi.nlm.nih.gov/sutils/blink.cgi?pid=XP_001436077.1","0.33")</f>
        <v>0.33</v>
      </c>
      <c r="BJ70" s="2" t="str">
        <f>HYPERLINK("http://www.ncbi.nlm.nih.gov/protein/XP_001436077.1","XP_001436077.1")</f>
        <v>XP_001436077.1</v>
      </c>
      <c r="BK70" s="2">
        <v>36</v>
      </c>
      <c r="BL70" s="2">
        <v>56</v>
      </c>
      <c r="BM70" s="2">
        <v>23</v>
      </c>
      <c r="BN70" s="2" t="s">
        <v>665</v>
      </c>
      <c r="BO70" s="9" t="str">
        <f>HYPERLINK(".\links\SWISSP\AGAP029082-PA-SWISSP.txt","Ribosomal protein 63, mitochondrial")</f>
        <v>Ribosomal protein 63, mitochondrial</v>
      </c>
      <c r="BP70" s="2" t="str">
        <f>HYPERLINK("http://www.uniprot.org/uniprot/Q6PBR7","1E-006")</f>
        <v>1E-006</v>
      </c>
      <c r="BQ70" s="2" t="str">
        <f>HYPERLINK("http://www.uniprot.org/uniprot/Q6PBR7#expression","Q6PBR7")</f>
        <v>Q6PBR7</v>
      </c>
      <c r="BR70" s="2">
        <v>32</v>
      </c>
      <c r="BS70" s="2">
        <v>54</v>
      </c>
      <c r="BT70" s="2">
        <v>92</v>
      </c>
      <c r="BU70" s="2" t="s">
        <v>744</v>
      </c>
      <c r="BV70" s="9" t="str">
        <f>HYPERLINK(".\links\FLYBASE\AGAP029082-PA-FLYBASE.txt","FBpp0311619")</f>
        <v>FBpp0311619</v>
      </c>
      <c r="BW70" s="2" t="str">
        <f>HYPERLINK("http://flybase.org/reports/FBgn0026089#alliance_summary_container","1E-39")</f>
        <v>1E-39</v>
      </c>
      <c r="BX70" s="2">
        <v>106</v>
      </c>
      <c r="BY70" s="2">
        <v>61</v>
      </c>
      <c r="BZ70" s="2">
        <v>73</v>
      </c>
      <c r="CA70" s="2">
        <v>100</v>
      </c>
      <c r="CB70" s="9" t="str">
        <f>HYPERLINK(".\links\CDD\AGAP029082-PA-CDD.txt","MRP-63, Mitochondrial ribosome protein 63")</f>
        <v>MRP-63, Mitochondrial ribosome protein 63</v>
      </c>
      <c r="CC70" s="13">
        <v>4.9999999999999998E-24</v>
      </c>
      <c r="CD70" s="2">
        <v>101.1</v>
      </c>
      <c r="CE70" s="2" t="s">
        <v>3151</v>
      </c>
      <c r="CF70" s="2" t="s">
        <v>3152</v>
      </c>
      <c r="CG70" s="9" t="str">
        <f>HYPERLINK(".\links\KOG\AGAP029082-PA-KOG.txt","eIF2-interacting protein ABC50 (ABC superfamily)")</f>
        <v>eIF2-interacting protein ABC50 (ABC superfamily)</v>
      </c>
      <c r="CH70" s="13">
        <v>1.2E-2</v>
      </c>
      <c r="CI70" s="2">
        <v>7.6</v>
      </c>
      <c r="CJ70" s="2" t="s">
        <v>3153</v>
      </c>
      <c r="CK70" s="2" t="s">
        <v>252</v>
      </c>
      <c r="CL70" s="9" t="str">
        <f>HYPERLINK(".\links\PFAM\AGAP029082-PA-PFAM.txt","MRP-63, Mitochondrial ribosome protein 63")</f>
        <v>MRP-63, Mitochondrial ribosome protein 63</v>
      </c>
      <c r="CM70" s="13">
        <v>9.9999999999999992E-25</v>
      </c>
      <c r="CN70" s="2">
        <v>101.1</v>
      </c>
      <c r="CO70" s="2" t="s">
        <v>3151</v>
      </c>
      <c r="CP70" s="9" t="str">
        <f>HYPERLINK(".\links\SMART\AGAP029082-PA-SMART.txt","Glyco_32, Glycosyl hydrolases family 32")</f>
        <v>Glyco_32, Glycosyl hydrolases family 32</v>
      </c>
      <c r="CQ70" s="13">
        <v>0.99</v>
      </c>
      <c r="CR70" s="2">
        <v>5.3</v>
      </c>
      <c r="CS70" s="2" t="s">
        <v>2971</v>
      </c>
      <c r="CT70" s="2" t="s">
        <v>3149</v>
      </c>
      <c r="CU70" s="2" t="s">
        <v>3149</v>
      </c>
      <c r="CV70" s="2" t="s">
        <v>3149</v>
      </c>
      <c r="CW70" s="2" t="str">
        <f>HYPERLINK(".\links\pep\AGAP029082-PA-pep.txt","AGAP029082-PA")</f>
        <v>AGAP029082-PA</v>
      </c>
      <c r="CX70" s="2" t="s">
        <v>88</v>
      </c>
      <c r="CY70" s="2">
        <v>104</v>
      </c>
      <c r="CZ70" s="2" t="s">
        <v>103</v>
      </c>
      <c r="DA70" s="2" t="s">
        <v>3154</v>
      </c>
      <c r="DB70" s="2">
        <v>0</v>
      </c>
      <c r="DC70" s="2">
        <v>0</v>
      </c>
      <c r="DD70" s="2" t="str">
        <f>HYPERLINK("https://www.kegg.jp/kegg-bin/search_pathway_text?map=aga&amp;keyword=AGAP029082&amp;mode=1&amp;viewImage=true","AGAP029082")</f>
        <v>AGAP029082</v>
      </c>
      <c r="DE70" s="2" t="s">
        <v>3147</v>
      </c>
      <c r="DF70" s="2" t="s">
        <v>86</v>
      </c>
      <c r="DG70" s="2" t="s">
        <v>87</v>
      </c>
      <c r="DH70" s="2" t="str">
        <f>HYPERLINK("https://vectorbase.org/vectorbase/app/record/gene/AGAP029082","AGAP029082-RA")</f>
        <v>AGAP029082-RA</v>
      </c>
      <c r="DI70" s="2" t="s">
        <v>158</v>
      </c>
      <c r="DJ70" s="2">
        <v>478</v>
      </c>
      <c r="DK70" s="2" t="str">
        <f>HYPERLINK(".\links\netoglyc\AGAP029082-PA-netoglyc.txt","0")</f>
        <v>0</v>
      </c>
      <c r="DL70" s="2">
        <v>10.6</v>
      </c>
      <c r="DM70" s="2">
        <v>3.8</v>
      </c>
      <c r="DN70" s="2">
        <v>2.9</v>
      </c>
      <c r="DO70" s="2" t="s">
        <v>94</v>
      </c>
      <c r="DP70" s="2" t="s">
        <v>89</v>
      </c>
      <c r="DQ70" s="2" t="str">
        <f>HYPERLINK(".\links\Sigp\AGAP029082-PA-SigP.txt","CYT")</f>
        <v>CYT</v>
      </c>
      <c r="DR70" s="2" t="s">
        <v>89</v>
      </c>
      <c r="DS70" s="2">
        <v>12.257</v>
      </c>
      <c r="DT70" s="2">
        <v>10.32</v>
      </c>
      <c r="DU70" s="2" t="s">
        <v>89</v>
      </c>
      <c r="DV70" s="2" t="s">
        <v>89</v>
      </c>
      <c r="DW70" s="2" t="s">
        <v>93</v>
      </c>
      <c r="DX70" s="2">
        <v>104</v>
      </c>
      <c r="DY70" s="12">
        <v>0</v>
      </c>
      <c r="DZ70" s="2" t="s">
        <v>89</v>
      </c>
      <c r="EA70" s="2" t="s">
        <v>89</v>
      </c>
      <c r="EB70" s="2" t="s">
        <v>89</v>
      </c>
      <c r="EC70" s="2" t="str">
        <f>HYPERLINK(".\links\gpi\AGAP029082-PA-gpi.txt","N")</f>
        <v>N</v>
      </c>
      <c r="ED70" s="2">
        <v>0.4</v>
      </c>
      <c r="EF70" s="2">
        <v>0</v>
      </c>
      <c r="EG70" s="2" t="s">
        <v>89</v>
      </c>
      <c r="EH70" s="2" t="s">
        <v>89</v>
      </c>
      <c r="EI70" s="2">
        <v>10.5769230769231</v>
      </c>
      <c r="EJ70" s="2">
        <v>2.8846153846153801</v>
      </c>
      <c r="EK70" s="2">
        <v>3.8461538461538498</v>
      </c>
      <c r="EL70" s="2">
        <v>6.7307692307692299</v>
      </c>
      <c r="EM70" s="2" t="s">
        <v>89</v>
      </c>
      <c r="EN70" s="2" t="s">
        <v>89</v>
      </c>
      <c r="EO70" s="2" t="s">
        <v>89</v>
      </c>
      <c r="EP70" s="2" t="s">
        <v>89</v>
      </c>
      <c r="EQ70" s="2" t="s">
        <v>89</v>
      </c>
      <c r="ER70" s="2" t="s">
        <v>89</v>
      </c>
      <c r="ES70" s="2" t="s">
        <v>89</v>
      </c>
      <c r="ET70" s="2" t="str">
        <f>HYPERLINK(".\links\REFSEQ-INVERTEBRATE\AGAP029082-PA-REFSEQ-INVERTEBRATE.txt","ribosomal protein 63, mitochondrial-like")</f>
        <v>ribosomal protein 63, mitochondrial-like</v>
      </c>
      <c r="EU70" s="2" t="str">
        <f>HYPERLINK("http://www.ncbi.nlm.nih.gov/sutils/blink.cgi?pid=XP_035774711.1","3E-65")</f>
        <v>3E-65</v>
      </c>
      <c r="EV70" s="2" t="str">
        <f>HYPERLINK("http://www.ncbi.nlm.nih.gov/protein/XP_035774711.1","XP_035774711.1")</f>
        <v>XP_035774711.1</v>
      </c>
      <c r="EW70" s="2">
        <v>89</v>
      </c>
      <c r="EX70" s="2">
        <v>98</v>
      </c>
      <c r="EY70" s="2">
        <v>100</v>
      </c>
      <c r="EZ70" s="2" t="s">
        <v>2650</v>
      </c>
    </row>
    <row r="71" spans="1:156" x14ac:dyDescent="0.25">
      <c r="A71" s="2" t="s">
        <v>1413</v>
      </c>
      <c r="B71" s="2">
        <v>-0.71638596910608598</v>
      </c>
      <c r="C71" s="2">
        <f t="shared" si="1"/>
        <v>0.60862016132917585</v>
      </c>
      <c r="D71" s="2">
        <v>9.37500764177436</v>
      </c>
      <c r="E71" s="2">
        <v>10.428834053600101</v>
      </c>
      <c r="F71" s="2">
        <v>1.2406303895776201E-3</v>
      </c>
      <c r="G71" s="2">
        <v>4.80326973012105E-2</v>
      </c>
      <c r="H71" s="2" t="s">
        <v>1414</v>
      </c>
      <c r="I71" s="2" t="s">
        <v>89</v>
      </c>
      <c r="J71" s="2" t="str">
        <f>HYPERLINK("https://vectorbase.org/vectorbase/app/record/gene/AGAP005009","AGAP005009-RA")</f>
        <v>AGAP005009-RA</v>
      </c>
      <c r="K71" s="2" t="str">
        <f>HYPERLINK(".\links\pep\AGAP005009-PA-pep.txt","AGAP005009-PA")</f>
        <v>AGAP005009-PA</v>
      </c>
      <c r="L71" s="12" t="s">
        <v>88</v>
      </c>
      <c r="M71" s="2">
        <v>271</v>
      </c>
      <c r="N71" s="2">
        <v>0</v>
      </c>
      <c r="O71" s="2">
        <v>1</v>
      </c>
      <c r="P71" s="2" t="s">
        <v>1415</v>
      </c>
      <c r="Q71" s="9" t="s">
        <v>1415</v>
      </c>
      <c r="R71" s="2" t="s">
        <v>212</v>
      </c>
      <c r="S71" s="2" t="str">
        <f>HYPERLINK(".\links\KOG\AGAP005009-PA-KOG.txt","KOG")</f>
        <v>KOG</v>
      </c>
      <c r="T71" s="2">
        <v>9.0000000000000006E-80</v>
      </c>
      <c r="U71" s="2">
        <v>100</v>
      </c>
      <c r="V71" s="2" t="s">
        <v>1416</v>
      </c>
      <c r="W71" s="10" t="s">
        <v>564</v>
      </c>
      <c r="X71" s="2" t="s">
        <v>212</v>
      </c>
      <c r="Y71" s="2" t="str">
        <f>HYPERLINK(".\links\COG\AGAP005009-PA-COG.txt","COG")</f>
        <v>COG</v>
      </c>
      <c r="Z71" s="13">
        <v>9.9999999999999997E-73</v>
      </c>
      <c r="AA71" s="2">
        <v>100.7</v>
      </c>
      <c r="AB71" s="14" t="s">
        <v>89</v>
      </c>
      <c r="AC71" s="14" t="str">
        <f>HYPERLINK(".\links\Sigp\AGAP005009-PA-SigP.txt","CYT")</f>
        <v>CYT</v>
      </c>
      <c r="AD71" s="2" t="s">
        <v>89</v>
      </c>
      <c r="AE71" s="2">
        <v>28.38</v>
      </c>
      <c r="AF71" s="2">
        <v>8.77</v>
      </c>
      <c r="AG71" s="2" t="s">
        <v>89</v>
      </c>
      <c r="AH71" s="2" t="s">
        <v>89</v>
      </c>
      <c r="AI71" s="2" t="s">
        <v>1417</v>
      </c>
      <c r="AJ71" s="14">
        <v>0</v>
      </c>
      <c r="AK71" s="2" t="s">
        <v>89</v>
      </c>
      <c r="AL71" s="2" t="s">
        <v>89</v>
      </c>
      <c r="AM71" s="2" t="s">
        <v>89</v>
      </c>
      <c r="AN71" s="14" t="str">
        <f>HYPERLINK(".\links\gpi\AGAP005009-PA-gpi.txt","N")</f>
        <v>N</v>
      </c>
      <c r="AO71" s="15" t="str">
        <f>HYPERLINK(".\links\netoglyc\AGAP005009-PA-netoglyc.txt","1")</f>
        <v>1</v>
      </c>
      <c r="AP71" s="14">
        <v>15.9</v>
      </c>
      <c r="AQ71" s="2">
        <v>9.1999999999999993</v>
      </c>
      <c r="AR71" s="2">
        <v>4.0999999999999996</v>
      </c>
      <c r="AS71" s="2" t="s">
        <v>94</v>
      </c>
      <c r="AT71" s="9" t="str">
        <f>HYPERLINK(".\links\NR-LIGHT\AGAP005009-PA-NR-LIGHT.txt","AGAP005009-PA")</f>
        <v>AGAP005009-PA</v>
      </c>
      <c r="AU71" s="2" t="str">
        <f>HYPERLINK("http://www.ncbi.nlm.nih.gov/sutils/blink.cgi?pid=XP_315115.4","1E-146")</f>
        <v>1E-146</v>
      </c>
      <c r="AV71" s="2" t="str">
        <f>HYPERLINK("http://www.ncbi.nlm.nih.gov/protein/XP_315115.4","XP_315115.4")</f>
        <v>XP_315115.4</v>
      </c>
      <c r="AW71" s="2">
        <v>100</v>
      </c>
      <c r="AX71" s="2">
        <v>100</v>
      </c>
      <c r="AY71" s="2">
        <v>100</v>
      </c>
      <c r="AZ71" s="2" t="s">
        <v>95</v>
      </c>
      <c r="BA71" s="9" t="str">
        <f>HYPERLINK(".\links\REFSEQ-INVERTEBRATE\AGAP005009-PA-REFSEQ-INVERTEBRATE.txt","AGAP005009-PA")</f>
        <v>AGAP005009-PA</v>
      </c>
      <c r="BB71" s="2" t="str">
        <f>HYPERLINK("http://www.ncbi.nlm.nih.gov/sutils/blink.cgi?pid=XP_315115.4","1E-146")</f>
        <v>1E-146</v>
      </c>
      <c r="BC71" s="2" t="str">
        <f>HYPERLINK("http://www.ncbi.nlm.nih.gov/protein/XP_315115.4","XP_315115.4")</f>
        <v>XP_315115.4</v>
      </c>
      <c r="BD71" s="2">
        <v>100</v>
      </c>
      <c r="BE71" s="2">
        <v>100</v>
      </c>
      <c r="BF71" s="2">
        <v>100</v>
      </c>
      <c r="BG71" s="2" t="s">
        <v>95</v>
      </c>
      <c r="BH71" s="9" t="str">
        <f>HYPERLINK(".\links\REFSEQ-PROTOZOA\AGAP005009-PA-REFSEQ-PROTOZOA.txt","delta-1-pyrroline-5-carboxylate reductase")</f>
        <v>delta-1-pyrroline-5-carboxylate reductase</v>
      </c>
      <c r="BI71" s="2" t="str">
        <f>HYPERLINK("http://www.ncbi.nlm.nih.gov/sutils/blink.cgi?pid=XP_004993106.1","3E-056")</f>
        <v>3E-056</v>
      </c>
      <c r="BJ71" s="2" t="str">
        <f>HYPERLINK("http://www.ncbi.nlm.nih.gov/protein/XP_004993106.1","XP_004993106.1")</f>
        <v>XP_004993106.1</v>
      </c>
      <c r="BK71" s="2">
        <v>46</v>
      </c>
      <c r="BL71" s="2">
        <v>63</v>
      </c>
      <c r="BM71" s="2">
        <v>95</v>
      </c>
      <c r="BN71" s="2" t="s">
        <v>182</v>
      </c>
      <c r="BO71" s="9" t="str">
        <f>HYPERLINK(".\links\SWISSP\AGAP005009-PA-SWISSP.txt","Pyrroline-5-carboxylate reductase")</f>
        <v>Pyrroline-5-carboxylate reductase</v>
      </c>
      <c r="BP71" s="2" t="str">
        <f>HYPERLINK("http://www.uniprot.org/uniprot/O04016","3E-057")</f>
        <v>3E-057</v>
      </c>
      <c r="BQ71" s="2" t="str">
        <f>HYPERLINK("http://www.uniprot.org/uniprot/O04016#expression","O04016")</f>
        <v>O04016</v>
      </c>
      <c r="BR71" s="2">
        <v>47</v>
      </c>
      <c r="BS71" s="2">
        <v>63</v>
      </c>
      <c r="BT71" s="2">
        <v>95</v>
      </c>
      <c r="BU71" s="2" t="s">
        <v>1418</v>
      </c>
      <c r="BV71" s="9" t="str">
        <f>HYPERLINK(".\links\FLYBASE\AGAP005009-PA-FLYBASE.txt","FBpp0082895")</f>
        <v>FBpp0082895</v>
      </c>
      <c r="BW71" s="2" t="str">
        <f>HYPERLINK("http://flybase.org/reports/FBgn0038516#alliance_summary_container","1E-128")</f>
        <v>1E-128</v>
      </c>
      <c r="BX71" s="2">
        <v>273</v>
      </c>
      <c r="BY71" s="2">
        <v>63</v>
      </c>
      <c r="BZ71" s="2">
        <v>81</v>
      </c>
      <c r="CA71" s="2">
        <v>99</v>
      </c>
      <c r="CB71" s="9" t="str">
        <f>HYPERLINK(".\links\CDD\AGAP005009-PA-CDD.txt","PLN02688, pyrroline-5-carboxylate reductase")</f>
        <v>PLN02688, pyrroline-5-carboxylate reductase</v>
      </c>
      <c r="CC71" s="13">
        <v>1E-79</v>
      </c>
      <c r="CD71" s="2">
        <v>100</v>
      </c>
      <c r="CE71" s="2" t="s">
        <v>1419</v>
      </c>
      <c r="CF71" s="2" t="s">
        <v>1420</v>
      </c>
      <c r="CG71" s="9" t="str">
        <f>HYPERLINK(".\links\KOG\AGAP005009-PA-KOG.txt","Pyrroline-5-carboxylate reductase")</f>
        <v>Pyrroline-5-carboxylate reductase</v>
      </c>
      <c r="CH71" s="13">
        <v>9.0000000000000006E-80</v>
      </c>
      <c r="CI71" s="2">
        <v>100</v>
      </c>
      <c r="CJ71" s="2" t="s">
        <v>1421</v>
      </c>
      <c r="CK71" s="2" t="s">
        <v>393</v>
      </c>
      <c r="CL71" s="9" t="str">
        <f>HYPERLINK(".\links\PFAM\AGAP005009-PA-PFAM.txt","P5CR_dimer, Pyrroline-5-carboxylate reductase dimerisation")</f>
        <v>P5CR_dimer, Pyrroline-5-carboxylate reductase dimerisation</v>
      </c>
      <c r="CM71" s="13">
        <v>5.9999999999999998E-38</v>
      </c>
      <c r="CN71" s="2">
        <v>100</v>
      </c>
      <c r="CO71" s="2" t="s">
        <v>1422</v>
      </c>
      <c r="CP71" s="9" t="str">
        <f>HYPERLINK(".\links\SMART\AGAP005009-PA-SMART.txt","DENN, Domain found in a variety of signalling proteins, always encircled by uDENN and dDENN")</f>
        <v>DENN, Domain found in a variety of signalling proteins, always encircled by uDENN and dDENN</v>
      </c>
      <c r="CQ71" s="13">
        <v>0.1</v>
      </c>
      <c r="CR71" s="2">
        <v>31.1</v>
      </c>
      <c r="CS71" s="2" t="s">
        <v>1423</v>
      </c>
      <c r="CT71" s="2" t="s">
        <v>1416</v>
      </c>
      <c r="CU71" s="2" t="s">
        <v>1416</v>
      </c>
      <c r="CV71" s="2" t="s">
        <v>1416</v>
      </c>
      <c r="CW71" s="2" t="str">
        <f>HYPERLINK(".\links\pep\AGAP005009-PA-pep.txt","AGAP005009-PA")</f>
        <v>AGAP005009-PA</v>
      </c>
      <c r="CX71" s="2" t="s">
        <v>88</v>
      </c>
      <c r="CY71" s="2">
        <v>271</v>
      </c>
      <c r="CZ71" s="2" t="s">
        <v>103</v>
      </c>
      <c r="DA71" s="2">
        <v>0</v>
      </c>
      <c r="DB71" s="2">
        <v>1</v>
      </c>
      <c r="DD71" s="2" t="str">
        <f>HYPERLINK("https://www.kegg.jp/kegg-bin/search_pathway_text?map=aga&amp;keyword=AGAP005009&amp;mode=1&amp;viewImage=true","AGAP005009")</f>
        <v>AGAP005009</v>
      </c>
      <c r="DE71" s="2" t="s">
        <v>1413</v>
      </c>
      <c r="DF71" s="2" t="s">
        <v>1414</v>
      </c>
      <c r="DG71" s="2" t="s">
        <v>89</v>
      </c>
      <c r="DH71" s="2" t="str">
        <f>HYPERLINK("https://vectorbase.org/vectorbase/app/record/gene/AGAP005009","AGAP005009-RA")</f>
        <v>AGAP005009-RA</v>
      </c>
      <c r="DI71" s="2" t="s">
        <v>122</v>
      </c>
      <c r="DJ71" s="2">
        <v>1634</v>
      </c>
      <c r="DK71" s="2" t="str">
        <f>HYPERLINK(".\links\netoglyc\AGAP005009-PA-netoglyc.txt","1")</f>
        <v>1</v>
      </c>
      <c r="DL71" s="2">
        <v>15.9</v>
      </c>
      <c r="DM71" s="2">
        <v>9.1999999999999993</v>
      </c>
      <c r="DN71" s="2">
        <v>4.0999999999999996</v>
      </c>
      <c r="DO71" s="2" t="s">
        <v>94</v>
      </c>
      <c r="DP71" s="2" t="s">
        <v>89</v>
      </c>
      <c r="DQ71" s="2" t="str">
        <f>HYPERLINK(".\links\Sigp\AGAP005009-PA-SigP.txt","CYT")</f>
        <v>CYT</v>
      </c>
      <c r="DR71" s="2" t="s">
        <v>89</v>
      </c>
      <c r="DS71" s="2">
        <v>28.38</v>
      </c>
      <c r="DT71" s="2">
        <v>8.77</v>
      </c>
      <c r="DU71" s="2" t="s">
        <v>89</v>
      </c>
      <c r="DV71" s="2" t="s">
        <v>89</v>
      </c>
      <c r="DW71" s="2" t="s">
        <v>1417</v>
      </c>
      <c r="DX71" s="2">
        <v>271</v>
      </c>
      <c r="DY71" s="12">
        <v>0</v>
      </c>
      <c r="DZ71" s="2" t="s">
        <v>89</v>
      </c>
      <c r="EA71" s="2" t="s">
        <v>89</v>
      </c>
      <c r="EB71" s="2" t="s">
        <v>89</v>
      </c>
      <c r="EC71" s="2" t="str">
        <f>HYPERLINK(".\links\gpi\AGAP005009-PA-gpi.txt","Y-NoSP")</f>
        <v>Y-NoSP</v>
      </c>
      <c r="ED71" s="2">
        <v>0.31</v>
      </c>
      <c r="EF71" s="2">
        <v>3</v>
      </c>
      <c r="EG71" s="2" t="s">
        <v>89</v>
      </c>
      <c r="EH71" s="2" t="s">
        <v>89</v>
      </c>
      <c r="EI71" s="2">
        <v>15.867158671586701</v>
      </c>
      <c r="EJ71" s="2">
        <v>4.0590405904058997</v>
      </c>
      <c r="EK71" s="2">
        <v>9.2250922509225095</v>
      </c>
      <c r="EL71" s="2">
        <v>13.2841328413284</v>
      </c>
      <c r="EM71" s="2" t="s">
        <v>89</v>
      </c>
      <c r="EN71" s="2" t="s">
        <v>89</v>
      </c>
      <c r="EO71" s="2">
        <v>1</v>
      </c>
      <c r="EP71" s="2" t="s">
        <v>89</v>
      </c>
      <c r="EQ71" s="2" t="s">
        <v>89</v>
      </c>
      <c r="ER71" s="2" t="s">
        <v>89</v>
      </c>
      <c r="ES71" s="2" t="s">
        <v>89</v>
      </c>
      <c r="ET71" s="2" t="str">
        <f>HYPERLINK(".\links\REFSEQ-INVERTEBRATE\AGAP005009-PA-REFSEQ-INVERTEBRATE.txt","AGAP005009-PA")</f>
        <v>AGAP005009-PA</v>
      </c>
      <c r="EU71" s="2" t="str">
        <f>HYPERLINK("http://www.ncbi.nlm.nih.gov/sutils/blink.cgi?pid=XP_315115.4","0.0")</f>
        <v>0.0</v>
      </c>
      <c r="EV71" s="2" t="str">
        <f>HYPERLINK("http://www.ncbi.nlm.nih.gov/protein/XP_315115.4","XP_315115.4")</f>
        <v>XP_315115.4</v>
      </c>
      <c r="EW71" s="2">
        <v>100</v>
      </c>
      <c r="EX71" s="2">
        <v>100</v>
      </c>
      <c r="EY71" s="2">
        <v>100</v>
      </c>
      <c r="EZ71" s="2" t="s">
        <v>95</v>
      </c>
    </row>
    <row r="72" spans="1:156" x14ac:dyDescent="0.25">
      <c r="A72" s="2" t="s">
        <v>2732</v>
      </c>
      <c r="B72" s="2">
        <v>-0.72536285331410699</v>
      </c>
      <c r="C72" s="2">
        <f t="shared" si="1"/>
        <v>0.6048449004819666</v>
      </c>
      <c r="D72" s="2">
        <v>5.5493259117103504</v>
      </c>
      <c r="E72" s="2">
        <v>11.659091506617401</v>
      </c>
      <c r="F72" s="2">
        <v>6.38895336107505E-4</v>
      </c>
      <c r="G72" s="2">
        <v>3.1060815723911402E-2</v>
      </c>
      <c r="H72" s="2" t="s">
        <v>86</v>
      </c>
      <c r="I72" s="2" t="s">
        <v>87</v>
      </c>
      <c r="J72" s="2" t="str">
        <f>HYPERLINK("https://vectorbase.org/vectorbase/app/record/gene/AGAP011733","AGAP011733-RA")</f>
        <v>AGAP011733-RA</v>
      </c>
      <c r="K72" s="2" t="str">
        <f>HYPERLINK(".\links\pep\AGAP011733-PA-pep.txt","AGAP011733-PA")</f>
        <v>AGAP011733-PA</v>
      </c>
      <c r="L72" s="12" t="s">
        <v>88</v>
      </c>
      <c r="M72" s="2">
        <v>112</v>
      </c>
      <c r="N72" s="2">
        <v>0</v>
      </c>
      <c r="O72" s="2">
        <v>0</v>
      </c>
      <c r="P72" s="2" t="s">
        <v>89</v>
      </c>
      <c r="Q72" s="9" t="s">
        <v>1764</v>
      </c>
      <c r="R72" s="2" t="s">
        <v>700</v>
      </c>
      <c r="S72" s="2" t="str">
        <f>HYPERLINK(".\links\REFSEQ-INVERTEBRATE\AGAP011733-PA-REFSEQ-INVERTEBRATE.txt","REFSEQ-INVERTEBRATE")</f>
        <v>REFSEQ-INVERTEBRATE</v>
      </c>
      <c r="T72" s="2">
        <v>8.0000000000000002E-58</v>
      </c>
      <c r="V72" s="2" t="s">
        <v>2733</v>
      </c>
      <c r="W72" s="10" t="s">
        <v>1764</v>
      </c>
      <c r="X72" s="2" t="s">
        <v>700</v>
      </c>
      <c r="Y72" s="2" t="str">
        <f>HYPERLINK(".\links\REFSEQ-INVERTEBRATE\AGAP011733-PA-REFSEQ-INVERTEBRATE.txt","REFSEQ-INVERTEBRATE")</f>
        <v>REFSEQ-INVERTEBRATE</v>
      </c>
      <c r="Z72" s="13">
        <v>6.0000000000000001E-74</v>
      </c>
      <c r="AB72" s="14" t="s">
        <v>89</v>
      </c>
      <c r="AC72" s="14" t="str">
        <f>HYPERLINK(".\links\Sigp\AGAP011733-PA-SigP.txt","BL/SIG")</f>
        <v>BL/SIG</v>
      </c>
      <c r="AD72" s="2" t="s">
        <v>89</v>
      </c>
      <c r="AE72" s="2">
        <v>11.518000000000001</v>
      </c>
      <c r="AF72" s="2">
        <v>9.6199999999999992</v>
      </c>
      <c r="AG72" s="2" t="s">
        <v>89</v>
      </c>
      <c r="AH72" s="2" t="s">
        <v>89</v>
      </c>
      <c r="AI72" s="2" t="s">
        <v>2734</v>
      </c>
      <c r="AJ72" s="14" t="str">
        <f>HYPERLINK(".\links\tmhmm\AGAP011733-PA-tmhmm.txt","3")</f>
        <v>3</v>
      </c>
      <c r="AK72" s="2">
        <v>50</v>
      </c>
      <c r="AL72" s="2">
        <v>33</v>
      </c>
      <c r="AM72" s="2">
        <v>17</v>
      </c>
      <c r="AN72" s="14" t="str">
        <f>HYPERLINK(".\links\gpi\AGAP011733-PA-gpi.txt","N")</f>
        <v>N</v>
      </c>
      <c r="AO72" s="15" t="str">
        <f>HYPERLINK(".\links\netoglyc\AGAP011733-PA-netoglyc.txt","0")</f>
        <v>0</v>
      </c>
      <c r="AP72" s="14">
        <v>8.9</v>
      </c>
      <c r="AQ72" s="2">
        <v>14.3</v>
      </c>
      <c r="AR72" s="2">
        <v>7.1</v>
      </c>
      <c r="AS72" s="2" t="s">
        <v>94</v>
      </c>
      <c r="AT72" s="9" t="str">
        <f>HYPERLINK(".\links\NR-LIGHT\AGAP011733-PA-NR-LIGHT.txt","AGAP011733-PA")</f>
        <v>AGAP011733-PA</v>
      </c>
      <c r="AU72" s="2" t="str">
        <f>HYPERLINK("http://www.ncbi.nlm.nih.gov/sutils/blink.cgi?pid=XP_320776.2","9E-058")</f>
        <v>9E-058</v>
      </c>
      <c r="AV72" s="2" t="str">
        <f>HYPERLINK("http://www.ncbi.nlm.nih.gov/protein/XP_320776.2","XP_320776.2")</f>
        <v>XP_320776.2</v>
      </c>
      <c r="AW72" s="2">
        <v>100</v>
      </c>
      <c r="AX72" s="2">
        <v>100</v>
      </c>
      <c r="AY72" s="2">
        <v>100</v>
      </c>
      <c r="AZ72" s="2" t="s">
        <v>95</v>
      </c>
      <c r="BA72" s="9" t="str">
        <f>HYPERLINK(".\links\REFSEQ-INVERTEBRATE\AGAP011733-PA-REFSEQ-INVERTEBRATE.txt","AGAP011733-PA")</f>
        <v>AGAP011733-PA</v>
      </c>
      <c r="BB72" s="2" t="str">
        <f>HYPERLINK("http://www.ncbi.nlm.nih.gov/sutils/blink.cgi?pid=XP_320776.2","8E-058")</f>
        <v>8E-058</v>
      </c>
      <c r="BC72" s="2" t="str">
        <f>HYPERLINK("http://www.ncbi.nlm.nih.gov/protein/XP_320776.2","XP_320776.2")</f>
        <v>XP_320776.2</v>
      </c>
      <c r="BD72" s="2">
        <v>100</v>
      </c>
      <c r="BE72" s="2">
        <v>100</v>
      </c>
      <c r="BF72" s="2">
        <v>100</v>
      </c>
      <c r="BG72" s="2" t="s">
        <v>95</v>
      </c>
      <c r="BH72" s="9" t="str">
        <f>HYPERLINK(".\links\REFSEQ-PROTOZOA\AGAP011733-PA-REFSEQ-PROTOZOA.txt","hypothetical protein CAOG_04349")</f>
        <v>hypothetical protein CAOG_04349</v>
      </c>
      <c r="BI72" s="2" t="str">
        <f>HYPERLINK("http://www.ncbi.nlm.nih.gov/sutils/blink.cgi?pid=XP_004348177.1","6E-014")</f>
        <v>6E-014</v>
      </c>
      <c r="BJ72" s="2" t="str">
        <f>HYPERLINK("http://www.ncbi.nlm.nih.gov/protein/XP_004348177.1","XP_004348177.1")</f>
        <v>XP_004348177.1</v>
      </c>
      <c r="BK72" s="2">
        <v>46</v>
      </c>
      <c r="BL72" s="2">
        <v>63</v>
      </c>
      <c r="BM72" s="2">
        <v>86</v>
      </c>
      <c r="BN72" s="2" t="s">
        <v>150</v>
      </c>
      <c r="BO72" s="9" t="str">
        <f>HYPERLINK(".\links\SWISSP\AGAP011733-PA-SWISSP.txt","Transmembrane protein 14 homolog")</f>
        <v>Transmembrane protein 14 homolog</v>
      </c>
      <c r="BP72" s="2" t="str">
        <f>HYPERLINK("http://www.uniprot.org/uniprot/Q9W1K0","5E-037")</f>
        <v>5E-037</v>
      </c>
      <c r="BQ72" s="2" t="str">
        <f>HYPERLINK("http://www.uniprot.org/uniprot/Q9W1K0#expression","Q9W1K0")</f>
        <v>Q9W1K0</v>
      </c>
      <c r="BR72" s="2">
        <v>66</v>
      </c>
      <c r="BS72" s="2">
        <v>79</v>
      </c>
      <c r="BT72" s="2">
        <v>98</v>
      </c>
      <c r="BU72" s="2" t="s">
        <v>151</v>
      </c>
      <c r="BV72" s="9" t="str">
        <f>HYPERLINK(".\links\FLYBASE\AGAP011733-PA-FLYBASE.txt","FBpp0311636")</f>
        <v>FBpp0311636</v>
      </c>
      <c r="BW72" s="2" t="str">
        <f>HYPERLINK("http://flybase.org/reports/FBgn0034902#alliance_summary_container","2E-46")</f>
        <v>2E-46</v>
      </c>
      <c r="BX72" s="2">
        <v>112</v>
      </c>
      <c r="BY72" s="2">
        <v>66</v>
      </c>
      <c r="BZ72" s="2">
        <v>79</v>
      </c>
      <c r="CA72" s="2">
        <v>98</v>
      </c>
      <c r="CB72" s="9" t="str">
        <f>HYPERLINK(".\links\CDD\AGAP011733-PA-CDD.txt","Tmemb_14, Transmembrane proteins 14C")</f>
        <v>Tmemb_14, Transmembrane proteins 14C</v>
      </c>
      <c r="CC72" s="13">
        <v>3.0000000000000003E-20</v>
      </c>
      <c r="CD72" s="2">
        <v>100</v>
      </c>
      <c r="CE72" s="2" t="s">
        <v>2735</v>
      </c>
      <c r="CF72" s="2" t="s">
        <v>2736</v>
      </c>
      <c r="CG72" s="9" t="str">
        <f>HYPERLINK(".\links\KOG\AGAP011733-PA-KOG.txt","Predicted membrane protein")</f>
        <v>Predicted membrane protein</v>
      </c>
      <c r="CH72" s="13">
        <v>7.0000000000000001E-20</v>
      </c>
      <c r="CI72" s="2">
        <v>96.4</v>
      </c>
      <c r="CJ72" s="2" t="s">
        <v>2737</v>
      </c>
      <c r="CK72" s="2" t="s">
        <v>101</v>
      </c>
      <c r="CL72" s="9" t="str">
        <f>HYPERLINK(".\links\PFAM\AGAP011733-PA-PFAM.txt","Tmemb_14, Transmembrane proteins 14C")</f>
        <v>Tmemb_14, Transmembrane proteins 14C</v>
      </c>
      <c r="CM72" s="13">
        <v>7.0000000000000007E-21</v>
      </c>
      <c r="CN72" s="2">
        <v>100</v>
      </c>
      <c r="CO72" s="2" t="s">
        <v>2735</v>
      </c>
      <c r="CP72" s="9" t="str">
        <f>HYPERLINK(".\links\SMART\AGAP011733-PA-SMART.txt","SAA, Serum amyloid A proteins")</f>
        <v>SAA, Serum amyloid A proteins</v>
      </c>
      <c r="CQ72" s="13">
        <v>0.17</v>
      </c>
      <c r="CR72" s="2">
        <v>23.3</v>
      </c>
      <c r="CS72" s="2" t="s">
        <v>2738</v>
      </c>
      <c r="CT72" s="2" t="s">
        <v>2733</v>
      </c>
      <c r="CU72" s="2" t="s">
        <v>2733</v>
      </c>
      <c r="CV72" s="2" t="s">
        <v>2733</v>
      </c>
      <c r="CW72" s="2" t="str">
        <f>HYPERLINK(".\links\pep\AGAP011733-PA-pep.txt","AGAP011733-PA")</f>
        <v>AGAP011733-PA</v>
      </c>
      <c r="CX72" s="2" t="s">
        <v>88</v>
      </c>
      <c r="CY72" s="2">
        <v>112</v>
      </c>
      <c r="CZ72" s="2" t="s">
        <v>103</v>
      </c>
      <c r="DA72" s="2" t="s">
        <v>2739</v>
      </c>
      <c r="DB72" s="2">
        <v>0</v>
      </c>
      <c r="DC72" s="2">
        <v>0</v>
      </c>
      <c r="DD72" s="2" t="str">
        <f>HYPERLINK("https://www.kegg.jp/kegg-bin/search_pathway_text?map=aga&amp;keyword=AGAP011733&amp;mode=1&amp;viewImage=true","AGAP011733")</f>
        <v>AGAP011733</v>
      </c>
      <c r="DE72" s="2" t="s">
        <v>2732</v>
      </c>
      <c r="DF72" s="2" t="s">
        <v>86</v>
      </c>
      <c r="DG72" s="2" t="s">
        <v>87</v>
      </c>
      <c r="DH72" s="2" t="str">
        <f>HYPERLINK("https://vectorbase.org/vectorbase/app/record/gene/AGAP011733","AGAP011733-RA")</f>
        <v>AGAP011733-RA</v>
      </c>
      <c r="DI72" s="2" t="s">
        <v>122</v>
      </c>
      <c r="DJ72" s="2">
        <v>633</v>
      </c>
      <c r="DK72" s="2" t="str">
        <f>HYPERLINK(".\links\netoglyc\AGAP011733-PA-netoglyc.txt","0")</f>
        <v>0</v>
      </c>
      <c r="DL72" s="2">
        <v>8.9</v>
      </c>
      <c r="DM72" s="2">
        <v>14.3</v>
      </c>
      <c r="DN72" s="2">
        <v>7.1</v>
      </c>
      <c r="DO72" s="2" t="s">
        <v>94</v>
      </c>
      <c r="DP72" s="2" t="s">
        <v>2740</v>
      </c>
      <c r="DQ72" s="2" t="str">
        <f>HYPERLINK(".\links\Sigp\AGAP011733-PA-SigP.txt","BL/SIG")</f>
        <v>BL/SIG</v>
      </c>
      <c r="DR72" s="2" t="s">
        <v>89</v>
      </c>
      <c r="DS72" s="2">
        <v>11.518000000000001</v>
      </c>
      <c r="DT72" s="2">
        <v>9.6199999999999992</v>
      </c>
      <c r="DU72" s="2" t="s">
        <v>89</v>
      </c>
      <c r="DV72" s="2" t="s">
        <v>89</v>
      </c>
      <c r="DW72" s="2" t="s">
        <v>2734</v>
      </c>
      <c r="DX72" s="2">
        <v>112</v>
      </c>
      <c r="DY72" s="12" t="str">
        <f>HYPERLINK(".\links\tmhmm\AGAP011733-PA-tmhmm.txt","3")</f>
        <v>3</v>
      </c>
      <c r="DZ72" s="2">
        <v>50</v>
      </c>
      <c r="EA72" s="2">
        <v>33</v>
      </c>
      <c r="EB72" s="2">
        <v>17</v>
      </c>
      <c r="EC72" s="2" t="str">
        <f>HYPERLINK(".\links\gpi\AGAP011733-PA-gpi.txt","Y-NoSP")</f>
        <v>Y-NoSP</v>
      </c>
      <c r="ED72" s="2">
        <v>0.56000000000000005</v>
      </c>
      <c r="EF72" s="2">
        <v>2</v>
      </c>
      <c r="EG72" s="2" t="s">
        <v>89</v>
      </c>
      <c r="EH72" s="2" t="s">
        <v>89</v>
      </c>
      <c r="EI72" s="2">
        <v>8.9285714285714306</v>
      </c>
      <c r="EJ72" s="2">
        <v>7.1428571428571397</v>
      </c>
      <c r="EK72" s="2">
        <v>14.285714285714301</v>
      </c>
      <c r="EL72" s="2">
        <v>21.428571428571399</v>
      </c>
      <c r="EM72" s="2">
        <v>1</v>
      </c>
      <c r="EN72" s="2" t="s">
        <v>89</v>
      </c>
      <c r="EO72" s="2">
        <v>1</v>
      </c>
      <c r="EP72" s="2" t="s">
        <v>89</v>
      </c>
      <c r="EQ72" s="2" t="s">
        <v>89</v>
      </c>
      <c r="ER72" s="2" t="s">
        <v>89</v>
      </c>
      <c r="ES72" s="2" t="s">
        <v>89</v>
      </c>
      <c r="ET72" s="2" t="str">
        <f>HYPERLINK(".\links\REFSEQ-INVERTEBRATE\AGAP011733-PA-REFSEQ-INVERTEBRATE.txt","AGAP011733-PA")</f>
        <v>AGAP011733-PA</v>
      </c>
      <c r="EU72" s="2" t="str">
        <f>HYPERLINK("http://www.ncbi.nlm.nih.gov/sutils/blink.cgi?pid=XP_320776.2","1E-73")</f>
        <v>1E-73</v>
      </c>
      <c r="EV72" s="2" t="str">
        <f>HYPERLINK("http://www.ncbi.nlm.nih.gov/protein/XP_320776.2","XP_320776.2")</f>
        <v>XP_320776.2</v>
      </c>
      <c r="EW72" s="2">
        <v>100</v>
      </c>
      <c r="EX72" s="2">
        <v>100</v>
      </c>
      <c r="EY72" s="2">
        <v>100</v>
      </c>
      <c r="EZ72" s="2" t="s">
        <v>95</v>
      </c>
    </row>
    <row r="73" spans="1:156" x14ac:dyDescent="0.25">
      <c r="A73" s="2" t="s">
        <v>2018</v>
      </c>
      <c r="B73" s="2">
        <v>-0.72565380414929304</v>
      </c>
      <c r="C73" s="2">
        <f t="shared" si="1"/>
        <v>0.6047229326508945</v>
      </c>
      <c r="D73" s="2">
        <v>6.63838349007289</v>
      </c>
      <c r="E73" s="2">
        <v>15.656605801265499</v>
      </c>
      <c r="F73" s="2">
        <v>7.5946838724971305E-5</v>
      </c>
      <c r="G73" s="2">
        <v>7.4870925176367502E-3</v>
      </c>
      <c r="H73" s="2" t="s">
        <v>2019</v>
      </c>
      <c r="I73" s="2" t="s">
        <v>87</v>
      </c>
      <c r="J73" s="2" t="str">
        <f>HYPERLINK("https://vectorbase.org/vectorbase/app/record/gene/AGAP008008","AGAP008008-RA")</f>
        <v>AGAP008008-RA</v>
      </c>
      <c r="K73" s="2" t="str">
        <f>HYPERLINK(".\links\pep\AGAP008008-PA-pep.txt","AGAP008008-PA")</f>
        <v>AGAP008008-PA</v>
      </c>
      <c r="L73" s="12" t="s">
        <v>88</v>
      </c>
      <c r="M73" s="2">
        <v>64</v>
      </c>
      <c r="N73" s="2">
        <v>0</v>
      </c>
      <c r="O73" s="2">
        <v>0</v>
      </c>
      <c r="P73" s="2" t="s">
        <v>2020</v>
      </c>
      <c r="Q73" s="9" t="s">
        <v>2021</v>
      </c>
      <c r="R73" s="2" t="s">
        <v>245</v>
      </c>
      <c r="S73" s="2" t="str">
        <f>HYPERLINK(".\links\SWISSP\AGAP008008-PA-SWISSP.txt","SWISSP")</f>
        <v>SWISSP</v>
      </c>
      <c r="T73" s="2">
        <v>9.9999999999999994E-30</v>
      </c>
      <c r="U73" s="2">
        <v>100</v>
      </c>
      <c r="V73" s="2" t="s">
        <v>2022</v>
      </c>
      <c r="W73" s="10" t="s">
        <v>2023</v>
      </c>
      <c r="X73" s="2" t="s">
        <v>245</v>
      </c>
      <c r="Y73" s="2" t="str">
        <f>HYPERLINK(".\links\UNIPROTKB\AGAP008008-PA-UNIPROTKB.txt","UNIPROTKB")</f>
        <v>UNIPROTKB</v>
      </c>
      <c r="Z73" s="13">
        <v>6.0000000000000003E-36</v>
      </c>
      <c r="AA73" s="2">
        <v>100</v>
      </c>
      <c r="AB73" s="14" t="s">
        <v>89</v>
      </c>
      <c r="AC73" s="14" t="str">
        <f>HYPERLINK(".\links\Sigp\AGAP008008-PA-SigP.txt","CYT")</f>
        <v>CYT</v>
      </c>
      <c r="AD73" s="2" t="s">
        <v>89</v>
      </c>
      <c r="AE73" s="2">
        <v>6.9729999999999999</v>
      </c>
      <c r="AF73" s="2">
        <v>10.050000000000001</v>
      </c>
      <c r="AG73" s="2" t="s">
        <v>89</v>
      </c>
      <c r="AH73" s="2" t="s">
        <v>89</v>
      </c>
      <c r="AI73" s="2" t="s">
        <v>273</v>
      </c>
      <c r="AJ73" s="14">
        <v>0</v>
      </c>
      <c r="AK73" s="2" t="s">
        <v>89</v>
      </c>
      <c r="AL73" s="2" t="s">
        <v>89</v>
      </c>
      <c r="AM73" s="2" t="s">
        <v>89</v>
      </c>
      <c r="AN73" s="14" t="str">
        <f>HYPERLINK(".\links\gpi\AGAP008008-PA-gpi.txt","N")</f>
        <v>N</v>
      </c>
      <c r="AO73" s="15" t="str">
        <f>HYPERLINK(".\links\netoglyc\AGAP008008-PA-netoglyc.txt","0")</f>
        <v>0</v>
      </c>
      <c r="AP73" s="14">
        <v>7.8</v>
      </c>
      <c r="AQ73" s="2">
        <v>12.5</v>
      </c>
      <c r="AR73" s="2">
        <v>4.7</v>
      </c>
      <c r="AS73" s="2" t="s">
        <v>94</v>
      </c>
      <c r="AT73" s="9" t="str">
        <f>HYPERLINK(".\links\NR-LIGHT\AGAP008008-PA-NR-LIGHT.txt","AGAP008008-PA")</f>
        <v>AGAP008008-PA</v>
      </c>
      <c r="AU73" s="2" t="str">
        <f>HYPERLINK("http://www.ncbi.nlm.nih.gov/sutils/blink.cgi?pid=XP_317456.2","1E-028")</f>
        <v>1E-028</v>
      </c>
      <c r="AV73" s="2" t="str">
        <f>HYPERLINK("http://www.ncbi.nlm.nih.gov/protein/XP_317456.2","XP_317456.2")</f>
        <v>XP_317456.2</v>
      </c>
      <c r="AW73" s="2">
        <v>100</v>
      </c>
      <c r="AX73" s="2">
        <v>100</v>
      </c>
      <c r="AY73" s="2">
        <v>100</v>
      </c>
      <c r="AZ73" s="2" t="s">
        <v>95</v>
      </c>
      <c r="BA73" s="9" t="str">
        <f>HYPERLINK(".\links\REFSEQ-INVERTEBRATE\AGAP008008-PA-REFSEQ-INVERTEBRATE.txt","AGAP008008-PA")</f>
        <v>AGAP008008-PA</v>
      </c>
      <c r="BB73" s="2" t="str">
        <f>HYPERLINK("http://www.ncbi.nlm.nih.gov/sutils/blink.cgi?pid=XP_317456.2","1E-028")</f>
        <v>1E-028</v>
      </c>
      <c r="BC73" s="2" t="str">
        <f>HYPERLINK("http://www.ncbi.nlm.nih.gov/protein/XP_317456.2","XP_317456.2")</f>
        <v>XP_317456.2</v>
      </c>
      <c r="BD73" s="2">
        <v>100</v>
      </c>
      <c r="BE73" s="2">
        <v>100</v>
      </c>
      <c r="BF73" s="2">
        <v>100</v>
      </c>
      <c r="BG73" s="2" t="s">
        <v>95</v>
      </c>
      <c r="BH73" s="9" t="str">
        <f>HYPERLINK(".\links\REFSEQ-PROTOZOA\AGAP008008-PA-REFSEQ-PROTOZOA.txt","hypothetical protein SAMD00019534_113140")</f>
        <v>hypothetical protein SAMD00019534_113140</v>
      </c>
      <c r="BI73" s="2" t="str">
        <f>HYPERLINK("http://www.ncbi.nlm.nih.gov/sutils/blink.cgi?pid=XP_012748772.1","4E-016")</f>
        <v>4E-016</v>
      </c>
      <c r="BJ73" s="2" t="str">
        <f>HYPERLINK("http://www.ncbi.nlm.nih.gov/protein/XP_012748772.1","XP_012748772.1")</f>
        <v>XP_012748772.1</v>
      </c>
      <c r="BK73" s="2">
        <v>60</v>
      </c>
      <c r="BL73" s="2">
        <v>79</v>
      </c>
      <c r="BM73" s="2">
        <v>100</v>
      </c>
      <c r="BN73" s="2" t="s">
        <v>214</v>
      </c>
      <c r="BO73" s="9" t="str">
        <f>HYPERLINK(".\links\SWISSP\AGAP008008-PA-SWISSP.txt","Translation machinery-associated protein 7 homolog")</f>
        <v>Translation machinery-associated protein 7 homolog</v>
      </c>
      <c r="BP73" s="2" t="str">
        <f>HYPERLINK("http://www.uniprot.org/uniprot/Q7PNC0","1E-029")</f>
        <v>1E-029</v>
      </c>
      <c r="BQ73" s="2" t="str">
        <f>HYPERLINK("http://www.uniprot.org/uniprot/Q7PNC0#expression","Q7PNC0")</f>
        <v>Q7PNC0</v>
      </c>
      <c r="BR73" s="2">
        <v>100</v>
      </c>
      <c r="BS73" s="2">
        <v>100</v>
      </c>
      <c r="BT73" s="2">
        <v>100</v>
      </c>
      <c r="BU73" s="2" t="s">
        <v>215</v>
      </c>
      <c r="BV73" s="9" t="str">
        <f>HYPERLINK(".\links\FLYBASE\AGAP008008-PA-FLYBASE.txt","FBpp0070154")</f>
        <v>FBpp0070154</v>
      </c>
      <c r="BW73" s="2" t="str">
        <f>HYPERLINK("http://flybase.org/reports/FBgn0026879#alliance_summary_container","9E-08")</f>
        <v>9E-08</v>
      </c>
      <c r="BX73" s="2">
        <v>64</v>
      </c>
      <c r="BY73" s="2">
        <v>75</v>
      </c>
      <c r="BZ73" s="2">
        <v>85</v>
      </c>
      <c r="CA73" s="2">
        <v>84</v>
      </c>
      <c r="CB73" s="9" t="str">
        <f>HYPERLINK(".\links\CDD\AGAP008008-PA-CDD.txt","TMA7, Translation machinery associated TMA7")</f>
        <v>TMA7, Translation machinery associated TMA7</v>
      </c>
      <c r="CC73" s="13">
        <v>6.9999999999999999E-4</v>
      </c>
      <c r="CD73" s="2">
        <v>100</v>
      </c>
      <c r="CE73" s="2" t="s">
        <v>2024</v>
      </c>
      <c r="CF73" s="2" t="s">
        <v>2025</v>
      </c>
      <c r="CG73" s="9" t="str">
        <f>HYPERLINK(".\links\KOG\AGAP008008-PA-KOG.txt","Uncharacterized conserved protein")</f>
        <v>Uncharacterized conserved protein</v>
      </c>
      <c r="CH73" s="13">
        <v>0.38</v>
      </c>
      <c r="CI73" s="2">
        <v>100</v>
      </c>
      <c r="CJ73" s="2" t="s">
        <v>2026</v>
      </c>
      <c r="CK73" s="2" t="s">
        <v>101</v>
      </c>
      <c r="CL73" s="9" t="str">
        <f>HYPERLINK(".\links\PFAM\AGAP008008-PA-PFAM.txt","TMA7, Translation machinery associated TMA7")</f>
        <v>TMA7, Translation machinery associated TMA7</v>
      </c>
      <c r="CM73" s="13">
        <v>2.0000000000000001E-4</v>
      </c>
      <c r="CN73" s="2">
        <v>100</v>
      </c>
      <c r="CO73" s="2" t="s">
        <v>2024</v>
      </c>
      <c r="CP73" s="9" t="str">
        <f>HYPERLINK(".\links\SMART\AGAP008008-PA-SMART.txt","Col_cuticle_N, Nematode cuticle collagen N-terminal domain")</f>
        <v>Col_cuticle_N, Nematode cuticle collagen N-terminal domain</v>
      </c>
      <c r="CQ73" s="13">
        <v>0.48</v>
      </c>
      <c r="CR73" s="2">
        <v>26.4</v>
      </c>
      <c r="CS73" s="2" t="s">
        <v>2027</v>
      </c>
      <c r="CT73" s="2" t="s">
        <v>2022</v>
      </c>
      <c r="CU73" s="2" t="s">
        <v>2022</v>
      </c>
      <c r="CV73" s="2" t="s">
        <v>2022</v>
      </c>
      <c r="CW73" s="2" t="str">
        <f>HYPERLINK(".\links\pep\AGAP008008-PA-pep.txt","AGAP008008-PA")</f>
        <v>AGAP008008-PA</v>
      </c>
      <c r="CX73" s="2" t="s">
        <v>88</v>
      </c>
      <c r="CY73" s="2">
        <v>64</v>
      </c>
      <c r="CZ73" s="2" t="s">
        <v>103</v>
      </c>
      <c r="DA73" s="2" t="s">
        <v>2028</v>
      </c>
      <c r="DB73" s="2">
        <v>0</v>
      </c>
      <c r="DC73" s="2">
        <v>0</v>
      </c>
      <c r="DD73" s="2" t="str">
        <f>HYPERLINK("https://www.kegg.jp/kegg-bin/search_pathway_text?map=aga&amp;keyword=AGAP008008&amp;mode=1&amp;viewImage=true","AGAP008008")</f>
        <v>AGAP008008</v>
      </c>
      <c r="DE73" s="2" t="s">
        <v>2018</v>
      </c>
      <c r="DF73" s="2" t="s">
        <v>2019</v>
      </c>
      <c r="DG73" s="2" t="s">
        <v>87</v>
      </c>
      <c r="DH73" s="2" t="str">
        <f>HYPERLINK("https://vectorbase.org/vectorbase/app/record/gene/AGAP008008","AGAP008008-RA")</f>
        <v>AGAP008008-RA</v>
      </c>
      <c r="DI73" s="2" t="s">
        <v>158</v>
      </c>
      <c r="DJ73" s="2">
        <v>514</v>
      </c>
      <c r="DK73" s="2" t="str">
        <f>HYPERLINK(".\links\netoglyc\AGAP008008-PA-netoglyc.txt","0")</f>
        <v>0</v>
      </c>
      <c r="DL73" s="2">
        <v>7.8</v>
      </c>
      <c r="DM73" s="2">
        <v>12.5</v>
      </c>
      <c r="DN73" s="2">
        <v>4.7</v>
      </c>
      <c r="DO73" s="2" t="s">
        <v>94</v>
      </c>
      <c r="DP73" s="2" t="s">
        <v>89</v>
      </c>
      <c r="DQ73" s="2" t="str">
        <f>HYPERLINK(".\links\Sigp\AGAP008008-PA-SigP.txt","CYT")</f>
        <v>CYT</v>
      </c>
      <c r="DR73" s="2" t="s">
        <v>89</v>
      </c>
      <c r="DS73" s="2">
        <v>6.9729999999999999</v>
      </c>
      <c r="DT73" s="2">
        <v>10.050000000000001</v>
      </c>
      <c r="DU73" s="2" t="s">
        <v>89</v>
      </c>
      <c r="DV73" s="2" t="s">
        <v>89</v>
      </c>
      <c r="DW73" s="2" t="s">
        <v>273</v>
      </c>
      <c r="DX73" s="2">
        <v>64</v>
      </c>
      <c r="DY73" s="12">
        <v>0</v>
      </c>
      <c r="DZ73" s="2" t="s">
        <v>89</v>
      </c>
      <c r="EA73" s="2" t="s">
        <v>89</v>
      </c>
      <c r="EB73" s="2" t="s">
        <v>89</v>
      </c>
      <c r="EC73" s="2" t="str">
        <f>HYPERLINK(".\links\gpi\AGAP008008-PA-gpi.txt","N")</f>
        <v>N</v>
      </c>
      <c r="ED73" s="2">
        <v>0.8</v>
      </c>
      <c r="EE73" s="2" t="s">
        <v>2029</v>
      </c>
      <c r="EF73" s="2">
        <v>0</v>
      </c>
      <c r="EG73" s="2" t="s">
        <v>89</v>
      </c>
      <c r="EH73" s="2" t="s">
        <v>89</v>
      </c>
      <c r="EI73" s="2">
        <v>7.8125</v>
      </c>
      <c r="EJ73" s="2">
        <v>4.6875</v>
      </c>
      <c r="EK73" s="2">
        <v>12.5</v>
      </c>
      <c r="EL73" s="2">
        <v>17.1875</v>
      </c>
      <c r="EM73" s="2" t="s">
        <v>89</v>
      </c>
      <c r="EN73" s="2">
        <v>1</v>
      </c>
      <c r="EO73" s="2">
        <v>1</v>
      </c>
      <c r="EP73" s="2" t="s">
        <v>89</v>
      </c>
      <c r="EQ73" s="2" t="s">
        <v>89</v>
      </c>
      <c r="ER73" s="2" t="s">
        <v>89</v>
      </c>
      <c r="ES73" s="2" t="s">
        <v>89</v>
      </c>
      <c r="ET73" s="2" t="str">
        <f>HYPERLINK(".\links\REFSEQ-INVERTEBRATE\AGAP008008-PA-REFSEQ-INVERTEBRATE.txt","AGAP008008-PA")</f>
        <v>AGAP008008-PA</v>
      </c>
      <c r="EU73" s="2" t="str">
        <f>HYPERLINK("http://www.ncbi.nlm.nih.gov/sutils/blink.cgi?pid=XP_317456.2","1E-34")</f>
        <v>1E-34</v>
      </c>
      <c r="EV73" s="2" t="str">
        <f>HYPERLINK("http://www.ncbi.nlm.nih.gov/protein/XP_317456.2","XP_317456.2")</f>
        <v>XP_317456.2</v>
      </c>
      <c r="EW73" s="2">
        <v>100</v>
      </c>
      <c r="EX73" s="2">
        <v>100</v>
      </c>
      <c r="EY73" s="2">
        <v>100</v>
      </c>
      <c r="EZ73" s="2" t="s">
        <v>95</v>
      </c>
    </row>
    <row r="74" spans="1:156" x14ac:dyDescent="0.25">
      <c r="A74" s="2" t="s">
        <v>1604</v>
      </c>
      <c r="B74" s="2">
        <v>-0.72661520519971701</v>
      </c>
      <c r="C74" s="2">
        <f t="shared" si="1"/>
        <v>0.60432008411036353</v>
      </c>
      <c r="D74" s="2">
        <v>7.1283782226316896</v>
      </c>
      <c r="E74" s="2">
        <v>10.600502024681401</v>
      </c>
      <c r="F74" s="2">
        <v>1.13056958396814E-3</v>
      </c>
      <c r="G74" s="2">
        <v>4.4163130557530503E-2</v>
      </c>
      <c r="H74" s="2" t="s">
        <v>1605</v>
      </c>
      <c r="I74" s="2" t="s">
        <v>87</v>
      </c>
      <c r="J74" s="2" t="str">
        <f>HYPERLINK("https://vectorbase.org/vectorbase/app/record/gene/AGAP006096","AGAP006096-RA")</f>
        <v>AGAP006096-RA</v>
      </c>
      <c r="K74" s="2" t="str">
        <f>HYPERLINK(".\links\pep\AGAP006096-PA-pep.txt","AGAP006096-PA")</f>
        <v>AGAP006096-PA</v>
      </c>
      <c r="L74" s="12" t="s">
        <v>88</v>
      </c>
      <c r="M74" s="2">
        <v>524</v>
      </c>
      <c r="N74" s="2">
        <v>0</v>
      </c>
      <c r="O74" s="2">
        <v>2</v>
      </c>
      <c r="P74" s="2" t="s">
        <v>1606</v>
      </c>
      <c r="Q74" s="9" t="s">
        <v>1607</v>
      </c>
      <c r="R74" s="2" t="s">
        <v>145</v>
      </c>
      <c r="S74" s="2" t="str">
        <f>HYPERLINK(".\links\KOG\AGAP006096-PA-KOG.txt","KOG")</f>
        <v>KOG</v>
      </c>
      <c r="T74" s="2">
        <v>0</v>
      </c>
      <c r="U74" s="2">
        <v>95.7</v>
      </c>
      <c r="V74" s="2" t="s">
        <v>1608</v>
      </c>
      <c r="W74" s="10" t="s">
        <v>1609</v>
      </c>
      <c r="X74" s="2" t="s">
        <v>164</v>
      </c>
      <c r="Y74" s="2" t="str">
        <f>HYPERLINK(".\links\COG\AGAP006096-PA-COG.txt","COG")</f>
        <v>COG</v>
      </c>
      <c r="Z74" s="13">
        <v>1E-78</v>
      </c>
      <c r="AA74" s="2">
        <v>106.3</v>
      </c>
      <c r="AB74" s="14" t="s">
        <v>89</v>
      </c>
      <c r="AC74" s="14" t="str">
        <f>HYPERLINK(".\links\Sigp\AGAP006096-PA-SigP.txt","CYT")</f>
        <v>CYT</v>
      </c>
      <c r="AD74" s="2" t="s">
        <v>89</v>
      </c>
      <c r="AE74" s="2">
        <v>56.472000000000001</v>
      </c>
      <c r="AF74" s="2">
        <v>6.5</v>
      </c>
      <c r="AG74" s="2" t="s">
        <v>89</v>
      </c>
      <c r="AH74" s="2" t="s">
        <v>89</v>
      </c>
      <c r="AI74" s="2" t="s">
        <v>1610</v>
      </c>
      <c r="AJ74" s="14">
        <v>0</v>
      </c>
      <c r="AK74" s="2" t="s">
        <v>89</v>
      </c>
      <c r="AL74" s="2" t="s">
        <v>89</v>
      </c>
      <c r="AM74" s="2" t="s">
        <v>89</v>
      </c>
      <c r="AN74" s="14" t="str">
        <f>HYPERLINK(".\links\gpi\AGAP006096-PA-gpi.txt","N")</f>
        <v>N</v>
      </c>
      <c r="AO74" s="15" t="str">
        <f>HYPERLINK(".\links\netoglyc\AGAP006096-PA-netoglyc.txt","1")</f>
        <v>1</v>
      </c>
      <c r="AP74" s="14">
        <v>10.9</v>
      </c>
      <c r="AQ74" s="2">
        <v>9.4</v>
      </c>
      <c r="AR74" s="2">
        <v>5.2</v>
      </c>
      <c r="AS74" s="2" t="s">
        <v>94</v>
      </c>
      <c r="AT74" s="9" t="str">
        <f>HYPERLINK(".\links\NR-LIGHT\AGAP006096-PA-NR-LIGHT.txt","AGAP006096-PA")</f>
        <v>AGAP006096-PA</v>
      </c>
      <c r="AU74" s="2" t="str">
        <f>HYPERLINK("http://www.ncbi.nlm.nih.gov/sutils/blink.cgi?pid=XP_316153.4","0.0")</f>
        <v>0.0</v>
      </c>
      <c r="AV74" s="2" t="str">
        <f>HYPERLINK("http://www.ncbi.nlm.nih.gov/protein/XP_316153.4","XP_316153.4")</f>
        <v>XP_316153.4</v>
      </c>
      <c r="AW74" s="2">
        <v>100</v>
      </c>
      <c r="AX74" s="2">
        <v>100</v>
      </c>
      <c r="AY74" s="2">
        <v>100</v>
      </c>
      <c r="AZ74" s="2" t="s">
        <v>95</v>
      </c>
      <c r="BA74" s="9" t="str">
        <f>HYPERLINK(".\links\REFSEQ-INVERTEBRATE\AGAP006096-PA-REFSEQ-INVERTEBRATE.txt","AGAP006096-PA")</f>
        <v>AGAP006096-PA</v>
      </c>
      <c r="BB74" s="2" t="str">
        <f>HYPERLINK("http://www.ncbi.nlm.nih.gov/sutils/blink.cgi?pid=XP_316153.4","0.0")</f>
        <v>0.0</v>
      </c>
      <c r="BC74" s="2" t="str">
        <f>HYPERLINK("http://www.ncbi.nlm.nih.gov/protein/XP_316153.4","XP_316153.4")</f>
        <v>XP_316153.4</v>
      </c>
      <c r="BD74" s="2">
        <v>100</v>
      </c>
      <c r="BE74" s="2">
        <v>100</v>
      </c>
      <c r="BF74" s="2">
        <v>100</v>
      </c>
      <c r="BG74" s="2" t="s">
        <v>95</v>
      </c>
      <c r="BH74" s="9" t="str">
        <f>HYPERLINK(".\links\REFSEQ-PROTOZOA\AGAP006096-PA-REFSEQ-PROTOZOA.txt","3-oxoacid CoA-transferase")</f>
        <v>3-oxoacid CoA-transferase</v>
      </c>
      <c r="BI74" s="2" t="str">
        <f>HYPERLINK("http://www.ncbi.nlm.nih.gov/sutils/blink.cgi?pid=XP_004344527.1","0.0")</f>
        <v>0.0</v>
      </c>
      <c r="BJ74" s="2" t="str">
        <f>HYPERLINK("http://www.ncbi.nlm.nih.gov/protein/XP_004344527.1","XP_004344527.1")</f>
        <v>XP_004344527.1</v>
      </c>
      <c r="BK74" s="2">
        <v>71</v>
      </c>
      <c r="BL74" s="2">
        <v>82</v>
      </c>
      <c r="BM74" s="2">
        <v>91</v>
      </c>
      <c r="BN74" s="2" t="s">
        <v>150</v>
      </c>
      <c r="BO74" s="9" t="str">
        <f>HYPERLINK(".\links\SWISSP\AGAP006096-PA-SWISSP.txt","Succinyl-CoA:3-ketoacid-coenzyme A transferase, mitochondrial")</f>
        <v>Succinyl-CoA:3-ketoacid-coenzyme A transferase, mitochondrial</v>
      </c>
      <c r="BP74" s="2" t="str">
        <f>HYPERLINK("http://www.uniprot.org/uniprot/Q9W058","0.0")</f>
        <v>0.0</v>
      </c>
      <c r="BQ74" s="2" t="str">
        <f>HYPERLINK("http://www.uniprot.org/uniprot/Q9W058#expression","Q9W058")</f>
        <v>Q9W058</v>
      </c>
      <c r="BR74" s="2">
        <v>66</v>
      </c>
      <c r="BS74" s="2">
        <v>82</v>
      </c>
      <c r="BT74" s="2">
        <v>96</v>
      </c>
      <c r="BU74" s="2" t="s">
        <v>151</v>
      </c>
      <c r="BV74" s="9" t="str">
        <f>HYPERLINK(".\links\FLYBASE\AGAP006096-PA-FLYBASE.txt","FBpp0072723")</f>
        <v>FBpp0072723</v>
      </c>
      <c r="BW74" s="2" t="str">
        <f>HYPERLINK("http://flybase.org/reports/FBgn0035298#alliance_summary_container","0.0")</f>
        <v>0.0</v>
      </c>
      <c r="BX74" s="2">
        <v>516</v>
      </c>
      <c r="BY74" s="2">
        <v>66</v>
      </c>
      <c r="BZ74" s="2">
        <v>82</v>
      </c>
      <c r="CA74" s="2">
        <v>96</v>
      </c>
      <c r="CB74" s="9" t="str">
        <f>HYPERLINK(".\links\CDD\AGAP006096-PA-CDD.txt","3-oxoadipate_CoA-transferase_subunit_B, 3-oxoacid CoA-transferase, B subunit")</f>
        <v>3-oxoadipate_CoA-transferase_subunit_B, 3-oxoacid CoA-transferase, B subunit</v>
      </c>
      <c r="CC74" s="13">
        <v>1E-87</v>
      </c>
      <c r="CD74" s="2">
        <v>100</v>
      </c>
      <c r="CE74" s="2" t="s">
        <v>1611</v>
      </c>
      <c r="CF74" s="2" t="s">
        <v>1612</v>
      </c>
      <c r="CG74" s="9" t="str">
        <f>HYPERLINK(".\links\KOG\AGAP006096-PA-KOG.txt","Succinyl-CoA:alpha-ketoacid-CoA transferase")</f>
        <v>Succinyl-CoA:alpha-ketoacid-CoA transferase</v>
      </c>
      <c r="CH74" s="13">
        <v>0</v>
      </c>
      <c r="CI74" s="2">
        <v>95.7</v>
      </c>
      <c r="CJ74" s="2" t="s">
        <v>1613</v>
      </c>
      <c r="CK74" s="2" t="s">
        <v>155</v>
      </c>
      <c r="CL74" s="9" t="str">
        <f>HYPERLINK(".\links\PFAM\AGAP006096-PA-PFAM.txt","CoA_trans, Coenzyme A transferase")</f>
        <v>CoA_trans, Coenzyme A transferase</v>
      </c>
      <c r="CM74" s="13">
        <v>2.0000000000000001E-61</v>
      </c>
      <c r="CN74" s="2">
        <v>109.3</v>
      </c>
      <c r="CO74" s="2" t="s">
        <v>1614</v>
      </c>
      <c r="CP74" s="9" t="str">
        <f>HYPERLINK(".\links\SMART\AGAP006096-PA-SMART.txt","CoA_trans, Coenzyme A transferase")</f>
        <v>CoA_trans, Coenzyme A transferase</v>
      </c>
      <c r="CQ74" s="13">
        <v>1.9999999999999998E-65</v>
      </c>
      <c r="CR74" s="2">
        <v>108</v>
      </c>
      <c r="CS74" s="2" t="s">
        <v>1615</v>
      </c>
      <c r="CT74" s="2" t="s">
        <v>1608</v>
      </c>
      <c r="CU74" s="2" t="s">
        <v>1608</v>
      </c>
      <c r="CV74" s="2" t="s">
        <v>1608</v>
      </c>
      <c r="CW74" s="2" t="str">
        <f>HYPERLINK(".\links\pep\AGAP006096-PA-pep.txt","AGAP006096-PA")</f>
        <v>AGAP006096-PA</v>
      </c>
      <c r="CX74" s="2" t="s">
        <v>88</v>
      </c>
      <c r="CY74" s="2">
        <v>524</v>
      </c>
      <c r="CZ74" s="2" t="s">
        <v>103</v>
      </c>
      <c r="DA74" s="2" t="s">
        <v>1616</v>
      </c>
      <c r="DB74" s="2">
        <v>0</v>
      </c>
      <c r="DC74" s="2">
        <v>2</v>
      </c>
      <c r="DD74" s="2" t="str">
        <f>HYPERLINK("https://www.kegg.jp/kegg-bin/search_pathway_text?map=aga&amp;keyword=AGAP006096&amp;mode=1&amp;viewImage=true","AGAP006096")</f>
        <v>AGAP006096</v>
      </c>
      <c r="DE74" s="2" t="s">
        <v>1604</v>
      </c>
      <c r="DF74" s="2" t="s">
        <v>1605</v>
      </c>
      <c r="DG74" s="2" t="s">
        <v>87</v>
      </c>
      <c r="DH74" s="2" t="str">
        <f>HYPERLINK("https://vectorbase.org/vectorbase/app/record/gene/AGAP006096","AGAP006096-RA")</f>
        <v>AGAP006096-RA</v>
      </c>
      <c r="DI74" s="2" t="s">
        <v>140</v>
      </c>
      <c r="DJ74" s="2">
        <v>2201</v>
      </c>
      <c r="DK74" s="2" t="str">
        <f>HYPERLINK(".\links\netoglyc\AGAP006096-PA-netoglyc.txt","1")</f>
        <v>1</v>
      </c>
      <c r="DL74" s="2">
        <v>10.9</v>
      </c>
      <c r="DM74" s="2">
        <v>9.4</v>
      </c>
      <c r="DN74" s="2">
        <v>5.2</v>
      </c>
      <c r="DO74" s="2" t="s">
        <v>94</v>
      </c>
      <c r="DP74" s="2" t="s">
        <v>89</v>
      </c>
      <c r="DQ74" s="2" t="str">
        <f>HYPERLINK(".\links\Sigp\AGAP006096-PA-SigP.txt","CYT")</f>
        <v>CYT</v>
      </c>
      <c r="DR74" s="2" t="s">
        <v>89</v>
      </c>
      <c r="DS74" s="2">
        <v>56.472000000000001</v>
      </c>
      <c r="DT74" s="2">
        <v>6.5</v>
      </c>
      <c r="DU74" s="2" t="s">
        <v>89</v>
      </c>
      <c r="DV74" s="2" t="s">
        <v>89</v>
      </c>
      <c r="DW74" s="2" t="s">
        <v>1610</v>
      </c>
      <c r="DX74" s="2">
        <v>524</v>
      </c>
      <c r="DY74" s="12">
        <v>0</v>
      </c>
      <c r="DZ74" s="2" t="s">
        <v>89</v>
      </c>
      <c r="EA74" s="2" t="s">
        <v>89</v>
      </c>
      <c r="EB74" s="2" t="s">
        <v>89</v>
      </c>
      <c r="EC74" s="2" t="str">
        <f>HYPERLINK(".\links\gpi\AGAP006096-PA-gpi.txt","Y-NoSP")</f>
        <v>Y-NoSP</v>
      </c>
      <c r="ED74" s="2">
        <v>0.23</v>
      </c>
      <c r="EF74" s="2">
        <v>9</v>
      </c>
      <c r="EG74" s="2" t="s">
        <v>89</v>
      </c>
      <c r="EH74" s="2" t="s">
        <v>89</v>
      </c>
      <c r="EI74" s="2">
        <v>10.877862595419799</v>
      </c>
      <c r="EJ74" s="2">
        <v>5.1526717557251898</v>
      </c>
      <c r="EK74" s="2">
        <v>9.3511450381679406</v>
      </c>
      <c r="EL74" s="2">
        <v>14.503816793893099</v>
      </c>
      <c r="EM74" s="2">
        <v>3</v>
      </c>
      <c r="EN74" s="2">
        <v>1</v>
      </c>
      <c r="EO74" s="2">
        <v>2</v>
      </c>
      <c r="EP74" s="2" t="s">
        <v>89</v>
      </c>
      <c r="EQ74" s="2" t="s">
        <v>89</v>
      </c>
      <c r="ER74" s="2" t="s">
        <v>89</v>
      </c>
      <c r="ES74" s="2" t="s">
        <v>89</v>
      </c>
      <c r="ET74" s="2" t="str">
        <f>HYPERLINK(".\links\REFSEQ-INVERTEBRATE\AGAP006096-PA-REFSEQ-INVERTEBRATE.txt","AGAP006096-PA")</f>
        <v>AGAP006096-PA</v>
      </c>
      <c r="EU74" s="2" t="str">
        <f>HYPERLINK("http://www.ncbi.nlm.nih.gov/sutils/blink.cgi?pid=XP_316153.4","0.0")</f>
        <v>0.0</v>
      </c>
      <c r="EV74" s="2" t="str">
        <f>HYPERLINK("http://www.ncbi.nlm.nih.gov/protein/XP_316153.4","XP_316153.4")</f>
        <v>XP_316153.4</v>
      </c>
      <c r="EW74" s="2">
        <v>100</v>
      </c>
      <c r="EX74" s="2">
        <v>100</v>
      </c>
      <c r="EY74" s="2">
        <v>100</v>
      </c>
      <c r="EZ74" s="2" t="s">
        <v>95</v>
      </c>
    </row>
    <row r="75" spans="1:156" x14ac:dyDescent="0.25">
      <c r="A75" s="2" t="s">
        <v>2891</v>
      </c>
      <c r="B75" s="2">
        <v>-0.73311789948286299</v>
      </c>
      <c r="C75" s="2">
        <f t="shared" si="1"/>
        <v>0.60160234702781989</v>
      </c>
      <c r="D75" s="2">
        <v>4.5627436844407399</v>
      </c>
      <c r="E75" s="2">
        <v>11.960546753017301</v>
      </c>
      <c r="F75" s="2">
        <v>5.4338923307405205E-4</v>
      </c>
      <c r="G75" s="2">
        <v>2.79046211202452E-2</v>
      </c>
      <c r="H75" s="2" t="s">
        <v>86</v>
      </c>
      <c r="I75" s="2" t="s">
        <v>87</v>
      </c>
      <c r="J75" s="2" t="str">
        <f>HYPERLINK("https://vectorbase.org/vectorbase/app/record/gene/AGAP012622","AGAP012622-RA")</f>
        <v>AGAP012622-RA</v>
      </c>
      <c r="K75" s="2" t="str">
        <f>HYPERLINK(".\links\pep\AGAP012622-PA-pep.txt","AGAP012622-PA")</f>
        <v>AGAP012622-PA</v>
      </c>
      <c r="L75" s="12" t="s">
        <v>88</v>
      </c>
      <c r="M75" s="2">
        <v>175</v>
      </c>
      <c r="N75" s="2">
        <v>0</v>
      </c>
      <c r="O75" s="2">
        <v>0</v>
      </c>
      <c r="P75" s="2" t="s">
        <v>89</v>
      </c>
      <c r="Q75" s="9" t="s">
        <v>2892</v>
      </c>
      <c r="R75" s="2" t="s">
        <v>700</v>
      </c>
      <c r="S75" s="2" t="str">
        <f>HYPERLINK(".\links\KOG\AGAP012622-PA-KOG.txt","KOG")</f>
        <v>KOG</v>
      </c>
      <c r="T75" s="2">
        <v>1E-97</v>
      </c>
      <c r="U75" s="2">
        <v>100</v>
      </c>
      <c r="V75" s="2" t="s">
        <v>2893</v>
      </c>
      <c r="W75" s="10" t="s">
        <v>2892</v>
      </c>
      <c r="X75" s="2" t="s">
        <v>700</v>
      </c>
      <c r="Y75" s="2" t="str">
        <f>HYPERLINK(".\links\KOG\AGAP012622-PA-KOG.txt","KOG")</f>
        <v>KOG</v>
      </c>
      <c r="Z75" s="2">
        <v>0</v>
      </c>
      <c r="AA75" s="2">
        <v>1</v>
      </c>
      <c r="AB75" s="14" t="str">
        <f>HYPERLINK(".\links\pep\AGAP012622-PA-sulf.txt","1")</f>
        <v>1</v>
      </c>
      <c r="AC75" s="14" t="str">
        <f>HYPERLINK(".\links\Sigp\AGAP012622-PA-SigP.txt","CYT")</f>
        <v>CYT</v>
      </c>
      <c r="AD75" s="2" t="s">
        <v>89</v>
      </c>
      <c r="AE75" s="2">
        <v>19.899000000000001</v>
      </c>
      <c r="AF75" s="2">
        <v>9.51</v>
      </c>
      <c r="AG75" s="2" t="s">
        <v>89</v>
      </c>
      <c r="AH75" s="2" t="s">
        <v>89</v>
      </c>
      <c r="AI75" s="2" t="s">
        <v>2894</v>
      </c>
      <c r="AJ75" s="14" t="str">
        <f>HYPERLINK(".\links\tmhmm\AGAP012622-PA-tmhmm.txt","4")</f>
        <v>4</v>
      </c>
      <c r="AK75" s="2">
        <v>44.6</v>
      </c>
      <c r="AL75" s="2">
        <v>44.6</v>
      </c>
      <c r="AM75" s="2">
        <v>10.9</v>
      </c>
      <c r="AN75" s="14" t="str">
        <f>HYPERLINK(".\links\gpi\AGAP012622-PA-gpi.txt","N")</f>
        <v>N</v>
      </c>
      <c r="AO75" s="15" t="str">
        <f>HYPERLINK(".\links\netoglyc\AGAP012622-PA-netoglyc.txt","0")</f>
        <v>0</v>
      </c>
      <c r="AP75" s="14">
        <v>14.3</v>
      </c>
      <c r="AQ75" s="2">
        <v>5.0999999999999996</v>
      </c>
      <c r="AR75" s="2">
        <v>4.5999999999999996</v>
      </c>
      <c r="AS75" s="2" t="s">
        <v>94</v>
      </c>
      <c r="AT75" s="9" t="str">
        <f>HYPERLINK(".\links\NR-LIGHT\AGAP012622-PA-NR-LIGHT.txt","AGAP012622-PA")</f>
        <v>AGAP012622-PA</v>
      </c>
      <c r="AU75" s="2" t="str">
        <f>HYPERLINK("http://www.ncbi.nlm.nih.gov/sutils/blink.cgi?pid=XP_306688.4","1E-097")</f>
        <v>1E-097</v>
      </c>
      <c r="AV75" s="2" t="str">
        <f>HYPERLINK("http://www.ncbi.nlm.nih.gov/protein/XP_306688.4","XP_306688.4")</f>
        <v>XP_306688.4</v>
      </c>
      <c r="AW75" s="2">
        <v>100</v>
      </c>
      <c r="AX75" s="2">
        <v>100</v>
      </c>
      <c r="AY75" s="2">
        <v>100</v>
      </c>
      <c r="AZ75" s="2" t="s">
        <v>95</v>
      </c>
      <c r="BA75" s="9" t="str">
        <f>HYPERLINK(".\links\REFSEQ-INVERTEBRATE\AGAP012622-PA-REFSEQ-INVERTEBRATE.txt","AGAP012622-PA")</f>
        <v>AGAP012622-PA</v>
      </c>
      <c r="BB75" s="2" t="str">
        <f>HYPERLINK("http://www.ncbi.nlm.nih.gov/sutils/blink.cgi?pid=XP_306688.4","1E-097")</f>
        <v>1E-097</v>
      </c>
      <c r="BC75" s="2" t="str">
        <f>HYPERLINK("http://www.ncbi.nlm.nih.gov/protein/XP_306688.4","XP_306688.4")</f>
        <v>XP_306688.4</v>
      </c>
      <c r="BD75" s="2">
        <v>100</v>
      </c>
      <c r="BE75" s="2">
        <v>100</v>
      </c>
      <c r="BF75" s="2">
        <v>100</v>
      </c>
      <c r="BG75" s="2" t="s">
        <v>95</v>
      </c>
      <c r="BH75" s="9" t="str">
        <f>HYPERLINK(".\links\REFSEQ-PROTOZOA\AGAP012622-PA-REFSEQ-PROTOZOA.txt","pmp22 family protein")</f>
        <v>pmp22 family protein</v>
      </c>
      <c r="BI75" s="2" t="str">
        <f>HYPERLINK("http://www.ncbi.nlm.nih.gov/sutils/blink.cgi?pid=XP_635703.1","6E-017")</f>
        <v>6E-017</v>
      </c>
      <c r="BJ75" s="2" t="str">
        <f>HYPERLINK("http://www.ncbi.nlm.nih.gov/protein/XP_635703.1","XP_635703.1")</f>
        <v>XP_635703.1</v>
      </c>
      <c r="BK75" s="2">
        <v>31</v>
      </c>
      <c r="BL75" s="2">
        <v>50</v>
      </c>
      <c r="BM75" s="2">
        <v>89</v>
      </c>
      <c r="BN75" s="2" t="s">
        <v>829</v>
      </c>
      <c r="BO75" s="9" t="str">
        <f>HYPERLINK(".\links\SWISSP\AGAP012622-PA-SWISSP.txt","Mpv17-like protein")</f>
        <v>Mpv17-like protein</v>
      </c>
      <c r="BP75" s="2" t="str">
        <f>HYPERLINK("http://www.uniprot.org/uniprot/Q68F62","2E-017")</f>
        <v>2E-017</v>
      </c>
      <c r="BQ75" s="2" t="str">
        <f>HYPERLINK("http://www.uniprot.org/uniprot/Q68F62#expression","Q68F62")</f>
        <v>Q68F62</v>
      </c>
      <c r="BR75" s="2">
        <v>30</v>
      </c>
      <c r="BS75" s="2">
        <v>49</v>
      </c>
      <c r="BT75" s="2">
        <v>81</v>
      </c>
      <c r="BU75" s="2" t="s">
        <v>447</v>
      </c>
      <c r="BV75" s="9" t="str">
        <f>HYPERLINK(".\links\FLYBASE\AGAP012622-PA-FLYBASE.txt","FBpp0311617")</f>
        <v>FBpp0311617</v>
      </c>
      <c r="BW75" s="2" t="str">
        <f>HYPERLINK("http://flybase.org/reports/FBgn0026872#alliance_summary_container","4E-66")</f>
        <v>4E-66</v>
      </c>
      <c r="BX75" s="2">
        <v>196</v>
      </c>
      <c r="BY75" s="2">
        <v>52</v>
      </c>
      <c r="BZ75" s="2">
        <v>73</v>
      </c>
      <c r="CA75" s="2">
        <v>85</v>
      </c>
      <c r="CB75" s="9" t="str">
        <f>HYPERLINK(".\links\CDD\AGAP012622-PA-CDD.txt","Mpv17_PMP22, Mpv17 / PMP22 family")</f>
        <v>Mpv17_PMP22, Mpv17 / PMP22 family</v>
      </c>
      <c r="CC75" s="13">
        <v>1E-14</v>
      </c>
      <c r="CD75" s="2">
        <v>100</v>
      </c>
      <c r="CE75" s="2" t="s">
        <v>2895</v>
      </c>
      <c r="CF75" s="2" t="s">
        <v>2896</v>
      </c>
      <c r="CG75" s="9" t="str">
        <f>HYPERLINK(".\links\KOG\AGAP012622-PA-KOG.txt","Peroxisomal membrane protein MPV17 and related proteins")</f>
        <v>Peroxisomal membrane protein MPV17 and related proteins</v>
      </c>
      <c r="CH75" s="13">
        <v>2.0000000000000002E-31</v>
      </c>
      <c r="CI75" s="2">
        <v>77</v>
      </c>
      <c r="CJ75" s="2" t="s">
        <v>2897</v>
      </c>
      <c r="CK75" s="2" t="s">
        <v>187</v>
      </c>
      <c r="CL75" s="9" t="str">
        <f>HYPERLINK(".\links\PFAM\AGAP012622-PA-PFAM.txt","Mpv17_PMP22, Mpv17 / PMP22 family")</f>
        <v>Mpv17_PMP22, Mpv17 / PMP22 family</v>
      </c>
      <c r="CM75" s="13">
        <v>2.0000000000000002E-15</v>
      </c>
      <c r="CN75" s="2">
        <v>100</v>
      </c>
      <c r="CO75" s="2" t="s">
        <v>2895</v>
      </c>
      <c r="CP75" s="9" t="str">
        <f>HYPERLINK(".\links\SMART\AGAP012622-PA-SMART.txt","Flavokinase, Riboflavin kinase")</f>
        <v>Flavokinase, Riboflavin kinase</v>
      </c>
      <c r="CQ75" s="13">
        <v>1.7</v>
      </c>
      <c r="CR75" s="2">
        <v>35.5</v>
      </c>
      <c r="CS75" s="2" t="s">
        <v>2898</v>
      </c>
      <c r="CT75" s="2" t="s">
        <v>2893</v>
      </c>
      <c r="CU75" s="2" t="s">
        <v>2893</v>
      </c>
      <c r="CV75" s="2" t="s">
        <v>2893</v>
      </c>
      <c r="CW75" s="2" t="str">
        <f>HYPERLINK(".\links\pep\AGAP012622-PA-pep.txt","AGAP012622-PA")</f>
        <v>AGAP012622-PA</v>
      </c>
      <c r="CX75" s="2" t="s">
        <v>88</v>
      </c>
      <c r="CY75" s="2">
        <v>175</v>
      </c>
      <c r="CZ75" s="2" t="s">
        <v>103</v>
      </c>
      <c r="DA75" s="2" t="s">
        <v>2899</v>
      </c>
      <c r="DB75" s="2">
        <v>0</v>
      </c>
      <c r="DC75" s="2">
        <v>0</v>
      </c>
      <c r="DD75" s="2" t="str">
        <f>HYPERLINK("https://www.kegg.jp/kegg-bin/search_pathway_text?map=aga&amp;keyword=AGAP012622&amp;mode=1&amp;viewImage=true","AGAP012622")</f>
        <v>AGAP012622</v>
      </c>
      <c r="DE75" s="2" t="s">
        <v>2891</v>
      </c>
      <c r="DF75" s="2" t="s">
        <v>86</v>
      </c>
      <c r="DG75" s="2" t="s">
        <v>87</v>
      </c>
      <c r="DH75" s="2" t="str">
        <f>HYPERLINK("https://vectorbase.org/vectorbase/app/record/gene/AGAP012622","AGAP012622-RA")</f>
        <v>AGAP012622-RA</v>
      </c>
      <c r="DI75" s="2" t="s">
        <v>122</v>
      </c>
      <c r="DJ75" s="2">
        <v>658</v>
      </c>
      <c r="DK75" s="2" t="str">
        <f>HYPERLINK(".\links\netoglyc\AGAP012622-PA-netoglyc.txt","0")</f>
        <v>0</v>
      </c>
      <c r="DL75" s="2">
        <v>14.3</v>
      </c>
      <c r="DM75" s="2">
        <v>5.0999999999999996</v>
      </c>
      <c r="DN75" s="2">
        <v>4.5999999999999996</v>
      </c>
      <c r="DO75" s="2" t="s">
        <v>94</v>
      </c>
      <c r="DP75" s="2" t="s">
        <v>89</v>
      </c>
      <c r="DQ75" s="2" t="str">
        <f>HYPERLINK(".\links\Sigp\AGAP012622-PA-SigP.txt","CYT")</f>
        <v>CYT</v>
      </c>
      <c r="DR75" s="2" t="s">
        <v>89</v>
      </c>
      <c r="DS75" s="2">
        <v>19.899000000000001</v>
      </c>
      <c r="DT75" s="2">
        <v>9.51</v>
      </c>
      <c r="DU75" s="2" t="s">
        <v>89</v>
      </c>
      <c r="DV75" s="2" t="s">
        <v>89</v>
      </c>
      <c r="DW75" s="2" t="s">
        <v>2894</v>
      </c>
      <c r="DX75" s="2">
        <v>175</v>
      </c>
      <c r="DY75" s="12" t="str">
        <f>HYPERLINK(".\links\tmhmm\AGAP012622-PA-tmhmm.txt","4")</f>
        <v>4</v>
      </c>
      <c r="DZ75" s="2">
        <v>44.6</v>
      </c>
      <c r="EA75" s="2">
        <v>44.6</v>
      </c>
      <c r="EB75" s="2">
        <v>10.9</v>
      </c>
      <c r="EC75" s="2" t="str">
        <f>HYPERLINK(".\links\gpi\AGAP012622-PA-gpi.txt","N")</f>
        <v>N</v>
      </c>
      <c r="ED75" s="2">
        <v>0.36</v>
      </c>
      <c r="EF75" s="2">
        <v>3</v>
      </c>
      <c r="EG75" s="2" t="str">
        <f>HYPERLINK(".\links\pep\AGAP012622-PA-sulf.txt","1")</f>
        <v>1</v>
      </c>
      <c r="EH75" s="2" t="s">
        <v>89</v>
      </c>
      <c r="EI75" s="2">
        <v>14.285714285714301</v>
      </c>
      <c r="EJ75" s="2">
        <v>4.5714285714285703</v>
      </c>
      <c r="EK75" s="2">
        <v>5.1428571428571397</v>
      </c>
      <c r="EL75" s="2">
        <v>9.71428571428571</v>
      </c>
      <c r="EM75" s="2" t="s">
        <v>89</v>
      </c>
      <c r="EN75" s="2" t="s">
        <v>89</v>
      </c>
      <c r="EO75" s="2" t="s">
        <v>89</v>
      </c>
      <c r="EP75" s="2" t="s">
        <v>89</v>
      </c>
      <c r="EQ75" s="2" t="s">
        <v>89</v>
      </c>
      <c r="ER75" s="2" t="s">
        <v>89</v>
      </c>
      <c r="ES75" s="2" t="s">
        <v>89</v>
      </c>
      <c r="ET75" s="2" t="str">
        <f>HYPERLINK(".\links\REFSEQ-INVERTEBRATE\AGAP012622-PA-REFSEQ-INVERTEBRATE.txt","AGAP012622-PA")</f>
        <v>AGAP012622-PA</v>
      </c>
      <c r="EU75" s="2" t="str">
        <f>HYPERLINK("http://www.ncbi.nlm.nih.gov/sutils/blink.cgi?pid=XP_306688.4","1E-127")</f>
        <v>1E-127</v>
      </c>
      <c r="EV75" s="2" t="str">
        <f>HYPERLINK("http://www.ncbi.nlm.nih.gov/protein/XP_306688.4","XP_306688.4")</f>
        <v>XP_306688.4</v>
      </c>
      <c r="EW75" s="2">
        <v>100</v>
      </c>
      <c r="EX75" s="2">
        <v>100</v>
      </c>
      <c r="EY75" s="2">
        <v>100</v>
      </c>
      <c r="EZ75" s="2" t="s">
        <v>95</v>
      </c>
    </row>
    <row r="76" spans="1:156" x14ac:dyDescent="0.25">
      <c r="A76" s="2" t="s">
        <v>1763</v>
      </c>
      <c r="B76" s="2">
        <v>-0.74743287872257902</v>
      </c>
      <c r="C76" s="2">
        <f t="shared" si="1"/>
        <v>0.59566253272245273</v>
      </c>
      <c r="D76" s="2">
        <v>4.6900741890501498</v>
      </c>
      <c r="E76" s="2">
        <v>11.3602866612024</v>
      </c>
      <c r="F76" s="2">
        <v>7.5031243024547699E-4</v>
      </c>
      <c r="G76" s="2">
        <v>3.4582582012223299E-2</v>
      </c>
      <c r="H76" s="2" t="s">
        <v>86</v>
      </c>
      <c r="I76" s="2" t="s">
        <v>87</v>
      </c>
      <c r="J76" s="2" t="str">
        <f>HYPERLINK("https://vectorbase.org/vectorbase/app/record/gene/AGAP007000","AGAP007000-RA")</f>
        <v>AGAP007000-RA</v>
      </c>
      <c r="K76" s="2" t="str">
        <f>HYPERLINK(".\links\pep\AGAP007000-PA-pep.txt","AGAP007000-PA")</f>
        <v>AGAP007000-PA</v>
      </c>
      <c r="L76" s="12" t="s">
        <v>88</v>
      </c>
      <c r="M76" s="2">
        <v>109</v>
      </c>
      <c r="N76" s="2">
        <v>0</v>
      </c>
      <c r="O76" s="2">
        <v>0</v>
      </c>
      <c r="P76" s="2" t="s">
        <v>89</v>
      </c>
      <c r="Q76" s="9" t="s">
        <v>1764</v>
      </c>
      <c r="R76" s="2" t="s">
        <v>700</v>
      </c>
      <c r="S76" s="2" t="str">
        <f>HYPERLINK(".\links\KOG\AGAP007000-PA-KOG.txt","KOG")</f>
        <v>KOG</v>
      </c>
      <c r="T76" s="2">
        <v>5.0000000000000001E-59</v>
      </c>
      <c r="U76" s="2">
        <v>100</v>
      </c>
      <c r="V76" s="2" t="s">
        <v>1765</v>
      </c>
      <c r="W76" s="10" t="s">
        <v>1764</v>
      </c>
      <c r="X76" s="2" t="s">
        <v>700</v>
      </c>
      <c r="Y76" s="2" t="str">
        <f>HYPERLINK(".\links\KOG\AGAP007000-PA-KOG.txt","KOG")</f>
        <v>KOG</v>
      </c>
      <c r="Z76" s="13">
        <v>9.9999999999999993E-77</v>
      </c>
      <c r="AA76" s="2">
        <v>1</v>
      </c>
      <c r="AB76" s="14" t="s">
        <v>89</v>
      </c>
      <c r="AC76" s="14" t="str">
        <f>HYPERLINK(".\links\Sigp\AGAP007000-PA-SigP.txt","CYT")</f>
        <v>CYT</v>
      </c>
      <c r="AD76" s="2" t="s">
        <v>89</v>
      </c>
      <c r="AE76" s="2">
        <v>12.263999999999999</v>
      </c>
      <c r="AF76" s="2">
        <v>8.41</v>
      </c>
      <c r="AG76" s="2" t="s">
        <v>89</v>
      </c>
      <c r="AH76" s="2" t="s">
        <v>89</v>
      </c>
      <c r="AI76" s="2" t="s">
        <v>1766</v>
      </c>
      <c r="AJ76" s="14" t="str">
        <f>HYPERLINK(".\links\tmhmm\AGAP007000-PA-tmhmm.txt","2")</f>
        <v>2</v>
      </c>
      <c r="AK76" s="2">
        <v>35.799999999999997</v>
      </c>
      <c r="AL76" s="2">
        <v>46.8</v>
      </c>
      <c r="AM76" s="2">
        <v>17.399999999999999</v>
      </c>
      <c r="AN76" s="14" t="str">
        <f>HYPERLINK(".\links\gpi\AGAP007000-PA-gpi.txt","N")</f>
        <v>N</v>
      </c>
      <c r="AO76" s="15" t="str">
        <f>HYPERLINK(".\links\netoglyc\AGAP007000-PA-netoglyc.txt","3")</f>
        <v>3</v>
      </c>
      <c r="AP76" s="14">
        <v>13.8</v>
      </c>
      <c r="AQ76" s="2">
        <v>4.5999999999999996</v>
      </c>
      <c r="AR76" s="2">
        <v>7.3</v>
      </c>
      <c r="AS76" s="2" t="s">
        <v>94</v>
      </c>
      <c r="AT76" s="9" t="str">
        <f>HYPERLINK(".\links\NR-LIGHT\AGAP007000-PA-NR-LIGHT.txt","AGAP007000-PA")</f>
        <v>AGAP007000-PA</v>
      </c>
      <c r="AU76" s="2" t="str">
        <f>HYPERLINK("http://www.ncbi.nlm.nih.gov/sutils/blink.cgi?pid=XP_308770.3","6E-059")</f>
        <v>6E-059</v>
      </c>
      <c r="AV76" s="2" t="str">
        <f>HYPERLINK("http://www.ncbi.nlm.nih.gov/protein/XP_308770.3","XP_308770.3")</f>
        <v>XP_308770.3</v>
      </c>
      <c r="AW76" s="2">
        <v>100</v>
      </c>
      <c r="AX76" s="2">
        <v>100</v>
      </c>
      <c r="AY76" s="2">
        <v>100</v>
      </c>
      <c r="AZ76" s="2" t="s">
        <v>95</v>
      </c>
      <c r="BA76" s="9" t="str">
        <f>HYPERLINK(".\links\REFSEQ-INVERTEBRATE\AGAP007000-PA-REFSEQ-INVERTEBRATE.txt","AGAP007000-PA")</f>
        <v>AGAP007000-PA</v>
      </c>
      <c r="BB76" s="2" t="str">
        <f>HYPERLINK("http://www.ncbi.nlm.nih.gov/sutils/blink.cgi?pid=XP_308770.3","5E-059")</f>
        <v>5E-059</v>
      </c>
      <c r="BC76" s="2" t="str">
        <f>HYPERLINK("http://www.ncbi.nlm.nih.gov/protein/XP_308770.3","XP_308770.3")</f>
        <v>XP_308770.3</v>
      </c>
      <c r="BD76" s="2">
        <v>100</v>
      </c>
      <c r="BE76" s="2">
        <v>100</v>
      </c>
      <c r="BF76" s="2">
        <v>100</v>
      </c>
      <c r="BG76" s="2" t="s">
        <v>95</v>
      </c>
      <c r="BH76" s="9" t="str">
        <f>HYPERLINK(".\links\REFSEQ-PROTOZOA\AGAP007000-PA-REFSEQ-PROTOZOA.txt","hypothetical protein CAOG_00651")</f>
        <v>hypothetical protein CAOG_00651</v>
      </c>
      <c r="BI76" s="2" t="str">
        <f>HYPERLINK("http://www.ncbi.nlm.nih.gov/sutils/blink.cgi?pid=XP_004365522.1","5E-013")</f>
        <v>5E-013</v>
      </c>
      <c r="BJ76" s="2" t="str">
        <f>HYPERLINK("http://www.ncbi.nlm.nih.gov/protein/XP_004365522.1","XP_004365522.1")</f>
        <v>XP_004365522.1</v>
      </c>
      <c r="BK76" s="2">
        <v>41</v>
      </c>
      <c r="BL76" s="2">
        <v>54</v>
      </c>
      <c r="BM76" s="2">
        <v>88</v>
      </c>
      <c r="BN76" s="2" t="s">
        <v>150</v>
      </c>
      <c r="BO76" s="9" t="str">
        <f>HYPERLINK(".\links\SWISSP\AGAP007000-PA-SWISSP.txt","Protein Asterix")</f>
        <v>Protein Asterix</v>
      </c>
      <c r="BP76" s="2" t="str">
        <f>HYPERLINK("http://www.uniprot.org/uniprot/Q9VRJ8","1E-044")</f>
        <v>1E-044</v>
      </c>
      <c r="BQ76" s="2" t="str">
        <f>HYPERLINK("http://www.uniprot.org/uniprot/Q9VRJ8#expression","Q9VRJ8")</f>
        <v>Q9VRJ8</v>
      </c>
      <c r="BR76" s="2">
        <v>75</v>
      </c>
      <c r="BS76" s="2">
        <v>84</v>
      </c>
      <c r="BT76" s="2">
        <v>100</v>
      </c>
      <c r="BU76" s="2" t="s">
        <v>151</v>
      </c>
      <c r="BV76" s="9" t="str">
        <f>HYPERLINK(".\links\FLYBASE\AGAP007000-PA-FLYBASE.txt","FBpp0076884")</f>
        <v>FBpp0076884</v>
      </c>
      <c r="BW76" s="2" t="str">
        <f>HYPERLINK("http://flybase.org/reports/FBgn0035592#alliance_summary_container","4E-59")</f>
        <v>4E-59</v>
      </c>
      <c r="BX76" s="2">
        <v>108</v>
      </c>
      <c r="BY76" s="2">
        <v>75</v>
      </c>
      <c r="BZ76" s="2">
        <v>84</v>
      </c>
      <c r="CA76" s="2">
        <v>100</v>
      </c>
      <c r="CB76" s="9" t="str">
        <f>HYPERLINK(".\links\CDD\AGAP007000-PA-CDD.txt","UPF0139, Uncharacterized protein family (UPF0139)")</f>
        <v>UPF0139, Uncharacterized protein family (UPF0139)</v>
      </c>
      <c r="CC76" s="13">
        <v>9.9999999999999993E-40</v>
      </c>
      <c r="CD76" s="2">
        <v>102.1</v>
      </c>
      <c r="CE76" s="2" t="s">
        <v>1767</v>
      </c>
      <c r="CF76" s="2" t="s">
        <v>1768</v>
      </c>
      <c r="CG76" s="9" t="str">
        <f>HYPERLINK(".\links\KOG\AGAP007000-PA-KOG.txt","Predicted membrane protein")</f>
        <v>Predicted membrane protein</v>
      </c>
      <c r="CH76" s="13">
        <v>1.9999999999999999E-40</v>
      </c>
      <c r="CI76" s="2">
        <v>101</v>
      </c>
      <c r="CJ76" s="2" t="s">
        <v>1769</v>
      </c>
      <c r="CK76" s="2" t="s">
        <v>101</v>
      </c>
      <c r="CL76" s="9" t="str">
        <f>HYPERLINK(".\links\PFAM\AGAP007000-PA-PFAM.txt","UPF0139, Uncharacterized protein family (UPF0139)")</f>
        <v>UPF0139, Uncharacterized protein family (UPF0139)</v>
      </c>
      <c r="CM76" s="13">
        <v>3.0000000000000002E-40</v>
      </c>
      <c r="CN76" s="2">
        <v>102.1</v>
      </c>
      <c r="CO76" s="2" t="s">
        <v>1767</v>
      </c>
      <c r="CP76" s="9" t="str">
        <f>HYPERLINK(".\links\SMART\AGAP007000-PA-SMART.txt","PepX_N, X-Prolyl dipeptidyl aminopeptidase PepX, N-terminal")</f>
        <v>PepX_N, X-Prolyl dipeptidyl aminopeptidase PepX, N-terminal</v>
      </c>
      <c r="CQ76" s="13">
        <v>0.31</v>
      </c>
      <c r="CR76" s="2">
        <v>23.7</v>
      </c>
      <c r="CS76" s="2" t="s">
        <v>957</v>
      </c>
      <c r="CT76" s="2" t="s">
        <v>1765</v>
      </c>
      <c r="CU76" s="2" t="s">
        <v>1765</v>
      </c>
      <c r="CV76" s="2" t="s">
        <v>1765</v>
      </c>
      <c r="CW76" s="2" t="str">
        <f>HYPERLINK(".\links\pep\AGAP007000-PA-pep.txt","AGAP007000-PA")</f>
        <v>AGAP007000-PA</v>
      </c>
      <c r="CX76" s="2" t="s">
        <v>88</v>
      </c>
      <c r="CY76" s="2">
        <v>109</v>
      </c>
      <c r="CZ76" s="2" t="s">
        <v>103</v>
      </c>
      <c r="DA76" s="2" t="s">
        <v>1770</v>
      </c>
      <c r="DB76" s="2">
        <v>0</v>
      </c>
      <c r="DC76" s="2">
        <v>0</v>
      </c>
      <c r="DD76" s="2" t="str">
        <f>HYPERLINK("https://www.kegg.jp/kegg-bin/search_pathway_text?map=aga&amp;keyword=AGAP007000&amp;mode=1&amp;viewImage=true","AGAP007000")</f>
        <v>AGAP007000</v>
      </c>
      <c r="DE76" s="2" t="s">
        <v>1763</v>
      </c>
      <c r="DF76" s="2" t="s">
        <v>86</v>
      </c>
      <c r="DG76" s="2" t="s">
        <v>87</v>
      </c>
      <c r="DH76" s="2" t="str">
        <f>HYPERLINK("https://vectorbase.org/vectorbase/app/record/gene/AGAP007000","AGAP007000-RA")</f>
        <v>AGAP007000-RA</v>
      </c>
      <c r="DI76" s="2" t="s">
        <v>105</v>
      </c>
      <c r="DJ76" s="2">
        <v>539</v>
      </c>
      <c r="DK76" s="2" t="str">
        <f>HYPERLINK(".\links\netoglyc\AGAP007000-PA-netoglyc.txt","3")</f>
        <v>3</v>
      </c>
      <c r="DL76" s="2">
        <v>13.8</v>
      </c>
      <c r="DM76" s="2">
        <v>4.5999999999999996</v>
      </c>
      <c r="DN76" s="2">
        <v>7.3</v>
      </c>
      <c r="DO76" s="2" t="s">
        <v>94</v>
      </c>
      <c r="DP76" s="2" t="s">
        <v>89</v>
      </c>
      <c r="DQ76" s="2" t="str">
        <f>HYPERLINK(".\links\Sigp\AGAP007000-PA-SigP.txt","CYT")</f>
        <v>CYT</v>
      </c>
      <c r="DR76" s="2" t="s">
        <v>89</v>
      </c>
      <c r="DS76" s="2">
        <v>12.263999999999999</v>
      </c>
      <c r="DT76" s="2">
        <v>8.41</v>
      </c>
      <c r="DU76" s="2" t="s">
        <v>89</v>
      </c>
      <c r="DV76" s="2" t="s">
        <v>89</v>
      </c>
      <c r="DW76" s="2" t="s">
        <v>1766</v>
      </c>
      <c r="DX76" s="2">
        <v>109</v>
      </c>
      <c r="DY76" s="12" t="str">
        <f>HYPERLINK(".\links\tmhmm\AGAP007000-PA-tmhmm.txt","2")</f>
        <v>2</v>
      </c>
      <c r="DZ76" s="2">
        <v>35.799999999999997</v>
      </c>
      <c r="EA76" s="2">
        <v>46.8</v>
      </c>
      <c r="EB76" s="2">
        <v>17.399999999999999</v>
      </c>
      <c r="EC76" s="2" t="str">
        <f>HYPERLINK(".\links\gpi\AGAP007000-PA-gpi.txt","Y-NoSP")</f>
        <v>Y-NoSP</v>
      </c>
      <c r="ED76" s="2">
        <v>0.37</v>
      </c>
      <c r="EE76" s="2" t="s">
        <v>1771</v>
      </c>
      <c r="EF76" s="2">
        <v>4</v>
      </c>
      <c r="EG76" s="2" t="s">
        <v>89</v>
      </c>
      <c r="EH76" s="2" t="s">
        <v>89</v>
      </c>
      <c r="EI76" s="2">
        <v>13.7614678899083</v>
      </c>
      <c r="EJ76" s="2">
        <v>7.3394495412843996</v>
      </c>
      <c r="EK76" s="2">
        <v>4.5871559633027497</v>
      </c>
      <c r="EL76" s="2">
        <v>11.926605504587201</v>
      </c>
      <c r="EM76" s="2" t="s">
        <v>89</v>
      </c>
      <c r="EN76" s="2" t="s">
        <v>89</v>
      </c>
      <c r="EO76" s="2" t="s">
        <v>89</v>
      </c>
      <c r="EP76" s="2" t="s">
        <v>89</v>
      </c>
      <c r="EQ76" s="2" t="s">
        <v>89</v>
      </c>
      <c r="ER76" s="2" t="s">
        <v>89</v>
      </c>
      <c r="ES76" s="2" t="s">
        <v>89</v>
      </c>
      <c r="ET76" s="2" t="str">
        <f>HYPERLINK(".\links\REFSEQ-INVERTEBRATE\AGAP007000-PA-REFSEQ-INVERTEBRATE.txt","AGAP007000-PA")</f>
        <v>AGAP007000-PA</v>
      </c>
      <c r="EU76" s="2" t="str">
        <f>HYPERLINK("http://www.ncbi.nlm.nih.gov/sutils/blink.cgi?pid=XP_308770.3","2E-76")</f>
        <v>2E-76</v>
      </c>
      <c r="EV76" s="2" t="str">
        <f>HYPERLINK("http://www.ncbi.nlm.nih.gov/protein/XP_308770.3","XP_308770.3")</f>
        <v>XP_308770.3</v>
      </c>
      <c r="EW76" s="2">
        <v>100</v>
      </c>
      <c r="EX76" s="2">
        <v>100</v>
      </c>
      <c r="EY76" s="2">
        <v>100</v>
      </c>
      <c r="EZ76" s="2" t="s">
        <v>95</v>
      </c>
    </row>
    <row r="77" spans="1:156" x14ac:dyDescent="0.25">
      <c r="A77" s="2" t="s">
        <v>1928</v>
      </c>
      <c r="B77" s="2">
        <v>-0.74819378943854098</v>
      </c>
      <c r="C77" s="2">
        <f t="shared" si="1"/>
        <v>0.59534844936720177</v>
      </c>
      <c r="D77" s="2">
        <v>5.6792972266385098</v>
      </c>
      <c r="E77" s="2">
        <v>12.326334949473701</v>
      </c>
      <c r="F77" s="2">
        <v>4.4661242603246201E-4</v>
      </c>
      <c r="G77" s="2">
        <v>2.48957198951185E-2</v>
      </c>
      <c r="H77" s="2" t="s">
        <v>1929</v>
      </c>
      <c r="I77" s="2" t="s">
        <v>87</v>
      </c>
      <c r="J77" s="2" t="str">
        <f>HYPERLINK("https://vectorbase.org/vectorbase/app/record/gene/AGAP007721","AGAP007721-RC")</f>
        <v>AGAP007721-RC</v>
      </c>
      <c r="K77" s="2" t="str">
        <f>HYPERLINK(".\links\pep\AGAP007721-PC-pep.txt","AGAP007721-PC")</f>
        <v>AGAP007721-PC</v>
      </c>
      <c r="L77" s="12" t="s">
        <v>88</v>
      </c>
      <c r="M77" s="2">
        <v>112</v>
      </c>
      <c r="N77" s="2">
        <v>0</v>
      </c>
      <c r="O77" s="2">
        <v>0</v>
      </c>
      <c r="P77" s="2" t="s">
        <v>1930</v>
      </c>
      <c r="Q77" s="9" t="s">
        <v>1931</v>
      </c>
      <c r="R77" s="2" t="s">
        <v>347</v>
      </c>
      <c r="S77" s="2" t="str">
        <f>HYPERLINK(".\links\KOG\AGAP007721-PC-KOG.txt","KOG")</f>
        <v>KOG</v>
      </c>
      <c r="T77" s="2">
        <v>8.9999999999999998E-33</v>
      </c>
      <c r="U77" s="2">
        <v>94.8</v>
      </c>
      <c r="V77" s="2" t="s">
        <v>1932</v>
      </c>
      <c r="W77" s="10" t="s">
        <v>1933</v>
      </c>
      <c r="X77" s="2" t="s">
        <v>347</v>
      </c>
      <c r="Y77" s="2" t="str">
        <f>HYPERLINK(".\links\UNIPROTKB\AGAP007721-PC-UNIPROTKB.txt","UNIPROTKB")</f>
        <v>UNIPROTKB</v>
      </c>
      <c r="Z77" s="13">
        <v>1.9999999999999999E-47</v>
      </c>
      <c r="AA77" s="2">
        <v>73</v>
      </c>
      <c r="AB77" s="14" t="s">
        <v>89</v>
      </c>
      <c r="AC77" s="14" t="str">
        <f>HYPERLINK(".\links\Sigp\AGAP007721-PC-SigP.txt","CYT")</f>
        <v>CYT</v>
      </c>
      <c r="AD77" s="2" t="s">
        <v>89</v>
      </c>
      <c r="AE77" s="2">
        <v>12.377000000000001</v>
      </c>
      <c r="AF77" s="2">
        <v>9.16</v>
      </c>
      <c r="AG77" s="2" t="s">
        <v>89</v>
      </c>
      <c r="AH77" s="2" t="s">
        <v>89</v>
      </c>
      <c r="AI77" s="2" t="s">
        <v>1934</v>
      </c>
      <c r="AJ77" s="14" t="str">
        <f>HYPERLINK(".\links\tmhmm\AGAP007721-PC-tmhmm.txt","1")</f>
        <v>1</v>
      </c>
      <c r="AK77" s="2">
        <v>17</v>
      </c>
      <c r="AL77" s="2">
        <v>0.9</v>
      </c>
      <c r="AM77" s="2">
        <v>82.1</v>
      </c>
      <c r="AN77" s="14" t="str">
        <f>HYPERLINK(".\links\gpi\AGAP007721-PC-gpi.txt","N")</f>
        <v>N</v>
      </c>
      <c r="AO77" s="15" t="str">
        <f>HYPERLINK(".\links\netoglyc\AGAP007721-PC-netoglyc.txt","3")</f>
        <v>3</v>
      </c>
      <c r="AP77" s="14">
        <v>9.8000000000000007</v>
      </c>
      <c r="AQ77" s="2">
        <v>7.1</v>
      </c>
      <c r="AR77" s="2">
        <v>1.8</v>
      </c>
      <c r="AS77" s="2" t="s">
        <v>94</v>
      </c>
      <c r="AT77" s="9" t="str">
        <f>HYPERLINK(".\links\NR-LIGHT\AGAP007721-PC-NR-LIGHT.txt","AGAP007721-PA")</f>
        <v>AGAP007721-PA</v>
      </c>
      <c r="AU77" s="2" t="str">
        <f>HYPERLINK("http://www.ncbi.nlm.nih.gov/sutils/blink.cgi?pid=XP_308156.3","6E-056")</f>
        <v>6E-056</v>
      </c>
      <c r="AV77" s="2" t="str">
        <f>HYPERLINK("http://www.ncbi.nlm.nih.gov/protein/XP_308156.3","XP_308156.3")</f>
        <v>XP_308156.3</v>
      </c>
      <c r="AW77" s="2">
        <v>100</v>
      </c>
      <c r="AX77" s="2">
        <v>100</v>
      </c>
      <c r="AY77" s="2">
        <v>100</v>
      </c>
      <c r="AZ77" s="2" t="s">
        <v>95</v>
      </c>
      <c r="BA77" s="9" t="str">
        <f>HYPERLINK(".\links\REFSEQ-INVERTEBRATE\AGAP007721-PC-REFSEQ-INVERTEBRATE.txt","AGAP007721-PC")</f>
        <v>AGAP007721-PC</v>
      </c>
      <c r="BB77" s="2" t="str">
        <f>HYPERLINK("http://www.ncbi.nlm.nih.gov/sutils/blink.cgi?pid=XP_001687847.1","6E-056")</f>
        <v>6E-056</v>
      </c>
      <c r="BC77" s="2" t="str">
        <f>HYPERLINK("http://www.ncbi.nlm.nih.gov/protein/XP_001687847.1","XP_001687847.1")</f>
        <v>XP_001687847.1</v>
      </c>
      <c r="BD77" s="2">
        <v>100</v>
      </c>
      <c r="BE77" s="2">
        <v>100</v>
      </c>
      <c r="BF77" s="2">
        <v>100</v>
      </c>
      <c r="BG77" s="2" t="s">
        <v>95</v>
      </c>
      <c r="BH77" s="9" t="str">
        <f>HYPERLINK(".\links\REFSEQ-PROTOZOA\AGAP007721-PC-REFSEQ-PROTOZOA.txt","hypothetical protein CAOG_06150")</f>
        <v>hypothetical protein CAOG_06150</v>
      </c>
      <c r="BI77" s="2" t="str">
        <f>HYPERLINK("http://www.ncbi.nlm.nih.gov/sutils/blink.cgi?pid=XP_004345740.1","2E-020")</f>
        <v>2E-020</v>
      </c>
      <c r="BJ77" s="2" t="str">
        <f>HYPERLINK("http://www.ncbi.nlm.nih.gov/protein/XP_004345740.1","XP_004345740.1")</f>
        <v>XP_004345740.1</v>
      </c>
      <c r="BK77" s="2">
        <v>51</v>
      </c>
      <c r="BL77" s="2">
        <v>75</v>
      </c>
      <c r="BM77" s="2">
        <v>91</v>
      </c>
      <c r="BN77" s="2" t="s">
        <v>150</v>
      </c>
      <c r="BO77" s="9" t="str">
        <f>HYPERLINK(".\links\SWISSP\AGAP007721-PC-SWISSP.txt","Synaptobrevin")</f>
        <v>Synaptobrevin</v>
      </c>
      <c r="BP77" s="2" t="str">
        <f>HYPERLINK("http://www.uniprot.org/uniprot/P18489","9E-036")</f>
        <v>9E-036</v>
      </c>
      <c r="BQ77" s="2" t="str">
        <f>HYPERLINK("http://www.uniprot.org/uniprot/P18489#expression","P18489")</f>
        <v>P18489</v>
      </c>
      <c r="BR77" s="2">
        <v>80</v>
      </c>
      <c r="BS77" s="2">
        <v>92</v>
      </c>
      <c r="BT77" s="2">
        <v>60</v>
      </c>
      <c r="BU77" s="2" t="s">
        <v>151</v>
      </c>
      <c r="BV77" s="9" t="str">
        <f>HYPERLINK(".\links\FLYBASE\AGAP007721-PC-FLYBASE.txt","FBpp0087451")</f>
        <v>FBpp0087451</v>
      </c>
      <c r="BW77" s="2" t="str">
        <f>HYPERLINK("http://flybase.org/reports/FBgn0003660#alliance_summary_container","1E-48")</f>
        <v>1E-48</v>
      </c>
      <c r="BX77" s="2">
        <v>132</v>
      </c>
      <c r="BY77" s="2">
        <v>68</v>
      </c>
      <c r="BZ77" s="2">
        <v>79</v>
      </c>
      <c r="CA77" s="2">
        <v>85</v>
      </c>
      <c r="CB77" s="9" t="str">
        <f>HYPERLINK(".\links\CDD\AGAP007721-PC-CDD.txt","R-SNARE_VAMP2, SNARE motif of VAMP2")</f>
        <v>R-SNARE_VAMP2, SNARE motif of VAMP2</v>
      </c>
      <c r="CC77" s="13">
        <v>3.0000000000000001E-26</v>
      </c>
      <c r="CD77" s="2">
        <v>98.4</v>
      </c>
      <c r="CE77" s="2" t="s">
        <v>1935</v>
      </c>
      <c r="CF77" s="2" t="s">
        <v>1936</v>
      </c>
      <c r="CG77" s="9" t="str">
        <f>HYPERLINK(".\links\KOG\AGAP007721-PC-KOG.txt","Synaptobrevin/VAMP-like protein")</f>
        <v>Synaptobrevin/VAMP-like protein</v>
      </c>
      <c r="CH77" s="13">
        <v>8.9999999999999998E-33</v>
      </c>
      <c r="CI77" s="2">
        <v>94.8</v>
      </c>
      <c r="CJ77" s="2" t="s">
        <v>1937</v>
      </c>
      <c r="CK77" s="2" t="s">
        <v>278</v>
      </c>
      <c r="CL77" s="9" t="str">
        <f>HYPERLINK(".\links\PFAM\AGAP007721-PC-PFAM.txt","Synaptobrevin, Synaptobrevin")</f>
        <v>Synaptobrevin, Synaptobrevin</v>
      </c>
      <c r="CM77" s="13">
        <v>8.0000000000000003E-27</v>
      </c>
      <c r="CN77" s="2">
        <v>95.5</v>
      </c>
      <c r="CO77" s="2" t="s">
        <v>1938</v>
      </c>
      <c r="CP77" s="9" t="str">
        <f>HYPERLINK(".\links\SMART\AGAP007721-PC-SMART.txt","SAND, SAND domain")</f>
        <v>SAND, SAND domain</v>
      </c>
      <c r="CQ77" s="13">
        <v>0.32</v>
      </c>
      <c r="CR77" s="2">
        <v>28.8</v>
      </c>
      <c r="CS77" s="2" t="s">
        <v>1939</v>
      </c>
      <c r="CT77" s="2" t="s">
        <v>1932</v>
      </c>
      <c r="CU77" s="2" t="s">
        <v>1932</v>
      </c>
      <c r="CV77" s="2" t="s">
        <v>1932</v>
      </c>
      <c r="CW77" s="2" t="str">
        <f>HYPERLINK(".\links\pep\AGAP007721-PC-pep.txt","AGAP007721-PC")</f>
        <v>AGAP007721-PC</v>
      </c>
      <c r="CX77" s="2" t="s">
        <v>88</v>
      </c>
      <c r="CY77" s="2">
        <v>112</v>
      </c>
      <c r="CZ77" s="2" t="s">
        <v>103</v>
      </c>
      <c r="DA77" s="2" t="s">
        <v>1940</v>
      </c>
      <c r="DB77" s="2">
        <v>0</v>
      </c>
      <c r="DC77" s="2">
        <v>0</v>
      </c>
      <c r="DD77" s="2" t="str">
        <f>HYPERLINK("https://www.kegg.jp/kegg-bin/search_pathway_text?map=aga&amp;keyword=AGAP007721&amp;mode=1&amp;viewImage=true","AGAP007721")</f>
        <v>AGAP007721</v>
      </c>
      <c r="DE77" s="2" t="s">
        <v>1928</v>
      </c>
      <c r="DF77" s="2" t="s">
        <v>1929</v>
      </c>
      <c r="DG77" s="2" t="s">
        <v>87</v>
      </c>
      <c r="DH77" s="2" t="str">
        <f>HYPERLINK("https://vectorbase.org/vectorbase/app/record/gene/AGAP007721","AGAP007721-RC")</f>
        <v>AGAP007721-RC</v>
      </c>
      <c r="DI77" s="2" t="s">
        <v>105</v>
      </c>
      <c r="DJ77" s="2">
        <v>1103</v>
      </c>
      <c r="DK77" s="2" t="str">
        <f>HYPERLINK(".\links\netoglyc\AGAP007721-PC-netoglyc.txt","3")</f>
        <v>3</v>
      </c>
      <c r="DL77" s="2">
        <v>9.8000000000000007</v>
      </c>
      <c r="DM77" s="2">
        <v>7.1</v>
      </c>
      <c r="DN77" s="2">
        <v>1.8</v>
      </c>
      <c r="DO77" s="2" t="s">
        <v>94</v>
      </c>
      <c r="DP77" s="2" t="s">
        <v>89</v>
      </c>
      <c r="DQ77" s="2" t="str">
        <f>HYPERLINK(".\links\Sigp\AGAP007721-PC-SigP.txt","CYT")</f>
        <v>CYT</v>
      </c>
      <c r="DR77" s="2" t="s">
        <v>89</v>
      </c>
      <c r="DS77" s="2">
        <v>12.377000000000001</v>
      </c>
      <c r="DT77" s="2">
        <v>9.16</v>
      </c>
      <c r="DU77" s="2" t="s">
        <v>89</v>
      </c>
      <c r="DV77" s="2" t="s">
        <v>89</v>
      </c>
      <c r="DW77" s="2" t="s">
        <v>1934</v>
      </c>
      <c r="DX77" s="2">
        <v>112</v>
      </c>
      <c r="DY77" s="12" t="str">
        <f>HYPERLINK(".\links\tmhmm\AGAP007721-PC-tmhmm.txt","1")</f>
        <v>1</v>
      </c>
      <c r="DZ77" s="2">
        <v>17</v>
      </c>
      <c r="EA77" s="2">
        <v>0.9</v>
      </c>
      <c r="EB77" s="2">
        <v>82.1</v>
      </c>
      <c r="EC77" s="2" t="str">
        <f>HYPERLINK(".\links\gpi\AGAP007721-PC-gpi.txt","N")</f>
        <v>N</v>
      </c>
      <c r="ED77" s="2">
        <v>0.42</v>
      </c>
      <c r="EF77" s="2">
        <v>0</v>
      </c>
      <c r="EG77" s="2" t="s">
        <v>89</v>
      </c>
      <c r="EH77" s="2" t="s">
        <v>89</v>
      </c>
      <c r="EI77" s="2">
        <v>9.8214285714285694</v>
      </c>
      <c r="EJ77" s="2">
        <v>1.78571428571429</v>
      </c>
      <c r="EK77" s="2">
        <v>7.1428571428571397</v>
      </c>
      <c r="EL77" s="2">
        <v>8.9285714285714306</v>
      </c>
      <c r="EM77" s="2" t="s">
        <v>89</v>
      </c>
      <c r="EN77" s="2" t="s">
        <v>89</v>
      </c>
      <c r="EO77" s="2" t="s">
        <v>89</v>
      </c>
      <c r="EP77" s="2" t="s">
        <v>89</v>
      </c>
      <c r="EQ77" s="2" t="s">
        <v>89</v>
      </c>
      <c r="ER77" s="2" t="s">
        <v>89</v>
      </c>
      <c r="ES77" s="2" t="s">
        <v>89</v>
      </c>
      <c r="ET77" s="2" t="str">
        <f>HYPERLINK(".\links\REFSEQ-INVERTEBRATE\AGAP007721-PC-REFSEQ-INVERTEBRATE.txt","AGAP007721-PC")</f>
        <v>AGAP007721-PC</v>
      </c>
      <c r="EU77" s="2" t="str">
        <f>HYPERLINK("http://www.ncbi.nlm.nih.gov/sutils/blink.cgi?pid=XP_001687847.1","1E-76")</f>
        <v>1E-76</v>
      </c>
      <c r="EV77" s="2" t="str">
        <f>HYPERLINK("http://www.ncbi.nlm.nih.gov/protein/XP_001687847.1","XP_001687847.1")</f>
        <v>XP_001687847.1</v>
      </c>
      <c r="EW77" s="2">
        <v>100</v>
      </c>
      <c r="EX77" s="2">
        <v>100</v>
      </c>
      <c r="EY77" s="2">
        <v>100</v>
      </c>
      <c r="EZ77" s="2" t="s">
        <v>95</v>
      </c>
    </row>
    <row r="78" spans="1:156" x14ac:dyDescent="0.25">
      <c r="A78" s="2" t="s">
        <v>614</v>
      </c>
      <c r="B78" s="2">
        <v>-0.74955948400940897</v>
      </c>
      <c r="C78" s="2">
        <f t="shared" si="1"/>
        <v>0.5947851429101404</v>
      </c>
      <c r="D78" s="2">
        <v>7.53052771875441</v>
      </c>
      <c r="E78" s="2">
        <v>11.0817137070122</v>
      </c>
      <c r="F78" s="2">
        <v>8.7183191874045795E-4</v>
      </c>
      <c r="G78" s="2">
        <v>3.7739373290177902E-2</v>
      </c>
      <c r="H78" s="2" t="s">
        <v>615</v>
      </c>
      <c r="I78" s="2" t="s">
        <v>87</v>
      </c>
      <c r="J78" s="2" t="str">
        <f>HYPERLINK("https://vectorbase.org/vectorbase/app/record/gene/AGAP002630","AGAP002630-RA")</f>
        <v>AGAP002630-RA</v>
      </c>
      <c r="K78" s="2" t="str">
        <f>HYPERLINK(".\links\pep\AGAP002630-PA-pep.txt","AGAP002630-PA")</f>
        <v>AGAP002630-PA</v>
      </c>
      <c r="L78" s="12" t="s">
        <v>88</v>
      </c>
      <c r="M78" s="2">
        <v>102</v>
      </c>
      <c r="N78" s="2">
        <v>0</v>
      </c>
      <c r="O78" s="2">
        <v>1</v>
      </c>
      <c r="P78" s="2" t="s">
        <v>616</v>
      </c>
      <c r="Q78" s="9" t="s">
        <v>617</v>
      </c>
      <c r="R78" s="2" t="s">
        <v>145</v>
      </c>
      <c r="S78" s="2" t="str">
        <f>HYPERLINK(".\links\REFSEQ-INVERTEBRATE\AGAP002630-PA-REFSEQ-INVERTEBRATE.txt","REFSEQ-INVERTEBRATE")</f>
        <v>REFSEQ-INVERTEBRATE</v>
      </c>
      <c r="T78" s="2">
        <v>1.0000000000000001E-43</v>
      </c>
      <c r="U78" s="2">
        <v>100</v>
      </c>
      <c r="V78" s="2" t="s">
        <v>618</v>
      </c>
      <c r="W78" s="10" t="s">
        <v>619</v>
      </c>
      <c r="X78" s="2" t="s">
        <v>145</v>
      </c>
      <c r="Y78" s="2" t="str">
        <f>HYPERLINK(".\links\REFSEQ-INVERTEBRATE\AGAP002630-PA-REFSEQ-INVERTEBRATE.txt","REFSEQ-INVERTEBRATE")</f>
        <v>REFSEQ-INVERTEBRATE</v>
      </c>
      <c r="Z78" s="13">
        <v>2.0000000000000001E-63</v>
      </c>
      <c r="AA78" s="2">
        <v>99</v>
      </c>
      <c r="AB78" s="14" t="str">
        <f>HYPERLINK(".\links\pep\AGAP002630-PA-sulf.txt","1")</f>
        <v>1</v>
      </c>
      <c r="AC78" s="14" t="str">
        <f>HYPERLINK(".\links\Sigp\AGAP002630-PA-SigP.txt","SIG")</f>
        <v>SIG</v>
      </c>
      <c r="AD78" s="2" t="s">
        <v>350</v>
      </c>
      <c r="AE78" s="2">
        <v>11.644</v>
      </c>
      <c r="AF78" s="2">
        <v>6.17</v>
      </c>
      <c r="AG78" s="2">
        <v>9.5990000000000002</v>
      </c>
      <c r="AH78" s="2">
        <v>5.37</v>
      </c>
      <c r="AI78" s="2" t="s">
        <v>620</v>
      </c>
      <c r="AJ78" s="14">
        <v>0</v>
      </c>
      <c r="AK78" s="2" t="s">
        <v>89</v>
      </c>
      <c r="AL78" s="2" t="s">
        <v>89</v>
      </c>
      <c r="AM78" s="2" t="s">
        <v>89</v>
      </c>
      <c r="AN78" s="14" t="str">
        <f>HYPERLINK(".\links\gpi\AGAP002630-PA-gpi.txt","N")</f>
        <v>N</v>
      </c>
      <c r="AO78" s="15" t="str">
        <f>HYPERLINK(".\links\netoglyc\AGAP002630-PA-netoglyc.txt","1")</f>
        <v>1</v>
      </c>
      <c r="AP78" s="14">
        <v>7.8</v>
      </c>
      <c r="AQ78" s="2">
        <v>8.8000000000000007</v>
      </c>
      <c r="AR78" s="2">
        <v>5.9</v>
      </c>
      <c r="AS78" s="2" t="s">
        <v>94</v>
      </c>
      <c r="AT78" s="9" t="str">
        <f>HYPERLINK(".\links\NR-LIGHT\AGAP002630-PA-NR-LIGHT.txt","AGAP002630-PA")</f>
        <v>AGAP002630-PA</v>
      </c>
      <c r="AU78" s="2" t="str">
        <f>HYPERLINK("http://www.ncbi.nlm.nih.gov/sutils/blink.cgi?pid=XP_312296.5","1E-056")</f>
        <v>1E-056</v>
      </c>
      <c r="AV78" s="2" t="str">
        <f>HYPERLINK("http://www.ncbi.nlm.nih.gov/protein/XP_312296.5","XP_312296.5")</f>
        <v>XP_312296.5</v>
      </c>
      <c r="AW78" s="2">
        <v>100</v>
      </c>
      <c r="AX78" s="2">
        <v>100</v>
      </c>
      <c r="AY78" s="2">
        <v>100</v>
      </c>
      <c r="AZ78" s="2" t="s">
        <v>95</v>
      </c>
      <c r="BA78" s="9" t="str">
        <f>HYPERLINK(".\links\REFSEQ-INVERTEBRATE\AGAP002630-PA-REFSEQ-INVERTEBRATE.txt","AGAP002630-PA")</f>
        <v>AGAP002630-PA</v>
      </c>
      <c r="BB78" s="2" t="str">
        <f>HYPERLINK("http://www.ncbi.nlm.nih.gov/sutils/blink.cgi?pid=XP_312296.5","1E-056")</f>
        <v>1E-056</v>
      </c>
      <c r="BC78" s="2" t="str">
        <f>HYPERLINK("http://www.ncbi.nlm.nih.gov/protein/XP_312296.5","XP_312296.5")</f>
        <v>XP_312296.5</v>
      </c>
      <c r="BD78" s="2">
        <v>100</v>
      </c>
      <c r="BE78" s="2">
        <v>100</v>
      </c>
      <c r="BF78" s="2">
        <v>100</v>
      </c>
      <c r="BG78" s="2" t="s">
        <v>95</v>
      </c>
      <c r="BH78" s="9" t="str">
        <f>HYPERLINK(".\links\REFSEQ-PROTOZOA\AGAP002630-PA-REFSEQ-PROTOZOA.txt","hypothetical protein PTSG_07955")</f>
        <v>hypothetical protein PTSG_07955</v>
      </c>
      <c r="BI78" s="2" t="str">
        <f>HYPERLINK("http://www.ncbi.nlm.nih.gov/sutils/blink.cgi?pid=XP_004991758.1","0.008")</f>
        <v>0.008</v>
      </c>
      <c r="BJ78" s="2" t="str">
        <f>HYPERLINK("http://www.ncbi.nlm.nih.gov/protein/XP_004991758.1","XP_004991758.1")</f>
        <v>XP_004991758.1</v>
      </c>
      <c r="BK78" s="2">
        <v>30</v>
      </c>
      <c r="BL78" s="2">
        <v>46</v>
      </c>
      <c r="BM78" s="2">
        <v>88</v>
      </c>
      <c r="BN78" s="2" t="s">
        <v>182</v>
      </c>
      <c r="BO78" s="9" t="str">
        <f>HYPERLINK(".\links\SWISSP\AGAP002630-PA-SWISSP.txt","NADH dehydrogenase [ubiquinone] 1 beta subcomplex subunit 2, mitochondrial")</f>
        <v>NADH dehydrogenase [ubiquinone] 1 beta subcomplex subunit 2, mitochondrial</v>
      </c>
      <c r="BP78" s="2" t="str">
        <f>HYPERLINK("http://www.uniprot.org/uniprot/Q0MQC7","9E-012")</f>
        <v>9E-012</v>
      </c>
      <c r="BQ78" s="2" t="str">
        <f>HYPERLINK("http://www.uniprot.org/uniprot/Q0MQC7#expression","Q0MQC7")</f>
        <v>Q0MQC7</v>
      </c>
      <c r="BR78" s="2">
        <v>39</v>
      </c>
      <c r="BS78" s="2">
        <v>52</v>
      </c>
      <c r="BT78" s="2">
        <v>94</v>
      </c>
      <c r="BU78" s="2" t="s">
        <v>621</v>
      </c>
      <c r="BV78" s="9" t="str">
        <f>HYPERLINK(".\links\FLYBASE\AGAP002630-PA-FLYBASE.txt","FBpp0291442")</f>
        <v>FBpp0291442</v>
      </c>
      <c r="BW78" s="2" t="str">
        <f>HYPERLINK("http://flybase.org/reports/FBgn0085736#alliance_summary_container","1E-23")</f>
        <v>1E-23</v>
      </c>
      <c r="BX78" s="2">
        <v>94</v>
      </c>
      <c r="BY78" s="2">
        <v>57</v>
      </c>
      <c r="BZ78" s="2">
        <v>69</v>
      </c>
      <c r="CA78" s="2">
        <v>78</v>
      </c>
      <c r="CB78" s="9" t="str">
        <f>HYPERLINK(".\links\CDD\AGAP002630-PA-CDD.txt","NADH_B2, NADH dehydrogenase 1 beta subcomplex subunit 2")</f>
        <v>NADH_B2, NADH dehydrogenase 1 beta subcomplex subunit 2</v>
      </c>
      <c r="CC78" s="13">
        <v>5.0000000000000002E-26</v>
      </c>
      <c r="CD78" s="2">
        <v>98.6</v>
      </c>
      <c r="CE78" s="2" t="s">
        <v>622</v>
      </c>
      <c r="CF78" s="2" t="s">
        <v>623</v>
      </c>
      <c r="CG78" s="9" t="str">
        <f>HYPERLINK(".\links\KOG\AGAP002630-PA-KOG.txt","Pyruvate carboxylase")</f>
        <v>Pyruvate carboxylase</v>
      </c>
      <c r="CH78" s="13">
        <v>1.3</v>
      </c>
      <c r="CI78" s="2">
        <v>4.2</v>
      </c>
      <c r="CJ78" s="2" t="s">
        <v>624</v>
      </c>
      <c r="CK78" s="2" t="s">
        <v>155</v>
      </c>
      <c r="CL78" s="9" t="str">
        <f>HYPERLINK(".\links\PFAM\AGAP002630-PA-PFAM.txt","NADH_B2, NADH dehydrogenase 1 beta subcomplex subunit 2")</f>
        <v>NADH_B2, NADH dehydrogenase 1 beta subcomplex subunit 2</v>
      </c>
      <c r="CM78" s="13">
        <v>1E-26</v>
      </c>
      <c r="CN78" s="2">
        <v>98.6</v>
      </c>
      <c r="CO78" s="2" t="s">
        <v>622</v>
      </c>
      <c r="CP78" s="9" t="str">
        <f>HYPERLINK(".\links\SMART\AGAP002630-PA-SMART.txt","ProQ, ProQ/FINO family")</f>
        <v>ProQ, ProQ/FINO family</v>
      </c>
      <c r="CQ78" s="13">
        <v>8.5000000000000006E-2</v>
      </c>
      <c r="CR78" s="2">
        <v>25.7</v>
      </c>
      <c r="CS78" s="2" t="s">
        <v>625</v>
      </c>
      <c r="CT78" s="2" t="s">
        <v>618</v>
      </c>
      <c r="CU78" s="2" t="s">
        <v>618</v>
      </c>
      <c r="CV78" s="2" t="s">
        <v>618</v>
      </c>
      <c r="CW78" s="2" t="str">
        <f>HYPERLINK(".\links\pep\AGAP002630-PA-pep.txt","AGAP002630-PA")</f>
        <v>AGAP002630-PA</v>
      </c>
      <c r="CX78" s="2" t="s">
        <v>88</v>
      </c>
      <c r="CY78" s="2">
        <v>102</v>
      </c>
      <c r="CZ78" s="2" t="s">
        <v>103</v>
      </c>
      <c r="DA78" s="2" t="s">
        <v>626</v>
      </c>
      <c r="DB78" s="2">
        <v>0</v>
      </c>
      <c r="DC78" s="2">
        <v>1</v>
      </c>
      <c r="DD78" s="2" t="str">
        <f>HYPERLINK("https://www.kegg.jp/kegg-bin/search_pathway_text?map=aga&amp;keyword=AGAP002630&amp;mode=1&amp;viewImage=true","AGAP002630")</f>
        <v>AGAP002630</v>
      </c>
      <c r="DE78" s="2" t="s">
        <v>614</v>
      </c>
      <c r="DF78" s="2" t="s">
        <v>615</v>
      </c>
      <c r="DG78" s="2" t="s">
        <v>87</v>
      </c>
      <c r="DH78" s="2" t="str">
        <f>HYPERLINK("https://vectorbase.org/vectorbase/app/record/gene/AGAP002630","AGAP002630-RA")</f>
        <v>AGAP002630-RA</v>
      </c>
      <c r="DI78" s="2" t="s">
        <v>158</v>
      </c>
      <c r="DJ78" s="2">
        <v>870</v>
      </c>
      <c r="DK78" s="2" t="str">
        <f>HYPERLINK(".\links\netoglyc\AGAP002630-PA-netoglyc.txt","1")</f>
        <v>1</v>
      </c>
      <c r="DL78" s="2">
        <v>7.8</v>
      </c>
      <c r="DM78" s="2">
        <v>8.8000000000000007</v>
      </c>
      <c r="DN78" s="2">
        <v>5.9</v>
      </c>
      <c r="DO78" s="2" t="s">
        <v>94</v>
      </c>
      <c r="DP78" s="2" t="s">
        <v>89</v>
      </c>
      <c r="DQ78" s="2" t="str">
        <f>HYPERLINK(".\links\Sigp\AGAP002630-PA-SigP.txt","SIG")</f>
        <v>SIG</v>
      </c>
      <c r="DR78" s="2" t="s">
        <v>350</v>
      </c>
      <c r="DS78" s="2">
        <v>11.644</v>
      </c>
      <c r="DT78" s="2">
        <v>6.17</v>
      </c>
      <c r="DU78" s="2">
        <v>9.5990000000000002</v>
      </c>
      <c r="DV78" s="2">
        <v>5.37</v>
      </c>
      <c r="DW78" s="2" t="s">
        <v>620</v>
      </c>
      <c r="DX78" s="2">
        <v>102</v>
      </c>
      <c r="DY78" s="12">
        <v>0</v>
      </c>
      <c r="DZ78" s="2" t="s">
        <v>89</v>
      </c>
      <c r="EA78" s="2" t="s">
        <v>89</v>
      </c>
      <c r="EB78" s="2" t="s">
        <v>89</v>
      </c>
      <c r="EC78" s="2" t="str">
        <f>HYPERLINK(".\links\gpi\AGAP002630-PA-gpi.txt","N")</f>
        <v>N</v>
      </c>
      <c r="ED78" s="2">
        <v>0.34</v>
      </c>
      <c r="EE78" s="2" t="s">
        <v>627</v>
      </c>
      <c r="EF78" s="2">
        <v>0</v>
      </c>
      <c r="EG78" s="2" t="str">
        <f>HYPERLINK(".\links\pep\AGAP002630-PA-sulf.txt","1")</f>
        <v>1</v>
      </c>
      <c r="EH78" s="2" t="s">
        <v>89</v>
      </c>
      <c r="EI78" s="2">
        <v>7.8431372549019596</v>
      </c>
      <c r="EJ78" s="2">
        <v>5.8823529411764701</v>
      </c>
      <c r="EK78" s="2">
        <v>8.8235294117647101</v>
      </c>
      <c r="EL78" s="2">
        <v>14.705882352941201</v>
      </c>
      <c r="EM78" s="2" t="s">
        <v>89</v>
      </c>
      <c r="EN78" s="2" t="s">
        <v>89</v>
      </c>
      <c r="EO78" s="2" t="s">
        <v>89</v>
      </c>
      <c r="EP78" s="2" t="s">
        <v>89</v>
      </c>
      <c r="EQ78" s="2" t="s">
        <v>89</v>
      </c>
      <c r="ER78" s="2" t="s">
        <v>89</v>
      </c>
      <c r="ES78" s="2" t="s">
        <v>89</v>
      </c>
      <c r="ET78" s="2" t="str">
        <f>HYPERLINK(".\links\REFSEQ-INVERTEBRATE\AGAP002630-PA-REFSEQ-INVERTEBRATE.txt","AGAP002630-PA")</f>
        <v>AGAP002630-PA</v>
      </c>
      <c r="EU78" s="2" t="str">
        <f>HYPERLINK("http://www.ncbi.nlm.nih.gov/sutils/blink.cgi?pid=XP_312296.5","7E-71")</f>
        <v>7E-71</v>
      </c>
      <c r="EV78" s="2" t="str">
        <f>HYPERLINK("http://www.ncbi.nlm.nih.gov/protein/XP_312296.5","XP_312296.5")</f>
        <v>XP_312296.5</v>
      </c>
      <c r="EW78" s="2">
        <v>100</v>
      </c>
      <c r="EX78" s="2">
        <v>100</v>
      </c>
      <c r="EY78" s="2">
        <v>100</v>
      </c>
      <c r="EZ78" s="2" t="s">
        <v>95</v>
      </c>
    </row>
    <row r="79" spans="1:156" x14ac:dyDescent="0.25">
      <c r="A79" s="2" t="s">
        <v>1879</v>
      </c>
      <c r="B79" s="2">
        <v>-0.75039498755421297</v>
      </c>
      <c r="C79" s="2">
        <f t="shared" si="1"/>
        <v>0.59444078654108845</v>
      </c>
      <c r="D79" s="2">
        <v>5.6446362977918296</v>
      </c>
      <c r="E79" s="2">
        <v>11.300080565711999</v>
      </c>
      <c r="F79" s="2">
        <v>7.7503727762862605E-4</v>
      </c>
      <c r="G79" s="2">
        <v>3.5025401391032301E-2</v>
      </c>
      <c r="H79" s="2" t="s">
        <v>1880</v>
      </c>
      <c r="I79" s="2" t="s">
        <v>87</v>
      </c>
      <c r="J79" s="2" t="str">
        <f>HYPERLINK("https://vectorbase.org/vectorbase/app/record/gene/AGAP007565","AGAP007565-RB")</f>
        <v>AGAP007565-RB</v>
      </c>
      <c r="K79" s="2" t="str">
        <f>HYPERLINK(".\links\pep\AGAP007565-PB-pep.txt","AGAP007565-PB")</f>
        <v>AGAP007565-PB</v>
      </c>
      <c r="L79" s="12" t="s">
        <v>88</v>
      </c>
      <c r="M79" s="2">
        <v>526</v>
      </c>
      <c r="N79" s="2">
        <v>0</v>
      </c>
      <c r="O79" s="2">
        <v>2</v>
      </c>
      <c r="P79" s="2" t="s">
        <v>1881</v>
      </c>
      <c r="Q79" s="9" t="s">
        <v>1882</v>
      </c>
      <c r="R79" s="2" t="s">
        <v>145</v>
      </c>
      <c r="S79" s="2" t="str">
        <f>HYPERLINK(".\links\REFSEQ-INVERTEBRATE\AGAP007565-PB-REFSEQ-INVERTEBRATE.txt","REFSEQ-INVERTEBRATE")</f>
        <v>REFSEQ-INVERTEBRATE</v>
      </c>
      <c r="T79" s="2">
        <v>0</v>
      </c>
      <c r="U79" s="2">
        <v>88.8</v>
      </c>
      <c r="V79" s="2" t="s">
        <v>1883</v>
      </c>
      <c r="W79" s="10" t="s">
        <v>1884</v>
      </c>
      <c r="X79" s="2" t="s">
        <v>145</v>
      </c>
      <c r="Y79" s="2" t="str">
        <f>HYPERLINK(".\links\REFSEQVERTEBRATE95\AGAP007565-PB-REFSEQVERTEBRATE95.txt","REFSEQVERTEBRATE95")</f>
        <v>REFSEQVERTEBRATE95</v>
      </c>
      <c r="Z79" s="13">
        <v>0</v>
      </c>
      <c r="AA79" s="2">
        <v>80.7</v>
      </c>
      <c r="AB79" s="14" t="str">
        <f>HYPERLINK(".\links\pep\AGAP007565-PB-sulf.txt","4")</f>
        <v>4</v>
      </c>
      <c r="AC79" s="14" t="str">
        <f>HYPERLINK(".\links\Sigp\AGAP007565-PB-SigP.txt","CYT")</f>
        <v>CYT</v>
      </c>
      <c r="AD79" s="2" t="s">
        <v>89</v>
      </c>
      <c r="AE79" s="2">
        <v>57.359000000000002</v>
      </c>
      <c r="AF79" s="2">
        <v>9.17</v>
      </c>
      <c r="AG79" s="2" t="s">
        <v>89</v>
      </c>
      <c r="AH79" s="2" t="s">
        <v>89</v>
      </c>
      <c r="AI79" s="2" t="s">
        <v>1885</v>
      </c>
      <c r="AJ79" s="14">
        <v>0</v>
      </c>
      <c r="AK79" s="2" t="s">
        <v>89</v>
      </c>
      <c r="AL79" s="2" t="s">
        <v>89</v>
      </c>
      <c r="AM79" s="2" t="s">
        <v>89</v>
      </c>
      <c r="AN79" s="14" t="str">
        <f>HYPERLINK(".\links\gpi\AGAP007565-PB-gpi.txt","N")</f>
        <v>N</v>
      </c>
      <c r="AO79" s="15" t="str">
        <f>HYPERLINK(".\links\netoglyc\AGAP007565-PB-netoglyc.txt","13")</f>
        <v>13</v>
      </c>
      <c r="AP79" s="14">
        <v>17.100000000000001</v>
      </c>
      <c r="AQ79" s="2">
        <v>10.1</v>
      </c>
      <c r="AR79" s="2">
        <v>6.1</v>
      </c>
      <c r="AS79" s="2" t="s">
        <v>94</v>
      </c>
      <c r="AT79" s="9" t="str">
        <f>HYPERLINK(".\links\NR-LIGHT\AGAP007565-PB-NR-LIGHT.txt","AGAP007565-PA")</f>
        <v>AGAP007565-PA</v>
      </c>
      <c r="AU79" s="2" t="str">
        <f>HYPERLINK("http://www.ncbi.nlm.nih.gov/sutils/blink.cgi?pid=XP_001687891.1","0.0")</f>
        <v>0.0</v>
      </c>
      <c r="AV79" s="2" t="str">
        <f>HYPERLINK("http://www.ncbi.nlm.nih.gov/protein/XP_001687891.1","XP_001687891.1")</f>
        <v>XP_001687891.1</v>
      </c>
      <c r="AW79" s="2">
        <v>94</v>
      </c>
      <c r="AX79" s="2">
        <v>94</v>
      </c>
      <c r="AY79" s="2">
        <v>106</v>
      </c>
      <c r="AZ79" s="2" t="s">
        <v>95</v>
      </c>
      <c r="BA79" s="9" t="str">
        <f>HYPERLINK(".\links\REFSEQ-INVERTEBRATE\AGAP007565-PB-REFSEQ-INVERTEBRATE.txt","AGAP007565-PA")</f>
        <v>AGAP007565-PA</v>
      </c>
      <c r="BB79" s="2" t="str">
        <f>HYPERLINK("http://www.ncbi.nlm.nih.gov/sutils/blink.cgi?pid=XP_001687891.1","0.0")</f>
        <v>0.0</v>
      </c>
      <c r="BC79" s="2" t="str">
        <f>HYPERLINK("http://www.ncbi.nlm.nih.gov/protein/XP_001687891.1","XP_001687891.1")</f>
        <v>XP_001687891.1</v>
      </c>
      <c r="BD79" s="2">
        <v>94</v>
      </c>
      <c r="BE79" s="2">
        <v>94</v>
      </c>
      <c r="BF79" s="2">
        <v>106</v>
      </c>
      <c r="BG79" s="2" t="s">
        <v>95</v>
      </c>
      <c r="BH79" s="9" t="str">
        <f>HYPERLINK(".\links\REFSEQ-PROTOZOA\AGAP007565-PB-REFSEQ-PROTOZOA.txt","heat shock protein DnaJ family protein")</f>
        <v>heat shock protein DnaJ family protein</v>
      </c>
      <c r="BI79" s="2" t="str">
        <f>HYPERLINK("http://www.ncbi.nlm.nih.gov/sutils/blink.cgi?pid=XP_641964.1","1E-068")</f>
        <v>1E-068</v>
      </c>
      <c r="BJ79" s="2" t="str">
        <f>HYPERLINK("http://www.ncbi.nlm.nih.gov/protein/XP_641964.1","XP_641964.1")</f>
        <v>XP_641964.1</v>
      </c>
      <c r="BK79" s="2">
        <v>40</v>
      </c>
      <c r="BL79" s="2">
        <v>54</v>
      </c>
      <c r="BM79" s="2">
        <v>83</v>
      </c>
      <c r="BN79" s="2" t="s">
        <v>829</v>
      </c>
      <c r="BO79" s="9" t="str">
        <f>HYPERLINK(".\links\SWISSP\AGAP007565-PB-SWISSP.txt","Protein tumorous imaginal discs, mitochondrial")</f>
        <v>Protein tumorous imaginal discs, mitochondrial</v>
      </c>
      <c r="BP79" s="2" t="str">
        <f>HYPERLINK("http://www.uniprot.org/uniprot/Q24331","1E-177")</f>
        <v>1E-177</v>
      </c>
      <c r="BQ79" s="2" t="str">
        <f>HYPERLINK("http://www.uniprot.org/uniprot/Q24331#expression","Q24331")</f>
        <v>Q24331</v>
      </c>
      <c r="BR79" s="2">
        <v>65</v>
      </c>
      <c r="BS79" s="2">
        <v>78</v>
      </c>
      <c r="BT79" s="2">
        <v>89</v>
      </c>
      <c r="BU79" s="2" t="s">
        <v>1886</v>
      </c>
      <c r="BV79" s="9" t="str">
        <f>HYPERLINK(".\links\FLYBASE\AGAP007565-PB-FLYBASE.txt","FBpp0088954")</f>
        <v>FBpp0088954</v>
      </c>
      <c r="BW79" s="2" t="str">
        <f>HYPERLINK("http://flybase.org/reports/FBgn0002174#alliance_summary_container","0.0")</f>
        <v>0.0</v>
      </c>
      <c r="BX79" s="2">
        <v>507</v>
      </c>
      <c r="BY79" s="2">
        <v>64</v>
      </c>
      <c r="BZ79" s="2">
        <v>78</v>
      </c>
      <c r="CA79" s="2">
        <v>94</v>
      </c>
      <c r="CB79" s="9" t="str">
        <f>HYPERLINK(".\links\CDD\AGAP007565-PB-CDD.txt","DnaJ, DnaJ-class molecular chaperone with C-terminal Zn finger domain")</f>
        <v>DnaJ, DnaJ-class molecular chaperone with C-terminal Zn finger domain</v>
      </c>
      <c r="CC79" s="13">
        <v>3.0000000000000001E-93</v>
      </c>
      <c r="CD79" s="2">
        <v>101.1</v>
      </c>
      <c r="CE79" s="2" t="s">
        <v>1887</v>
      </c>
      <c r="CF79" s="2" t="s">
        <v>1888</v>
      </c>
      <c r="CG79" s="9" t="str">
        <f>HYPERLINK(".\links\KOG\AGAP007565-PB-KOG.txt","Molecular chaperone (DnaJ superfamily)")</f>
        <v>Molecular chaperone (DnaJ superfamily)</v>
      </c>
      <c r="CH79" s="13">
        <v>2.0000000000000001E-68</v>
      </c>
      <c r="CI79" s="2">
        <v>110.4</v>
      </c>
      <c r="CJ79" s="2" t="s">
        <v>1889</v>
      </c>
      <c r="CK79" s="2" t="s">
        <v>264</v>
      </c>
      <c r="CL79" s="9" t="str">
        <f>HYPERLINK(".\links\PFAM\AGAP007565-PB-PFAM.txt","DnaJ_C, DnaJ C terminal domain")</f>
        <v>DnaJ_C, DnaJ C terminal domain</v>
      </c>
      <c r="CM79" s="13">
        <v>2.0000000000000002E-31</v>
      </c>
      <c r="CN79" s="2">
        <v>100.8</v>
      </c>
      <c r="CO79" s="2" t="s">
        <v>1890</v>
      </c>
      <c r="CP79" s="9" t="str">
        <f>HYPERLINK(".\links\SMART\AGAP007565-PB-SMART.txt","DnaJ, DnaJ molecular chaperone homology domain")</f>
        <v>DnaJ, DnaJ molecular chaperone homology domain</v>
      </c>
      <c r="CQ79" s="13">
        <v>6.9999999999999993E-24</v>
      </c>
      <c r="CR79" s="2">
        <v>98.3</v>
      </c>
      <c r="CS79" s="2" t="s">
        <v>848</v>
      </c>
      <c r="CT79" s="2" t="s">
        <v>1883</v>
      </c>
      <c r="CU79" s="2" t="s">
        <v>1883</v>
      </c>
      <c r="CV79" s="2" t="s">
        <v>1883</v>
      </c>
      <c r="CW79" s="2" t="str">
        <f>HYPERLINK(".\links\pep\AGAP007565-PB-pep.txt","AGAP007565-PB")</f>
        <v>AGAP007565-PB</v>
      </c>
      <c r="CX79" s="2" t="s">
        <v>88</v>
      </c>
      <c r="CY79" s="2">
        <v>526</v>
      </c>
      <c r="CZ79" s="2" t="s">
        <v>103</v>
      </c>
      <c r="DA79" s="2" t="s">
        <v>1891</v>
      </c>
      <c r="DB79" s="2">
        <v>0</v>
      </c>
      <c r="DC79" s="2">
        <v>2</v>
      </c>
      <c r="DD79" s="2" t="str">
        <f>HYPERLINK("https://www.kegg.jp/kegg-bin/search_pathway_text?map=aga&amp;keyword=AGAP007565&amp;mode=1&amp;viewImage=true","AGAP007565")</f>
        <v>AGAP007565</v>
      </c>
      <c r="DE79" s="2" t="s">
        <v>1879</v>
      </c>
      <c r="DF79" s="2" t="s">
        <v>1880</v>
      </c>
      <c r="DG79" s="2" t="s">
        <v>87</v>
      </c>
      <c r="DH79" s="2" t="str">
        <f>HYPERLINK("https://vectorbase.org/vectorbase/app/record/gene/AGAP007565","AGAP007565-RB")</f>
        <v>AGAP007565-RB</v>
      </c>
      <c r="DI79" s="2" t="s">
        <v>122</v>
      </c>
      <c r="DJ79" s="2">
        <v>2774</v>
      </c>
      <c r="DK79" s="2" t="str">
        <f>HYPERLINK(".\links\netoglyc\AGAP007565-PB-netoglyc.txt","13")</f>
        <v>13</v>
      </c>
      <c r="DL79" s="2">
        <v>17.100000000000001</v>
      </c>
      <c r="DM79" s="2">
        <v>10.1</v>
      </c>
      <c r="DN79" s="2">
        <v>6.1</v>
      </c>
      <c r="DO79" s="2" t="s">
        <v>94</v>
      </c>
      <c r="DP79" s="2" t="s">
        <v>89</v>
      </c>
      <c r="DQ79" s="2" t="str">
        <f>HYPERLINK(".\links\Sigp\AGAP007565-PB-SigP.txt","CYT")</f>
        <v>CYT</v>
      </c>
      <c r="DR79" s="2" t="s">
        <v>89</v>
      </c>
      <c r="DS79" s="2">
        <v>57.359000000000002</v>
      </c>
      <c r="DT79" s="2">
        <v>9.17</v>
      </c>
      <c r="DU79" s="2" t="s">
        <v>89</v>
      </c>
      <c r="DV79" s="2" t="s">
        <v>89</v>
      </c>
      <c r="DW79" s="2" t="s">
        <v>1885</v>
      </c>
      <c r="DX79" s="2">
        <v>526</v>
      </c>
      <c r="DY79" s="12">
        <v>0</v>
      </c>
      <c r="DZ79" s="2" t="s">
        <v>89</v>
      </c>
      <c r="EA79" s="2" t="s">
        <v>89</v>
      </c>
      <c r="EB79" s="2" t="s">
        <v>89</v>
      </c>
      <c r="EC79" s="2" t="str">
        <f>HYPERLINK(".\links\gpi\AGAP007565-PB-gpi.txt","Y-NoSP")</f>
        <v>Y-NoSP</v>
      </c>
      <c r="ED79" s="2">
        <v>0.24</v>
      </c>
      <c r="EF79" s="2">
        <v>13</v>
      </c>
      <c r="EG79" s="2" t="str">
        <f>HYPERLINK(".\links\pep\AGAP007565-PB-sulf.txt","4")</f>
        <v>4</v>
      </c>
      <c r="EH79" s="2" t="s">
        <v>89</v>
      </c>
      <c r="EI79" s="2">
        <v>17.110266159695801</v>
      </c>
      <c r="EJ79" s="2">
        <v>6.0836501901140698</v>
      </c>
      <c r="EK79" s="2">
        <v>10.0760456273764</v>
      </c>
      <c r="EL79" s="2">
        <v>16.159695817490501</v>
      </c>
      <c r="EM79" s="2">
        <v>2</v>
      </c>
      <c r="EN79" s="2">
        <v>2</v>
      </c>
      <c r="EO79" s="2">
        <v>3</v>
      </c>
      <c r="EP79" s="2" t="s">
        <v>89</v>
      </c>
      <c r="EQ79" s="2" t="s">
        <v>89</v>
      </c>
      <c r="ER79" s="2" t="s">
        <v>89</v>
      </c>
      <c r="ES79" s="2" t="s">
        <v>89</v>
      </c>
      <c r="ET79" s="2" t="str">
        <f>HYPERLINK(".\links\REFSEQ-INVERTEBRATE\AGAP007565-PB-REFSEQ-INVERTEBRATE.txt","protein tumorous imaginal discs, mitochondrial isoform X2")</f>
        <v>protein tumorous imaginal discs, mitochondrial isoform X2</v>
      </c>
      <c r="EU79" s="2" t="str">
        <f>HYPERLINK("http://www.ncbi.nlm.nih.gov/sutils/blink.cgi?pid=XP_035911909.1","0.0")</f>
        <v>0.0</v>
      </c>
      <c r="EV79" s="2" t="str">
        <f>HYPERLINK("http://www.ncbi.nlm.nih.gov/protein/XP_035911909.1","XP_035911909.1")</f>
        <v>XP_035911909.1</v>
      </c>
      <c r="EW79" s="2">
        <v>92</v>
      </c>
      <c r="EX79" s="2">
        <v>93</v>
      </c>
      <c r="EY79" s="2">
        <v>102</v>
      </c>
      <c r="EZ79" s="2" t="s">
        <v>600</v>
      </c>
    </row>
    <row r="80" spans="1:156" x14ac:dyDescent="0.25">
      <c r="A80" s="2" t="s">
        <v>836</v>
      </c>
      <c r="B80" s="2">
        <v>-0.75265978954772905</v>
      </c>
      <c r="C80" s="2">
        <f t="shared" si="1"/>
        <v>0.59350834104028771</v>
      </c>
      <c r="D80" s="2">
        <v>5.5673288071247198</v>
      </c>
      <c r="E80" s="2">
        <v>16.7078143582937</v>
      </c>
      <c r="F80" s="2">
        <v>4.36010337854792E-5</v>
      </c>
      <c r="G80" s="2">
        <v>5.0458718121086698E-3</v>
      </c>
      <c r="H80" s="2" t="s">
        <v>837</v>
      </c>
      <c r="I80" s="2" t="s">
        <v>87</v>
      </c>
      <c r="J80" s="2" t="str">
        <f>HYPERLINK("https://vectorbase.org/vectorbase/app/record/gene/AGAP003533","AGAP003533-RA")</f>
        <v>AGAP003533-RA</v>
      </c>
      <c r="K80" s="2" t="str">
        <f>HYPERLINK(".\links\pep\AGAP003533-PA-pep.txt","AGAP003533-PA")</f>
        <v>AGAP003533-PA</v>
      </c>
      <c r="L80" s="12" t="s">
        <v>88</v>
      </c>
      <c r="M80" s="2">
        <v>118</v>
      </c>
      <c r="N80" s="2">
        <v>0</v>
      </c>
      <c r="O80" s="2">
        <v>0</v>
      </c>
      <c r="P80" s="2" t="s">
        <v>838</v>
      </c>
      <c r="Q80" s="9" t="s">
        <v>839</v>
      </c>
      <c r="R80" s="2" t="s">
        <v>145</v>
      </c>
      <c r="S80" s="2" t="str">
        <f>HYPERLINK(".\links\REFSEQ-INVERTEBRATE\AGAP003533-PA-REFSEQ-INVERTEBRATE.txt","REFSEQ-INVERTEBRATE")</f>
        <v>REFSEQ-INVERTEBRATE</v>
      </c>
      <c r="T80" s="2">
        <v>6.0000000000000004E-53</v>
      </c>
      <c r="U80" s="2">
        <v>100</v>
      </c>
      <c r="V80" s="2" t="s">
        <v>840</v>
      </c>
      <c r="W80" s="10" t="s">
        <v>841</v>
      </c>
      <c r="X80" s="2" t="s">
        <v>145</v>
      </c>
      <c r="Y80" s="2" t="str">
        <f>HYPERLINK(".\links\REFSEQ-INVERTEBRATE\AGAP003533-PA-REFSEQ-INVERTEBRATE.txt","REFSEQ-INVERTEBRATE")</f>
        <v>REFSEQ-INVERTEBRATE</v>
      </c>
      <c r="Z80" s="13">
        <v>9.9999999999999993E-77</v>
      </c>
      <c r="AA80" s="2">
        <v>100</v>
      </c>
      <c r="AB80" s="14" t="s">
        <v>89</v>
      </c>
      <c r="AC80" s="14" t="str">
        <f>HYPERLINK(".\links\Sigp\AGAP003533-PA-SigP.txt","SIG")</f>
        <v>SIG</v>
      </c>
      <c r="AD80" s="2" t="s">
        <v>842</v>
      </c>
      <c r="AE80" s="2">
        <v>12.826000000000001</v>
      </c>
      <c r="AF80" s="2">
        <v>9.9</v>
      </c>
      <c r="AG80" s="2">
        <v>10.82</v>
      </c>
      <c r="AH80" s="2">
        <v>9.84</v>
      </c>
      <c r="AI80" s="2" t="s">
        <v>843</v>
      </c>
      <c r="AJ80" s="14" t="str">
        <f>HYPERLINK(".\links\tmhmm\AGAP003533-PA-tmhmm.txt","1")</f>
        <v>1</v>
      </c>
      <c r="AK80" s="2">
        <v>16.100000000000001</v>
      </c>
      <c r="AL80" s="2">
        <v>3.4</v>
      </c>
      <c r="AM80" s="2">
        <v>80.5</v>
      </c>
      <c r="AN80" s="14" t="str">
        <f>HYPERLINK(".\links\gpi\AGAP003533-PA-gpi.txt","N")</f>
        <v>N</v>
      </c>
      <c r="AO80" s="15" t="str">
        <f>HYPERLINK(".\links\netoglyc\AGAP003533-PA-netoglyc.txt","0")</f>
        <v>0</v>
      </c>
      <c r="AP80" s="14">
        <v>10.199999999999999</v>
      </c>
      <c r="AQ80" s="2">
        <v>8.5</v>
      </c>
      <c r="AR80" s="2">
        <v>4.2</v>
      </c>
      <c r="AS80" s="2" t="s">
        <v>94</v>
      </c>
      <c r="AT80" s="9" t="str">
        <f>HYPERLINK(".\links\NR-LIGHT\AGAP003533-PA-NR-LIGHT.txt","AGAP003533-PA")</f>
        <v>AGAP003533-PA</v>
      </c>
      <c r="AU80" s="2" t="str">
        <f>HYPERLINK("http://www.ncbi.nlm.nih.gov/sutils/blink.cgi?pid=XP_313276.4","2E-060")</f>
        <v>2E-060</v>
      </c>
      <c r="AV80" s="2" t="str">
        <f>HYPERLINK("http://www.ncbi.nlm.nih.gov/protein/XP_313276.4","XP_313276.4")</f>
        <v>XP_313276.4</v>
      </c>
      <c r="AW80" s="2">
        <v>100</v>
      </c>
      <c r="AX80" s="2">
        <v>100</v>
      </c>
      <c r="AY80" s="2">
        <v>100</v>
      </c>
      <c r="AZ80" s="2" t="s">
        <v>95</v>
      </c>
      <c r="BA80" s="9" t="str">
        <f>HYPERLINK(".\links\REFSEQ-INVERTEBRATE\AGAP003533-PA-REFSEQ-INVERTEBRATE.txt","AGAP003533-PA")</f>
        <v>AGAP003533-PA</v>
      </c>
      <c r="BB80" s="2" t="str">
        <f>HYPERLINK("http://www.ncbi.nlm.nih.gov/sutils/blink.cgi?pid=XP_313276.4","2E-060")</f>
        <v>2E-060</v>
      </c>
      <c r="BC80" s="2" t="str">
        <f>HYPERLINK("http://www.ncbi.nlm.nih.gov/protein/XP_313276.4","XP_313276.4")</f>
        <v>XP_313276.4</v>
      </c>
      <c r="BD80" s="2">
        <v>100</v>
      </c>
      <c r="BE80" s="2">
        <v>100</v>
      </c>
      <c r="BF80" s="2">
        <v>100</v>
      </c>
      <c r="BG80" s="2" t="s">
        <v>95</v>
      </c>
      <c r="BH80" s="9" t="str">
        <f>HYPERLINK(".\links\REFSEQ-PROTOZOA\AGAP003533-PA-REFSEQ-PROTOZOA.txt","import inner membrane translocase subunit TIM14")</f>
        <v>import inner membrane translocase subunit TIM14</v>
      </c>
      <c r="BI80" s="2" t="str">
        <f>HYPERLINK("http://www.ncbi.nlm.nih.gov/sutils/blink.cgi?pid=XP_004997148.1","7E-026")</f>
        <v>7E-026</v>
      </c>
      <c r="BJ80" s="2" t="str">
        <f>HYPERLINK("http://www.ncbi.nlm.nih.gov/protein/XP_004997148.1","XP_004997148.1")</f>
        <v>XP_004997148.1</v>
      </c>
      <c r="BK80" s="2">
        <v>52</v>
      </c>
      <c r="BL80" s="2">
        <v>66</v>
      </c>
      <c r="BM80" s="2">
        <v>97</v>
      </c>
      <c r="BN80" s="2" t="s">
        <v>182</v>
      </c>
      <c r="BO80" s="9" t="str">
        <f>HYPERLINK(".\links\SWISSP\AGAP003533-PA-SWISSP.txt","Mitochondrial import inner membrane translocase subunit TIM14")</f>
        <v>Mitochondrial import inner membrane translocase subunit TIM14</v>
      </c>
      <c r="BP80" s="2" t="str">
        <f>HYPERLINK("http://www.uniprot.org/uniprot/Q9VTJ8","1E-048")</f>
        <v>1E-048</v>
      </c>
      <c r="BQ80" s="2" t="str">
        <f>HYPERLINK("http://www.uniprot.org/uniprot/Q9VTJ8#expression","Q9VTJ8")</f>
        <v>Q9VTJ8</v>
      </c>
      <c r="BR80" s="2">
        <v>77</v>
      </c>
      <c r="BS80" s="2">
        <v>87</v>
      </c>
      <c r="BT80" s="2">
        <v>100</v>
      </c>
      <c r="BU80" s="2" t="s">
        <v>151</v>
      </c>
      <c r="BV80" s="9" t="str">
        <f>HYPERLINK(".\links\FLYBASE\AGAP003533-PA-FLYBASE.txt","FBpp0296928")</f>
        <v>FBpp0296928</v>
      </c>
      <c r="BW80" s="2" t="str">
        <f>HYPERLINK("http://flybase.org/reports/FBgn0036173#alliance_summary_container","2E-65")</f>
        <v>2E-65</v>
      </c>
      <c r="BX80" s="2">
        <v>118</v>
      </c>
      <c r="BY80" s="2">
        <v>77</v>
      </c>
      <c r="BZ80" s="2">
        <v>87</v>
      </c>
      <c r="CA80" s="2">
        <v>100</v>
      </c>
      <c r="CB80" s="9" t="str">
        <f>HYPERLINK(".\links\CDD\AGAP003533-PA-CDD.txt","PTZ00100, DnaJ chaperone protein")</f>
        <v>PTZ00100, DnaJ chaperone protein</v>
      </c>
      <c r="CC80" s="13">
        <v>6.0000000000000006E-20</v>
      </c>
      <c r="CD80" s="2">
        <v>95.7</v>
      </c>
      <c r="CE80" s="2" t="s">
        <v>844</v>
      </c>
      <c r="CF80" s="2" t="s">
        <v>845</v>
      </c>
      <c r="CG80" s="9" t="str">
        <f>HYPERLINK(".\links\KOG\AGAP003533-PA-KOG.txt","Molecular chaperone (DnaJ superfamily)")</f>
        <v>Molecular chaperone (DnaJ superfamily)</v>
      </c>
      <c r="CH80" s="13">
        <v>4.0000000000000003E-31</v>
      </c>
      <c r="CI80" s="2">
        <v>104.5</v>
      </c>
      <c r="CJ80" s="2" t="s">
        <v>846</v>
      </c>
      <c r="CK80" s="2" t="s">
        <v>264</v>
      </c>
      <c r="CL80" s="9" t="str">
        <f>HYPERLINK(".\links\PFAM\AGAP003533-PA-PFAM.txt","DnaJ, DnaJ domain")</f>
        <v>DnaJ, DnaJ domain</v>
      </c>
      <c r="CM80" s="13">
        <v>2.0000000000000001E-4</v>
      </c>
      <c r="CN80" s="2">
        <v>71.400000000000006</v>
      </c>
      <c r="CO80" s="2" t="s">
        <v>847</v>
      </c>
      <c r="CP80" s="9" t="str">
        <f>HYPERLINK(".\links\SMART\AGAP003533-PA-SMART.txt","DnaJ, DnaJ molecular chaperone homology domain")</f>
        <v>DnaJ, DnaJ molecular chaperone homology domain</v>
      </c>
      <c r="CQ80" s="13">
        <v>9.9999999999999995E-8</v>
      </c>
      <c r="CR80" s="2">
        <v>80</v>
      </c>
      <c r="CS80" s="2" t="s">
        <v>848</v>
      </c>
      <c r="CT80" s="2" t="s">
        <v>840</v>
      </c>
      <c r="CU80" s="2" t="s">
        <v>840</v>
      </c>
      <c r="CV80" s="2" t="s">
        <v>840</v>
      </c>
      <c r="CW80" s="2" t="str">
        <f>HYPERLINK(".\links\pep\AGAP003533-PA-pep.txt","AGAP003533-PA")</f>
        <v>AGAP003533-PA</v>
      </c>
      <c r="CX80" s="2" t="s">
        <v>88</v>
      </c>
      <c r="CY80" s="2">
        <v>118</v>
      </c>
      <c r="CZ80" s="2" t="s">
        <v>103</v>
      </c>
      <c r="DA80" s="2" t="s">
        <v>849</v>
      </c>
      <c r="DB80" s="2">
        <v>0</v>
      </c>
      <c r="DC80" s="2">
        <v>0</v>
      </c>
      <c r="DD80" s="2" t="str">
        <f>HYPERLINK("https://www.kegg.jp/kegg-bin/search_pathway_text?map=aga&amp;keyword=AGAP003533&amp;mode=1&amp;viewImage=true","AGAP003533")</f>
        <v>AGAP003533</v>
      </c>
      <c r="DE80" s="2" t="s">
        <v>836</v>
      </c>
      <c r="DF80" s="2" t="s">
        <v>837</v>
      </c>
      <c r="DG80" s="2" t="s">
        <v>87</v>
      </c>
      <c r="DH80" s="2" t="str">
        <f>HYPERLINK("https://vectorbase.org/vectorbase/app/record/gene/AGAP003533","AGAP003533-RA")</f>
        <v>AGAP003533-RA</v>
      </c>
      <c r="DI80" s="2" t="s">
        <v>122</v>
      </c>
      <c r="DJ80" s="2">
        <v>737</v>
      </c>
      <c r="DK80" s="2" t="str">
        <f>HYPERLINK(".\links\netoglyc\AGAP003533-PA-netoglyc.txt","0")</f>
        <v>0</v>
      </c>
      <c r="DL80" s="2">
        <v>10.199999999999999</v>
      </c>
      <c r="DM80" s="2">
        <v>8.5</v>
      </c>
      <c r="DN80" s="2">
        <v>4.2</v>
      </c>
      <c r="DO80" s="2" t="s">
        <v>94</v>
      </c>
      <c r="DP80" s="2" t="s">
        <v>89</v>
      </c>
      <c r="DQ80" s="2" t="str">
        <f>HYPERLINK(".\links\Sigp\AGAP003533-PA-SigP.txt","SIG")</f>
        <v>SIG</v>
      </c>
      <c r="DR80" s="2" t="s">
        <v>842</v>
      </c>
      <c r="DS80" s="2">
        <v>12.826000000000001</v>
      </c>
      <c r="DT80" s="2">
        <v>9.9</v>
      </c>
      <c r="DU80" s="2">
        <v>10.82</v>
      </c>
      <c r="DV80" s="2">
        <v>9.84</v>
      </c>
      <c r="DW80" s="2" t="s">
        <v>843</v>
      </c>
      <c r="DX80" s="2">
        <v>118</v>
      </c>
      <c r="DY80" s="12" t="str">
        <f>HYPERLINK(".\links\tmhmm\AGAP003533-PA-tmhmm.txt","1")</f>
        <v>1</v>
      </c>
      <c r="DZ80" s="2">
        <v>16.100000000000001</v>
      </c>
      <c r="EA80" s="2">
        <v>3.4</v>
      </c>
      <c r="EB80" s="2">
        <v>80.5</v>
      </c>
      <c r="EC80" s="2" t="str">
        <f>HYPERLINK(".\links\gpi\AGAP003533-PA-gpi.txt","Y-NoSP")</f>
        <v>Y-NoSP</v>
      </c>
      <c r="ED80" s="2">
        <v>0.43</v>
      </c>
      <c r="EE80" s="2" t="s">
        <v>850</v>
      </c>
      <c r="EF80" s="2">
        <v>0</v>
      </c>
      <c r="EG80" s="2" t="s">
        <v>89</v>
      </c>
      <c r="EH80" s="2" t="s">
        <v>89</v>
      </c>
      <c r="EI80" s="2">
        <v>10.1694915254237</v>
      </c>
      <c r="EJ80" s="2">
        <v>4.2372881355932197</v>
      </c>
      <c r="EK80" s="2">
        <v>8.4745762711864394</v>
      </c>
      <c r="EL80" s="2">
        <v>12.7118644067797</v>
      </c>
      <c r="EM80" s="2" t="s">
        <v>89</v>
      </c>
      <c r="EN80" s="2" t="s">
        <v>89</v>
      </c>
      <c r="EO80" s="2" t="s">
        <v>89</v>
      </c>
      <c r="EP80" s="2" t="s">
        <v>89</v>
      </c>
      <c r="EQ80" s="2" t="s">
        <v>89</v>
      </c>
      <c r="ER80" s="2" t="s">
        <v>89</v>
      </c>
      <c r="ES80" s="2" t="s">
        <v>89</v>
      </c>
      <c r="ET80" s="2" t="str">
        <f>HYPERLINK(".\links\REFSEQ-INVERTEBRATE\AGAP003533-PA-REFSEQ-INVERTEBRATE.txt","AGAP003533-PA")</f>
        <v>AGAP003533-PA</v>
      </c>
      <c r="EU80" s="2" t="str">
        <f>HYPERLINK("http://www.ncbi.nlm.nih.gov/sutils/blink.cgi?pid=XP_313276.4","3E-81")</f>
        <v>3E-81</v>
      </c>
      <c r="EV80" s="2" t="str">
        <f>HYPERLINK("http://www.ncbi.nlm.nih.gov/protein/XP_313276.4","XP_313276.4")</f>
        <v>XP_313276.4</v>
      </c>
      <c r="EW80" s="2">
        <v>100</v>
      </c>
      <c r="EX80" s="2">
        <v>100</v>
      </c>
      <c r="EY80" s="2">
        <v>100</v>
      </c>
      <c r="EZ80" s="2" t="s">
        <v>95</v>
      </c>
    </row>
    <row r="81" spans="1:156" x14ac:dyDescent="0.25">
      <c r="A81" s="2" t="s">
        <v>2599</v>
      </c>
      <c r="B81" s="2">
        <v>-0.75479403867690897</v>
      </c>
      <c r="C81" s="2">
        <f t="shared" si="1"/>
        <v>0.59263098432635242</v>
      </c>
      <c r="D81" s="2">
        <v>7.1331350046548296</v>
      </c>
      <c r="E81" s="2">
        <v>13.123221002475701</v>
      </c>
      <c r="F81" s="2">
        <v>2.9165817060448798E-4</v>
      </c>
      <c r="G81" s="2">
        <v>1.84330708445315E-2</v>
      </c>
      <c r="H81" s="2" t="s">
        <v>2600</v>
      </c>
      <c r="I81" s="2" t="s">
        <v>87</v>
      </c>
      <c r="J81" s="2" t="str">
        <f>HYPERLINK("https://vectorbase.org/vectorbase/app/record/gene/AGAP010517","AGAP010517-RA")</f>
        <v>AGAP010517-RA</v>
      </c>
      <c r="K81" s="2" t="str">
        <f>HYPERLINK(".\links\pep\AGAP010517-PA-pep.txt","AGAP010517-PA")</f>
        <v>AGAP010517-PA</v>
      </c>
      <c r="L81" s="12" t="s">
        <v>88</v>
      </c>
      <c r="M81" s="2">
        <v>219</v>
      </c>
      <c r="N81" s="2">
        <v>0</v>
      </c>
      <c r="O81" s="2">
        <v>2</v>
      </c>
      <c r="P81" s="2" t="s">
        <v>2601</v>
      </c>
      <c r="Q81" s="9" t="s">
        <v>2602</v>
      </c>
      <c r="R81" s="2" t="s">
        <v>740</v>
      </c>
      <c r="S81" s="2" t="str">
        <f>HYPERLINK(".\links\REFSEQ-INVERTEBRATE\AGAP010517-PA-REFSEQ-INVERTEBRATE.txt","REFSEQ-INVERTEBRATE")</f>
        <v>REFSEQ-INVERTEBRATE</v>
      </c>
      <c r="T81" s="2">
        <v>0</v>
      </c>
      <c r="U81" s="2">
        <v>99.5</v>
      </c>
      <c r="V81" s="2" t="s">
        <v>2603</v>
      </c>
      <c r="W81" s="10" t="s">
        <v>2604</v>
      </c>
      <c r="X81" s="2" t="s">
        <v>740</v>
      </c>
      <c r="Y81" s="2" t="str">
        <f>HYPERLINK(".\links\ELEGANS\AGAP010517-PA-ELEGANS.txt","ELEGANS")</f>
        <v>ELEGANS</v>
      </c>
      <c r="Z81" s="2">
        <v>0</v>
      </c>
      <c r="AA81" s="2">
        <v>91.8</v>
      </c>
      <c r="AB81" s="14" t="s">
        <v>89</v>
      </c>
      <c r="AC81" s="14" t="str">
        <f>HYPERLINK(".\links\Sigp\AGAP010517-PA-SigP.txt","CYT")</f>
        <v>CYT</v>
      </c>
      <c r="AD81" s="2" t="s">
        <v>89</v>
      </c>
      <c r="AE81" s="2">
        <v>24.605</v>
      </c>
      <c r="AF81" s="2">
        <v>7.72</v>
      </c>
      <c r="AG81" s="2" t="s">
        <v>89</v>
      </c>
      <c r="AH81" s="2" t="s">
        <v>89</v>
      </c>
      <c r="AI81" s="2" t="s">
        <v>501</v>
      </c>
      <c r="AJ81" s="14">
        <v>0</v>
      </c>
      <c r="AK81" s="2" t="s">
        <v>89</v>
      </c>
      <c r="AL81" s="2" t="s">
        <v>89</v>
      </c>
      <c r="AM81" s="2" t="s">
        <v>89</v>
      </c>
      <c r="AN81" s="14" t="str">
        <f>HYPERLINK(".\links\gpi\AGAP010517-PA-gpi.txt","N")</f>
        <v>N</v>
      </c>
      <c r="AO81" s="15" t="str">
        <f>HYPERLINK(".\links\netoglyc\AGAP010517-PA-netoglyc.txt","0")</f>
        <v>0</v>
      </c>
      <c r="AP81" s="14">
        <v>7.3</v>
      </c>
      <c r="AQ81" s="2">
        <v>5.5</v>
      </c>
      <c r="AR81" s="2">
        <v>4.0999999999999996</v>
      </c>
      <c r="AS81" s="2" t="s">
        <v>94</v>
      </c>
      <c r="AT81" s="9" t="str">
        <f>HYPERLINK(".\links\NR-LIGHT\AGAP010517-PA-NR-LIGHT.txt","AGAP010517-PA")</f>
        <v>AGAP010517-PA</v>
      </c>
      <c r="AU81" s="2" t="str">
        <f>HYPERLINK("http://www.ncbi.nlm.nih.gov/sutils/blink.cgi?pid=XP_314490.4","1E-126")</f>
        <v>1E-126</v>
      </c>
      <c r="AV81" s="2" t="str">
        <f>HYPERLINK("http://www.ncbi.nlm.nih.gov/protein/XP_314490.4","XP_314490.4")</f>
        <v>XP_314490.4</v>
      </c>
      <c r="AW81" s="2">
        <v>100</v>
      </c>
      <c r="AX81" s="2">
        <v>100</v>
      </c>
      <c r="AY81" s="2">
        <v>100</v>
      </c>
      <c r="AZ81" s="2" t="s">
        <v>95</v>
      </c>
      <c r="BA81" s="9" t="str">
        <f>HYPERLINK(".\links\REFSEQ-INVERTEBRATE\AGAP010517-PA-REFSEQ-INVERTEBRATE.txt","AGAP010517-PA")</f>
        <v>AGAP010517-PA</v>
      </c>
      <c r="BB81" s="2" t="str">
        <f>HYPERLINK("http://www.ncbi.nlm.nih.gov/sutils/blink.cgi?pid=XP_314490.4","1E-126")</f>
        <v>1E-126</v>
      </c>
      <c r="BC81" s="2" t="str">
        <f>HYPERLINK("http://www.ncbi.nlm.nih.gov/protein/XP_314490.4","XP_314490.4")</f>
        <v>XP_314490.4</v>
      </c>
      <c r="BD81" s="2">
        <v>100</v>
      </c>
      <c r="BE81" s="2">
        <v>100</v>
      </c>
      <c r="BF81" s="2">
        <v>100</v>
      </c>
      <c r="BG81" s="2" t="s">
        <v>95</v>
      </c>
      <c r="BH81" s="9" t="str">
        <f>HYPERLINK(".\links\REFSEQ-PROTOZOA\AGAP010517-PA-REFSEQ-PROTOZOA.txt","superoxide dismutase 2")</f>
        <v>superoxide dismutase 2</v>
      </c>
      <c r="BI81" s="2" t="str">
        <f>HYPERLINK("http://www.ncbi.nlm.nih.gov/sutils/blink.cgi?pid=XP_004990675.1","4E-075")</f>
        <v>4E-075</v>
      </c>
      <c r="BJ81" s="2" t="str">
        <f>HYPERLINK("http://www.ncbi.nlm.nih.gov/protein/XP_004990675.1","XP_004990675.1")</f>
        <v>XP_004990675.1</v>
      </c>
      <c r="BK81" s="2">
        <v>66</v>
      </c>
      <c r="BL81" s="2">
        <v>77</v>
      </c>
      <c r="BM81" s="2">
        <v>90</v>
      </c>
      <c r="BN81" s="2" t="s">
        <v>182</v>
      </c>
      <c r="BO81" s="9" t="str">
        <f>HYPERLINK(".\links\SWISSP\AGAP010517-PA-SWISSP.txt","Superoxide dismutase [Mn], mitochondrial")</f>
        <v>Superoxide dismutase [Mn], mitochondrial</v>
      </c>
      <c r="BP81" s="2" t="str">
        <f>HYPERLINK("http://www.uniprot.org/uniprot/Q00637","1E-081")</f>
        <v>1E-081</v>
      </c>
      <c r="BQ81" s="2" t="str">
        <f>HYPERLINK("http://www.uniprot.org/uniprot/Q00637#expression","Q00637")</f>
        <v>Q00637</v>
      </c>
      <c r="BR81" s="2">
        <v>65</v>
      </c>
      <c r="BS81" s="2">
        <v>82</v>
      </c>
      <c r="BT81" s="2">
        <v>94</v>
      </c>
      <c r="BU81" s="2" t="s">
        <v>151</v>
      </c>
      <c r="BV81" s="9" t="str">
        <f>HYPERLINK(".\links\FLYBASE\AGAP010517-PA-FLYBASE.txt","FBpp0311603")</f>
        <v>FBpp0311603</v>
      </c>
      <c r="BW81" s="2" t="str">
        <f>HYPERLINK("http://flybase.org/reports/FBgn0010213#alliance_summary_container","1E-107")</f>
        <v>1E-107</v>
      </c>
      <c r="BX81" s="2">
        <v>217</v>
      </c>
      <c r="BY81" s="2">
        <v>66</v>
      </c>
      <c r="BZ81" s="2">
        <v>83</v>
      </c>
      <c r="CA81" s="2">
        <v>94</v>
      </c>
      <c r="CB81" s="9" t="str">
        <f>HYPERLINK(".\links\CDD\AGAP010517-PA-CDD.txt","SodA, Superoxide dismutase")</f>
        <v>SodA, Superoxide dismutase</v>
      </c>
      <c r="CC81" s="13">
        <v>7E-72</v>
      </c>
      <c r="CD81" s="2">
        <v>99.5</v>
      </c>
      <c r="CE81" s="2" t="s">
        <v>2605</v>
      </c>
      <c r="CF81" s="2" t="s">
        <v>2606</v>
      </c>
      <c r="CG81" s="9" t="str">
        <f>HYPERLINK(".\links\KOG\AGAP010517-PA-KOG.txt","Manganese superoxide dismutase")</f>
        <v>Manganese superoxide dismutase</v>
      </c>
      <c r="CH81" s="13">
        <v>4E-73</v>
      </c>
      <c r="CI81" s="2">
        <v>89.3</v>
      </c>
      <c r="CJ81" s="2" t="s">
        <v>2607</v>
      </c>
      <c r="CK81" s="2" t="s">
        <v>653</v>
      </c>
      <c r="CL81" s="9" t="str">
        <f>HYPERLINK(".\links\PFAM\AGAP010517-PA-PFAM.txt","Sod_Fe_C, Iron/manganese superoxide dismutases, C-terminal domain")</f>
        <v>Sod_Fe_C, Iron/manganese superoxide dismutases, C-terminal domain</v>
      </c>
      <c r="CM81" s="13">
        <v>2.0000000000000002E-43</v>
      </c>
      <c r="CN81" s="2">
        <v>102</v>
      </c>
      <c r="CO81" s="2" t="s">
        <v>2608</v>
      </c>
      <c r="CP81" s="9" t="str">
        <f>HYPERLINK(".\links\SMART\AGAP010517-PA-SMART.txt","KISc, Kinesin motor, catalytic domain")</f>
        <v>KISc, Kinesin motor, catalytic domain</v>
      </c>
      <c r="CQ81" s="13">
        <v>0.01</v>
      </c>
      <c r="CR81" s="2">
        <v>18.2</v>
      </c>
      <c r="CS81" s="2" t="s">
        <v>2609</v>
      </c>
      <c r="CT81" s="2" t="s">
        <v>2603</v>
      </c>
      <c r="CU81" s="2" t="s">
        <v>2603</v>
      </c>
      <c r="CV81" s="2" t="s">
        <v>2603</v>
      </c>
      <c r="CW81" s="2" t="str">
        <f>HYPERLINK(".\links\pep\AGAP010517-PA-pep.txt","AGAP010517-PA")</f>
        <v>AGAP010517-PA</v>
      </c>
      <c r="CX81" s="2" t="s">
        <v>88</v>
      </c>
      <c r="CY81" s="2">
        <v>219</v>
      </c>
      <c r="CZ81" s="2" t="s">
        <v>103</v>
      </c>
      <c r="DA81" s="2" t="s">
        <v>2610</v>
      </c>
      <c r="DB81" s="2">
        <v>0</v>
      </c>
      <c r="DC81" s="2">
        <v>2</v>
      </c>
      <c r="DD81" s="2" t="str">
        <f>HYPERLINK("https://www.kegg.jp/kegg-bin/search_pathway_text?map=aga&amp;keyword=AGAP010517&amp;mode=1&amp;viewImage=true","AGAP010517")</f>
        <v>AGAP010517</v>
      </c>
      <c r="DE81" s="2" t="s">
        <v>2599</v>
      </c>
      <c r="DF81" s="2" t="s">
        <v>2600</v>
      </c>
      <c r="DG81" s="2" t="s">
        <v>87</v>
      </c>
      <c r="DH81" s="2" t="str">
        <f>HYPERLINK("https://vectorbase.org/vectorbase/app/record/gene/AGAP010517","AGAP010517-RA")</f>
        <v>AGAP010517-RA</v>
      </c>
      <c r="DI81" s="2" t="s">
        <v>105</v>
      </c>
      <c r="DJ81" s="2">
        <v>963</v>
      </c>
      <c r="DK81" s="2" t="str">
        <f>HYPERLINK(".\links\netoglyc\AGAP010517-PA-netoglyc.txt","0")</f>
        <v>0</v>
      </c>
      <c r="DL81" s="2">
        <v>7.3</v>
      </c>
      <c r="DM81" s="2">
        <v>5.5</v>
      </c>
      <c r="DN81" s="2">
        <v>4.0999999999999996</v>
      </c>
      <c r="DO81" s="2" t="s">
        <v>94</v>
      </c>
      <c r="DP81" s="2" t="s">
        <v>89</v>
      </c>
      <c r="DQ81" s="2" t="str">
        <f>HYPERLINK(".\links\Sigp\AGAP010517-PA-SigP.txt","CYT")</f>
        <v>CYT</v>
      </c>
      <c r="DR81" s="2" t="s">
        <v>89</v>
      </c>
      <c r="DS81" s="2">
        <v>24.605</v>
      </c>
      <c r="DT81" s="2">
        <v>7.72</v>
      </c>
      <c r="DU81" s="2" t="s">
        <v>89</v>
      </c>
      <c r="DV81" s="2" t="s">
        <v>89</v>
      </c>
      <c r="DW81" s="2" t="s">
        <v>501</v>
      </c>
      <c r="DX81" s="2">
        <v>219</v>
      </c>
      <c r="DY81" s="12">
        <v>0</v>
      </c>
      <c r="DZ81" s="2" t="s">
        <v>89</v>
      </c>
      <c r="EA81" s="2" t="s">
        <v>89</v>
      </c>
      <c r="EB81" s="2" t="s">
        <v>89</v>
      </c>
      <c r="EC81" s="2" t="str">
        <f>HYPERLINK(".\links\gpi\AGAP010517-PA-gpi.txt","N")</f>
        <v>N</v>
      </c>
      <c r="ED81" s="2">
        <v>0.28000000000000003</v>
      </c>
      <c r="EF81" s="2">
        <v>4</v>
      </c>
      <c r="EG81" s="2" t="s">
        <v>89</v>
      </c>
      <c r="EH81" s="2" t="s">
        <v>89</v>
      </c>
      <c r="EI81" s="2">
        <v>7.3059360730593603</v>
      </c>
      <c r="EJ81" s="2">
        <v>4.10958904109589</v>
      </c>
      <c r="EK81" s="2">
        <v>5.4794520547945202</v>
      </c>
      <c r="EL81" s="2">
        <v>9.5890410958904102</v>
      </c>
      <c r="EM81" s="2" t="s">
        <v>89</v>
      </c>
      <c r="EN81" s="2" t="s">
        <v>89</v>
      </c>
      <c r="EO81" s="2" t="s">
        <v>89</v>
      </c>
      <c r="EP81" s="2" t="s">
        <v>89</v>
      </c>
      <c r="EQ81" s="2" t="s">
        <v>89</v>
      </c>
      <c r="ER81" s="2" t="s">
        <v>89</v>
      </c>
      <c r="ES81" s="2" t="s">
        <v>89</v>
      </c>
      <c r="ET81" s="2" t="str">
        <f>HYPERLINK(".\links\REFSEQ-INVERTEBRATE\AGAP010517-PA-REFSEQ-INVERTEBRATE.txt","AGAP010517-PA")</f>
        <v>AGAP010517-PA</v>
      </c>
      <c r="EU81" s="2" t="str">
        <f>HYPERLINK("http://www.ncbi.nlm.nih.gov/sutils/blink.cgi?pid=XP_314490.4","1E-164")</f>
        <v>1E-164</v>
      </c>
      <c r="EV81" s="2" t="str">
        <f>HYPERLINK("http://www.ncbi.nlm.nih.gov/protein/XP_314490.4","XP_314490.4")</f>
        <v>XP_314490.4</v>
      </c>
      <c r="EW81" s="2">
        <v>100</v>
      </c>
      <c r="EX81" s="2">
        <v>100</v>
      </c>
      <c r="EY81" s="2">
        <v>100</v>
      </c>
      <c r="EZ81" s="2" t="s">
        <v>95</v>
      </c>
    </row>
    <row r="82" spans="1:156" x14ac:dyDescent="0.25">
      <c r="A82" s="2" t="s">
        <v>1172</v>
      </c>
      <c r="B82" s="2">
        <v>-0.75875642923807896</v>
      </c>
      <c r="C82" s="2">
        <f t="shared" si="1"/>
        <v>0.59100554473950828</v>
      </c>
      <c r="D82" s="2">
        <v>6.0804203181202201</v>
      </c>
      <c r="E82" s="2">
        <v>10.506108156802799</v>
      </c>
      <c r="F82" s="2">
        <v>1.1898058330395E-3</v>
      </c>
      <c r="G82" s="2">
        <v>4.6233075563399999E-2</v>
      </c>
      <c r="H82" s="2" t="s">
        <v>1173</v>
      </c>
      <c r="I82" s="2" t="s">
        <v>87</v>
      </c>
      <c r="J82" s="2" t="str">
        <f>HYPERLINK("https://vectorbase.org/vectorbase/app/record/gene/AGAP004606","AGAP004606-RA")</f>
        <v>AGAP004606-RA</v>
      </c>
      <c r="K82" s="2" t="str">
        <f>HYPERLINK(".\links\pep\AGAP004606-PA-pep.txt","AGAP004606-PA")</f>
        <v>AGAP004606-PA</v>
      </c>
      <c r="L82" s="12" t="s">
        <v>88</v>
      </c>
      <c r="M82" s="2">
        <v>118</v>
      </c>
      <c r="N82" s="2">
        <v>0</v>
      </c>
      <c r="O82" s="2">
        <v>0</v>
      </c>
      <c r="P82" s="2" t="s">
        <v>1174</v>
      </c>
      <c r="Q82" s="9" t="s">
        <v>1175</v>
      </c>
      <c r="R82" s="2" t="s">
        <v>91</v>
      </c>
      <c r="S82" s="2" t="str">
        <f>HYPERLINK(".\links\REFSEQ-INVERTEBRATE\AGAP004606-PA-REFSEQ-INVERTEBRATE.txt","REFSEQ-INVERTEBRATE")</f>
        <v>REFSEQ-INVERTEBRATE</v>
      </c>
      <c r="T82" s="2">
        <v>1E-59</v>
      </c>
      <c r="U82" s="2">
        <v>100</v>
      </c>
      <c r="V82" s="2" t="s">
        <v>1175</v>
      </c>
      <c r="W82" s="10" t="s">
        <v>1176</v>
      </c>
      <c r="X82" s="2" t="s">
        <v>303</v>
      </c>
      <c r="Y82" s="2" t="str">
        <f>HYPERLINK(".\links\UNIPROTKB\AGAP004606-PA-UNIPROTKB.txt","UNIPROTKB")</f>
        <v>UNIPROTKB</v>
      </c>
      <c r="Z82" s="13">
        <v>2.0000000000000002E-30</v>
      </c>
      <c r="AA82" s="2">
        <v>82.1</v>
      </c>
      <c r="AB82" s="14" t="s">
        <v>89</v>
      </c>
      <c r="AC82" s="14" t="str">
        <f>HYPERLINK(".\links\Sigp\AGAP004606-PA-SigP.txt","CYT")</f>
        <v>CYT</v>
      </c>
      <c r="AD82" s="2" t="s">
        <v>89</v>
      </c>
      <c r="AE82" s="2">
        <v>13.395</v>
      </c>
      <c r="AF82" s="2">
        <v>5.16</v>
      </c>
      <c r="AG82" s="2" t="s">
        <v>89</v>
      </c>
      <c r="AH82" s="2" t="s">
        <v>89</v>
      </c>
      <c r="AI82" s="2" t="s">
        <v>93</v>
      </c>
      <c r="AJ82" s="14">
        <v>0</v>
      </c>
      <c r="AK82" s="2" t="s">
        <v>89</v>
      </c>
      <c r="AL82" s="2" t="s">
        <v>89</v>
      </c>
      <c r="AM82" s="2" t="s">
        <v>89</v>
      </c>
      <c r="AN82" s="14" t="str">
        <f>HYPERLINK(".\links\gpi\AGAP004606-PA-gpi.txt","N")</f>
        <v>N</v>
      </c>
      <c r="AO82" s="15" t="str">
        <f>HYPERLINK(".\links\netoglyc\AGAP004606-PA-netoglyc.txt","0")</f>
        <v>0</v>
      </c>
      <c r="AP82" s="14">
        <v>7.6</v>
      </c>
      <c r="AQ82" s="2">
        <v>3.4</v>
      </c>
      <c r="AR82" s="2" t="s">
        <v>274</v>
      </c>
      <c r="AS82" s="2" t="s">
        <v>94</v>
      </c>
      <c r="AT82" s="9" t="str">
        <f>HYPERLINK(".\links\NR-LIGHT\AGAP004606-PA-NR-LIGHT.txt","AGAP004606-PA")</f>
        <v>AGAP004606-PA</v>
      </c>
      <c r="AU82" s="2" t="str">
        <f>HYPERLINK("http://www.ncbi.nlm.nih.gov/sutils/blink.cgi?pid=XP_315218.4","2E-059")</f>
        <v>2E-059</v>
      </c>
      <c r="AV82" s="2" t="str">
        <f>HYPERLINK("http://www.ncbi.nlm.nih.gov/protein/XP_315218.4","XP_315218.4")</f>
        <v>XP_315218.4</v>
      </c>
      <c r="AW82" s="2">
        <v>100</v>
      </c>
      <c r="AX82" s="2">
        <v>100</v>
      </c>
      <c r="AY82" s="2">
        <v>100</v>
      </c>
      <c r="AZ82" s="2" t="s">
        <v>95</v>
      </c>
      <c r="BA82" s="9" t="str">
        <f>HYPERLINK(".\links\REFSEQ-INVERTEBRATE\AGAP004606-PA-REFSEQ-INVERTEBRATE.txt","AGAP004606-PA")</f>
        <v>AGAP004606-PA</v>
      </c>
      <c r="BB82" s="2" t="str">
        <f>HYPERLINK("http://www.ncbi.nlm.nih.gov/sutils/blink.cgi?pid=XP_315218.4","1E-059")</f>
        <v>1E-059</v>
      </c>
      <c r="BC82" s="2" t="str">
        <f>HYPERLINK("http://www.ncbi.nlm.nih.gov/protein/XP_315218.4","XP_315218.4")</f>
        <v>XP_315218.4</v>
      </c>
      <c r="BD82" s="2">
        <v>100</v>
      </c>
      <c r="BE82" s="2">
        <v>100</v>
      </c>
      <c r="BF82" s="2">
        <v>100</v>
      </c>
      <c r="BG82" s="2" t="s">
        <v>95</v>
      </c>
      <c r="BH82" s="9" t="str">
        <f>HYPERLINK(".\links\REFSEQ-PROTOZOA\AGAP004606-PA-REFSEQ-PROTOZOA.txt","hypothetical protein CAOG_02766")</f>
        <v>hypothetical protein CAOG_02766</v>
      </c>
      <c r="BI82" s="2" t="str">
        <f>HYPERLINK("http://www.ncbi.nlm.nih.gov/sutils/blink.cgi?pid=XP_004349519.1","4E-018")</f>
        <v>4E-018</v>
      </c>
      <c r="BJ82" s="2" t="str">
        <f>HYPERLINK("http://www.ncbi.nlm.nih.gov/protein/XP_004349519.1","XP_004349519.1")</f>
        <v>XP_004349519.1</v>
      </c>
      <c r="BK82" s="2">
        <v>38</v>
      </c>
      <c r="BL82" s="2">
        <v>59</v>
      </c>
      <c r="BM82" s="2">
        <v>100</v>
      </c>
      <c r="BN82" s="2" t="s">
        <v>150</v>
      </c>
      <c r="BO82" s="9" t="str">
        <f>HYPERLINK(".\links\SWISSP\AGAP004606-PA-SWISSP.txt","Huntingtin-interacting protein K")</f>
        <v>Huntingtin-interacting protein K</v>
      </c>
      <c r="BP82" s="2" t="str">
        <f>HYPERLINK("http://www.uniprot.org/uniprot/Q9CR41","3E-024")</f>
        <v>3E-024</v>
      </c>
      <c r="BQ82" s="2" t="str">
        <f>HYPERLINK("http://www.uniprot.org/uniprot/Q9CR41#expression","Q9CR41")</f>
        <v>Q9CR41</v>
      </c>
      <c r="BR82" s="2">
        <v>56</v>
      </c>
      <c r="BS82" s="2">
        <v>74</v>
      </c>
      <c r="BT82" s="2">
        <v>81</v>
      </c>
      <c r="BU82" s="2" t="s">
        <v>566</v>
      </c>
      <c r="BV82" s="9" t="str">
        <f>HYPERLINK(".\links\FLYBASE\AGAP004606-PA-FLYBASE.txt","FBpp0306412")</f>
        <v>FBpp0306412</v>
      </c>
      <c r="BW82" s="2" t="str">
        <f>HYPERLINK("http://flybase.org/reports/FBgn0038196#alliance_summary_container","1E-37")</f>
        <v>1E-37</v>
      </c>
      <c r="BX82" s="2">
        <v>124</v>
      </c>
      <c r="BY82" s="2">
        <v>62</v>
      </c>
      <c r="BZ82" s="2">
        <v>79</v>
      </c>
      <c r="CA82" s="2">
        <v>89</v>
      </c>
      <c r="CB82" s="9" t="str">
        <f>HYPERLINK(".\links\CDD\AGAP004606-PA-CDD.txt","UBA_HYPK, UBA-like domain found in Huntingtin-interacting protein K (HYPK) and similar proteins")</f>
        <v>UBA_HYPK, UBA-like domain found in Huntingtin-interacting protein K (HYPK) and similar proteins</v>
      </c>
      <c r="CC82" s="13">
        <v>6E-10</v>
      </c>
      <c r="CD82" s="2">
        <v>100</v>
      </c>
      <c r="CE82" s="2" t="s">
        <v>1177</v>
      </c>
      <c r="CF82" s="2" t="s">
        <v>1178</v>
      </c>
      <c r="CG82" s="9" t="str">
        <f>HYPERLINK(".\links\KOG\AGAP004606-PA-KOG.txt","Huntingtin interacting protein HYPK")</f>
        <v>Huntingtin interacting protein HYPK</v>
      </c>
      <c r="CH82" s="13">
        <v>2.0000000000000001E-18</v>
      </c>
      <c r="CI82" s="2">
        <v>98.3</v>
      </c>
      <c r="CJ82" s="2" t="s">
        <v>1179</v>
      </c>
      <c r="CK82" s="2" t="s">
        <v>187</v>
      </c>
      <c r="CL82" s="9" t="str">
        <f>HYPERLINK(".\links\PFAM\AGAP004606-PA-PFAM.txt","PRKCSH-like, Glucosidase II beta subunit-like")</f>
        <v>PRKCSH-like, Glucosidase II beta subunit-like</v>
      </c>
      <c r="CM82" s="13">
        <v>0.14000000000000001</v>
      </c>
      <c r="CN82" s="2">
        <v>48.9</v>
      </c>
      <c r="CO82" s="2" t="s">
        <v>1180</v>
      </c>
      <c r="CP82" s="9" t="str">
        <f>HYPERLINK(".\links\SMART\AGAP004606-PA-SMART.txt","PTPc, Protein tyrosine phosphatase, catalytic domain")</f>
        <v>PTPc, Protein tyrosine phosphatase, catalytic domain</v>
      </c>
      <c r="CQ82" s="13">
        <v>0.26</v>
      </c>
      <c r="CR82" s="2">
        <v>22.8</v>
      </c>
      <c r="CS82" s="2" t="s">
        <v>1181</v>
      </c>
      <c r="CT82" s="2" t="s">
        <v>1175</v>
      </c>
      <c r="CU82" s="2" t="s">
        <v>1175</v>
      </c>
      <c r="CV82" s="2" t="s">
        <v>1175</v>
      </c>
      <c r="CW82" s="2" t="str">
        <f>HYPERLINK(".\links\pep\AGAP004606-PA-pep.txt","AGAP004606-PA")</f>
        <v>AGAP004606-PA</v>
      </c>
      <c r="CX82" s="2" t="s">
        <v>88</v>
      </c>
      <c r="CY82" s="2">
        <v>118</v>
      </c>
      <c r="CZ82" s="2" t="s">
        <v>103</v>
      </c>
      <c r="DA82" s="2" t="s">
        <v>1182</v>
      </c>
      <c r="DB82" s="2">
        <v>0</v>
      </c>
      <c r="DC82" s="2">
        <v>0</v>
      </c>
      <c r="DD82" s="2" t="str">
        <f>HYPERLINK("https://www.kegg.jp/kegg-bin/search_pathway_text?map=aga&amp;keyword=AGAP004606&amp;mode=1&amp;viewImage=true","AGAP004606")</f>
        <v>AGAP004606</v>
      </c>
      <c r="DE82" s="2" t="s">
        <v>1172</v>
      </c>
      <c r="DF82" s="2" t="s">
        <v>1173</v>
      </c>
      <c r="DG82" s="2" t="s">
        <v>87</v>
      </c>
      <c r="DH82" s="2" t="str">
        <f>HYPERLINK("https://vectorbase.org/vectorbase/app/record/gene/AGAP004606","AGAP004606-RA")</f>
        <v>AGAP004606-RA</v>
      </c>
      <c r="DI82" s="2" t="s">
        <v>158</v>
      </c>
      <c r="DJ82" s="2">
        <v>614</v>
      </c>
      <c r="DK82" s="2" t="str">
        <f>HYPERLINK(".\links\netoglyc\AGAP004606-PA-netoglyc.txt","0")</f>
        <v>0</v>
      </c>
      <c r="DL82" s="2">
        <v>7.6</v>
      </c>
      <c r="DM82" s="2">
        <v>3.4</v>
      </c>
      <c r="DN82" s="2" t="s">
        <v>274</v>
      </c>
      <c r="DO82" s="2" t="s">
        <v>94</v>
      </c>
      <c r="DP82" s="2" t="s">
        <v>89</v>
      </c>
      <c r="DQ82" s="2" t="str">
        <f>HYPERLINK(".\links\Sigp\AGAP004606-PA-SigP.txt","CYT")</f>
        <v>CYT</v>
      </c>
      <c r="DR82" s="2" t="s">
        <v>89</v>
      </c>
      <c r="DS82" s="2">
        <v>13.395</v>
      </c>
      <c r="DT82" s="2">
        <v>5.16</v>
      </c>
      <c r="DU82" s="2" t="s">
        <v>89</v>
      </c>
      <c r="DV82" s="2" t="s">
        <v>89</v>
      </c>
      <c r="DW82" s="2" t="s">
        <v>93</v>
      </c>
      <c r="DX82" s="2">
        <v>118</v>
      </c>
      <c r="DY82" s="12">
        <v>0</v>
      </c>
      <c r="DZ82" s="2" t="s">
        <v>89</v>
      </c>
      <c r="EA82" s="2" t="s">
        <v>89</v>
      </c>
      <c r="EB82" s="2" t="s">
        <v>89</v>
      </c>
      <c r="EC82" s="2" t="str">
        <f>HYPERLINK(".\links\gpi\AGAP004606-PA-gpi.txt","N")</f>
        <v>N</v>
      </c>
      <c r="ED82" s="2">
        <v>0.51</v>
      </c>
      <c r="EF82" s="2">
        <v>1</v>
      </c>
      <c r="EG82" s="2" t="s">
        <v>89</v>
      </c>
      <c r="EH82" s="2" t="s">
        <v>89</v>
      </c>
      <c r="EI82" s="2">
        <v>7.6271186440678003</v>
      </c>
      <c r="EJ82" s="2">
        <v>0</v>
      </c>
      <c r="EK82" s="2">
        <v>3.3898305084745801</v>
      </c>
      <c r="EL82" s="2">
        <v>3.3898305084745801</v>
      </c>
      <c r="EM82" s="2" t="s">
        <v>89</v>
      </c>
      <c r="EN82" s="2" t="s">
        <v>89</v>
      </c>
      <c r="EO82" s="2" t="s">
        <v>89</v>
      </c>
      <c r="EP82" s="2" t="s">
        <v>89</v>
      </c>
      <c r="EQ82" s="2" t="s">
        <v>89</v>
      </c>
      <c r="ER82" s="2" t="s">
        <v>89</v>
      </c>
      <c r="ES82" s="2" t="s">
        <v>89</v>
      </c>
      <c r="ET82" s="2" t="str">
        <f>HYPERLINK(".\links\REFSEQ-INVERTEBRATE\AGAP004606-PA-REFSEQ-INVERTEBRATE.txt","AGAP004606-PA")</f>
        <v>AGAP004606-PA</v>
      </c>
      <c r="EU82" s="2" t="str">
        <f>HYPERLINK("http://www.ncbi.nlm.nih.gov/sutils/blink.cgi?pid=XP_315218.4","9E-79")</f>
        <v>9E-79</v>
      </c>
      <c r="EV82" s="2" t="str">
        <f>HYPERLINK("http://www.ncbi.nlm.nih.gov/protein/XP_315218.4","XP_315218.4")</f>
        <v>XP_315218.4</v>
      </c>
      <c r="EW82" s="2">
        <v>100</v>
      </c>
      <c r="EX82" s="2">
        <v>100</v>
      </c>
      <c r="EY82" s="2">
        <v>100</v>
      </c>
      <c r="EZ82" s="2" t="s">
        <v>95</v>
      </c>
    </row>
    <row r="83" spans="1:156" x14ac:dyDescent="0.25">
      <c r="A83" s="2" t="s">
        <v>3135</v>
      </c>
      <c r="B83" s="2">
        <v>-0.75900513782595402</v>
      </c>
      <c r="C83" s="2">
        <f t="shared" si="1"/>
        <v>0.59090366909617753</v>
      </c>
      <c r="D83" s="2">
        <v>10.8905980633428</v>
      </c>
      <c r="E83" s="2">
        <v>12.038596842432</v>
      </c>
      <c r="F83" s="2">
        <v>5.2110183275637801E-4</v>
      </c>
      <c r="G83" s="2">
        <v>2.7330892676636201E-2</v>
      </c>
      <c r="H83" s="2" t="s">
        <v>3136</v>
      </c>
      <c r="I83" s="2" t="s">
        <v>87</v>
      </c>
      <c r="J83" s="2" t="str">
        <f>HYPERLINK("https://vectorbase.org/vectorbase/app/record/gene/AGAP028693","AGAP028693-RA")</f>
        <v>AGAP028693-RA</v>
      </c>
      <c r="K83" s="2" t="str">
        <f>HYPERLINK(".\links\pep\AGAP028693-PA-pep.txt","AGAP028693-PA")</f>
        <v>AGAP028693-PA</v>
      </c>
      <c r="L83" s="12" t="s">
        <v>88</v>
      </c>
      <c r="M83" s="2">
        <v>152</v>
      </c>
      <c r="N83" s="2">
        <v>0</v>
      </c>
      <c r="O83" s="2">
        <v>1</v>
      </c>
      <c r="P83" s="2" t="s">
        <v>3137</v>
      </c>
      <c r="Q83" s="9" t="s">
        <v>3138</v>
      </c>
      <c r="R83" s="2" t="s">
        <v>245</v>
      </c>
      <c r="S83" s="2" t="str">
        <f>HYPERLINK(".\links\CDD\AGAP028693-PA-CDD.txt","CDD")</f>
        <v>CDD</v>
      </c>
      <c r="T83" s="2">
        <v>9E-68</v>
      </c>
      <c r="U83" s="2">
        <v>100</v>
      </c>
      <c r="V83" s="2" t="s">
        <v>3139</v>
      </c>
      <c r="W83" s="10" t="s">
        <v>3140</v>
      </c>
      <c r="X83" s="2" t="s">
        <v>245</v>
      </c>
      <c r="Y83" s="2" t="str">
        <f>HYPERLINK(".\links\REFSEQVERTEBRATE95\AGAP028693-PA-REFSEQVERTEBRATE95.txt","REFSEQVERTEBRATE95")</f>
        <v>REFSEQVERTEBRATE95</v>
      </c>
      <c r="Z83" s="13">
        <v>3.0000000000000002E-87</v>
      </c>
      <c r="AA83" s="2">
        <v>83.9</v>
      </c>
      <c r="AB83" s="14" t="s">
        <v>89</v>
      </c>
      <c r="AC83" s="14" t="str">
        <f>HYPERLINK(".\links\Sigp\AGAP028693-PA-SigP.txt","CYT")</f>
        <v>CYT</v>
      </c>
      <c r="AD83" s="2" t="s">
        <v>89</v>
      </c>
      <c r="AE83" s="2">
        <v>17.652999999999999</v>
      </c>
      <c r="AF83" s="2">
        <v>10.43</v>
      </c>
      <c r="AG83" s="2" t="s">
        <v>89</v>
      </c>
      <c r="AH83" s="2" t="s">
        <v>89</v>
      </c>
      <c r="AI83" s="2" t="s">
        <v>93</v>
      </c>
      <c r="AJ83" s="14">
        <v>0</v>
      </c>
      <c r="AK83" s="2" t="s">
        <v>89</v>
      </c>
      <c r="AL83" s="2" t="s">
        <v>89</v>
      </c>
      <c r="AM83" s="2" t="s">
        <v>89</v>
      </c>
      <c r="AN83" s="9" t="str">
        <f>HYPERLINK(".\links\gpi\AGAP028693-PA-gpi.txt","N")</f>
        <v>N</v>
      </c>
      <c r="AO83" s="15" t="str">
        <f>HYPERLINK(".\links\netoglyc\AGAP028693-PA-netoglyc.txt","0")</f>
        <v>0</v>
      </c>
      <c r="AP83" s="14">
        <v>11.2</v>
      </c>
      <c r="AQ83" s="2">
        <v>7.2</v>
      </c>
      <c r="AR83" s="2">
        <v>3.3</v>
      </c>
      <c r="AS83" s="2" t="s">
        <v>94</v>
      </c>
      <c r="AT83" s="9" t="str">
        <f>HYPERLINK(".\links\NR-LIGHT\AGAP028693-PA-NR-LIGHT.txt","AGAP010375-PA, partial")</f>
        <v>AGAP010375-PA, partial</v>
      </c>
      <c r="AU83" s="2" t="str">
        <f>HYPERLINK("http://www.ncbi.nlm.nih.gov/sutils/blink.cgi?pid=XP_311570.4","1E-082")</f>
        <v>1E-082</v>
      </c>
      <c r="AV83" s="2" t="str">
        <f>HYPERLINK("http://www.ncbi.nlm.nih.gov/protein/XP_311570.4","XP_311570.4")</f>
        <v>XP_311570.4</v>
      </c>
      <c r="AW83" s="2">
        <v>100</v>
      </c>
      <c r="AX83" s="2">
        <v>100</v>
      </c>
      <c r="AY83" s="2">
        <v>99</v>
      </c>
      <c r="AZ83" s="2" t="s">
        <v>95</v>
      </c>
      <c r="BA83" s="9" t="str">
        <f>HYPERLINK(".\links\REFSEQ-INVERTEBRATE\AGAP028693-PA-REFSEQ-INVERTEBRATE.txt","AGAP010375-PA, partial")</f>
        <v>AGAP010375-PA, partial</v>
      </c>
      <c r="BB83" s="2" t="str">
        <f>HYPERLINK("http://www.ncbi.nlm.nih.gov/sutils/blink.cgi?pid=XP_311570.4","1E-082")</f>
        <v>1E-082</v>
      </c>
      <c r="BC83" s="2" t="str">
        <f>HYPERLINK("http://www.ncbi.nlm.nih.gov/protein/XP_311570.4","XP_311570.4")</f>
        <v>XP_311570.4</v>
      </c>
      <c r="BD83" s="2">
        <v>100</v>
      </c>
      <c r="BE83" s="2">
        <v>100</v>
      </c>
      <c r="BF83" s="2">
        <v>99</v>
      </c>
      <c r="BG83" s="2" t="s">
        <v>95</v>
      </c>
      <c r="BH83" s="9" t="str">
        <f>HYPERLINK(".\links\REFSEQ-PROTOZOA\AGAP028693-PA-REFSEQ-PROTOZOA.txt","ribosomal protein S18")</f>
        <v>ribosomal protein S18</v>
      </c>
      <c r="BI83" s="2" t="str">
        <f>HYPERLINK("http://www.ncbi.nlm.nih.gov/sutils/blink.cgi?pid=XP_004346885.1","6E-061")</f>
        <v>6E-061</v>
      </c>
      <c r="BJ83" s="2" t="str">
        <f>HYPERLINK("http://www.ncbi.nlm.nih.gov/protein/XP_004346885.1","XP_004346885.1")</f>
        <v>XP_004346885.1</v>
      </c>
      <c r="BK83" s="2">
        <v>71</v>
      </c>
      <c r="BL83" s="2">
        <v>86</v>
      </c>
      <c r="BM83" s="2">
        <v>100</v>
      </c>
      <c r="BN83" s="2" t="s">
        <v>150</v>
      </c>
      <c r="BO83" s="9" t="str">
        <f>HYPERLINK(".\links\SWISSP\AGAP028693-PA-SWISSP.txt","40S ribosomal protein S18")</f>
        <v>40S ribosomal protein S18</v>
      </c>
      <c r="BP83" s="2" t="str">
        <f>HYPERLINK("http://www.uniprot.org/uniprot/Q962R1","1E-072")</f>
        <v>1E-072</v>
      </c>
      <c r="BQ83" s="2" t="str">
        <f>HYPERLINK("http://www.uniprot.org/uniprot/Q962R1#expression","Q962R1")</f>
        <v>Q962R1</v>
      </c>
      <c r="BR83" s="2">
        <v>84</v>
      </c>
      <c r="BS83" s="2">
        <v>94</v>
      </c>
      <c r="BT83" s="2">
        <v>100</v>
      </c>
      <c r="BU83" s="2" t="s">
        <v>978</v>
      </c>
      <c r="BV83" s="9" t="str">
        <f>HYPERLINK(".\links\FLYBASE\AGAP028693-PA-FLYBASE.txt","FBpp0085586")</f>
        <v>FBpp0085586</v>
      </c>
      <c r="BW83" s="2" t="str">
        <f>HYPERLINK("http://flybase.org/reports/FBgn0010411#alliance_summary_container","3E-93")</f>
        <v>3E-93</v>
      </c>
      <c r="BX83" s="2">
        <v>152</v>
      </c>
      <c r="BY83" s="2">
        <v>81</v>
      </c>
      <c r="BZ83" s="2">
        <v>94</v>
      </c>
      <c r="CA83" s="2">
        <v>100</v>
      </c>
      <c r="CB83" s="9" t="str">
        <f>HYPERLINK(".\links\CDD\AGAP028693-PA-CDD.txt","PTZ00134, 40S ribosomal protein S18")</f>
        <v>PTZ00134, 40S ribosomal protein S18</v>
      </c>
      <c r="CC83" s="13">
        <v>9E-68</v>
      </c>
      <c r="CD83" s="2">
        <v>100</v>
      </c>
      <c r="CE83" s="2" t="s">
        <v>3141</v>
      </c>
      <c r="CF83" s="2" t="s">
        <v>3142</v>
      </c>
      <c r="CG83" s="9" t="str">
        <f>HYPERLINK(".\links\KOG\AGAP028693-PA-KOG.txt","Ribosomal protein S18")</f>
        <v>Ribosomal protein S18</v>
      </c>
      <c r="CH83" s="13">
        <v>2.0000000000000001E-58</v>
      </c>
      <c r="CI83" s="2">
        <v>100</v>
      </c>
      <c r="CJ83" s="2" t="s">
        <v>3143</v>
      </c>
      <c r="CK83" s="2" t="s">
        <v>252</v>
      </c>
      <c r="CL83" s="9" t="str">
        <f>HYPERLINK(".\links\PFAM\AGAP028693-PA-PFAM.txt","Ribosomal_S13, Ribosomal protein S13/S18")</f>
        <v>Ribosomal_S13, Ribosomal protein S13/S18</v>
      </c>
      <c r="CM83" s="13">
        <v>1.9999999999999999E-44</v>
      </c>
      <c r="CN83" s="2">
        <v>101.6</v>
      </c>
      <c r="CO83" s="2" t="s">
        <v>3144</v>
      </c>
      <c r="CP83" s="9" t="str">
        <f>HYPERLINK(".\links\SMART\AGAP028693-PA-SMART.txt","MCM, minichromosome maintenance proteins")</f>
        <v>MCM, minichromosome maintenance proteins</v>
      </c>
      <c r="CQ83" s="13">
        <v>8.2000000000000003E-2</v>
      </c>
      <c r="CR83" s="2">
        <v>13.8</v>
      </c>
      <c r="CS83" s="2" t="s">
        <v>1021</v>
      </c>
      <c r="CT83" s="2" t="s">
        <v>3139</v>
      </c>
      <c r="CU83" s="2" t="s">
        <v>3139</v>
      </c>
      <c r="CV83" s="2" t="s">
        <v>3139</v>
      </c>
      <c r="CW83" s="2" t="str">
        <f>HYPERLINK(".\links\pep\AGAP028693-PA-pep.txt","AGAP028693-PA")</f>
        <v>AGAP028693-PA</v>
      </c>
      <c r="CX83" s="2" t="s">
        <v>88</v>
      </c>
      <c r="CY83" s="2">
        <v>152</v>
      </c>
      <c r="CZ83" s="2" t="s">
        <v>103</v>
      </c>
      <c r="DA83" s="2" t="s">
        <v>3145</v>
      </c>
      <c r="DB83" s="2">
        <v>0</v>
      </c>
      <c r="DC83" s="2">
        <v>1</v>
      </c>
      <c r="DD83" s="2" t="str">
        <f>HYPERLINK("https://www.kegg.jp/kegg-bin/search_pathway_text?map=aga&amp;keyword=AGAP028693&amp;mode=1&amp;viewImage=true","AGAP028693")</f>
        <v>AGAP028693</v>
      </c>
      <c r="DE83" s="2" t="s">
        <v>3135</v>
      </c>
      <c r="DF83" s="2" t="s">
        <v>3136</v>
      </c>
      <c r="DG83" s="2" t="s">
        <v>87</v>
      </c>
      <c r="DH83" s="2" t="str">
        <f>HYPERLINK("https://vectorbase.org/vectorbase/app/record/gene/AGAP028693","AGAP028693-RA")</f>
        <v>AGAP028693-RA</v>
      </c>
      <c r="DI83" s="2" t="s">
        <v>158</v>
      </c>
      <c r="DJ83" s="2">
        <v>726</v>
      </c>
      <c r="DK83" s="2" t="str">
        <f>HYPERLINK(".\links\netoglyc\AGAP028693-PA-netoglyc.txt","0")</f>
        <v>0</v>
      </c>
      <c r="DL83" s="2">
        <v>11.2</v>
      </c>
      <c r="DM83" s="2">
        <v>7.2</v>
      </c>
      <c r="DN83" s="2">
        <v>3.3</v>
      </c>
      <c r="DO83" s="2" t="s">
        <v>94</v>
      </c>
      <c r="DP83" s="2" t="s">
        <v>3146</v>
      </c>
      <c r="DQ83" s="2" t="str">
        <f>HYPERLINK(".\links\Sigp\AGAP028693-PA-SigP.txt","CYT")</f>
        <v>CYT</v>
      </c>
      <c r="DR83" s="2" t="s">
        <v>89</v>
      </c>
      <c r="DS83" s="2">
        <v>17.652999999999999</v>
      </c>
      <c r="DT83" s="2">
        <v>10.43</v>
      </c>
      <c r="DU83" s="2" t="s">
        <v>89</v>
      </c>
      <c r="DV83" s="2" t="s">
        <v>89</v>
      </c>
      <c r="DW83" s="2" t="s">
        <v>93</v>
      </c>
      <c r="DX83" s="2">
        <v>152</v>
      </c>
      <c r="DY83" s="12">
        <v>0</v>
      </c>
      <c r="DZ83" s="2" t="s">
        <v>89</v>
      </c>
      <c r="EA83" s="2" t="s">
        <v>89</v>
      </c>
      <c r="EB83" s="2" t="s">
        <v>89</v>
      </c>
      <c r="EC83" s="2" t="str">
        <f>HYPERLINK(".\links\gpi\AGAP028693-PA-gpi.txt","N")</f>
        <v>N</v>
      </c>
      <c r="ED83" s="2">
        <v>0.39</v>
      </c>
      <c r="EF83" s="2">
        <v>1</v>
      </c>
      <c r="EG83" s="2" t="s">
        <v>89</v>
      </c>
      <c r="EH83" s="2" t="s">
        <v>89</v>
      </c>
      <c r="EI83" s="2">
        <v>11.1842105263158</v>
      </c>
      <c r="EJ83" s="2">
        <v>3.2894736842105301</v>
      </c>
      <c r="EK83" s="2">
        <v>7.2368421052631602</v>
      </c>
      <c r="EL83" s="2">
        <v>10.526315789473699</v>
      </c>
      <c r="EM83" s="2" t="s">
        <v>89</v>
      </c>
      <c r="EN83" s="2">
        <v>1</v>
      </c>
      <c r="EO83" s="2">
        <v>1</v>
      </c>
      <c r="EP83" s="2" t="s">
        <v>89</v>
      </c>
      <c r="EQ83" s="2" t="s">
        <v>89</v>
      </c>
      <c r="ER83" s="2" t="s">
        <v>89</v>
      </c>
      <c r="ES83" s="2" t="s">
        <v>89</v>
      </c>
      <c r="ET83" s="2" t="str">
        <f>HYPERLINK(".\links\REFSEQ-INVERTEBRATE\AGAP028693-PA-REFSEQ-INVERTEBRATE.txt","AGAP010375-PA, partial")</f>
        <v>AGAP010375-PA, partial</v>
      </c>
      <c r="EU83" s="2" t="str">
        <f>HYPERLINK("http://www.ncbi.nlm.nih.gov/sutils/blink.cgi?pid=XP_311570.4","1E-108")</f>
        <v>1E-108</v>
      </c>
      <c r="EV83" s="2" t="str">
        <f>HYPERLINK("http://www.ncbi.nlm.nih.gov/protein/XP_311570.4","XP_311570.4")</f>
        <v>XP_311570.4</v>
      </c>
      <c r="EW83" s="2">
        <v>100</v>
      </c>
      <c r="EX83" s="2">
        <v>100</v>
      </c>
      <c r="EY83" s="2">
        <v>99</v>
      </c>
      <c r="EZ83" s="2" t="s">
        <v>95</v>
      </c>
    </row>
    <row r="84" spans="1:156" x14ac:dyDescent="0.25">
      <c r="A84" s="2" t="s">
        <v>1545</v>
      </c>
      <c r="B84" s="2">
        <v>-0.75907032654196804</v>
      </c>
      <c r="C84" s="2">
        <f t="shared" si="1"/>
        <v>0.59087696949569246</v>
      </c>
      <c r="D84" s="2">
        <v>5.6240832437074504</v>
      </c>
      <c r="E84" s="2">
        <v>10.7599893444496</v>
      </c>
      <c r="F84" s="2">
        <v>1.03717980263857E-3</v>
      </c>
      <c r="G84" s="2">
        <v>4.1988035584383403E-2</v>
      </c>
      <c r="H84" s="2" t="s">
        <v>1546</v>
      </c>
      <c r="I84" s="2" t="s">
        <v>87</v>
      </c>
      <c r="J84" s="2" t="str">
        <f>HYPERLINK("https://vectorbase.org/vectorbase/app/record/gene/AGAP005852","AGAP005852-RA")</f>
        <v>AGAP005852-RA</v>
      </c>
      <c r="K84" s="2" t="str">
        <f>HYPERLINK(".\links\pep\AGAP005852-PA-pep.txt","AGAP005852-PA")</f>
        <v>AGAP005852-PA</v>
      </c>
      <c r="L84" s="12" t="s">
        <v>88</v>
      </c>
      <c r="M84" s="2">
        <v>129</v>
      </c>
      <c r="N84" s="2">
        <v>0</v>
      </c>
      <c r="O84" s="2">
        <v>0</v>
      </c>
      <c r="P84" s="2" t="s">
        <v>1547</v>
      </c>
      <c r="Q84" s="9" t="s">
        <v>1548</v>
      </c>
      <c r="R84" s="2" t="s">
        <v>145</v>
      </c>
      <c r="S84" s="2" t="str">
        <f>HYPERLINK(".\links\NR-LIGHT\AGAP005852-PA-NR-LIGHT.txt","NR-LIGHT")</f>
        <v>NR-LIGHT</v>
      </c>
      <c r="T84" s="2">
        <v>6E-57</v>
      </c>
      <c r="U84" s="2">
        <v>100</v>
      </c>
      <c r="V84" s="2" t="s">
        <v>1549</v>
      </c>
      <c r="W84" s="10" t="s">
        <v>1550</v>
      </c>
      <c r="X84" s="2" t="s">
        <v>245</v>
      </c>
      <c r="Y84" s="2" t="str">
        <f>HYPERLINK(".\links\ARTHORPODA\AGAP005852-PA-ARTHORPODA.txt","ARTHORPODA")</f>
        <v>ARTHORPODA</v>
      </c>
      <c r="Z84" s="13">
        <v>3.9999999999999996E-93</v>
      </c>
      <c r="AA84" s="2">
        <v>100</v>
      </c>
      <c r="AB84" s="14" t="s">
        <v>89</v>
      </c>
      <c r="AC84" s="14" t="str">
        <f>HYPERLINK(".\links\Sigp\AGAP005852-PA-SigP.txt","CYT")</f>
        <v>CYT</v>
      </c>
      <c r="AD84" s="2" t="s">
        <v>89</v>
      </c>
      <c r="AE84" s="2">
        <v>14.923</v>
      </c>
      <c r="AF84" s="2">
        <v>10.32</v>
      </c>
      <c r="AG84" s="2" t="s">
        <v>89</v>
      </c>
      <c r="AH84" s="2" t="s">
        <v>89</v>
      </c>
      <c r="AI84" s="2" t="s">
        <v>93</v>
      </c>
      <c r="AJ84" s="14">
        <v>0</v>
      </c>
      <c r="AK84" s="2" t="s">
        <v>89</v>
      </c>
      <c r="AL84" s="2" t="s">
        <v>89</v>
      </c>
      <c r="AM84" s="2" t="s">
        <v>89</v>
      </c>
      <c r="AN84" s="14" t="str">
        <f>HYPERLINK(".\links\gpi\AGAP005852-PA-gpi.txt","N")</f>
        <v>N</v>
      </c>
      <c r="AO84" s="15" t="str">
        <f>HYPERLINK(".\links\netoglyc\AGAP005852-PA-netoglyc.txt","0")</f>
        <v>0</v>
      </c>
      <c r="AP84" s="14">
        <v>7.8</v>
      </c>
      <c r="AQ84" s="2">
        <v>5.4</v>
      </c>
      <c r="AR84" s="2">
        <v>7.8</v>
      </c>
      <c r="AS84" s="2" t="s">
        <v>94</v>
      </c>
      <c r="AT84" s="9" t="str">
        <f>HYPERLINK(".\links\NR-LIGHT\AGAP005852-PA-NR-LIGHT.txt","AGAP005852-PA")</f>
        <v>AGAP005852-PA</v>
      </c>
      <c r="AU84" s="2" t="str">
        <f>HYPERLINK("http://www.ncbi.nlm.nih.gov/sutils/blink.cgi?pid=XP_001688738.1","2E-071")</f>
        <v>2E-071</v>
      </c>
      <c r="AV84" s="2" t="str">
        <f>HYPERLINK("http://www.ncbi.nlm.nih.gov/protein/XP_001688738.1","XP_001688738.1")</f>
        <v>XP_001688738.1</v>
      </c>
      <c r="AW84" s="2">
        <v>100</v>
      </c>
      <c r="AX84" s="2">
        <v>100</v>
      </c>
      <c r="AY84" s="2">
        <v>100</v>
      </c>
      <c r="AZ84" s="2" t="s">
        <v>95</v>
      </c>
      <c r="BA84" s="9" t="str">
        <f>HYPERLINK(".\links\REFSEQ-INVERTEBRATE\AGAP005852-PA-REFSEQ-INVERTEBRATE.txt","AGAP005852-PA")</f>
        <v>AGAP005852-PA</v>
      </c>
      <c r="BB84" s="2" t="str">
        <f>HYPERLINK("http://www.ncbi.nlm.nih.gov/sutils/blink.cgi?pid=XP_001688738.1","2E-071")</f>
        <v>2E-071</v>
      </c>
      <c r="BC84" s="2" t="str">
        <f>HYPERLINK("http://www.ncbi.nlm.nih.gov/protein/XP_001688738.1","XP_001688738.1")</f>
        <v>XP_001688738.1</v>
      </c>
      <c r="BD84" s="2">
        <v>100</v>
      </c>
      <c r="BE84" s="2">
        <v>100</v>
      </c>
      <c r="BF84" s="2">
        <v>100</v>
      </c>
      <c r="BG84" s="2" t="s">
        <v>95</v>
      </c>
      <c r="BH84" s="9" t="str">
        <f>HYPERLINK(".\links\REFSEQ-PROTOZOA\AGAP005852-PA-REFSEQ-PROTOZOA.txt","predicted protein")</f>
        <v>predicted protein</v>
      </c>
      <c r="BI84" s="2" t="str">
        <f>HYPERLINK("http://www.ncbi.nlm.nih.gov/sutils/blink.cgi?pid=XP_002668631.1","3.7")</f>
        <v>3.7</v>
      </c>
      <c r="BJ84" s="2" t="str">
        <f>HYPERLINK("http://www.ncbi.nlm.nih.gov/protein/XP_002668631.1","XP_002668631.1")</f>
        <v>XP_002668631.1</v>
      </c>
      <c r="BK84" s="2">
        <v>34</v>
      </c>
      <c r="BL84" s="2">
        <v>55</v>
      </c>
      <c r="BM84" s="2">
        <v>3</v>
      </c>
      <c r="BN84" s="2" t="s">
        <v>1037</v>
      </c>
      <c r="BO84" s="9" t="str">
        <f>HYPERLINK(".\links\SWISSP\AGAP005852-PA-SWISSP.txt","39S ribosomal protein L42, mitochondrial")</f>
        <v>39S ribosomal protein L42, mitochondrial</v>
      </c>
      <c r="BP84" s="2" t="str">
        <f>HYPERLINK("http://www.uniprot.org/uniprot/Q5R4S3","3E-008")</f>
        <v>3E-008</v>
      </c>
      <c r="BQ84" s="2" t="str">
        <f>HYPERLINK("http://www.uniprot.org/uniprot/Q5R4S3#expression","Q5R4S3")</f>
        <v>Q5R4S3</v>
      </c>
      <c r="BR84" s="2">
        <v>32</v>
      </c>
      <c r="BS84" s="2">
        <v>52</v>
      </c>
      <c r="BT84" s="2">
        <v>67</v>
      </c>
      <c r="BU84" s="2" t="s">
        <v>337</v>
      </c>
      <c r="BV84" s="9" t="str">
        <f>HYPERLINK(".\links\FLYBASE\AGAP005852-PA-FLYBASE.txt","FBpp0293004")</f>
        <v>FBpp0293004</v>
      </c>
      <c r="BW84" s="2" t="str">
        <f>HYPERLINK("http://flybase.org/reports/FBgn0033480#alliance_summary_container","1E-32")</f>
        <v>1E-32</v>
      </c>
      <c r="BX84" s="2">
        <v>124</v>
      </c>
      <c r="BY84" s="2">
        <v>52</v>
      </c>
      <c r="BZ84" s="2">
        <v>66</v>
      </c>
      <c r="CA84" s="2">
        <v>80</v>
      </c>
      <c r="CB84" s="9" t="str">
        <f>HYPERLINK(".\links\CDD\AGAP005852-PA-CDD.txt","MRP-S32, Mitochondrial 28S ribosomal protein S32")</f>
        <v>MRP-S32, Mitochondrial 28S ribosomal protein S32</v>
      </c>
      <c r="CC84" s="13">
        <v>5.0000000000000004E-31</v>
      </c>
      <c r="CD84" s="2">
        <v>100</v>
      </c>
      <c r="CE84" s="2" t="s">
        <v>1551</v>
      </c>
      <c r="CF84" s="2" t="s">
        <v>1552</v>
      </c>
      <c r="CG84" s="9" t="str">
        <f>HYPERLINK(".\links\KOG\AGAP005852-PA-KOG.txt","Uncharacterized conserved protein")</f>
        <v>Uncharacterized conserved protein</v>
      </c>
      <c r="CH84" s="13">
        <v>3.9999999999999996E-21</v>
      </c>
      <c r="CI84" s="2">
        <v>78.400000000000006</v>
      </c>
      <c r="CJ84" s="2" t="s">
        <v>1553</v>
      </c>
      <c r="CK84" s="2" t="s">
        <v>101</v>
      </c>
      <c r="CL84" s="9" t="str">
        <f>HYPERLINK(".\links\PFAM\AGAP005852-PA-PFAM.txt","MRP-S32, Mitochondrial 28S ribosomal protein S32")</f>
        <v>MRP-S32, Mitochondrial 28S ribosomal protein S32</v>
      </c>
      <c r="CM84" s="13">
        <v>1.0000000000000001E-31</v>
      </c>
      <c r="CN84" s="2">
        <v>100</v>
      </c>
      <c r="CO84" s="2" t="s">
        <v>1551</v>
      </c>
      <c r="CP84" s="9" t="str">
        <f>HYPERLINK(".\links\SMART\AGAP005852-PA-SMART.txt","OMPdecase, Orotidine 5'-phosphate decarboxylase / HUMPS family")</f>
        <v>OMPdecase, Orotidine 5'-phosphate decarboxylase / HUMPS family</v>
      </c>
      <c r="CQ84" s="13">
        <v>1.2</v>
      </c>
      <c r="CR84" s="2">
        <v>7.5</v>
      </c>
      <c r="CS84" s="2" t="s">
        <v>1296</v>
      </c>
      <c r="CT84" s="2" t="s">
        <v>1549</v>
      </c>
      <c r="CU84" s="2" t="s">
        <v>1549</v>
      </c>
      <c r="CV84" s="2" t="s">
        <v>1549</v>
      </c>
      <c r="CW84" s="2" t="str">
        <f>HYPERLINK(".\links\pep\AGAP005852-PA-pep.txt","AGAP005852-PA")</f>
        <v>AGAP005852-PA</v>
      </c>
      <c r="CX84" s="2" t="s">
        <v>88</v>
      </c>
      <c r="CY84" s="2">
        <v>129</v>
      </c>
      <c r="CZ84" s="2" t="s">
        <v>103</v>
      </c>
      <c r="DA84" s="2" t="s">
        <v>1554</v>
      </c>
      <c r="DB84" s="2">
        <v>0</v>
      </c>
      <c r="DC84" s="2">
        <v>0</v>
      </c>
      <c r="DD84" s="2" t="str">
        <f>HYPERLINK("https://www.kegg.jp/kegg-bin/search_pathway_text?map=aga&amp;keyword=AGAP005852&amp;mode=1&amp;viewImage=true","AGAP005852")</f>
        <v>AGAP005852</v>
      </c>
      <c r="DE84" s="2" t="s">
        <v>1545</v>
      </c>
      <c r="DF84" s="2" t="s">
        <v>1546</v>
      </c>
      <c r="DG84" s="2" t="s">
        <v>87</v>
      </c>
      <c r="DH84" s="2" t="str">
        <f>HYPERLINK("https://vectorbase.org/vectorbase/app/record/gene/AGAP005852","AGAP005852-RA")</f>
        <v>AGAP005852-RA</v>
      </c>
      <c r="DI84" s="2" t="s">
        <v>105</v>
      </c>
      <c r="DJ84" s="2">
        <v>488</v>
      </c>
      <c r="DK84" s="2" t="str">
        <f>HYPERLINK(".\links\netoglyc\AGAP005852-PA-netoglyc.txt","0")</f>
        <v>0</v>
      </c>
      <c r="DL84" s="2">
        <v>7.8</v>
      </c>
      <c r="DM84" s="2">
        <v>5.4</v>
      </c>
      <c r="DN84" s="2">
        <v>7.8</v>
      </c>
      <c r="DO84" s="2" t="s">
        <v>94</v>
      </c>
      <c r="DP84" s="2" t="s">
        <v>1555</v>
      </c>
      <c r="DQ84" s="2" t="str">
        <f>HYPERLINK(".\links\Sigp\AGAP005852-PA-SigP.txt","CYT")</f>
        <v>CYT</v>
      </c>
      <c r="DR84" s="2" t="s">
        <v>89</v>
      </c>
      <c r="DS84" s="2">
        <v>14.923</v>
      </c>
      <c r="DT84" s="2">
        <v>10.32</v>
      </c>
      <c r="DU84" s="2" t="s">
        <v>89</v>
      </c>
      <c r="DV84" s="2" t="s">
        <v>89</v>
      </c>
      <c r="DW84" s="2" t="s">
        <v>93</v>
      </c>
      <c r="DX84" s="2">
        <v>129</v>
      </c>
      <c r="DY84" s="12">
        <v>0</v>
      </c>
      <c r="DZ84" s="2" t="s">
        <v>89</v>
      </c>
      <c r="EA84" s="2" t="s">
        <v>89</v>
      </c>
      <c r="EB84" s="2" t="s">
        <v>89</v>
      </c>
      <c r="EC84" s="2" t="str">
        <f>HYPERLINK(".\links\gpi\AGAP005852-PA-gpi.txt","N")</f>
        <v>N</v>
      </c>
      <c r="ED84" s="2">
        <v>0.34</v>
      </c>
      <c r="EF84" s="2">
        <v>1</v>
      </c>
      <c r="EG84" s="2" t="s">
        <v>89</v>
      </c>
      <c r="EH84" s="2" t="s">
        <v>89</v>
      </c>
      <c r="EI84" s="2">
        <v>7.75193798449612</v>
      </c>
      <c r="EJ84" s="2">
        <v>7.75193798449612</v>
      </c>
      <c r="EK84" s="2">
        <v>5.4263565891472902</v>
      </c>
      <c r="EL84" s="2">
        <v>13.178294573643401</v>
      </c>
      <c r="EM84" s="2" t="s">
        <v>89</v>
      </c>
      <c r="EN84" s="2" t="s">
        <v>89</v>
      </c>
      <c r="EO84" s="2" t="s">
        <v>89</v>
      </c>
      <c r="EP84" s="2" t="s">
        <v>89</v>
      </c>
      <c r="EQ84" s="2" t="s">
        <v>89</v>
      </c>
      <c r="ER84" s="2" t="s">
        <v>89</v>
      </c>
      <c r="ES84" s="2" t="s">
        <v>89</v>
      </c>
      <c r="ET84" s="2" t="str">
        <f>HYPERLINK(".\links\REFSEQ-INVERTEBRATE\AGAP005852-PA-REFSEQ-INVERTEBRATE.txt","AGAP005852-PA")</f>
        <v>AGAP005852-PA</v>
      </c>
      <c r="EU84" s="2" t="str">
        <f>HYPERLINK("http://www.ncbi.nlm.nih.gov/sutils/blink.cgi?pid=XP_001688738.1","6E-93")</f>
        <v>6E-93</v>
      </c>
      <c r="EV84" s="2" t="str">
        <f>HYPERLINK("http://www.ncbi.nlm.nih.gov/protein/XP_001688738.1","XP_001688738.1")</f>
        <v>XP_001688738.1</v>
      </c>
      <c r="EW84" s="2">
        <v>100</v>
      </c>
      <c r="EX84" s="2">
        <v>100</v>
      </c>
      <c r="EY84" s="2">
        <v>100</v>
      </c>
      <c r="EZ84" s="2" t="s">
        <v>95</v>
      </c>
    </row>
    <row r="85" spans="1:156" x14ac:dyDescent="0.25">
      <c r="A85" s="2" t="s">
        <v>2336</v>
      </c>
      <c r="B85" s="2">
        <v>-0.76421207870907804</v>
      </c>
      <c r="C85" s="2">
        <f t="shared" si="1"/>
        <v>0.58877483749869208</v>
      </c>
      <c r="D85" s="2">
        <v>7.2512249221766298</v>
      </c>
      <c r="E85" s="2">
        <v>14.0324603218744</v>
      </c>
      <c r="F85" s="2">
        <v>1.79681910166122E-4</v>
      </c>
      <c r="G85" s="2">
        <v>1.30339720448707E-2</v>
      </c>
      <c r="H85" s="2" t="s">
        <v>2337</v>
      </c>
      <c r="I85" s="2" t="s">
        <v>87</v>
      </c>
      <c r="J85" s="2" t="str">
        <f>HYPERLINK("https://vectorbase.org/vectorbase/app/record/gene/AGAP009865","AGAP009865-RA")</f>
        <v>AGAP009865-RA</v>
      </c>
      <c r="K85" s="2" t="str">
        <f>HYPERLINK(".\links\pep\AGAP009865-PA-pep.txt","AGAP009865-PA")</f>
        <v>AGAP009865-PA</v>
      </c>
      <c r="L85" s="12" t="s">
        <v>88</v>
      </c>
      <c r="M85" s="2">
        <v>146</v>
      </c>
      <c r="N85" s="2">
        <v>0</v>
      </c>
      <c r="O85" s="2">
        <v>1</v>
      </c>
      <c r="P85" s="2" t="s">
        <v>2338</v>
      </c>
      <c r="Q85" s="9" t="s">
        <v>2339</v>
      </c>
      <c r="R85" s="2" t="s">
        <v>145</v>
      </c>
      <c r="S85" s="2" t="str">
        <f>HYPERLINK(".\links\KOG\AGAP009865-PA-KOG.txt","KOG")</f>
        <v>KOG</v>
      </c>
      <c r="T85" s="2">
        <v>3.9999999999999997E-40</v>
      </c>
      <c r="U85" s="2">
        <v>86.6</v>
      </c>
      <c r="V85" s="2" t="s">
        <v>2340</v>
      </c>
      <c r="W85" s="10" t="s">
        <v>551</v>
      </c>
      <c r="X85" s="2" t="s">
        <v>145</v>
      </c>
      <c r="Y85" s="2" t="str">
        <f>HYPERLINK(".\links\KOG\AGAP009865-PA-KOG.txt","KOG")</f>
        <v>KOG</v>
      </c>
      <c r="Z85" s="13">
        <v>3.9999999999999999E-47</v>
      </c>
      <c r="AA85" s="2">
        <v>79.599999999999994</v>
      </c>
      <c r="AB85" s="14" t="s">
        <v>89</v>
      </c>
      <c r="AC85" s="14" t="str">
        <f>HYPERLINK(".\links\Sigp\AGAP009865-PA-SigP.txt","CYT")</f>
        <v>CYT</v>
      </c>
      <c r="AD85" s="2" t="s">
        <v>89</v>
      </c>
      <c r="AE85" s="2">
        <v>17.591000000000001</v>
      </c>
      <c r="AF85" s="2">
        <v>9.4600000000000009</v>
      </c>
      <c r="AG85" s="2" t="s">
        <v>89</v>
      </c>
      <c r="AH85" s="2" t="s">
        <v>89</v>
      </c>
      <c r="AI85" s="2" t="s">
        <v>93</v>
      </c>
      <c r="AJ85" s="14">
        <v>0</v>
      </c>
      <c r="AK85" s="2" t="s">
        <v>89</v>
      </c>
      <c r="AL85" s="2" t="s">
        <v>89</v>
      </c>
      <c r="AM85" s="2" t="s">
        <v>89</v>
      </c>
      <c r="AN85" s="14" t="str">
        <f>HYPERLINK(".\links\gpi\AGAP009865-PA-gpi.txt","N")</f>
        <v>N</v>
      </c>
      <c r="AO85" s="15" t="str">
        <f>HYPERLINK(".\links\netoglyc\AGAP009865-PA-netoglyc.txt","0")</f>
        <v>0</v>
      </c>
      <c r="AP85" s="14">
        <v>8.9</v>
      </c>
      <c r="AQ85" s="2">
        <v>2.7</v>
      </c>
      <c r="AR85" s="2">
        <v>6.2</v>
      </c>
      <c r="AS85" s="2" t="s">
        <v>94</v>
      </c>
      <c r="AT85" s="9" t="str">
        <f>HYPERLINK(".\links\NR-LIGHT\AGAP009865-PA-NR-LIGHT.txt","AGAP009865-PA")</f>
        <v>AGAP009865-PA</v>
      </c>
      <c r="AU85" s="2" t="str">
        <f>HYPERLINK("http://www.ncbi.nlm.nih.gov/sutils/blink.cgi?pid=XP_318983.3","4E-084")</f>
        <v>4E-084</v>
      </c>
      <c r="AV85" s="2" t="str">
        <f>HYPERLINK("http://www.ncbi.nlm.nih.gov/protein/XP_318983.3","XP_318983.3")</f>
        <v>XP_318983.3</v>
      </c>
      <c r="AW85" s="2">
        <v>100</v>
      </c>
      <c r="AX85" s="2">
        <v>100</v>
      </c>
      <c r="AY85" s="2">
        <v>100</v>
      </c>
      <c r="AZ85" s="2" t="s">
        <v>95</v>
      </c>
      <c r="BA85" s="9" t="str">
        <f>HYPERLINK(".\links\REFSEQ-INVERTEBRATE\AGAP009865-PA-REFSEQ-INVERTEBRATE.txt","AGAP009865-PA")</f>
        <v>AGAP009865-PA</v>
      </c>
      <c r="BB85" s="2" t="str">
        <f>HYPERLINK("http://www.ncbi.nlm.nih.gov/sutils/blink.cgi?pid=XP_318983.3","4E-084")</f>
        <v>4E-084</v>
      </c>
      <c r="BC85" s="2" t="str">
        <f>HYPERLINK("http://www.ncbi.nlm.nih.gov/protein/XP_318983.3","XP_318983.3")</f>
        <v>XP_318983.3</v>
      </c>
      <c r="BD85" s="2">
        <v>100</v>
      </c>
      <c r="BE85" s="2">
        <v>100</v>
      </c>
      <c r="BF85" s="2">
        <v>100</v>
      </c>
      <c r="BG85" s="2" t="s">
        <v>95</v>
      </c>
      <c r="BH85" s="9" t="str">
        <f>HYPERLINK(".\links\REFSEQ-PROTOZOA\AGAP009865-PA-REFSEQ-PROTOZOA.txt","hypothetical protein ACA1_113950")</f>
        <v>hypothetical protein ACA1_113950</v>
      </c>
      <c r="BI85" s="2" t="str">
        <f>HYPERLINK("http://www.ncbi.nlm.nih.gov/sutils/blink.cgi?pid=XP_004342159.1","6E-014")</f>
        <v>6E-014</v>
      </c>
      <c r="BJ85" s="2" t="str">
        <f>HYPERLINK("http://www.ncbi.nlm.nih.gov/protein/XP_004342159.1","XP_004342159.1")</f>
        <v>XP_004342159.1</v>
      </c>
      <c r="BK85" s="2">
        <v>37</v>
      </c>
      <c r="BL85" s="2">
        <v>55</v>
      </c>
      <c r="BM85" s="2">
        <v>89</v>
      </c>
      <c r="BN85" s="2" t="s">
        <v>114</v>
      </c>
      <c r="BO85" s="9" t="str">
        <f>HYPERLINK(".\links\SWISSP\AGAP009865-PA-SWISSP.txt","NADH dehydrogenase [ubiquinone] 1 beta subcomplex subunit 9")</f>
        <v>NADH dehydrogenase [ubiquinone] 1 beta subcomplex subunit 9</v>
      </c>
      <c r="BP85" s="2" t="str">
        <f>HYPERLINK("http://www.uniprot.org/uniprot/Q9CQJ8","2E-032")</f>
        <v>2E-032</v>
      </c>
      <c r="BQ85" s="2" t="str">
        <f>HYPERLINK("http://www.uniprot.org/uniprot/Q9CQJ8#expression","Q9CQJ8")</f>
        <v>Q9CQJ8</v>
      </c>
      <c r="BR85" s="2">
        <v>49</v>
      </c>
      <c r="BS85" s="2">
        <v>68</v>
      </c>
      <c r="BT85" s="2">
        <v>72</v>
      </c>
      <c r="BU85" s="2" t="s">
        <v>566</v>
      </c>
      <c r="BV85" s="9" t="str">
        <f>HYPERLINK(".\links\FLYBASE\AGAP009865-PA-FLYBASE.txt","FBpp0309567")</f>
        <v>FBpp0309567</v>
      </c>
      <c r="BW85" s="2" t="str">
        <f>HYPERLINK("http://flybase.org/reports/FBgn0032511#alliance_summary_container","2E-64")</f>
        <v>2E-64</v>
      </c>
      <c r="BX85" s="2">
        <v>144</v>
      </c>
      <c r="BY85" s="2">
        <v>60</v>
      </c>
      <c r="BZ85" s="2">
        <v>80</v>
      </c>
      <c r="CA85" s="2">
        <v>101</v>
      </c>
      <c r="CB85" s="9" t="str">
        <f>HYPERLINK(".\links\CDD\AGAP009865-PA-CDD.txt","Complex1_LYR, Complex 1 protein (LYR family)")</f>
        <v>Complex1_LYR, Complex 1 protein (LYR family)</v>
      </c>
      <c r="CC85" s="13">
        <v>3.0000000000000001E-5</v>
      </c>
      <c r="CD85" s="2">
        <v>105.1</v>
      </c>
      <c r="CE85" s="2" t="s">
        <v>1059</v>
      </c>
      <c r="CF85" s="2" t="s">
        <v>2341</v>
      </c>
      <c r="CG85" s="9" t="str">
        <f>HYPERLINK(".\links\KOG\AGAP009865-PA-KOG.txt","NDUFB9/B22 subunit")</f>
        <v>NDUFB9/B22 subunit</v>
      </c>
      <c r="CH85" s="13">
        <v>3.9999999999999997E-40</v>
      </c>
      <c r="CI85" s="2">
        <v>86.6</v>
      </c>
      <c r="CJ85" s="2" t="s">
        <v>2342</v>
      </c>
      <c r="CK85" s="2" t="s">
        <v>155</v>
      </c>
      <c r="CL85" s="9" t="str">
        <f>HYPERLINK(".\links\PFAM\AGAP009865-PA-PFAM.txt","Complex1_LYR, Complex 1 protein (LYR family)")</f>
        <v>Complex1_LYR, Complex 1 protein (LYR family)</v>
      </c>
      <c r="CM85" s="13">
        <v>6.0000000000000002E-6</v>
      </c>
      <c r="CN85" s="2">
        <v>105.1</v>
      </c>
      <c r="CO85" s="2" t="s">
        <v>1059</v>
      </c>
      <c r="CP85" s="9" t="str">
        <f>HYPERLINK(".\links\SMART\AGAP009865-PA-SMART.txt","PUG, domain in protein kinases, N-glycanases and other nuclear proteins")</f>
        <v>PUG, domain in protein kinases, N-glycanases and other nuclear proteins</v>
      </c>
      <c r="CQ85" s="13">
        <v>0.26</v>
      </c>
      <c r="CR85" s="2">
        <v>93</v>
      </c>
      <c r="CS85" s="2" t="s">
        <v>2343</v>
      </c>
      <c r="CT85" s="2" t="s">
        <v>2340</v>
      </c>
      <c r="CU85" s="2" t="s">
        <v>2340</v>
      </c>
      <c r="CV85" s="2" t="s">
        <v>2340</v>
      </c>
      <c r="CW85" s="2" t="str">
        <f>HYPERLINK(".\links\pep\AGAP009865-PA-pep.txt","AGAP009865-PA")</f>
        <v>AGAP009865-PA</v>
      </c>
      <c r="CX85" s="2" t="s">
        <v>88</v>
      </c>
      <c r="CY85" s="2">
        <v>146</v>
      </c>
      <c r="CZ85" s="2" t="s">
        <v>103</v>
      </c>
      <c r="DA85" s="2" t="s">
        <v>2344</v>
      </c>
      <c r="DB85" s="2">
        <v>0</v>
      </c>
      <c r="DC85" s="2">
        <v>1</v>
      </c>
      <c r="DD85" s="2" t="str">
        <f>HYPERLINK("https://www.kegg.jp/kegg-bin/search_pathway_text?map=aga&amp;keyword=AGAP009865&amp;mode=1&amp;viewImage=true","AGAP009865")</f>
        <v>AGAP009865</v>
      </c>
      <c r="DE85" s="2" t="s">
        <v>2336</v>
      </c>
      <c r="DF85" s="2" t="s">
        <v>2337</v>
      </c>
      <c r="DG85" s="2" t="s">
        <v>87</v>
      </c>
      <c r="DH85" s="2" t="str">
        <f>HYPERLINK("https://vectorbase.org/vectorbase/app/record/gene/AGAP009865","AGAP009865-RA")</f>
        <v>AGAP009865-RA</v>
      </c>
      <c r="DI85" s="2" t="s">
        <v>158</v>
      </c>
      <c r="DJ85" s="2">
        <v>641</v>
      </c>
      <c r="DK85" s="2" t="str">
        <f>HYPERLINK(".\links\netoglyc\AGAP009865-PA-netoglyc.txt","0")</f>
        <v>0</v>
      </c>
      <c r="DL85" s="2">
        <v>8.9</v>
      </c>
      <c r="DM85" s="2">
        <v>2.7</v>
      </c>
      <c r="DN85" s="2">
        <v>6.2</v>
      </c>
      <c r="DO85" s="2" t="s">
        <v>94</v>
      </c>
      <c r="DP85" s="2" t="s">
        <v>2345</v>
      </c>
      <c r="DQ85" s="2" t="str">
        <f>HYPERLINK(".\links\Sigp\AGAP009865-PA-SigP.txt","CYT")</f>
        <v>CYT</v>
      </c>
      <c r="DR85" s="2" t="s">
        <v>89</v>
      </c>
      <c r="DS85" s="2">
        <v>17.591000000000001</v>
      </c>
      <c r="DT85" s="2">
        <v>9.4600000000000009</v>
      </c>
      <c r="DU85" s="2" t="s">
        <v>89</v>
      </c>
      <c r="DV85" s="2" t="s">
        <v>89</v>
      </c>
      <c r="DW85" s="2" t="s">
        <v>93</v>
      </c>
      <c r="DX85" s="2">
        <v>146</v>
      </c>
      <c r="DY85" s="12">
        <v>0</v>
      </c>
      <c r="DZ85" s="2" t="s">
        <v>89</v>
      </c>
      <c r="EA85" s="2" t="s">
        <v>89</v>
      </c>
      <c r="EB85" s="2" t="s">
        <v>89</v>
      </c>
      <c r="EC85" s="2" t="str">
        <f>HYPERLINK(".\links\gpi\AGAP009865-PA-gpi.txt","N")</f>
        <v>N</v>
      </c>
      <c r="ED85" s="2">
        <v>0.39</v>
      </c>
      <c r="EE85" s="2" t="s">
        <v>2346</v>
      </c>
      <c r="EF85" s="2">
        <v>1</v>
      </c>
      <c r="EG85" s="2" t="s">
        <v>89</v>
      </c>
      <c r="EH85" s="2" t="s">
        <v>89</v>
      </c>
      <c r="EI85" s="2">
        <v>8.9041095890411004</v>
      </c>
      <c r="EJ85" s="2">
        <v>6.1643835616438398</v>
      </c>
      <c r="EK85" s="2">
        <v>2.7397260273972601</v>
      </c>
      <c r="EL85" s="2">
        <v>8.9041095890411004</v>
      </c>
      <c r="EM85" s="2" t="s">
        <v>89</v>
      </c>
      <c r="EN85" s="2" t="s">
        <v>89</v>
      </c>
      <c r="EO85" s="2">
        <v>1</v>
      </c>
      <c r="EP85" s="2" t="s">
        <v>89</v>
      </c>
      <c r="EQ85" s="2" t="s">
        <v>89</v>
      </c>
      <c r="ER85" s="2" t="s">
        <v>89</v>
      </c>
      <c r="ES85" s="2" t="s">
        <v>89</v>
      </c>
      <c r="ET85" s="2" t="str">
        <f>HYPERLINK(".\links\REFSEQ-INVERTEBRATE\AGAP009865-PA-REFSEQ-INVERTEBRATE.txt","AGAP009865-PA")</f>
        <v>AGAP009865-PA</v>
      </c>
      <c r="EU85" s="2" t="str">
        <f>HYPERLINK("http://www.ncbi.nlm.nih.gov/sutils/blink.cgi?pid=XP_318983.3","1E-107")</f>
        <v>1E-107</v>
      </c>
      <c r="EV85" s="2" t="str">
        <f>HYPERLINK("http://www.ncbi.nlm.nih.gov/protein/XP_318983.3","XP_318983.3")</f>
        <v>XP_318983.3</v>
      </c>
      <c r="EW85" s="2">
        <v>100</v>
      </c>
      <c r="EX85" s="2">
        <v>100</v>
      </c>
      <c r="EY85" s="2">
        <v>100</v>
      </c>
      <c r="EZ85" s="2" t="s">
        <v>95</v>
      </c>
    </row>
    <row r="86" spans="1:156" x14ac:dyDescent="0.25">
      <c r="A86" s="2" t="s">
        <v>287</v>
      </c>
      <c r="B86" s="2">
        <v>-0.77475646032719403</v>
      </c>
      <c r="C86" s="2">
        <f t="shared" si="1"/>
        <v>0.58448728257193228</v>
      </c>
      <c r="D86" s="2">
        <v>6.2715548608990499</v>
      </c>
      <c r="E86" s="2">
        <v>14.135621827011001</v>
      </c>
      <c r="F86" s="2">
        <v>1.70092119177152E-4</v>
      </c>
      <c r="G86" s="2">
        <v>1.27533154428109E-2</v>
      </c>
      <c r="H86" s="2" t="s">
        <v>288</v>
      </c>
      <c r="I86" s="2" t="s">
        <v>87</v>
      </c>
      <c r="J86" s="2" t="str">
        <f>HYPERLINK("https://vectorbase.org/vectorbase/app/record/gene/AGAP000849","AGAP000849-RA")</f>
        <v>AGAP000849-RA</v>
      </c>
      <c r="K86" s="2" t="str">
        <f>HYPERLINK(".\links\pep\AGAP000849-PA-pep.txt","AGAP000849-PA")</f>
        <v>AGAP000849-PA</v>
      </c>
      <c r="L86" s="12" t="s">
        <v>88</v>
      </c>
      <c r="M86" s="2">
        <v>55</v>
      </c>
      <c r="N86" s="2">
        <v>0</v>
      </c>
      <c r="O86" s="2">
        <v>0</v>
      </c>
      <c r="P86" s="2" t="s">
        <v>289</v>
      </c>
      <c r="Q86" s="9" t="s">
        <v>290</v>
      </c>
      <c r="R86" s="2" t="s">
        <v>91</v>
      </c>
      <c r="S86" s="2" t="str">
        <f>HYPERLINK(".\links\REFSEQ-INVERTEBRATE\AGAP000849-PA-REFSEQ-INVERTEBRATE.txt","REFSEQ-INVERTEBRATE")</f>
        <v>REFSEQ-INVERTEBRATE</v>
      </c>
      <c r="T86" s="2">
        <v>1E-26</v>
      </c>
      <c r="U86" s="2">
        <v>100</v>
      </c>
      <c r="V86" s="2" t="s">
        <v>290</v>
      </c>
      <c r="W86" s="10" t="s">
        <v>291</v>
      </c>
      <c r="X86" s="2" t="s">
        <v>292</v>
      </c>
      <c r="Y86" s="2" t="str">
        <f>HYPERLINK(".\links\PFAM\AGAP000849-PA-PFAM.txt","PFAM")</f>
        <v>PFAM</v>
      </c>
      <c r="Z86" s="2">
        <v>2E-12</v>
      </c>
      <c r="AA86" s="2">
        <v>93</v>
      </c>
      <c r="AB86" s="14" t="s">
        <v>89</v>
      </c>
      <c r="AC86" s="14" t="str">
        <f>HYPERLINK(".\links\Sigp\AGAP000849-PA-SigP.txt","BL/ANC")</f>
        <v>BL/ANC</v>
      </c>
      <c r="AD86" s="2" t="s">
        <v>89</v>
      </c>
      <c r="AE86" s="2">
        <v>6.6609999999999996</v>
      </c>
      <c r="AF86" s="2">
        <v>9.69</v>
      </c>
      <c r="AG86" s="2" t="s">
        <v>89</v>
      </c>
      <c r="AH86" s="2" t="s">
        <v>89</v>
      </c>
      <c r="AI86" s="2" t="s">
        <v>293</v>
      </c>
      <c r="AJ86" s="14" t="str">
        <f>HYPERLINK(".\links\tmhmm\AGAP000849-PA-tmhmm.txt","1")</f>
        <v>1</v>
      </c>
      <c r="AK86" s="2">
        <v>30.9</v>
      </c>
      <c r="AL86" s="2">
        <v>56.4</v>
      </c>
      <c r="AM86" s="2">
        <v>12.7</v>
      </c>
      <c r="AN86" s="14" t="str">
        <f>HYPERLINK(".\links\gpi\AGAP000849-PA-gpi.txt","N")</f>
        <v>N</v>
      </c>
      <c r="AO86" s="15" t="str">
        <f>HYPERLINK(".\links\netoglyc\AGAP000849-PA-netoglyc.txt","0")</f>
        <v>0</v>
      </c>
      <c r="AP86" s="14">
        <v>10.9</v>
      </c>
      <c r="AQ86" s="2">
        <v>10.9</v>
      </c>
      <c r="AR86" s="2">
        <v>5.5</v>
      </c>
      <c r="AS86" s="2" t="s">
        <v>94</v>
      </c>
      <c r="AT86" s="9" t="str">
        <f>HYPERLINK(".\links\NR-LIGHT\AGAP000849-PA-NR-LIGHT.txt","AGAP000849-PA")</f>
        <v>AGAP000849-PA</v>
      </c>
      <c r="AU86" s="2" t="str">
        <f>HYPERLINK("http://www.ncbi.nlm.nih.gov/sutils/blink.cgi?pid=XP_555840.2","1E-026")</f>
        <v>1E-026</v>
      </c>
      <c r="AV86" s="2" t="str">
        <f>HYPERLINK("http://www.ncbi.nlm.nih.gov/protein/XP_555840.2","XP_555840.2")</f>
        <v>XP_555840.2</v>
      </c>
      <c r="AW86" s="2">
        <v>100</v>
      </c>
      <c r="AX86" s="2">
        <v>100</v>
      </c>
      <c r="AY86" s="2">
        <v>100</v>
      </c>
      <c r="AZ86" s="2" t="s">
        <v>95</v>
      </c>
      <c r="BA86" s="9" t="str">
        <f>HYPERLINK(".\links\REFSEQ-INVERTEBRATE\AGAP000849-PA-REFSEQ-INVERTEBRATE.txt","AGAP000849-PA")</f>
        <v>AGAP000849-PA</v>
      </c>
      <c r="BB86" s="2" t="str">
        <f>HYPERLINK("http://www.ncbi.nlm.nih.gov/sutils/blink.cgi?pid=XP_555840.2","1E-026")</f>
        <v>1E-026</v>
      </c>
      <c r="BC86" s="2" t="str">
        <f>HYPERLINK("http://www.ncbi.nlm.nih.gov/protein/XP_555840.2","XP_555840.2")</f>
        <v>XP_555840.2</v>
      </c>
      <c r="BD86" s="2">
        <v>100</v>
      </c>
      <c r="BE86" s="2">
        <v>100</v>
      </c>
      <c r="BF86" s="2">
        <v>100</v>
      </c>
      <c r="BG86" s="2" t="s">
        <v>95</v>
      </c>
      <c r="BH86" s="9" t="str">
        <f>HYPERLINK(".\links\REFSEQ-PROTOZOA\AGAP000849-PA-REFSEQ-PROTOZOA.txt","ribonuclease P")</f>
        <v>ribonuclease P</v>
      </c>
      <c r="BI86" s="2" t="str">
        <f>HYPERLINK("http://www.ncbi.nlm.nih.gov/sutils/blink.cgi?pid=XP_005709169.1","31")</f>
        <v>31</v>
      </c>
      <c r="BJ86" s="2" t="str">
        <f>HYPERLINK("http://www.ncbi.nlm.nih.gov/protein/XP_005709169.1","XP_005709169.1")</f>
        <v>XP_005709169.1</v>
      </c>
      <c r="BK86" s="2">
        <v>36</v>
      </c>
      <c r="BL86" s="2">
        <v>55</v>
      </c>
      <c r="BM86" s="2">
        <v>6</v>
      </c>
      <c r="BN86" s="2" t="s">
        <v>96</v>
      </c>
      <c r="BO86" s="9" t="str">
        <f>HYPERLINK(".\links\SWISSP\AGAP000849-PA-SWISSP.txt","NADH dehydrogenase [ubiquinone] 1 beta subcomplex subunit 1")</f>
        <v>NADH dehydrogenase [ubiquinone] 1 beta subcomplex subunit 1</v>
      </c>
      <c r="BP86" s="2" t="str">
        <f>HYPERLINK("http://www.uniprot.org/uniprot/Q02378","4E-005")</f>
        <v>4E-005</v>
      </c>
      <c r="BQ86" s="2" t="str">
        <f>HYPERLINK("http://www.uniprot.org/uniprot/Q02378#expression","Q02378")</f>
        <v>Q02378</v>
      </c>
      <c r="BR86" s="2">
        <v>51</v>
      </c>
      <c r="BS86" s="2">
        <v>72</v>
      </c>
      <c r="BT86" s="2">
        <v>75</v>
      </c>
      <c r="BU86" s="2" t="s">
        <v>183</v>
      </c>
      <c r="BV86" s="9" t="str">
        <f>HYPERLINK(".\links\FLYBASE\AGAP000849-PA-FLYBASE.txt","FBpp0290122")</f>
        <v>FBpp0290122</v>
      </c>
      <c r="BW86" s="2" t="str">
        <f>HYPERLINK("http://flybase.org/reports/FBgn0029971#alliance_summary_container","2E-20")</f>
        <v>2E-20</v>
      </c>
      <c r="BX86" s="2">
        <v>56</v>
      </c>
      <c r="BY86" s="2">
        <v>63</v>
      </c>
      <c r="BZ86" s="2">
        <v>78</v>
      </c>
      <c r="CA86" s="2">
        <v>98</v>
      </c>
      <c r="CB86" s="9" t="str">
        <f>HYPERLINK(".\links\CDD\AGAP000849-PA-CDD.txt","NADH_oxidored, MNLL subunit")</f>
        <v>NADH_oxidored, MNLL subunit</v>
      </c>
      <c r="CC86" s="13">
        <v>3.9999999999999999E-16</v>
      </c>
      <c r="CD86" s="2">
        <v>89.7</v>
      </c>
      <c r="CE86" s="2" t="s">
        <v>294</v>
      </c>
      <c r="CF86" s="2" t="s">
        <v>295</v>
      </c>
      <c r="CG86" s="9" t="str">
        <f>HYPERLINK(".\links\KOG\AGAP000849-PA-KOG.txt","Phosphatidylserine decarboxylase")</f>
        <v>Phosphatidylserine decarboxylase</v>
      </c>
      <c r="CH86" s="13">
        <v>2.8</v>
      </c>
      <c r="CI86" s="2">
        <v>14.9</v>
      </c>
      <c r="CJ86" s="2" t="s">
        <v>296</v>
      </c>
      <c r="CK86" s="2" t="s">
        <v>172</v>
      </c>
      <c r="CL86" s="9" t="str">
        <f>HYPERLINK(".\links\PFAM\AGAP000849-PA-PFAM.txt","NADH_oxidored, MNLL subunit")</f>
        <v>NADH_oxidored, MNLL subunit</v>
      </c>
      <c r="CM86" s="13">
        <v>9.9999999999999998E-17</v>
      </c>
      <c r="CN86" s="2">
        <v>89.7</v>
      </c>
      <c r="CO86" s="2" t="s">
        <v>294</v>
      </c>
      <c r="CP86" s="9" t="str">
        <f>HYPERLINK(".\links\SMART\AGAP000849-PA-SMART.txt","BHD_2, Rad4 beta-hairpin domain 2")</f>
        <v>BHD_2, Rad4 beta-hairpin domain 2</v>
      </c>
      <c r="CQ86" s="13">
        <v>1.4</v>
      </c>
      <c r="CR86" s="2">
        <v>17.899999999999999</v>
      </c>
      <c r="CS86" s="2" t="s">
        <v>297</v>
      </c>
      <c r="CT86" s="2" t="s">
        <v>290</v>
      </c>
      <c r="CU86" s="2" t="s">
        <v>290</v>
      </c>
      <c r="CV86" s="2" t="s">
        <v>290</v>
      </c>
      <c r="CW86" s="2" t="str">
        <f>HYPERLINK(".\links\pep\AGAP000849-PA-pep.txt","AGAP000849-PA")</f>
        <v>AGAP000849-PA</v>
      </c>
      <c r="CX86" s="2" t="s">
        <v>88</v>
      </c>
      <c r="CY86" s="2">
        <v>55</v>
      </c>
      <c r="CZ86" s="2" t="s">
        <v>103</v>
      </c>
      <c r="DA86" s="2" t="s">
        <v>298</v>
      </c>
      <c r="DB86" s="2">
        <v>0</v>
      </c>
      <c r="DC86" s="2">
        <v>0</v>
      </c>
      <c r="DD86" s="2" t="str">
        <f>HYPERLINK("https://www.kegg.jp/kegg-bin/search_pathway_text?map=aga&amp;keyword=AGAP000849&amp;mode=1&amp;viewImage=true","AGAP000849")</f>
        <v>AGAP000849</v>
      </c>
      <c r="DE86" s="2" t="s">
        <v>287</v>
      </c>
      <c r="DF86" s="2" t="s">
        <v>288</v>
      </c>
      <c r="DG86" s="2" t="s">
        <v>87</v>
      </c>
      <c r="DH86" s="2" t="str">
        <f>HYPERLINK("https://vectorbase.org/vectorbase/app/record/gene/AGAP000849","AGAP000849-RA")</f>
        <v>AGAP000849-RA</v>
      </c>
      <c r="DI86" s="2" t="s">
        <v>140</v>
      </c>
      <c r="DJ86" s="2">
        <v>484</v>
      </c>
      <c r="DK86" s="2" t="str">
        <f>HYPERLINK(".\links\netoglyc\AGAP000849-PA-netoglyc.txt","0")</f>
        <v>0</v>
      </c>
      <c r="DL86" s="2">
        <v>10.9</v>
      </c>
      <c r="DM86" s="2">
        <v>10.9</v>
      </c>
      <c r="DN86" s="2">
        <v>5.5</v>
      </c>
      <c r="DO86" s="2" t="s">
        <v>94</v>
      </c>
      <c r="DP86" s="2" t="s">
        <v>89</v>
      </c>
      <c r="DQ86" s="2" t="str">
        <f>HYPERLINK(".\links\Sigp\AGAP000849-PA-SigP.txt","BL/ANC")</f>
        <v>BL/ANC</v>
      </c>
      <c r="DR86" s="2" t="s">
        <v>89</v>
      </c>
      <c r="DS86" s="2">
        <v>6.6609999999999996</v>
      </c>
      <c r="DT86" s="2">
        <v>9.69</v>
      </c>
      <c r="DU86" s="2" t="s">
        <v>89</v>
      </c>
      <c r="DV86" s="2" t="s">
        <v>89</v>
      </c>
      <c r="DW86" s="2" t="s">
        <v>293</v>
      </c>
      <c r="DX86" s="2">
        <v>55</v>
      </c>
      <c r="DY86" s="12" t="str">
        <f>HYPERLINK(".\links\tmhmm\AGAP000849-PA-tmhmm.txt","1")</f>
        <v>1</v>
      </c>
      <c r="DZ86" s="2">
        <v>30.9</v>
      </c>
      <c r="EA86" s="2">
        <v>56.4</v>
      </c>
      <c r="EB86" s="2">
        <v>12.7</v>
      </c>
      <c r="EC86" s="2" t="str">
        <f>HYPERLINK(".\links\gpi\AGAP000849-PA-gpi.txt","Y-NoSP")</f>
        <v>Y-NoSP</v>
      </c>
      <c r="ED86" s="2">
        <v>0.53</v>
      </c>
      <c r="EE86" s="2" t="s">
        <v>299</v>
      </c>
      <c r="EF86" s="2">
        <v>0</v>
      </c>
      <c r="EG86" s="2" t="s">
        <v>89</v>
      </c>
      <c r="EH86" s="2" t="s">
        <v>89</v>
      </c>
      <c r="EI86" s="2">
        <v>10.909090909090899</v>
      </c>
      <c r="EJ86" s="2">
        <v>5.4545454545454497</v>
      </c>
      <c r="EK86" s="2">
        <v>10.909090909090899</v>
      </c>
      <c r="EL86" s="2">
        <v>16.363636363636399</v>
      </c>
      <c r="EM86" s="2" t="s">
        <v>89</v>
      </c>
      <c r="EN86" s="2" t="s">
        <v>89</v>
      </c>
      <c r="EO86" s="2" t="s">
        <v>89</v>
      </c>
      <c r="EP86" s="2" t="s">
        <v>89</v>
      </c>
      <c r="EQ86" s="2" t="s">
        <v>300</v>
      </c>
      <c r="ER86" s="2" t="s">
        <v>89</v>
      </c>
      <c r="ES86" s="2" t="s">
        <v>89</v>
      </c>
      <c r="ET86" s="2" t="str">
        <f>HYPERLINK(".\links\REFSEQ-INVERTEBRATE\AGAP000849-PA-REFSEQ-INVERTEBRATE.txt","AGAP000849-PA")</f>
        <v>AGAP000849-PA</v>
      </c>
      <c r="EU86" s="2" t="str">
        <f>HYPERLINK("http://www.ncbi.nlm.nih.gov/sutils/blink.cgi?pid=XP_555840.2","9E-34")</f>
        <v>9E-34</v>
      </c>
      <c r="EV86" s="2" t="str">
        <f>HYPERLINK("http://www.ncbi.nlm.nih.gov/protein/XP_555840.2","XP_555840.2")</f>
        <v>XP_555840.2</v>
      </c>
      <c r="EW86" s="2">
        <v>100</v>
      </c>
      <c r="EX86" s="2">
        <v>100</v>
      </c>
      <c r="EY86" s="2">
        <v>100</v>
      </c>
      <c r="EZ86" s="2" t="s">
        <v>95</v>
      </c>
    </row>
    <row r="87" spans="1:156" x14ac:dyDescent="0.25">
      <c r="A87" s="2" t="s">
        <v>241</v>
      </c>
      <c r="B87" s="2">
        <v>-0.77477103838898598</v>
      </c>
      <c r="C87" s="2">
        <f t="shared" si="1"/>
        <v>0.58448137650832854</v>
      </c>
      <c r="D87" s="2">
        <v>6.9348759514723204</v>
      </c>
      <c r="E87" s="2">
        <v>11.0263605788061</v>
      </c>
      <c r="F87" s="2">
        <v>8.9825325739963005E-4</v>
      </c>
      <c r="G87" s="2">
        <v>3.85633162561849E-2</v>
      </c>
      <c r="H87" s="2" t="s">
        <v>242</v>
      </c>
      <c r="I87" s="2" t="s">
        <v>87</v>
      </c>
      <c r="J87" s="2" t="str">
        <f>HYPERLINK("https://vectorbase.org/vectorbase/app/record/gene/AGAP000759","AGAP000759-RA")</f>
        <v>AGAP000759-RA</v>
      </c>
      <c r="K87" s="2" t="str">
        <f>HYPERLINK(".\links\pep\AGAP000759-PA-pep.txt","AGAP000759-PA")</f>
        <v>AGAP000759-PA</v>
      </c>
      <c r="L87" s="12" t="s">
        <v>88</v>
      </c>
      <c r="M87" s="2">
        <v>200</v>
      </c>
      <c r="N87" s="2">
        <v>0</v>
      </c>
      <c r="O87" s="2">
        <v>0</v>
      </c>
      <c r="P87" s="2" t="s">
        <v>243</v>
      </c>
      <c r="Q87" s="9" t="s">
        <v>244</v>
      </c>
      <c r="R87" s="2" t="s">
        <v>245</v>
      </c>
      <c r="S87" s="2" t="str">
        <f>HYPERLINK(".\links\KOG\AGAP000759-PA-KOG.txt","KOG")</f>
        <v>KOG</v>
      </c>
      <c r="T87" s="2">
        <v>1E-35</v>
      </c>
      <c r="U87" s="2">
        <v>102.8</v>
      </c>
      <c r="V87" s="2" t="s">
        <v>246</v>
      </c>
      <c r="W87" s="10" t="s">
        <v>247</v>
      </c>
      <c r="X87" s="2" t="s">
        <v>245</v>
      </c>
      <c r="Y87" s="2" t="str">
        <f>HYPERLINK(".\links\ARTHORPODA\AGAP000759-PA-ARTHORPODA.txt","ARTHORPODA")</f>
        <v>ARTHORPODA</v>
      </c>
      <c r="Z87" s="2">
        <v>0</v>
      </c>
      <c r="AA87" s="2">
        <v>100</v>
      </c>
      <c r="AB87" s="14" t="s">
        <v>89</v>
      </c>
      <c r="AC87" s="14" t="str">
        <f>HYPERLINK(".\links\Sigp\AGAP000759-PA-SigP.txt","CYT")</f>
        <v>CYT</v>
      </c>
      <c r="AD87" s="2" t="s">
        <v>89</v>
      </c>
      <c r="AE87" s="2">
        <v>22.800999999999998</v>
      </c>
      <c r="AF87" s="2">
        <v>9.16</v>
      </c>
      <c r="AG87" s="2" t="s">
        <v>89</v>
      </c>
      <c r="AH87" s="2" t="s">
        <v>89</v>
      </c>
      <c r="AI87" s="2" t="s">
        <v>248</v>
      </c>
      <c r="AJ87" s="14">
        <v>0</v>
      </c>
      <c r="AK87" s="2" t="s">
        <v>89</v>
      </c>
      <c r="AL87" s="2" t="s">
        <v>89</v>
      </c>
      <c r="AM87" s="2" t="s">
        <v>89</v>
      </c>
      <c r="AN87" s="14" t="str">
        <f>HYPERLINK(".\links\gpi\AGAP000759-PA-gpi.txt","N")</f>
        <v>N</v>
      </c>
      <c r="AO87" s="15" t="str">
        <f>HYPERLINK(".\links\netoglyc\AGAP000759-PA-netoglyc.txt","0")</f>
        <v>0</v>
      </c>
      <c r="AP87" s="14">
        <v>10.5</v>
      </c>
      <c r="AQ87" s="2">
        <v>7</v>
      </c>
      <c r="AR87" s="2">
        <v>8</v>
      </c>
      <c r="AS87" s="2" t="s">
        <v>94</v>
      </c>
      <c r="AT87" s="9" t="str">
        <f>HYPERLINK(".\links\NR-LIGHT\AGAP000759-PA-NR-LIGHT.txt","AGAP000759-PA")</f>
        <v>AGAP000759-PA</v>
      </c>
      <c r="AU87" s="2" t="str">
        <f>HYPERLINK("http://www.ncbi.nlm.nih.gov/sutils/blink.cgi?pid=XP_311295.4","1E-114")</f>
        <v>1E-114</v>
      </c>
      <c r="AV87" s="2" t="str">
        <f>HYPERLINK("http://www.ncbi.nlm.nih.gov/protein/XP_311295.4","XP_311295.4")</f>
        <v>XP_311295.4</v>
      </c>
      <c r="AW87" s="2">
        <v>100</v>
      </c>
      <c r="AX87" s="2">
        <v>100</v>
      </c>
      <c r="AY87" s="2">
        <v>100</v>
      </c>
      <c r="AZ87" s="2" t="s">
        <v>95</v>
      </c>
      <c r="BA87" s="9" t="str">
        <f>HYPERLINK(".\links\REFSEQ-INVERTEBRATE\AGAP000759-PA-REFSEQ-INVERTEBRATE.txt","AGAP000759-PA")</f>
        <v>AGAP000759-PA</v>
      </c>
      <c r="BB87" s="2" t="str">
        <f>HYPERLINK("http://www.ncbi.nlm.nih.gov/sutils/blink.cgi?pid=XP_311295.4","1E-114")</f>
        <v>1E-114</v>
      </c>
      <c r="BC87" s="2" t="str">
        <f>HYPERLINK("http://www.ncbi.nlm.nih.gov/protein/XP_311295.4","XP_311295.4")</f>
        <v>XP_311295.4</v>
      </c>
      <c r="BD87" s="2">
        <v>100</v>
      </c>
      <c r="BE87" s="2">
        <v>100</v>
      </c>
      <c r="BF87" s="2">
        <v>100</v>
      </c>
      <c r="BG87" s="2" t="s">
        <v>95</v>
      </c>
      <c r="BH87" s="9" t="str">
        <f>HYPERLINK(".\links\REFSEQ-PROTOZOA\AGAP000759-PA-REFSEQ-PROTOZOA.txt","hypothetical protein CAOG_07374")</f>
        <v>hypothetical protein CAOG_07374</v>
      </c>
      <c r="BI87" s="2" t="str">
        <f>HYPERLINK("http://www.ncbi.nlm.nih.gov/sutils/blink.cgi?pid=XP_004343233.1","2E-004")</f>
        <v>2E-004</v>
      </c>
      <c r="BJ87" s="2" t="str">
        <f>HYPERLINK("http://www.ncbi.nlm.nih.gov/protein/XP_004343233.1","XP_004343233.1")</f>
        <v>XP_004343233.1</v>
      </c>
      <c r="BK87" s="2">
        <v>33</v>
      </c>
      <c r="BL87" s="2">
        <v>53</v>
      </c>
      <c r="BM87" s="2">
        <v>24</v>
      </c>
      <c r="BN87" s="2" t="s">
        <v>150</v>
      </c>
      <c r="BO87" s="9" t="str">
        <f>HYPERLINK(".\links\SWISSP\AGAP000759-PA-SWISSP.txt","39S ribosomal protein L32, mitochondrial")</f>
        <v>39S ribosomal protein L32, mitochondrial</v>
      </c>
      <c r="BP87" s="2" t="str">
        <f>HYPERLINK("http://www.uniprot.org/uniprot/Q9V9Z1","5E-056")</f>
        <v>5E-056</v>
      </c>
      <c r="BQ87" s="2" t="str">
        <f>HYPERLINK("http://www.uniprot.org/uniprot/Q9V9Z1#expression","Q9V9Z1")</f>
        <v>Q9V9Z1</v>
      </c>
      <c r="BR87" s="2">
        <v>57</v>
      </c>
      <c r="BS87" s="2">
        <v>69</v>
      </c>
      <c r="BT87" s="2">
        <v>100</v>
      </c>
      <c r="BU87" s="2" t="s">
        <v>151</v>
      </c>
      <c r="BV87" s="9" t="str">
        <f>HYPERLINK(".\links\FLYBASE\AGAP000759-PA-FLYBASE.txt","FBpp0085121")</f>
        <v>FBpp0085121</v>
      </c>
      <c r="BW87" s="2" t="str">
        <f>HYPERLINK("http://flybase.org/reports/FBgn0039835#alliance_summary_container","2E-72")</f>
        <v>2E-72</v>
      </c>
      <c r="BX87" s="2">
        <v>195</v>
      </c>
      <c r="BY87" s="2">
        <v>58</v>
      </c>
      <c r="BZ87" s="2">
        <v>71</v>
      </c>
      <c r="CA87" s="2">
        <v>101</v>
      </c>
      <c r="CB87" s="9" t="str">
        <f>HYPERLINK(".\links\CDD\AGAP000759-PA-CDD.txt","Baculo_VP39, Baculovirus major capsid protein VP39")</f>
        <v>Baculo_VP39, Baculovirus major capsid protein VP39</v>
      </c>
      <c r="CC87" s="13">
        <v>2.4</v>
      </c>
      <c r="CD87" s="2">
        <v>10.7</v>
      </c>
      <c r="CE87" s="2" t="s">
        <v>249</v>
      </c>
      <c r="CF87" s="2" t="s">
        <v>250</v>
      </c>
      <c r="CG87" s="9" t="str">
        <f>HYPERLINK(".\links\KOG\AGAP000759-PA-KOG.txt","Mitochondrial ribosomal protein L32")</f>
        <v>Mitochondrial ribosomal protein L32</v>
      </c>
      <c r="CH87" s="13">
        <v>1E-35</v>
      </c>
      <c r="CI87" s="2">
        <v>102.8</v>
      </c>
      <c r="CJ87" s="2" t="s">
        <v>251</v>
      </c>
      <c r="CK87" s="2" t="s">
        <v>252</v>
      </c>
      <c r="CL87" s="9" t="str">
        <f>HYPERLINK(".\links\PFAM\AGAP000759-PA-PFAM.txt","Baculo_VP39, Baculovirus major capsid protein VP39")</f>
        <v>Baculo_VP39, Baculovirus major capsid protein VP39</v>
      </c>
      <c r="CM87" s="13">
        <v>0.53</v>
      </c>
      <c r="CN87" s="2">
        <v>10.7</v>
      </c>
      <c r="CO87" s="2" t="s">
        <v>249</v>
      </c>
      <c r="CP87" s="9" t="str">
        <f>HYPERLINK(".\links\SMART\AGAP000759-PA-SMART.txt","ZnF_ZZ, Zinc-binding domain, present in Dystrophin, CREB-binding protein")</f>
        <v>ZnF_ZZ, Zinc-binding domain, present in Dystrophin, CREB-binding protein</v>
      </c>
      <c r="CQ87" s="13">
        <v>5.6000000000000001E-2</v>
      </c>
      <c r="CR87" s="2">
        <v>86.4</v>
      </c>
      <c r="CS87" s="2" t="s">
        <v>253</v>
      </c>
      <c r="CT87" s="2" t="s">
        <v>246</v>
      </c>
      <c r="CU87" s="2" t="s">
        <v>246</v>
      </c>
      <c r="CV87" s="2" t="s">
        <v>246</v>
      </c>
      <c r="CW87" s="2" t="str">
        <f>HYPERLINK(".\links\pep\AGAP000759-PA-pep.txt","AGAP000759-PA")</f>
        <v>AGAP000759-PA</v>
      </c>
      <c r="CX87" s="2" t="s">
        <v>88</v>
      </c>
      <c r="CY87" s="2">
        <v>200</v>
      </c>
      <c r="CZ87" s="2" t="s">
        <v>103</v>
      </c>
      <c r="DA87" s="2" t="s">
        <v>254</v>
      </c>
      <c r="DB87" s="2">
        <v>0</v>
      </c>
      <c r="DC87" s="2">
        <v>0</v>
      </c>
      <c r="DD87" s="2" t="str">
        <f>HYPERLINK("https://www.kegg.jp/kegg-bin/search_pathway_text?map=aga&amp;keyword=AGAP000759&amp;mode=1&amp;viewImage=true","AGAP000759")</f>
        <v>AGAP000759</v>
      </c>
      <c r="DE87" s="2" t="s">
        <v>241</v>
      </c>
      <c r="DF87" s="2" t="s">
        <v>242</v>
      </c>
      <c r="DG87" s="2" t="s">
        <v>87</v>
      </c>
      <c r="DH87" s="2" t="str">
        <f>HYPERLINK("https://vectorbase.org/vectorbase/app/record/gene/AGAP000759","AGAP000759-RA")</f>
        <v>AGAP000759-RA</v>
      </c>
      <c r="DI87" s="2" t="s">
        <v>158</v>
      </c>
      <c r="DJ87" s="2">
        <v>859</v>
      </c>
      <c r="DK87" s="2" t="str">
        <f>HYPERLINK(".\links\netoglyc\AGAP000759-PA-netoglyc.txt","0")</f>
        <v>0</v>
      </c>
      <c r="DL87" s="2">
        <v>10.5</v>
      </c>
      <c r="DM87" s="2">
        <v>7</v>
      </c>
      <c r="DN87" s="2">
        <v>8</v>
      </c>
      <c r="DO87" s="2" t="s">
        <v>94</v>
      </c>
      <c r="DP87" s="2" t="s">
        <v>89</v>
      </c>
      <c r="DQ87" s="2" t="str">
        <f>HYPERLINK(".\links\Sigp\AGAP000759-PA-SigP.txt","CYT")</f>
        <v>CYT</v>
      </c>
      <c r="DR87" s="2" t="s">
        <v>89</v>
      </c>
      <c r="DS87" s="2">
        <v>22.800999999999998</v>
      </c>
      <c r="DT87" s="2">
        <v>9.16</v>
      </c>
      <c r="DU87" s="2" t="s">
        <v>89</v>
      </c>
      <c r="DV87" s="2" t="s">
        <v>89</v>
      </c>
      <c r="DW87" s="2" t="s">
        <v>248</v>
      </c>
      <c r="DX87" s="2">
        <v>200</v>
      </c>
      <c r="DY87" s="12">
        <v>0</v>
      </c>
      <c r="DZ87" s="2" t="s">
        <v>89</v>
      </c>
      <c r="EA87" s="2" t="s">
        <v>89</v>
      </c>
      <c r="EB87" s="2" t="s">
        <v>89</v>
      </c>
      <c r="EC87" s="2" t="str">
        <f>HYPERLINK(".\links\gpi\AGAP000759-PA-gpi.txt","N")</f>
        <v>N</v>
      </c>
      <c r="ED87" s="2">
        <v>0.28000000000000003</v>
      </c>
      <c r="EF87" s="2">
        <v>4</v>
      </c>
      <c r="EG87" s="2" t="s">
        <v>89</v>
      </c>
      <c r="EH87" s="2" t="s">
        <v>89</v>
      </c>
      <c r="EI87" s="2">
        <v>10.5</v>
      </c>
      <c r="EJ87" s="2">
        <v>8</v>
      </c>
      <c r="EK87" s="2">
        <v>7</v>
      </c>
      <c r="EL87" s="2">
        <v>15</v>
      </c>
      <c r="EM87" s="2">
        <v>1</v>
      </c>
      <c r="EN87" s="2" t="s">
        <v>89</v>
      </c>
      <c r="EO87" s="2">
        <v>2</v>
      </c>
      <c r="EP87" s="2" t="s">
        <v>89</v>
      </c>
      <c r="EQ87" s="2" t="s">
        <v>89</v>
      </c>
      <c r="ER87" s="2" t="s">
        <v>89</v>
      </c>
      <c r="ES87" s="2" t="s">
        <v>89</v>
      </c>
      <c r="ET87" s="2" t="str">
        <f>HYPERLINK(".\links\REFSEQ-INVERTEBRATE\AGAP000759-PA-REFSEQ-INVERTEBRATE.txt","AGAP000759-PA")</f>
        <v>AGAP000759-PA</v>
      </c>
      <c r="EU87" s="2" t="str">
        <f>HYPERLINK("http://www.ncbi.nlm.nih.gov/sutils/blink.cgi?pid=XP_311295.4","1E-147")</f>
        <v>1E-147</v>
      </c>
      <c r="EV87" s="2" t="str">
        <f>HYPERLINK("http://www.ncbi.nlm.nih.gov/protein/XP_311295.4","XP_311295.4")</f>
        <v>XP_311295.4</v>
      </c>
      <c r="EW87" s="2">
        <v>100</v>
      </c>
      <c r="EX87" s="2">
        <v>100</v>
      </c>
      <c r="EY87" s="2">
        <v>100</v>
      </c>
      <c r="EZ87" s="2" t="s">
        <v>95</v>
      </c>
    </row>
    <row r="88" spans="1:156" x14ac:dyDescent="0.25">
      <c r="A88" s="2" t="s">
        <v>357</v>
      </c>
      <c r="B88" s="2">
        <v>-0.77506162844191995</v>
      </c>
      <c r="C88" s="2">
        <f t="shared" si="1"/>
        <v>0.58436366114555649</v>
      </c>
      <c r="D88" s="2">
        <v>7.18865382195842</v>
      </c>
      <c r="E88" s="2">
        <v>18.450385396147201</v>
      </c>
      <c r="F88" s="2">
        <v>1.7438556238921298E-5</v>
      </c>
      <c r="G88" s="2">
        <v>2.5090311929161502E-3</v>
      </c>
      <c r="H88" s="2" t="s">
        <v>86</v>
      </c>
      <c r="I88" s="2" t="s">
        <v>87</v>
      </c>
      <c r="J88" s="2" t="str">
        <f>HYPERLINK("https://vectorbase.org/vectorbase/app/record/gene/AGAP001069","AGAP001069-RA")</f>
        <v>AGAP001069-RA</v>
      </c>
      <c r="K88" s="2" t="str">
        <f>HYPERLINK(".\links\pep\AGAP001069-PA-pep.txt","AGAP001069-PA")</f>
        <v>AGAP001069-PA</v>
      </c>
      <c r="L88" s="12" t="s">
        <v>88</v>
      </c>
      <c r="M88" s="2">
        <v>270</v>
      </c>
      <c r="N88" s="2">
        <v>0</v>
      </c>
      <c r="O88" s="2">
        <v>0</v>
      </c>
      <c r="P88" s="2" t="s">
        <v>89</v>
      </c>
      <c r="Q88" s="9" t="s">
        <v>358</v>
      </c>
      <c r="R88" s="2" t="s">
        <v>347</v>
      </c>
      <c r="S88" s="2" t="str">
        <f>HYPERLINK(".\links\KOG\AGAP001069-PA-KOG.txt","KOG")</f>
        <v>KOG</v>
      </c>
      <c r="T88" s="2">
        <v>3.0000000000000001E-96</v>
      </c>
      <c r="U88" s="2">
        <v>99.6</v>
      </c>
      <c r="V88" s="2" t="s">
        <v>359</v>
      </c>
      <c r="W88" s="10" t="s">
        <v>360</v>
      </c>
      <c r="X88" s="2" t="s">
        <v>347</v>
      </c>
      <c r="Y88" s="2" t="str">
        <f>HYPERLINK(".\links\KOG\AGAP001069-PA-KOG.txt","KOG")</f>
        <v>KOG</v>
      </c>
      <c r="Z88" s="13">
        <v>9.9999999999999991E-97</v>
      </c>
      <c r="AA88" s="2">
        <v>98.8</v>
      </c>
      <c r="AB88" s="14" t="str">
        <f>HYPERLINK(".\links\pep\AGAP001069-PA-sulf.txt","1")</f>
        <v>1</v>
      </c>
      <c r="AC88" s="14" t="str">
        <f>HYPERLINK(".\links\Sigp\AGAP001069-PA-SigP.txt","CYT")</f>
        <v>CYT</v>
      </c>
      <c r="AD88" s="2" t="s">
        <v>89</v>
      </c>
      <c r="AE88" s="2">
        <v>30.603999999999999</v>
      </c>
      <c r="AF88" s="2">
        <v>9.01</v>
      </c>
      <c r="AG88" s="2" t="s">
        <v>89</v>
      </c>
      <c r="AH88" s="2" t="s">
        <v>89</v>
      </c>
      <c r="AI88" s="2" t="s">
        <v>361</v>
      </c>
      <c r="AJ88" s="14" t="str">
        <f>HYPERLINK(".\links\tmhmm\AGAP001069-PA-tmhmm.txt","6")</f>
        <v>6</v>
      </c>
      <c r="AK88" s="2">
        <v>44.8</v>
      </c>
      <c r="AL88" s="2">
        <v>8.5</v>
      </c>
      <c r="AM88" s="2">
        <v>46.7</v>
      </c>
      <c r="AN88" s="14" t="str">
        <f>HYPERLINK(".\links\gpi\AGAP001069-PA-gpi.txt","N")</f>
        <v>N</v>
      </c>
      <c r="AO88" s="15" t="str">
        <f>HYPERLINK(".\links\netoglyc\AGAP001069-PA-netoglyc.txt","0")</f>
        <v>0</v>
      </c>
      <c r="AP88" s="14">
        <v>9.3000000000000007</v>
      </c>
      <c r="AQ88" s="2">
        <v>7.4</v>
      </c>
      <c r="AR88" s="2">
        <v>2.6</v>
      </c>
      <c r="AS88" s="2" t="s">
        <v>94</v>
      </c>
      <c r="AT88" s="9" t="str">
        <f>HYPERLINK(".\links\NR-LIGHT\AGAP001069-PA-NR-LIGHT.txt","AGAP001069-PA")</f>
        <v>AGAP001069-PA</v>
      </c>
      <c r="AU88" s="2" t="str">
        <f>HYPERLINK("http://www.ncbi.nlm.nih.gov/sutils/blink.cgi?pid=XP_318287.4","1E-151")</f>
        <v>1E-151</v>
      </c>
      <c r="AV88" s="2" t="str">
        <f>HYPERLINK("http://www.ncbi.nlm.nih.gov/protein/XP_318287.4","XP_318287.4")</f>
        <v>XP_318287.4</v>
      </c>
      <c r="AW88" s="2">
        <v>100</v>
      </c>
      <c r="AX88" s="2">
        <v>100</v>
      </c>
      <c r="AY88" s="2">
        <v>100</v>
      </c>
      <c r="AZ88" s="2" t="s">
        <v>95</v>
      </c>
      <c r="BA88" s="9" t="str">
        <f>HYPERLINK(".\links\REFSEQ-INVERTEBRATE\AGAP001069-PA-REFSEQ-INVERTEBRATE.txt","AGAP001069-PA")</f>
        <v>AGAP001069-PA</v>
      </c>
      <c r="BB88" s="2" t="str">
        <f>HYPERLINK("http://www.ncbi.nlm.nih.gov/sutils/blink.cgi?pid=XP_318287.4","1E-151")</f>
        <v>1E-151</v>
      </c>
      <c r="BC88" s="2" t="str">
        <f>HYPERLINK("http://www.ncbi.nlm.nih.gov/protein/XP_318287.4","XP_318287.4")</f>
        <v>XP_318287.4</v>
      </c>
      <c r="BD88" s="2">
        <v>100</v>
      </c>
      <c r="BE88" s="2">
        <v>100</v>
      </c>
      <c r="BF88" s="2">
        <v>100</v>
      </c>
      <c r="BG88" s="2" t="s">
        <v>95</v>
      </c>
      <c r="BH88" s="9" t="str">
        <f>HYPERLINK(".\links\REFSEQ-PROTOZOA\AGAP001069-PA-REFSEQ-PROTOZOA.txt","surfeit locus protein 4")</f>
        <v>surfeit locus protein 4</v>
      </c>
      <c r="BI88" s="2" t="str">
        <f>HYPERLINK("http://www.ncbi.nlm.nih.gov/sutils/blink.cgi?pid=XP_004343111.1","3E-067")</f>
        <v>3E-067</v>
      </c>
      <c r="BJ88" s="2" t="str">
        <f>HYPERLINK("http://www.ncbi.nlm.nih.gov/protein/XP_004343111.1","XP_004343111.1")</f>
        <v>XP_004343111.1</v>
      </c>
      <c r="BK88" s="2">
        <v>47</v>
      </c>
      <c r="BL88" s="2">
        <v>68</v>
      </c>
      <c r="BM88" s="2">
        <v>81</v>
      </c>
      <c r="BN88" s="2" t="s">
        <v>150</v>
      </c>
      <c r="BO88" s="9" t="str">
        <f>HYPERLINK(".\links\SWISSP\AGAP001069-PA-SWISSP.txt","Surfeit locus protein 4 homolog")</f>
        <v>Surfeit locus protein 4 homolog</v>
      </c>
      <c r="BP88" s="2" t="str">
        <f>HYPERLINK("http://www.uniprot.org/uniprot/O18405","1E-130")</f>
        <v>1E-130</v>
      </c>
      <c r="BQ88" s="2" t="str">
        <f>HYPERLINK("http://www.uniprot.org/uniprot/O18405#expression","O18405")</f>
        <v>O18405</v>
      </c>
      <c r="BR88" s="2">
        <v>83</v>
      </c>
      <c r="BS88" s="2">
        <v>93</v>
      </c>
      <c r="BT88" s="2">
        <v>100</v>
      </c>
      <c r="BU88" s="2" t="s">
        <v>151</v>
      </c>
      <c r="BV88" s="9" t="str">
        <f>HYPERLINK(".\links\FLYBASE\AGAP001069-PA-FLYBASE.txt","FBpp0082571")</f>
        <v>FBpp0082571</v>
      </c>
      <c r="BW88" s="2" t="str">
        <f>HYPERLINK("http://flybase.org/reports/FBgn0019925#alliance_summary_container","1E-170")</f>
        <v>1E-170</v>
      </c>
      <c r="BX88" s="2">
        <v>270</v>
      </c>
      <c r="BY88" s="2">
        <v>83</v>
      </c>
      <c r="BZ88" s="2">
        <v>93</v>
      </c>
      <c r="CA88" s="2">
        <v>100</v>
      </c>
      <c r="CB88" s="9" t="str">
        <f>HYPERLINK(".\links\CDD\AGAP001069-PA-CDD.txt","SURF4, SURF4 family")</f>
        <v>SURF4, SURF4 family</v>
      </c>
      <c r="CC88" s="13">
        <v>1.0000000000000001E-110</v>
      </c>
      <c r="CD88" s="2">
        <v>100</v>
      </c>
      <c r="CE88" s="2" t="s">
        <v>362</v>
      </c>
      <c r="CF88" s="2" t="s">
        <v>363</v>
      </c>
      <c r="CG88" s="9" t="str">
        <f>HYPERLINK(".\links\KOG\AGAP001069-PA-KOG.txt","Putative cargo transport protein ERV29")</f>
        <v>Putative cargo transport protein ERV29</v>
      </c>
      <c r="CH88" s="13">
        <v>3.0000000000000001E-96</v>
      </c>
      <c r="CI88" s="2">
        <v>99.6</v>
      </c>
      <c r="CJ88" s="2" t="s">
        <v>364</v>
      </c>
      <c r="CK88" s="2" t="s">
        <v>278</v>
      </c>
      <c r="CL88" s="9" t="str">
        <f>HYPERLINK(".\links\PFAM\AGAP001069-PA-PFAM.txt","SURF4, SURF4 family")</f>
        <v>SURF4, SURF4 family</v>
      </c>
      <c r="CM88" s="13">
        <v>1.0000000000000001E-111</v>
      </c>
      <c r="CN88" s="2">
        <v>100</v>
      </c>
      <c r="CO88" s="2" t="s">
        <v>362</v>
      </c>
      <c r="CP88" s="9" t="str">
        <f>HYPERLINK(".\links\SMART\AGAP001069-PA-SMART.txt","GuKc, Guanylate kinase homologues")</f>
        <v>GuKc, Guanylate kinase homologues</v>
      </c>
      <c r="CQ88" s="13">
        <v>2.8</v>
      </c>
      <c r="CR88" s="2">
        <v>19</v>
      </c>
      <c r="CS88" s="2" t="s">
        <v>365</v>
      </c>
      <c r="CT88" s="2" t="s">
        <v>359</v>
      </c>
      <c r="CU88" s="2" t="s">
        <v>359</v>
      </c>
      <c r="CV88" s="2" t="s">
        <v>359</v>
      </c>
      <c r="CW88" s="2" t="str">
        <f>HYPERLINK(".\links\pep\AGAP001069-PA-pep.txt","AGAP001069-PA")</f>
        <v>AGAP001069-PA</v>
      </c>
      <c r="CX88" s="2" t="s">
        <v>88</v>
      </c>
      <c r="CY88" s="2">
        <v>270</v>
      </c>
      <c r="CZ88" s="2" t="s">
        <v>103</v>
      </c>
      <c r="DA88" s="2" t="s">
        <v>366</v>
      </c>
      <c r="DB88" s="2">
        <v>0</v>
      </c>
      <c r="DC88" s="2">
        <v>0</v>
      </c>
      <c r="DD88" s="2" t="str">
        <f>HYPERLINK("https://www.kegg.jp/kegg-bin/search_pathway_text?map=aga&amp;keyword=AGAP001069&amp;mode=1&amp;viewImage=true","AGAP001069")</f>
        <v>AGAP001069</v>
      </c>
      <c r="DE88" s="2" t="s">
        <v>357</v>
      </c>
      <c r="DF88" s="2" t="s">
        <v>86</v>
      </c>
      <c r="DG88" s="2" t="s">
        <v>87</v>
      </c>
      <c r="DH88" s="2" t="str">
        <f>HYPERLINK("https://vectorbase.org/vectorbase/app/record/gene/AGAP001069","AGAP001069-RA")</f>
        <v>AGAP001069-RA</v>
      </c>
      <c r="DI88" s="2" t="s">
        <v>158</v>
      </c>
      <c r="DJ88" s="2">
        <v>1455</v>
      </c>
      <c r="DK88" s="2" t="str">
        <f>HYPERLINK(".\links\netoglyc\AGAP001069-PA-netoglyc.txt","0")</f>
        <v>0</v>
      </c>
      <c r="DL88" s="2">
        <v>9.3000000000000007</v>
      </c>
      <c r="DM88" s="2">
        <v>7.4</v>
      </c>
      <c r="DN88" s="2">
        <v>2.6</v>
      </c>
      <c r="DO88" s="2" t="s">
        <v>94</v>
      </c>
      <c r="DP88" s="2" t="s">
        <v>89</v>
      </c>
      <c r="DQ88" s="2" t="str">
        <f>HYPERLINK(".\links\Sigp\AGAP001069-PA-SigP.txt","CYT")</f>
        <v>CYT</v>
      </c>
      <c r="DR88" s="2" t="s">
        <v>89</v>
      </c>
      <c r="DS88" s="2">
        <v>30.603999999999999</v>
      </c>
      <c r="DT88" s="2">
        <v>9.01</v>
      </c>
      <c r="DU88" s="2" t="s">
        <v>89</v>
      </c>
      <c r="DV88" s="2" t="s">
        <v>89</v>
      </c>
      <c r="DW88" s="2" t="s">
        <v>361</v>
      </c>
      <c r="DX88" s="2">
        <v>270</v>
      </c>
      <c r="DY88" s="12" t="str">
        <f>HYPERLINK(".\links\tmhmm\AGAP001069-PA-tmhmm.txt","6")</f>
        <v>6</v>
      </c>
      <c r="DZ88" s="2">
        <v>44.8</v>
      </c>
      <c r="EA88" s="2">
        <v>8.5</v>
      </c>
      <c r="EB88" s="2">
        <v>46.7</v>
      </c>
      <c r="EC88" s="2" t="str">
        <f>HYPERLINK(".\links\gpi\AGAP001069-PA-gpi.txt","Y-NoSP")</f>
        <v>Y-NoSP</v>
      </c>
      <c r="ED88" s="2">
        <v>0.39</v>
      </c>
      <c r="EE88" s="2" t="s">
        <v>367</v>
      </c>
      <c r="EF88" s="2">
        <v>4</v>
      </c>
      <c r="EG88" s="2" t="str">
        <f>HYPERLINK(".\links\pep\AGAP001069-PA-sulf.txt","1")</f>
        <v>1</v>
      </c>
      <c r="EH88" s="2" t="s">
        <v>89</v>
      </c>
      <c r="EI88" s="2">
        <v>9.2592592592592595</v>
      </c>
      <c r="EJ88" s="2">
        <v>2.5925925925925899</v>
      </c>
      <c r="EK88" s="2">
        <v>7.4074074074074101</v>
      </c>
      <c r="EL88" s="2">
        <v>10</v>
      </c>
      <c r="EM88" s="2">
        <v>1</v>
      </c>
      <c r="EN88" s="2">
        <v>1</v>
      </c>
      <c r="EO88" s="2">
        <v>2</v>
      </c>
      <c r="EP88" s="2" t="s">
        <v>89</v>
      </c>
      <c r="EQ88" s="2" t="s">
        <v>89</v>
      </c>
      <c r="ER88" s="2" t="s">
        <v>89</v>
      </c>
      <c r="ES88" s="2" t="s">
        <v>89</v>
      </c>
      <c r="ET88" s="2" t="str">
        <f>HYPERLINK(".\links\REFSEQ-INVERTEBRATE\AGAP001069-PA-REFSEQ-INVERTEBRATE.txt","AGAP001069-PA")</f>
        <v>AGAP001069-PA</v>
      </c>
      <c r="EU88" s="2" t="str">
        <f>HYPERLINK("http://www.ncbi.nlm.nih.gov/sutils/blink.cgi?pid=XP_318287.4","0.0")</f>
        <v>0.0</v>
      </c>
      <c r="EV88" s="2" t="str">
        <f>HYPERLINK("http://www.ncbi.nlm.nih.gov/protein/XP_318287.4","XP_318287.4")</f>
        <v>XP_318287.4</v>
      </c>
      <c r="EW88" s="2">
        <v>100</v>
      </c>
      <c r="EX88" s="2">
        <v>100</v>
      </c>
      <c r="EY88" s="2">
        <v>100</v>
      </c>
      <c r="EZ88" s="2" t="s">
        <v>95</v>
      </c>
    </row>
    <row r="89" spans="1:156" x14ac:dyDescent="0.25">
      <c r="A89" s="2" t="s">
        <v>1115</v>
      </c>
      <c r="B89" s="2">
        <v>-0.77721413646709803</v>
      </c>
      <c r="C89" s="2">
        <f t="shared" si="1"/>
        <v>0.58349243781433002</v>
      </c>
      <c r="D89" s="2">
        <v>6.1684170204592101</v>
      </c>
      <c r="E89" s="2">
        <v>16.4704446120485</v>
      </c>
      <c r="F89" s="2">
        <v>4.94144083292437E-5</v>
      </c>
      <c r="G89" s="2">
        <v>5.3142950048632098E-3</v>
      </c>
      <c r="H89" s="2" t="s">
        <v>86</v>
      </c>
      <c r="I89" s="2" t="s">
        <v>87</v>
      </c>
      <c r="J89" s="2" t="str">
        <f>HYPERLINK("https://vectorbase.org/vectorbase/app/record/gene/AGAP004435","AGAP004435-RA")</f>
        <v>AGAP004435-RA</v>
      </c>
      <c r="K89" s="2" t="str">
        <f>HYPERLINK(".\links\pep\AGAP004435-PA-pep.txt","AGAP004435-PA")</f>
        <v>AGAP004435-PA</v>
      </c>
      <c r="L89" s="12" t="s">
        <v>88</v>
      </c>
      <c r="M89" s="2">
        <v>344</v>
      </c>
      <c r="N89" s="2">
        <v>0</v>
      </c>
      <c r="O89" s="2">
        <v>0</v>
      </c>
      <c r="P89" s="2" t="s">
        <v>89</v>
      </c>
      <c r="Q89" s="9" t="s">
        <v>1116</v>
      </c>
      <c r="R89" s="2" t="s">
        <v>91</v>
      </c>
      <c r="S89" s="2" t="str">
        <f>HYPERLINK(".\links\REFSEQ-INVERTEBRATE\AGAP004435-PA-REFSEQ-INVERTEBRATE.txt","REFSEQ-INVERTEBRATE")</f>
        <v>REFSEQ-INVERTEBRATE</v>
      </c>
      <c r="T89" s="2">
        <v>0</v>
      </c>
      <c r="U89" s="2">
        <v>100</v>
      </c>
      <c r="V89" s="2" t="s">
        <v>1116</v>
      </c>
      <c r="W89" s="10" t="s">
        <v>1117</v>
      </c>
      <c r="X89" s="2" t="s">
        <v>164</v>
      </c>
      <c r="Y89" s="2" t="str">
        <f>HYPERLINK(".\links\UNIPROTKB\AGAP004435-PA-UNIPROTKB.txt","UNIPROTKB")</f>
        <v>UNIPROTKB</v>
      </c>
      <c r="Z89" s="13">
        <v>4E-51</v>
      </c>
      <c r="AA89" s="2">
        <v>96.9</v>
      </c>
      <c r="AB89" s="14" t="s">
        <v>89</v>
      </c>
      <c r="AC89" s="14" t="str">
        <f>HYPERLINK(".\links\Sigp\AGAP004435-PA-SigP.txt","CYT")</f>
        <v>CYT</v>
      </c>
      <c r="AD89" s="2" t="s">
        <v>89</v>
      </c>
      <c r="AE89" s="2">
        <v>40.277000000000001</v>
      </c>
      <c r="AF89" s="2">
        <v>8.74</v>
      </c>
      <c r="AG89" s="2" t="s">
        <v>89</v>
      </c>
      <c r="AH89" s="2" t="s">
        <v>89</v>
      </c>
      <c r="AI89" s="2" t="s">
        <v>1118</v>
      </c>
      <c r="AJ89" s="14">
        <v>0</v>
      </c>
      <c r="AK89" s="2" t="s">
        <v>89</v>
      </c>
      <c r="AL89" s="2" t="s">
        <v>89</v>
      </c>
      <c r="AM89" s="2" t="s">
        <v>89</v>
      </c>
      <c r="AN89" s="14" t="str">
        <f>HYPERLINK(".\links\gpi\AGAP004435-PA-gpi.txt","N")</f>
        <v>N</v>
      </c>
      <c r="AO89" s="15" t="str">
        <f>HYPERLINK(".\links\netoglyc\AGAP004435-PA-netoglyc.txt","0")</f>
        <v>0</v>
      </c>
      <c r="AP89" s="14">
        <v>9</v>
      </c>
      <c r="AQ89" s="2">
        <v>6.1</v>
      </c>
      <c r="AR89" s="2">
        <v>5.5</v>
      </c>
      <c r="AS89" s="2" t="s">
        <v>94</v>
      </c>
      <c r="AT89" s="9" t="str">
        <f>HYPERLINK(".\links\NR-LIGHT\AGAP004435-PA-NR-LIGHT.txt","AGAP004435-PA")</f>
        <v>AGAP004435-PA</v>
      </c>
      <c r="AU89" s="2" t="str">
        <f>HYPERLINK("http://www.ncbi.nlm.nih.gov/sutils/blink.cgi?pid=XP_313722.3","0.0")</f>
        <v>0.0</v>
      </c>
      <c r="AV89" s="2" t="str">
        <f>HYPERLINK("http://www.ncbi.nlm.nih.gov/protein/XP_313722.3","XP_313722.3")</f>
        <v>XP_313722.3</v>
      </c>
      <c r="AW89" s="2">
        <v>100</v>
      </c>
      <c r="AX89" s="2">
        <v>100</v>
      </c>
      <c r="AY89" s="2">
        <v>100</v>
      </c>
      <c r="AZ89" s="2" t="s">
        <v>95</v>
      </c>
      <c r="BA89" s="9" t="str">
        <f>HYPERLINK(".\links\REFSEQ-INVERTEBRATE\AGAP004435-PA-REFSEQ-INVERTEBRATE.txt","AGAP004435-PA")</f>
        <v>AGAP004435-PA</v>
      </c>
      <c r="BB89" s="2" t="str">
        <f>HYPERLINK("http://www.ncbi.nlm.nih.gov/sutils/blink.cgi?pid=XP_313722.3","0.0")</f>
        <v>0.0</v>
      </c>
      <c r="BC89" s="2" t="str">
        <f>HYPERLINK("http://www.ncbi.nlm.nih.gov/protein/XP_313722.3","XP_313722.3")</f>
        <v>XP_313722.3</v>
      </c>
      <c r="BD89" s="2">
        <v>100</v>
      </c>
      <c r="BE89" s="2">
        <v>100</v>
      </c>
      <c r="BF89" s="2">
        <v>100</v>
      </c>
      <c r="BG89" s="2" t="s">
        <v>95</v>
      </c>
      <c r="BH89" s="9" t="str">
        <f>HYPERLINK(".\links\REFSEQ-PROTOZOA\AGAP004435-PA-REFSEQ-PROTOZOA.txt","hypothetical protein CAOG_03794")</f>
        <v>hypothetical protein CAOG_03794</v>
      </c>
      <c r="BI89" s="2" t="str">
        <f>HYPERLINK("http://www.ncbi.nlm.nih.gov/sutils/blink.cgi?pid=XP_004363522.1","1E-024")</f>
        <v>1E-024</v>
      </c>
      <c r="BJ89" s="2" t="str">
        <f>HYPERLINK("http://www.ncbi.nlm.nih.gov/protein/XP_004363522.1","XP_004363522.1")</f>
        <v>XP_004363522.1</v>
      </c>
      <c r="BK89" s="2">
        <v>24</v>
      </c>
      <c r="BL89" s="2">
        <v>43</v>
      </c>
      <c r="BM89" s="2">
        <v>77</v>
      </c>
      <c r="BN89" s="2" t="s">
        <v>150</v>
      </c>
      <c r="BO89" s="9" t="str">
        <f>HYPERLINK(".\links\SWISSP\AGAP004435-PA-SWISSP.txt","Lipid droplet-associated hydrolase")</f>
        <v>Lipid droplet-associated hydrolase</v>
      </c>
      <c r="BP89" s="2" t="str">
        <f>HYPERLINK("http://www.uniprot.org/uniprot/Q9W0H3","9E-091")</f>
        <v>9E-091</v>
      </c>
      <c r="BQ89" s="2" t="str">
        <f>HYPERLINK("http://www.uniprot.org/uniprot/Q9W0H3#expression","Q9W0H3")</f>
        <v>Q9W0H3</v>
      </c>
      <c r="BR89" s="2">
        <v>52</v>
      </c>
      <c r="BS89" s="2">
        <v>72</v>
      </c>
      <c r="BT89" s="2">
        <v>100</v>
      </c>
      <c r="BU89" s="2" t="s">
        <v>151</v>
      </c>
      <c r="BV89" s="9" t="str">
        <f>HYPERLINK(".\links\FLYBASE\AGAP004435-PA-FLYBASE.txt","FBpp0072612")</f>
        <v>FBpp0072612</v>
      </c>
      <c r="BW89" s="2" t="str">
        <f>HYPERLINK("http://flybase.org/reports/FBgn0035206#alliance_summary_container","1E-113")</f>
        <v>1E-113</v>
      </c>
      <c r="BX89" s="2">
        <v>307</v>
      </c>
      <c r="BY89" s="2">
        <v>52</v>
      </c>
      <c r="BZ89" s="2">
        <v>72</v>
      </c>
      <c r="CA89" s="2">
        <v>100</v>
      </c>
      <c r="CB89" s="9" t="str">
        <f>HYPERLINK(".\links\CDD\AGAP004435-PA-CDD.txt","LIDHydrolase, Lipid-droplet associated hydrolase")</f>
        <v>LIDHydrolase, Lipid-droplet associated hydrolase</v>
      </c>
      <c r="CC89" s="13">
        <v>2E-85</v>
      </c>
      <c r="CD89" s="2">
        <v>103.4</v>
      </c>
      <c r="CE89" s="2" t="s">
        <v>1119</v>
      </c>
      <c r="CF89" s="2" t="s">
        <v>1120</v>
      </c>
      <c r="CG89" s="9" t="str">
        <f>HYPERLINK(".\links\KOG\AGAP004435-PA-KOG.txt","Uncharacterized conserved protein")</f>
        <v>Uncharacterized conserved protein</v>
      </c>
      <c r="CH89" s="13">
        <v>4.9999999999999996E-77</v>
      </c>
      <c r="CI89" s="2">
        <v>98.3</v>
      </c>
      <c r="CJ89" s="2" t="s">
        <v>1121</v>
      </c>
      <c r="CK89" s="2" t="s">
        <v>101</v>
      </c>
      <c r="CL89" s="9" t="str">
        <f>HYPERLINK(".\links\PFAM\AGAP004435-PA-PFAM.txt","LIDHydrolase, Lipid-droplet associated hydrolase")</f>
        <v>LIDHydrolase, Lipid-droplet associated hydrolase</v>
      </c>
      <c r="CM89" s="13">
        <v>4.9999999999999999E-86</v>
      </c>
      <c r="CN89" s="2">
        <v>103.4</v>
      </c>
      <c r="CO89" s="2" t="s">
        <v>1119</v>
      </c>
      <c r="CP89" s="9" t="str">
        <f>HYPERLINK(".\links\SMART\AGAP004435-PA-SMART.txt","Alpha_kinase, Alpha-kinase family")</f>
        <v>Alpha_kinase, Alpha-kinase family</v>
      </c>
      <c r="CQ89" s="13">
        <v>0.91</v>
      </c>
      <c r="CR89" s="2">
        <v>20.2</v>
      </c>
      <c r="CS89" s="2" t="s">
        <v>1122</v>
      </c>
      <c r="CT89" s="2" t="s">
        <v>1116</v>
      </c>
      <c r="CU89" s="2" t="s">
        <v>1116</v>
      </c>
      <c r="CV89" s="2" t="s">
        <v>1116</v>
      </c>
      <c r="CW89" s="2" t="str">
        <f>HYPERLINK(".\links\pep\AGAP004435-PA-pep.txt","AGAP004435-PA")</f>
        <v>AGAP004435-PA</v>
      </c>
      <c r="CX89" s="2" t="s">
        <v>88</v>
      </c>
      <c r="CY89" s="2">
        <v>344</v>
      </c>
      <c r="CZ89" s="2" t="s">
        <v>103</v>
      </c>
      <c r="DA89" s="2" t="s">
        <v>1123</v>
      </c>
      <c r="DB89" s="2">
        <v>0</v>
      </c>
      <c r="DC89" s="2">
        <v>0</v>
      </c>
      <c r="DD89" s="2" t="str">
        <f>HYPERLINK("https://www.kegg.jp/kegg-bin/search_pathway_text?map=aga&amp;keyword=AGAP004435&amp;mode=1&amp;viewImage=true","AGAP004435")</f>
        <v>AGAP004435</v>
      </c>
      <c r="DE89" s="2" t="s">
        <v>1115</v>
      </c>
      <c r="DF89" s="2" t="s">
        <v>86</v>
      </c>
      <c r="DG89" s="2" t="s">
        <v>87</v>
      </c>
      <c r="DH89" s="2" t="str">
        <f>HYPERLINK("https://vectorbase.org/vectorbase/app/record/gene/AGAP004435","AGAP004435-RA")</f>
        <v>AGAP004435-RA</v>
      </c>
      <c r="DI89" s="2" t="s">
        <v>158</v>
      </c>
      <c r="DJ89" s="2">
        <v>1146</v>
      </c>
      <c r="DK89" s="2" t="str">
        <f>HYPERLINK(".\links\netoglyc\AGAP004435-PA-netoglyc.txt","0")</f>
        <v>0</v>
      </c>
      <c r="DL89" s="2">
        <v>9</v>
      </c>
      <c r="DM89" s="2">
        <v>6.1</v>
      </c>
      <c r="DN89" s="2">
        <v>5.5</v>
      </c>
      <c r="DO89" s="2" t="s">
        <v>94</v>
      </c>
      <c r="DP89" s="2" t="s">
        <v>89</v>
      </c>
      <c r="DQ89" s="2" t="str">
        <f>HYPERLINK(".\links\Sigp\AGAP004435-PA-SigP.txt","CYT")</f>
        <v>CYT</v>
      </c>
      <c r="DR89" s="2" t="s">
        <v>89</v>
      </c>
      <c r="DS89" s="2">
        <v>40.277000000000001</v>
      </c>
      <c r="DT89" s="2">
        <v>8.74</v>
      </c>
      <c r="DU89" s="2" t="s">
        <v>89</v>
      </c>
      <c r="DV89" s="2" t="s">
        <v>89</v>
      </c>
      <c r="DW89" s="2" t="s">
        <v>1118</v>
      </c>
      <c r="DX89" s="2">
        <v>344</v>
      </c>
      <c r="DY89" s="12">
        <v>0</v>
      </c>
      <c r="DZ89" s="2" t="s">
        <v>89</v>
      </c>
      <c r="EA89" s="2" t="s">
        <v>89</v>
      </c>
      <c r="EB89" s="2" t="s">
        <v>89</v>
      </c>
      <c r="EC89" s="2" t="str">
        <f>HYPERLINK(".\links\gpi\AGAP004435-PA-gpi.txt","Y-NoSP")</f>
        <v>Y-NoSP</v>
      </c>
      <c r="ED89" s="2">
        <v>0.28000000000000003</v>
      </c>
      <c r="EE89" s="2" t="s">
        <v>1124</v>
      </c>
      <c r="EF89" s="2">
        <v>7</v>
      </c>
      <c r="EG89" s="2" t="s">
        <v>89</v>
      </c>
      <c r="EH89" s="2" t="s">
        <v>89</v>
      </c>
      <c r="EI89" s="2">
        <v>9.0116279069767398</v>
      </c>
      <c r="EJ89" s="2">
        <v>5.5232558139534902</v>
      </c>
      <c r="EK89" s="2">
        <v>6.1046511627906996</v>
      </c>
      <c r="EL89" s="2">
        <v>11.6279069767442</v>
      </c>
      <c r="EM89" s="2">
        <v>1</v>
      </c>
      <c r="EN89" s="2">
        <v>2</v>
      </c>
      <c r="EO89" s="2">
        <v>2</v>
      </c>
      <c r="EP89" s="2" t="s">
        <v>89</v>
      </c>
      <c r="EQ89" s="2" t="s">
        <v>89</v>
      </c>
      <c r="ER89" s="2" t="s">
        <v>89</v>
      </c>
      <c r="ES89" s="2" t="s">
        <v>89</v>
      </c>
      <c r="ET89" s="2" t="str">
        <f>HYPERLINK(".\links\REFSEQ-INVERTEBRATE\AGAP004435-PA-REFSEQ-INVERTEBRATE.txt","AGAP004435-PA")</f>
        <v>AGAP004435-PA</v>
      </c>
      <c r="EU89" s="2" t="str">
        <f>HYPERLINK("http://www.ncbi.nlm.nih.gov/sutils/blink.cgi?pid=XP_313722.3","0.0")</f>
        <v>0.0</v>
      </c>
      <c r="EV89" s="2" t="str">
        <f>HYPERLINK("http://www.ncbi.nlm.nih.gov/protein/XP_313722.3","XP_313722.3")</f>
        <v>XP_313722.3</v>
      </c>
      <c r="EW89" s="2">
        <v>100</v>
      </c>
      <c r="EX89" s="2">
        <v>100</v>
      </c>
      <c r="EY89" s="2">
        <v>100</v>
      </c>
      <c r="EZ89" s="2" t="s">
        <v>95</v>
      </c>
    </row>
    <row r="90" spans="1:156" x14ac:dyDescent="0.25">
      <c r="A90" s="2" t="s">
        <v>414</v>
      </c>
      <c r="B90" s="2">
        <v>-0.78281362071162597</v>
      </c>
      <c r="C90" s="2">
        <f t="shared" si="1"/>
        <v>0.58123213728807888</v>
      </c>
      <c r="D90" s="2">
        <v>9.6315782376129793</v>
      </c>
      <c r="E90" s="2">
        <v>11.936706169390799</v>
      </c>
      <c r="F90" s="2">
        <v>5.5038700434408797E-4</v>
      </c>
      <c r="G90" s="2">
        <v>2.79046211202452E-2</v>
      </c>
      <c r="H90" s="2" t="s">
        <v>415</v>
      </c>
      <c r="I90" s="2" t="s">
        <v>87</v>
      </c>
      <c r="J90" s="2" t="str">
        <f>HYPERLINK("https://vectorbase.org/vectorbase/app/record/gene/AGAP001138","AGAP001138-RA")</f>
        <v>AGAP001138-RA</v>
      </c>
      <c r="K90" s="2" t="str">
        <f>HYPERLINK(".\links\pep\AGAP001138-PA-pep.txt","AGAP001138-PA")</f>
        <v>AGAP001138-PA</v>
      </c>
      <c r="L90" s="12" t="s">
        <v>88</v>
      </c>
      <c r="M90" s="2">
        <v>236</v>
      </c>
      <c r="N90" s="2">
        <v>0</v>
      </c>
      <c r="O90" s="2">
        <v>0</v>
      </c>
      <c r="P90" s="2" t="s">
        <v>416</v>
      </c>
      <c r="Q90" s="9" t="s">
        <v>417</v>
      </c>
      <c r="R90" s="2" t="s">
        <v>145</v>
      </c>
      <c r="S90" s="2" t="str">
        <f>HYPERLINK(".\links\KOG\AGAP001138-PA-KOG.txt","KOG")</f>
        <v>KOG</v>
      </c>
      <c r="T90" s="2">
        <v>5.9999999999999996E-63</v>
      </c>
      <c r="U90" s="2">
        <v>90.2</v>
      </c>
      <c r="V90" s="2" t="s">
        <v>418</v>
      </c>
      <c r="W90" s="10" t="s">
        <v>419</v>
      </c>
      <c r="X90" s="2" t="s">
        <v>145</v>
      </c>
      <c r="Y90" s="2" t="str">
        <f>HYPERLINK(".\links\REFSEQVERTEBRATE95\AGAP001138-PA-REFSEQVERTEBRATE95.txt","REFSEQVERTEBRATE95")</f>
        <v>REFSEQVERTEBRATE95</v>
      </c>
      <c r="Z90" s="13">
        <v>4.0000000000000001E-83</v>
      </c>
      <c r="AA90" s="2">
        <v>98</v>
      </c>
      <c r="AB90" s="14" t="s">
        <v>89</v>
      </c>
      <c r="AC90" s="14" t="str">
        <f>HYPERLINK(".\links\Sigp\AGAP001138-PA-SigP.txt","BL")</f>
        <v>BL</v>
      </c>
      <c r="AD90" s="2" t="s">
        <v>420</v>
      </c>
      <c r="AE90" s="2">
        <v>27</v>
      </c>
      <c r="AF90" s="2">
        <v>9.01</v>
      </c>
      <c r="AG90" s="2">
        <v>24.321999999999999</v>
      </c>
      <c r="AH90" s="2">
        <v>7.86</v>
      </c>
      <c r="AI90" s="2" t="s">
        <v>421</v>
      </c>
      <c r="AJ90" s="14">
        <v>0</v>
      </c>
      <c r="AK90" s="2" t="s">
        <v>89</v>
      </c>
      <c r="AL90" s="2" t="s">
        <v>89</v>
      </c>
      <c r="AM90" s="2" t="s">
        <v>89</v>
      </c>
      <c r="AN90" s="14" t="str">
        <f>HYPERLINK(".\links\gpi\AGAP001138-PA-gpi.txt","N")</f>
        <v>N</v>
      </c>
      <c r="AO90" s="15" t="str">
        <f>HYPERLINK(".\links\netoglyc\AGAP001138-PA-netoglyc.txt","0")</f>
        <v>0</v>
      </c>
      <c r="AP90" s="14">
        <v>7.6</v>
      </c>
      <c r="AQ90" s="2">
        <v>5.0999999999999996</v>
      </c>
      <c r="AR90" s="2">
        <v>2.5</v>
      </c>
      <c r="AS90" s="2" t="s">
        <v>94</v>
      </c>
      <c r="AT90" s="9" t="str">
        <f>HYPERLINK(".\links\NR-LIGHT\AGAP001138-PA-NR-LIGHT.txt","AGAP001138-PA")</f>
        <v>AGAP001138-PA</v>
      </c>
      <c r="AU90" s="2" t="str">
        <f>HYPERLINK("http://www.ncbi.nlm.nih.gov/sutils/blink.cgi?pid=XP_322024.4","1E-131")</f>
        <v>1E-131</v>
      </c>
      <c r="AV90" s="2" t="str">
        <f>HYPERLINK("http://www.ncbi.nlm.nih.gov/protein/XP_322024.4","XP_322024.4")</f>
        <v>XP_322024.4</v>
      </c>
      <c r="AW90" s="2">
        <v>100</v>
      </c>
      <c r="AX90" s="2">
        <v>100</v>
      </c>
      <c r="AY90" s="2">
        <v>100</v>
      </c>
      <c r="AZ90" s="2" t="s">
        <v>95</v>
      </c>
      <c r="BA90" s="9" t="str">
        <f>HYPERLINK(".\links\REFSEQ-INVERTEBRATE\AGAP001138-PA-REFSEQ-INVERTEBRATE.txt","AGAP001138-PA")</f>
        <v>AGAP001138-PA</v>
      </c>
      <c r="BB90" s="2" t="str">
        <f>HYPERLINK("http://www.ncbi.nlm.nih.gov/sutils/blink.cgi?pid=XP_322024.4","1E-131")</f>
        <v>1E-131</v>
      </c>
      <c r="BC90" s="2" t="str">
        <f>HYPERLINK("http://www.ncbi.nlm.nih.gov/protein/XP_322024.4","XP_322024.4")</f>
        <v>XP_322024.4</v>
      </c>
      <c r="BD90" s="2">
        <v>100</v>
      </c>
      <c r="BE90" s="2">
        <v>100</v>
      </c>
      <c r="BF90" s="2">
        <v>100</v>
      </c>
      <c r="BG90" s="2" t="s">
        <v>95</v>
      </c>
      <c r="BH90" s="9" t="str">
        <f>HYPERLINK(".\links\REFSEQ-PROTOZOA\AGAP001138-PA-REFSEQ-PROTOZOA.txt","hypothetical protein PTSG_08418")</f>
        <v>hypothetical protein PTSG_08418</v>
      </c>
      <c r="BI90" s="2" t="str">
        <f>HYPERLINK("http://www.ncbi.nlm.nih.gov/sutils/blink.cgi?pid=XP_004990668.1","3E-016")</f>
        <v>3E-016</v>
      </c>
      <c r="BJ90" s="2" t="str">
        <f>HYPERLINK("http://www.ncbi.nlm.nih.gov/protein/XP_004990668.1","XP_004990668.1")</f>
        <v>XP_004990668.1</v>
      </c>
      <c r="BK90" s="2">
        <v>30</v>
      </c>
      <c r="BL90" s="2">
        <v>52</v>
      </c>
      <c r="BM90" s="2">
        <v>83</v>
      </c>
      <c r="BN90" s="2" t="s">
        <v>182</v>
      </c>
      <c r="BO90" s="9" t="str">
        <f>HYPERLINK(".\links\SWISSP\AGAP001138-PA-SWISSP.txt","ATP synthase subunit b, mitochondrial")</f>
        <v>ATP synthase subunit b, mitochondrial</v>
      </c>
      <c r="BP90" s="2" t="str">
        <f>HYPERLINK("http://www.uniprot.org/uniprot/Q94516","5E-089")</f>
        <v>5E-089</v>
      </c>
      <c r="BQ90" s="2" t="str">
        <f>HYPERLINK("http://www.uniprot.org/uniprot/Q94516#expression","Q94516")</f>
        <v>Q94516</v>
      </c>
      <c r="BR90" s="2">
        <v>66</v>
      </c>
      <c r="BS90" s="2">
        <v>79</v>
      </c>
      <c r="BT90" s="2">
        <v>100</v>
      </c>
      <c r="BU90" s="2" t="s">
        <v>151</v>
      </c>
      <c r="BV90" s="9" t="str">
        <f>HYPERLINK(".\links\FLYBASE\AGAP001138-PA-FLYBASE.txt","FBpp0076134")</f>
        <v>FBpp0076134</v>
      </c>
      <c r="BW90" s="2" t="str">
        <f>HYPERLINK("http://flybase.org/reports/FBgn0019644#alliance_summary_container","1E-115")</f>
        <v>1E-115</v>
      </c>
      <c r="BX90" s="2">
        <v>243</v>
      </c>
      <c r="BY90" s="2">
        <v>66</v>
      </c>
      <c r="BZ90" s="2">
        <v>79</v>
      </c>
      <c r="CA90" s="2">
        <v>100</v>
      </c>
      <c r="CB90" s="9" t="str">
        <f>HYPERLINK(".\links\CDD\AGAP001138-PA-CDD.txt","Mt_ATP-synt_B, Mitochondrial ATP synthase B chain precursor (ATP-synt_B)")</f>
        <v>Mt_ATP-synt_B, Mitochondrial ATP synthase B chain precursor (ATP-synt_B)</v>
      </c>
      <c r="CC90" s="13">
        <v>6.9999999999999995E-51</v>
      </c>
      <c r="CD90" s="2">
        <v>99.4</v>
      </c>
      <c r="CE90" s="2" t="s">
        <v>422</v>
      </c>
      <c r="CF90" s="2" t="s">
        <v>423</v>
      </c>
      <c r="CG90" s="9" t="str">
        <f>HYPERLINK(".\links\KOG\AGAP001138-PA-KOG.txt","subunit b/ATP4")</f>
        <v>subunit b/ATP4</v>
      </c>
      <c r="CH90" s="13">
        <v>5.9999999999999996E-63</v>
      </c>
      <c r="CI90" s="2">
        <v>90.3</v>
      </c>
      <c r="CJ90" s="2" t="s">
        <v>424</v>
      </c>
      <c r="CK90" s="2" t="s">
        <v>155</v>
      </c>
      <c r="CL90" s="9" t="str">
        <f>HYPERLINK(".\links\PFAM\AGAP001138-PA-PFAM.txt","Mt_ATP-synt_B, Mitochondrial ATP synthase B chain precursor (ATP-synt_B)")</f>
        <v>Mt_ATP-synt_B, Mitochondrial ATP synthase B chain precursor (ATP-synt_B)</v>
      </c>
      <c r="CM90" s="13">
        <v>1E-51</v>
      </c>
      <c r="CN90" s="2">
        <v>99.4</v>
      </c>
      <c r="CO90" s="2" t="s">
        <v>422</v>
      </c>
      <c r="CP90" s="9" t="str">
        <f>HYPERLINK(".\links\SMART\AGAP001138-PA-SMART.txt","TOPEUc, DNA Topoisomerase I (eukaryota)")</f>
        <v>TOPEUc, DNA Topoisomerase I (eukaryota)</v>
      </c>
      <c r="CQ90" s="13">
        <v>0.12</v>
      </c>
      <c r="CR90" s="2">
        <v>22.3</v>
      </c>
      <c r="CS90" s="2" t="s">
        <v>425</v>
      </c>
      <c r="CT90" s="2" t="s">
        <v>418</v>
      </c>
      <c r="CU90" s="2" t="s">
        <v>418</v>
      </c>
      <c r="CV90" s="2" t="s">
        <v>418</v>
      </c>
      <c r="CW90" s="2" t="str">
        <f>HYPERLINK(".\links\pep\AGAP001138-PA-pep.txt","AGAP001138-PA")</f>
        <v>AGAP001138-PA</v>
      </c>
      <c r="CX90" s="2" t="s">
        <v>88</v>
      </c>
      <c r="CY90" s="2">
        <v>236</v>
      </c>
      <c r="CZ90" s="2" t="s">
        <v>103</v>
      </c>
      <c r="DA90" s="2" t="s">
        <v>426</v>
      </c>
      <c r="DB90" s="2">
        <v>0</v>
      </c>
      <c r="DC90" s="2">
        <v>0</v>
      </c>
      <c r="DD90" s="2" t="str">
        <f>HYPERLINK("https://www.kegg.jp/kegg-bin/search_pathway_text?map=aga&amp;keyword=AGAP001138&amp;mode=1&amp;viewImage=true","AGAP001138")</f>
        <v>AGAP001138</v>
      </c>
      <c r="DE90" s="2" t="s">
        <v>414</v>
      </c>
      <c r="DF90" s="2" t="s">
        <v>415</v>
      </c>
      <c r="DG90" s="2" t="s">
        <v>87</v>
      </c>
      <c r="DH90" s="2" t="str">
        <f>HYPERLINK("https://vectorbase.org/vectorbase/app/record/gene/AGAP001138","AGAP001138-RA")</f>
        <v>AGAP001138-RA</v>
      </c>
      <c r="DI90" s="2" t="s">
        <v>140</v>
      </c>
      <c r="DJ90" s="2">
        <v>1223</v>
      </c>
      <c r="DK90" s="2" t="str">
        <f>HYPERLINK(".\links\netoglyc\AGAP001138-PA-netoglyc.txt","0")</f>
        <v>0</v>
      </c>
      <c r="DL90" s="2">
        <v>7.6</v>
      </c>
      <c r="DM90" s="2">
        <v>5.0999999999999996</v>
      </c>
      <c r="DN90" s="2">
        <v>2.5</v>
      </c>
      <c r="DO90" s="2" t="s">
        <v>94</v>
      </c>
      <c r="DP90" s="2" t="s">
        <v>427</v>
      </c>
      <c r="DQ90" s="2" t="str">
        <f>HYPERLINK(".\links\Sigp\AGAP001138-PA-SigP.txt","BL")</f>
        <v>BL</v>
      </c>
      <c r="DR90" s="2" t="s">
        <v>420</v>
      </c>
      <c r="DS90" s="2">
        <v>27</v>
      </c>
      <c r="DT90" s="2">
        <v>9.01</v>
      </c>
      <c r="DU90" s="2">
        <v>24.321999999999999</v>
      </c>
      <c r="DV90" s="2">
        <v>7.86</v>
      </c>
      <c r="DW90" s="2" t="s">
        <v>421</v>
      </c>
      <c r="DX90" s="2">
        <v>236</v>
      </c>
      <c r="DY90" s="12">
        <v>0</v>
      </c>
      <c r="DZ90" s="2" t="s">
        <v>89</v>
      </c>
      <c r="EA90" s="2" t="s">
        <v>89</v>
      </c>
      <c r="EB90" s="2" t="s">
        <v>89</v>
      </c>
      <c r="EC90" s="2" t="str">
        <f>HYPERLINK(".\links\gpi\AGAP001138-PA-gpi.txt","N")</f>
        <v>N</v>
      </c>
      <c r="ED90" s="2">
        <v>0.33</v>
      </c>
      <c r="EF90" s="2">
        <v>2</v>
      </c>
      <c r="EG90" s="2" t="s">
        <v>89</v>
      </c>
      <c r="EH90" s="2" t="s">
        <v>89</v>
      </c>
      <c r="EI90" s="2">
        <v>7.6271186440678003</v>
      </c>
      <c r="EJ90" s="2">
        <v>2.5423728813559299</v>
      </c>
      <c r="EK90" s="2">
        <v>5.0847457627118597</v>
      </c>
      <c r="EL90" s="2">
        <v>7.6271186440678003</v>
      </c>
      <c r="EM90" s="2" t="s">
        <v>89</v>
      </c>
      <c r="EN90" s="2" t="s">
        <v>89</v>
      </c>
      <c r="EO90" s="2" t="s">
        <v>89</v>
      </c>
      <c r="EP90" s="2" t="s">
        <v>89</v>
      </c>
      <c r="EQ90" s="2" t="s">
        <v>89</v>
      </c>
      <c r="ER90" s="2" t="s">
        <v>89</v>
      </c>
      <c r="ES90" s="2" t="s">
        <v>89</v>
      </c>
      <c r="ET90" s="2" t="str">
        <f>HYPERLINK(".\links\REFSEQ-INVERTEBRATE\AGAP001138-PA-REFSEQ-INVERTEBRATE.txt","AGAP001138-PA")</f>
        <v>AGAP001138-PA</v>
      </c>
      <c r="EU90" s="2" t="str">
        <f>HYPERLINK("http://www.ncbi.nlm.nih.gov/sutils/blink.cgi?pid=XP_322024.4","1E-176")</f>
        <v>1E-176</v>
      </c>
      <c r="EV90" s="2" t="str">
        <f>HYPERLINK("http://www.ncbi.nlm.nih.gov/protein/XP_322024.4","XP_322024.4")</f>
        <v>XP_322024.4</v>
      </c>
      <c r="EW90" s="2">
        <v>100</v>
      </c>
      <c r="EX90" s="2">
        <v>100</v>
      </c>
      <c r="EY90" s="2">
        <v>100</v>
      </c>
      <c r="EZ90" s="2" t="s">
        <v>95</v>
      </c>
    </row>
    <row r="91" spans="1:156" x14ac:dyDescent="0.25">
      <c r="A91" s="2" t="s">
        <v>601</v>
      </c>
      <c r="B91" s="2">
        <v>-0.78446493807173201</v>
      </c>
      <c r="C91" s="2">
        <f t="shared" si="1"/>
        <v>0.58056723610992877</v>
      </c>
      <c r="D91" s="2">
        <v>6.0195081006108397</v>
      </c>
      <c r="E91" s="2">
        <v>14.064285761350501</v>
      </c>
      <c r="F91" s="2">
        <v>1.7666674353565901E-4</v>
      </c>
      <c r="G91" s="2">
        <v>1.30339720448707E-2</v>
      </c>
      <c r="H91" s="2" t="s">
        <v>602</v>
      </c>
      <c r="I91" s="2" t="s">
        <v>87</v>
      </c>
      <c r="J91" s="2" t="str">
        <f>HYPERLINK("https://vectorbase.org/vectorbase/app/record/gene/AGAP002500","AGAP002500-RA")</f>
        <v>AGAP002500-RA</v>
      </c>
      <c r="K91" s="2" t="str">
        <f>HYPERLINK(".\links\pep\AGAP002500-PA-pep.txt","AGAP002500-PA")</f>
        <v>AGAP002500-PA</v>
      </c>
      <c r="L91" s="12" t="s">
        <v>88</v>
      </c>
      <c r="M91" s="2">
        <v>145</v>
      </c>
      <c r="N91" s="2">
        <v>0</v>
      </c>
      <c r="O91" s="2">
        <v>0</v>
      </c>
      <c r="P91" s="2" t="s">
        <v>603</v>
      </c>
      <c r="Q91" s="9" t="s">
        <v>604</v>
      </c>
      <c r="R91" s="2" t="s">
        <v>145</v>
      </c>
      <c r="S91" s="2" t="str">
        <f>HYPERLINK(".\links\REFSEQ-INVERTEBRATE\AGAP002500-PA-REFSEQ-INVERTEBRATE.txt","REFSEQ-INVERTEBRATE")</f>
        <v>REFSEQ-INVERTEBRATE</v>
      </c>
      <c r="T91" s="2">
        <v>2E-51</v>
      </c>
      <c r="U91" s="2">
        <v>95.2</v>
      </c>
      <c r="V91" s="2" t="s">
        <v>605</v>
      </c>
      <c r="W91" s="10" t="s">
        <v>606</v>
      </c>
      <c r="X91" s="2" t="s">
        <v>145</v>
      </c>
      <c r="Y91" s="2" t="str">
        <f>HYPERLINK(".\links\REFSEQ-INVERTEBRATE\AGAP002500-PA-REFSEQ-INVERTEBRATE.txt","REFSEQ-INVERTEBRATE")</f>
        <v>REFSEQ-INVERTEBRATE</v>
      </c>
      <c r="Z91" s="2">
        <v>0</v>
      </c>
      <c r="AA91" s="2">
        <v>100</v>
      </c>
      <c r="AB91" s="14" t="s">
        <v>89</v>
      </c>
      <c r="AC91" s="14" t="str">
        <f>HYPERLINK(".\links\Sigp\AGAP002500-PA-SigP.txt","CYT")</f>
        <v>CYT</v>
      </c>
      <c r="AD91" s="2" t="s">
        <v>89</v>
      </c>
      <c r="AE91" s="2">
        <v>16.015999999999998</v>
      </c>
      <c r="AF91" s="2">
        <v>6.83</v>
      </c>
      <c r="AG91" s="2" t="s">
        <v>89</v>
      </c>
      <c r="AH91" s="2" t="s">
        <v>89</v>
      </c>
      <c r="AI91" s="2" t="s">
        <v>607</v>
      </c>
      <c r="AJ91" s="14">
        <v>0</v>
      </c>
      <c r="AK91" s="2" t="s">
        <v>89</v>
      </c>
      <c r="AL91" s="2" t="s">
        <v>89</v>
      </c>
      <c r="AM91" s="2" t="s">
        <v>89</v>
      </c>
      <c r="AN91" s="14" t="str">
        <f>HYPERLINK(".\links\gpi\AGAP002500-PA-gpi.txt","N")</f>
        <v>N</v>
      </c>
      <c r="AO91" s="15" t="str">
        <f>HYPERLINK(".\links\netoglyc\AGAP002500-PA-netoglyc.txt","0")</f>
        <v>0</v>
      </c>
      <c r="AP91" s="14">
        <v>8.3000000000000007</v>
      </c>
      <c r="AQ91" s="2">
        <v>7.6</v>
      </c>
      <c r="AR91" s="2">
        <v>3.4</v>
      </c>
      <c r="AS91" s="2" t="s">
        <v>94</v>
      </c>
      <c r="AT91" s="9" t="str">
        <f>HYPERLINK(".\links\NR-LIGHT\AGAP002500-PA-NR-LIGHT.txt","AGAP002500-PA")</f>
        <v>AGAP002500-PA</v>
      </c>
      <c r="AU91" s="2" t="str">
        <f>HYPERLINK("http://www.ncbi.nlm.nih.gov/sutils/blink.cgi?pid=XP_312440.3","2E-077")</f>
        <v>2E-077</v>
      </c>
      <c r="AV91" s="2" t="str">
        <f>HYPERLINK("http://www.ncbi.nlm.nih.gov/protein/XP_312440.3","XP_312440.3")</f>
        <v>XP_312440.3</v>
      </c>
      <c r="AW91" s="2">
        <v>100</v>
      </c>
      <c r="AX91" s="2">
        <v>100</v>
      </c>
      <c r="AY91" s="2">
        <v>100</v>
      </c>
      <c r="AZ91" s="2" t="s">
        <v>95</v>
      </c>
      <c r="BA91" s="9" t="str">
        <f>HYPERLINK(".\links\REFSEQ-INVERTEBRATE\AGAP002500-PA-REFSEQ-INVERTEBRATE.txt","AGAP002500-PA")</f>
        <v>AGAP002500-PA</v>
      </c>
      <c r="BB91" s="2" t="str">
        <f>HYPERLINK("http://www.ncbi.nlm.nih.gov/sutils/blink.cgi?pid=XP_312440.3","2E-077")</f>
        <v>2E-077</v>
      </c>
      <c r="BC91" s="2" t="str">
        <f>HYPERLINK("http://www.ncbi.nlm.nih.gov/protein/XP_312440.3","XP_312440.3")</f>
        <v>XP_312440.3</v>
      </c>
      <c r="BD91" s="2">
        <v>100</v>
      </c>
      <c r="BE91" s="2">
        <v>100</v>
      </c>
      <c r="BF91" s="2">
        <v>100</v>
      </c>
      <c r="BG91" s="2" t="s">
        <v>95</v>
      </c>
      <c r="BH91" s="9" t="str">
        <f>HYPERLINK(".\links\REFSEQ-PROTOZOA\AGAP002500-PA-REFSEQ-PROTOZOA.txt","glutaredoxin")</f>
        <v>glutaredoxin</v>
      </c>
      <c r="BI91" s="2" t="str">
        <f>HYPERLINK("http://www.ncbi.nlm.nih.gov/sutils/blink.cgi?pid=XP_014160515.1","1E-034")</f>
        <v>1E-034</v>
      </c>
      <c r="BJ91" s="2" t="str">
        <f>HYPERLINK("http://www.ncbi.nlm.nih.gov/protein/XP_014160515.1","XP_014160515.1")</f>
        <v>XP_014160515.1</v>
      </c>
      <c r="BK91" s="2">
        <v>56</v>
      </c>
      <c r="BL91" s="2">
        <v>78</v>
      </c>
      <c r="BM91" s="2">
        <v>73</v>
      </c>
      <c r="BN91" s="2" t="s">
        <v>168</v>
      </c>
      <c r="BO91" s="9" t="str">
        <f>HYPERLINK(".\links\SWISSP\AGAP002500-PA-SWISSP.txt","Glutaredoxin-related protein 5, mitochondrial")</f>
        <v>Glutaredoxin-related protein 5, mitochondrial</v>
      </c>
      <c r="BP91" s="2" t="str">
        <f>HYPERLINK("http://www.uniprot.org/uniprot/Q80Y14","3E-040")</f>
        <v>3E-040</v>
      </c>
      <c r="BQ91" s="2" t="str">
        <f>HYPERLINK("http://www.uniprot.org/uniprot/Q80Y14#expression","Q80Y14")</f>
        <v>Q80Y14</v>
      </c>
      <c r="BR91" s="2">
        <v>60</v>
      </c>
      <c r="BS91" s="2">
        <v>79</v>
      </c>
      <c r="BT91" s="2">
        <v>86</v>
      </c>
      <c r="BU91" s="2" t="s">
        <v>566</v>
      </c>
      <c r="BV91" s="9" t="str">
        <f>HYPERLINK(".\links\FLYBASE\AGAP002500-PA-FLYBASE.txt","FBpp0073806")</f>
        <v>FBpp0073806</v>
      </c>
      <c r="BW91" s="2" t="str">
        <f>HYPERLINK("http://flybase.org/reports/FBgn0030584#alliance_summary_container","8E-64")</f>
        <v>8E-64</v>
      </c>
      <c r="BX91" s="2">
        <v>159</v>
      </c>
      <c r="BY91" s="2">
        <v>76</v>
      </c>
      <c r="BZ91" s="2">
        <v>89</v>
      </c>
      <c r="CA91" s="2">
        <v>70</v>
      </c>
      <c r="CB91" s="9" t="str">
        <f>HYPERLINK(".\links\CDD\AGAP002500-PA-CDD.txt","GRX_PICOT_like, Glutaredoxin (GRX) family, PKC-interacting cousin of TRX (PICOT)-like subfamily")</f>
        <v>GRX_PICOT_like, Glutaredoxin (GRX) family, PKC-interacting cousin of TRX (PICOT)-like subfamily</v>
      </c>
      <c r="CC91" s="13">
        <v>3.9999999999999999E-45</v>
      </c>
      <c r="CD91" s="2">
        <v>98.9</v>
      </c>
      <c r="CE91" s="2" t="s">
        <v>608</v>
      </c>
      <c r="CF91" s="2" t="s">
        <v>609</v>
      </c>
      <c r="CG91" s="9" t="str">
        <f>HYPERLINK(".\links\KOG\AGAP002500-PA-KOG.txt","Glutaredoxin-related protein")</f>
        <v>Glutaredoxin-related protein</v>
      </c>
      <c r="CH91" s="13">
        <v>7.0000000000000004E-42</v>
      </c>
      <c r="CI91" s="2">
        <v>42.3</v>
      </c>
      <c r="CJ91" s="2" t="s">
        <v>610</v>
      </c>
      <c r="CK91" s="2" t="s">
        <v>264</v>
      </c>
      <c r="CL91" s="9" t="str">
        <f>HYPERLINK(".\links\PFAM\AGAP002500-PA-PFAM.txt","Glutaredoxin, Glutaredoxin")</f>
        <v>Glutaredoxin, Glutaredoxin</v>
      </c>
      <c r="CM91" s="13">
        <v>9.0000000000000003E-20</v>
      </c>
      <c r="CN91" s="2">
        <v>108.3</v>
      </c>
      <c r="CO91" s="2" t="s">
        <v>611</v>
      </c>
      <c r="CP91" s="9" t="str">
        <f>HYPERLINK(".\links\SMART\AGAP002500-PA-SMART.txt","INB, Integrin beta subunits (N-terminal portion of extracellular region)")</f>
        <v>INB, Integrin beta subunits (N-terminal portion of extracellular region)</v>
      </c>
      <c r="CQ91" s="13">
        <v>0.17</v>
      </c>
      <c r="CR91" s="2">
        <v>8.6999999999999993</v>
      </c>
      <c r="CS91" s="2" t="s">
        <v>612</v>
      </c>
      <c r="CT91" s="2" t="s">
        <v>605</v>
      </c>
      <c r="CU91" s="2" t="s">
        <v>605</v>
      </c>
      <c r="CV91" s="2" t="s">
        <v>605</v>
      </c>
      <c r="CW91" s="2" t="str">
        <f>HYPERLINK(".\links\pep\AGAP002500-PA-pep.txt","AGAP002500-PA")</f>
        <v>AGAP002500-PA</v>
      </c>
      <c r="CX91" s="2" t="s">
        <v>88</v>
      </c>
      <c r="CY91" s="2">
        <v>145</v>
      </c>
      <c r="CZ91" s="2" t="s">
        <v>103</v>
      </c>
      <c r="DA91" s="2" t="s">
        <v>613</v>
      </c>
      <c r="DB91" s="2">
        <v>0</v>
      </c>
      <c r="DC91" s="2">
        <v>0</v>
      </c>
      <c r="DD91" s="2" t="str">
        <f>HYPERLINK("https://www.kegg.jp/kegg-bin/search_pathway_text?map=aga&amp;keyword=AGAP002500&amp;mode=1&amp;viewImage=true","AGAP002500")</f>
        <v>AGAP002500</v>
      </c>
      <c r="DE91" s="2" t="s">
        <v>601</v>
      </c>
      <c r="DF91" s="2" t="s">
        <v>602</v>
      </c>
      <c r="DG91" s="2" t="s">
        <v>87</v>
      </c>
      <c r="DH91" s="2" t="str">
        <f>HYPERLINK("https://vectorbase.org/vectorbase/app/record/gene/AGAP002500","AGAP002500-RA")</f>
        <v>AGAP002500-RA</v>
      </c>
      <c r="DI91" s="2" t="s">
        <v>158</v>
      </c>
      <c r="DJ91" s="2">
        <v>629</v>
      </c>
      <c r="DK91" s="2" t="str">
        <f>HYPERLINK(".\links\netoglyc\AGAP002500-PA-netoglyc.txt","0")</f>
        <v>0</v>
      </c>
      <c r="DL91" s="2">
        <v>8.3000000000000007</v>
      </c>
      <c r="DM91" s="2">
        <v>7.6</v>
      </c>
      <c r="DN91" s="2">
        <v>3.4</v>
      </c>
      <c r="DO91" s="2" t="s">
        <v>94</v>
      </c>
      <c r="DP91" s="2" t="s">
        <v>89</v>
      </c>
      <c r="DQ91" s="2" t="str">
        <f>HYPERLINK(".\links\Sigp\AGAP002500-PA-SigP.txt","CYT")</f>
        <v>CYT</v>
      </c>
      <c r="DR91" s="2" t="s">
        <v>89</v>
      </c>
      <c r="DS91" s="2">
        <v>16.015999999999998</v>
      </c>
      <c r="DT91" s="2">
        <v>6.83</v>
      </c>
      <c r="DU91" s="2" t="s">
        <v>89</v>
      </c>
      <c r="DV91" s="2" t="s">
        <v>89</v>
      </c>
      <c r="DW91" s="2" t="s">
        <v>607</v>
      </c>
      <c r="DX91" s="2">
        <v>145</v>
      </c>
      <c r="DY91" s="12">
        <v>0</v>
      </c>
      <c r="DZ91" s="2" t="s">
        <v>89</v>
      </c>
      <c r="EA91" s="2" t="s">
        <v>89</v>
      </c>
      <c r="EB91" s="2" t="s">
        <v>89</v>
      </c>
      <c r="EC91" s="2" t="str">
        <f>HYPERLINK(".\links\gpi\AGAP002500-PA-gpi.txt","N")</f>
        <v>N</v>
      </c>
      <c r="ED91" s="2">
        <v>0.27</v>
      </c>
      <c r="EF91" s="2">
        <v>2</v>
      </c>
      <c r="EG91" s="2" t="s">
        <v>89</v>
      </c>
      <c r="EH91" s="2" t="s">
        <v>89</v>
      </c>
      <c r="EI91" s="2">
        <v>8.2758620689655196</v>
      </c>
      <c r="EJ91" s="2">
        <v>3.4482758620689702</v>
      </c>
      <c r="EK91" s="2">
        <v>7.5862068965517198</v>
      </c>
      <c r="EL91" s="2">
        <v>11.034482758620699</v>
      </c>
      <c r="EM91" s="2" t="s">
        <v>89</v>
      </c>
      <c r="EN91" s="2">
        <v>1</v>
      </c>
      <c r="EO91" s="2">
        <v>1</v>
      </c>
      <c r="EP91" s="2" t="s">
        <v>89</v>
      </c>
      <c r="EQ91" s="2" t="s">
        <v>89</v>
      </c>
      <c r="ER91" s="2" t="s">
        <v>89</v>
      </c>
      <c r="ES91" s="2" t="s">
        <v>89</v>
      </c>
      <c r="ET91" s="2" t="str">
        <f>HYPERLINK(".\links\REFSEQ-INVERTEBRATE\AGAP002500-PA-REFSEQ-INVERTEBRATE.txt","AGAP002500-PA")</f>
        <v>AGAP002500-PA</v>
      </c>
      <c r="EU91" s="2" t="str">
        <f>HYPERLINK("http://www.ncbi.nlm.nih.gov/sutils/blink.cgi?pid=XP_312440.3","1E-104")</f>
        <v>1E-104</v>
      </c>
      <c r="EV91" s="2" t="str">
        <f>HYPERLINK("http://www.ncbi.nlm.nih.gov/protein/XP_312440.3","XP_312440.3")</f>
        <v>XP_312440.3</v>
      </c>
      <c r="EW91" s="2">
        <v>100</v>
      </c>
      <c r="EX91" s="2">
        <v>100</v>
      </c>
      <c r="EY91" s="2">
        <v>100</v>
      </c>
      <c r="EZ91" s="2" t="s">
        <v>95</v>
      </c>
    </row>
    <row r="92" spans="1:156" x14ac:dyDescent="0.25">
      <c r="A92" s="2" t="s">
        <v>2962</v>
      </c>
      <c r="B92" s="2">
        <v>-0.78984894663460703</v>
      </c>
      <c r="C92" s="2">
        <f t="shared" si="1"/>
        <v>0.57840464902989419</v>
      </c>
      <c r="D92" s="2">
        <v>4.9855110883852998</v>
      </c>
      <c r="E92" s="2">
        <v>13.4228145314469</v>
      </c>
      <c r="F92" s="2">
        <v>2.4858245303146099E-4</v>
      </c>
      <c r="G92" s="2">
        <v>1.6541608608912298E-2</v>
      </c>
      <c r="H92" s="2" t="s">
        <v>2963</v>
      </c>
      <c r="I92" s="2" t="s">
        <v>87</v>
      </c>
      <c r="J92" s="2" t="str">
        <f>HYPERLINK("https://vectorbase.org/vectorbase/app/record/gene/AGAP013376","AGAP013376-RA")</f>
        <v>AGAP013376-RA</v>
      </c>
      <c r="K92" s="2" t="str">
        <f>HYPERLINK(".\links\pep\AGAP013376-PA-pep.txt","AGAP013376-PA")</f>
        <v>AGAP013376-PA</v>
      </c>
      <c r="L92" s="12" t="s">
        <v>88</v>
      </c>
      <c r="M92" s="2">
        <v>158</v>
      </c>
      <c r="N92" s="2">
        <v>0</v>
      </c>
      <c r="O92" s="2">
        <v>0</v>
      </c>
      <c r="P92" s="2" t="s">
        <v>2964</v>
      </c>
      <c r="Q92" s="9" t="s">
        <v>2965</v>
      </c>
      <c r="R92" s="2" t="s">
        <v>245</v>
      </c>
      <c r="S92" s="2" t="str">
        <f>HYPERLINK(".\links\NR-LIGHT\AGAP013376-PA-NR-LIGHT.txt","NR-LIGHT")</f>
        <v>NR-LIGHT</v>
      </c>
      <c r="T92" s="2">
        <v>1.9999999999999999E-76</v>
      </c>
      <c r="U92" s="2">
        <v>100</v>
      </c>
      <c r="V92" s="2" t="s">
        <v>2966</v>
      </c>
      <c r="W92" s="10" t="s">
        <v>2967</v>
      </c>
      <c r="X92" s="2" t="s">
        <v>245</v>
      </c>
      <c r="Y92" s="2" t="str">
        <f>HYPERLINK(".\links\ARTHORPODA\AGAP013376-PA-ARTHORPODA.txt","ARTHORPODA")</f>
        <v>ARTHORPODA</v>
      </c>
      <c r="Z92" s="2">
        <v>0</v>
      </c>
      <c r="AA92" s="2">
        <v>100</v>
      </c>
      <c r="AB92" s="14" t="s">
        <v>89</v>
      </c>
      <c r="AC92" s="14" t="str">
        <f>HYPERLINK(".\links\Sigp\AGAP013376-PA-SigP.txt","CYT")</f>
        <v>CYT</v>
      </c>
      <c r="AD92" s="2" t="s">
        <v>89</v>
      </c>
      <c r="AE92" s="2">
        <v>17.962</v>
      </c>
      <c r="AF92" s="2">
        <v>8.57</v>
      </c>
      <c r="AG92" s="2" t="s">
        <v>89</v>
      </c>
      <c r="AH92" s="2" t="s">
        <v>89</v>
      </c>
      <c r="AI92" s="2" t="s">
        <v>93</v>
      </c>
      <c r="AJ92" s="14">
        <v>0</v>
      </c>
      <c r="AK92" s="2" t="s">
        <v>89</v>
      </c>
      <c r="AL92" s="2" t="s">
        <v>89</v>
      </c>
      <c r="AM92" s="2" t="s">
        <v>89</v>
      </c>
      <c r="AN92" s="14" t="str">
        <f>HYPERLINK(".\links\gpi\AGAP013376-PA-gpi.txt","N")</f>
        <v>N</v>
      </c>
      <c r="AO92" s="15" t="str">
        <f>HYPERLINK(".\links\netoglyc\AGAP013376-PA-netoglyc.txt","0")</f>
        <v>0</v>
      </c>
      <c r="AP92" s="14">
        <v>12</v>
      </c>
      <c r="AQ92" s="2">
        <v>6.3</v>
      </c>
      <c r="AR92" s="2">
        <v>5.7</v>
      </c>
      <c r="AS92" s="2" t="s">
        <v>94</v>
      </c>
      <c r="AT92" s="9" t="str">
        <f>HYPERLINK(".\links\NR-LIGHT\AGAP013376-PA-NR-LIGHT.txt","AGAP013376-PA")</f>
        <v>AGAP013376-PA</v>
      </c>
      <c r="AU92" s="2" t="str">
        <f>HYPERLINK("http://www.ncbi.nlm.nih.gov/sutils/blink.cgi?pid=XP_003435754.1","5E-087")</f>
        <v>5E-087</v>
      </c>
      <c r="AV92" s="2" t="str">
        <f>HYPERLINK("http://www.ncbi.nlm.nih.gov/protein/XP_003435754.1","XP_003435754.1")</f>
        <v>XP_003435754.1</v>
      </c>
      <c r="AW92" s="2">
        <v>100</v>
      </c>
      <c r="AX92" s="2">
        <v>100</v>
      </c>
      <c r="AY92" s="2">
        <v>100</v>
      </c>
      <c r="AZ92" s="2" t="s">
        <v>95</v>
      </c>
      <c r="BA92" s="9" t="str">
        <f>HYPERLINK(".\links\REFSEQ-INVERTEBRATE\AGAP013376-PA-REFSEQ-INVERTEBRATE.txt","AGAP013376-PA")</f>
        <v>AGAP013376-PA</v>
      </c>
      <c r="BB92" s="2" t="str">
        <f>HYPERLINK("http://www.ncbi.nlm.nih.gov/sutils/blink.cgi?pid=XP_003435754.1","5E-087")</f>
        <v>5E-087</v>
      </c>
      <c r="BC92" s="2" t="str">
        <f>HYPERLINK("http://www.ncbi.nlm.nih.gov/protein/XP_003435754.1","XP_003435754.1")</f>
        <v>XP_003435754.1</v>
      </c>
      <c r="BD92" s="2">
        <v>100</v>
      </c>
      <c r="BE92" s="2">
        <v>100</v>
      </c>
      <c r="BF92" s="2">
        <v>100</v>
      </c>
      <c r="BG92" s="2" t="s">
        <v>95</v>
      </c>
      <c r="BH92" s="9" t="str">
        <f>HYPERLINK(".\links\REFSEQ-PROTOZOA\AGAP013376-PA-REFSEQ-PROTOZOA.txt","hypothetical protein GUITHDRAFT_150508")</f>
        <v>hypothetical protein GUITHDRAFT_150508</v>
      </c>
      <c r="BI92" s="2" t="str">
        <f>HYPERLINK("http://www.ncbi.nlm.nih.gov/sutils/blink.cgi?pid=XP_005840029.1","3E-004")</f>
        <v>3E-004</v>
      </c>
      <c r="BJ92" s="2" t="str">
        <f>HYPERLINK("http://www.ncbi.nlm.nih.gov/protein/XP_005840029.1","XP_005840029.1")</f>
        <v>XP_005840029.1</v>
      </c>
      <c r="BK92" s="2">
        <v>34</v>
      </c>
      <c r="BL92" s="2">
        <v>50</v>
      </c>
      <c r="BM92" s="2">
        <v>76</v>
      </c>
      <c r="BN92" s="2" t="s">
        <v>406</v>
      </c>
      <c r="BO92" s="9" t="str">
        <f>HYPERLINK(".\links\SWISSP\AGAP013376-PA-SWISSP.txt","39S ribosomal protein L41, mitochondrial")</f>
        <v>39S ribosomal protein L41, mitochondrial</v>
      </c>
      <c r="BP92" s="2" t="str">
        <f>HYPERLINK("http://www.uniprot.org/uniprot/Q291A0","4E-051")</f>
        <v>4E-051</v>
      </c>
      <c r="BQ92" s="2" t="str">
        <f>HYPERLINK("http://www.uniprot.org/uniprot/Q291A0#expression","Q291A0")</f>
        <v>Q291A0</v>
      </c>
      <c r="BR92" s="2">
        <v>62</v>
      </c>
      <c r="BS92" s="2">
        <v>82</v>
      </c>
      <c r="BT92" s="2">
        <v>92</v>
      </c>
      <c r="BU92" s="2" t="s">
        <v>953</v>
      </c>
      <c r="BV92" s="9" t="str">
        <f>HYPERLINK(".\links\FLYBASE\AGAP013376-PA-FLYBASE.txt","FBpp0086531")</f>
        <v>FBpp0086531</v>
      </c>
      <c r="BW92" s="2" t="str">
        <f>HYPERLINK("http://flybase.org/reports/FBgn0034001#alliance_summary_container","3E-67")</f>
        <v>3E-67</v>
      </c>
      <c r="BX92" s="2">
        <v>166</v>
      </c>
      <c r="BY92" s="2">
        <v>64</v>
      </c>
      <c r="BZ92" s="2">
        <v>78</v>
      </c>
      <c r="CA92" s="2">
        <v>93</v>
      </c>
      <c r="CB92" s="9" t="str">
        <f>HYPERLINK(".\links\CDD\AGAP013376-PA-CDD.txt","MRP-L27, Mitochondrial ribosomal protein L27")</f>
        <v>MRP-L27, Mitochondrial ribosomal protein L27</v>
      </c>
      <c r="CC92" s="13">
        <v>5.9999999999999999E-19</v>
      </c>
      <c r="CD92" s="2">
        <v>129.9</v>
      </c>
      <c r="CE92" s="2" t="s">
        <v>2968</v>
      </c>
      <c r="CF92" s="2" t="s">
        <v>2969</v>
      </c>
      <c r="CG92" s="9" t="str">
        <f>HYPERLINK(".\links\KOG\AGAP013376-PA-KOG.txt","Mitochondrial ribosomal protein L27")</f>
        <v>Mitochondrial ribosomal protein L27</v>
      </c>
      <c r="CH92" s="13">
        <v>6.9999999999999994E-5</v>
      </c>
      <c r="CI92" s="2">
        <v>55.5</v>
      </c>
      <c r="CJ92" s="2" t="s">
        <v>2970</v>
      </c>
      <c r="CK92" s="2" t="s">
        <v>252</v>
      </c>
      <c r="CL92" s="9" t="str">
        <f>HYPERLINK(".\links\PFAM\AGAP013376-PA-PFAM.txt","MRP-L27, Mitochondrial ribosomal protein L27")</f>
        <v>MRP-L27, Mitochondrial ribosomal protein L27</v>
      </c>
      <c r="CM92" s="13">
        <v>9.9999999999999998E-20</v>
      </c>
      <c r="CN92" s="2">
        <v>129.9</v>
      </c>
      <c r="CO92" s="2" t="s">
        <v>2968</v>
      </c>
      <c r="CP92" s="9" t="str">
        <f>HYPERLINK(".\links\SMART\AGAP013376-PA-SMART.txt","Glyco_32, Glycosyl hydrolases family 32")</f>
        <v>Glyco_32, Glycosyl hydrolases family 32</v>
      </c>
      <c r="CQ92" s="13">
        <v>0.18</v>
      </c>
      <c r="CR92" s="2">
        <v>5</v>
      </c>
      <c r="CS92" s="2" t="s">
        <v>2971</v>
      </c>
      <c r="CT92" s="2" t="s">
        <v>2966</v>
      </c>
      <c r="CU92" s="2" t="s">
        <v>2966</v>
      </c>
      <c r="CV92" s="2" t="s">
        <v>2966</v>
      </c>
      <c r="CW92" s="2" t="str">
        <f>HYPERLINK(".\links\pep\AGAP013376-PA-pep.txt","AGAP013376-PA")</f>
        <v>AGAP013376-PA</v>
      </c>
      <c r="CX92" s="2" t="s">
        <v>88</v>
      </c>
      <c r="CY92" s="2">
        <v>158</v>
      </c>
      <c r="CZ92" s="2" t="s">
        <v>103</v>
      </c>
      <c r="DA92" s="2" t="s">
        <v>2972</v>
      </c>
      <c r="DB92" s="2">
        <v>0</v>
      </c>
      <c r="DC92" s="2">
        <v>0</v>
      </c>
      <c r="DD92" s="2" t="str">
        <f>HYPERLINK("https://www.kegg.jp/kegg-bin/search_pathway_text?map=aga&amp;keyword=AGAP013376&amp;mode=1&amp;viewImage=true","AGAP013376")</f>
        <v>AGAP013376</v>
      </c>
      <c r="DE92" s="2" t="s">
        <v>2962</v>
      </c>
      <c r="DF92" s="2" t="s">
        <v>2963</v>
      </c>
      <c r="DG92" s="2" t="s">
        <v>87</v>
      </c>
      <c r="DH92" s="2" t="str">
        <f>HYPERLINK("https://vectorbase.org/vectorbase/app/record/gene/AGAP013376","AGAP013376-RA")</f>
        <v>AGAP013376-RA</v>
      </c>
      <c r="DI92" s="2" t="s">
        <v>105</v>
      </c>
      <c r="DJ92" s="2">
        <v>569</v>
      </c>
      <c r="DK92" s="2" t="str">
        <f>HYPERLINK(".\links\netoglyc\AGAP013376-PA-netoglyc.txt","0")</f>
        <v>0</v>
      </c>
      <c r="DL92" s="2">
        <v>12</v>
      </c>
      <c r="DM92" s="2">
        <v>6.3</v>
      </c>
      <c r="DN92" s="2">
        <v>5.7</v>
      </c>
      <c r="DO92" s="2" t="s">
        <v>94</v>
      </c>
      <c r="DP92" s="2" t="s">
        <v>89</v>
      </c>
      <c r="DQ92" s="2" t="str">
        <f>HYPERLINK(".\links\Sigp\AGAP013376-PA-SigP.txt","CYT")</f>
        <v>CYT</v>
      </c>
      <c r="DR92" s="2" t="s">
        <v>89</v>
      </c>
      <c r="DS92" s="2">
        <v>17.962</v>
      </c>
      <c r="DT92" s="2">
        <v>8.57</v>
      </c>
      <c r="DU92" s="2" t="s">
        <v>89</v>
      </c>
      <c r="DV92" s="2" t="s">
        <v>89</v>
      </c>
      <c r="DW92" s="2" t="s">
        <v>93</v>
      </c>
      <c r="DX92" s="2">
        <v>158</v>
      </c>
      <c r="DY92" s="12">
        <v>0</v>
      </c>
      <c r="DZ92" s="2" t="s">
        <v>89</v>
      </c>
      <c r="EA92" s="2" t="s">
        <v>89</v>
      </c>
      <c r="EB92" s="2" t="s">
        <v>89</v>
      </c>
      <c r="EC92" s="2" t="str">
        <f>HYPERLINK(".\links\gpi\AGAP013376-PA-gpi.txt","Y-NoSP")</f>
        <v>Y-NoSP</v>
      </c>
      <c r="ED92" s="2">
        <v>0.28999999999999998</v>
      </c>
      <c r="EF92" s="2">
        <v>1</v>
      </c>
      <c r="EG92" s="2" t="s">
        <v>89</v>
      </c>
      <c r="EH92" s="2" t="s">
        <v>89</v>
      </c>
      <c r="EI92" s="2">
        <v>12.025316455696199</v>
      </c>
      <c r="EJ92" s="2">
        <v>5.6962025316455698</v>
      </c>
      <c r="EK92" s="2">
        <v>6.3291139240506302</v>
      </c>
      <c r="EL92" s="2">
        <v>12.025316455696199</v>
      </c>
      <c r="EM92" s="2" t="s">
        <v>89</v>
      </c>
      <c r="EN92" s="2" t="s">
        <v>89</v>
      </c>
      <c r="EO92" s="2" t="s">
        <v>89</v>
      </c>
      <c r="EP92" s="2" t="s">
        <v>89</v>
      </c>
      <c r="EQ92" s="2" t="s">
        <v>89</v>
      </c>
      <c r="ER92" s="2" t="s">
        <v>89</v>
      </c>
      <c r="ES92" s="2" t="s">
        <v>89</v>
      </c>
      <c r="ET92" s="2" t="str">
        <f>HYPERLINK(".\links\REFSEQ-INVERTEBRATE\AGAP013376-PA-REFSEQ-INVERTEBRATE.txt","AGAP013376-PA")</f>
        <v>AGAP013376-PA</v>
      </c>
      <c r="EU92" s="2" t="str">
        <f>HYPERLINK("http://www.ncbi.nlm.nih.gov/sutils/blink.cgi?pid=XP_003435754.1","1E-115")</f>
        <v>1E-115</v>
      </c>
      <c r="EV92" s="2" t="str">
        <f>HYPERLINK("http://www.ncbi.nlm.nih.gov/protein/XP_003435754.1","XP_003435754.1")</f>
        <v>XP_003435754.1</v>
      </c>
      <c r="EW92" s="2">
        <v>100</v>
      </c>
      <c r="EX92" s="2">
        <v>100</v>
      </c>
      <c r="EY92" s="2">
        <v>100</v>
      </c>
      <c r="EZ92" s="2" t="s">
        <v>95</v>
      </c>
    </row>
    <row r="93" spans="1:156" x14ac:dyDescent="0.25">
      <c r="A93" s="2" t="s">
        <v>1823</v>
      </c>
      <c r="B93" s="2">
        <v>-0.79002659671216502</v>
      </c>
      <c r="C93" s="2">
        <f t="shared" si="1"/>
        <v>0.57833343002540094</v>
      </c>
      <c r="D93" s="2">
        <v>7.01458732524961</v>
      </c>
      <c r="E93" s="2">
        <v>13.656937389406099</v>
      </c>
      <c r="F93" s="2">
        <v>2.1942910389985599E-4</v>
      </c>
      <c r="G93" s="2">
        <v>1.4980606089668801E-2</v>
      </c>
      <c r="H93" s="2" t="s">
        <v>1824</v>
      </c>
      <c r="I93" s="2" t="s">
        <v>87</v>
      </c>
      <c r="J93" s="2" t="str">
        <f>HYPERLINK("https://vectorbase.org/vectorbase/app/record/gene/AGAP007208","AGAP007208-RA")</f>
        <v>AGAP007208-RA</v>
      </c>
      <c r="K93" s="2" t="str">
        <f>HYPERLINK(".\links\pep\AGAP007208-PA-pep.txt","AGAP007208-PA")</f>
        <v>AGAP007208-PA</v>
      </c>
      <c r="L93" s="12" t="s">
        <v>88</v>
      </c>
      <c r="M93" s="2">
        <v>166</v>
      </c>
      <c r="N93" s="2">
        <v>0</v>
      </c>
      <c r="O93" s="2">
        <v>0</v>
      </c>
      <c r="P93" s="2" t="s">
        <v>1825</v>
      </c>
      <c r="Q93" s="9" t="s">
        <v>1826</v>
      </c>
      <c r="R93" s="2" t="s">
        <v>663</v>
      </c>
      <c r="S93" s="2" t="str">
        <f>HYPERLINK(".\links\NR-LIGHT\AGAP007208-PA-NR-LIGHT.txt","NR-LIGHT")</f>
        <v>NR-LIGHT</v>
      </c>
      <c r="T93" s="2">
        <v>7.9999999999999995E-88</v>
      </c>
      <c r="U93" s="2">
        <v>100</v>
      </c>
      <c r="V93" s="2" t="s">
        <v>1827</v>
      </c>
      <c r="W93" s="10" t="s">
        <v>1197</v>
      </c>
      <c r="X93" s="2" t="s">
        <v>700</v>
      </c>
      <c r="Y93" s="2" t="str">
        <f>HYPERLINK(".\links\REFSEQ-INVERTEBRATE\AGAP007208-PA-REFSEQ-INVERTEBRATE.txt","REFSEQ-INVERTEBRATE")</f>
        <v>REFSEQ-INVERTEBRATE</v>
      </c>
      <c r="Z93" s="13">
        <v>0</v>
      </c>
      <c r="AB93" s="14" t="s">
        <v>89</v>
      </c>
      <c r="AC93" s="14" t="str">
        <f>HYPERLINK(".\links\Sigp\AGAP007208-PA-SigP.txt","CYT")</f>
        <v>CYT</v>
      </c>
      <c r="AD93" s="2" t="s">
        <v>89</v>
      </c>
      <c r="AE93" s="2">
        <v>18.285</v>
      </c>
      <c r="AF93" s="2">
        <v>9.35</v>
      </c>
      <c r="AG93" s="2" t="s">
        <v>89</v>
      </c>
      <c r="AH93" s="2" t="s">
        <v>89</v>
      </c>
      <c r="AI93" s="2" t="s">
        <v>1828</v>
      </c>
      <c r="AJ93" s="14" t="str">
        <f>HYPERLINK(".\links\tmhmm\AGAP007208-PA-tmhmm.txt","2")</f>
        <v>2</v>
      </c>
      <c r="AK93" s="2">
        <v>23.5</v>
      </c>
      <c r="AL93" s="2">
        <v>6</v>
      </c>
      <c r="AM93" s="2">
        <v>70.5</v>
      </c>
      <c r="AN93" s="14" t="str">
        <f>HYPERLINK(".\links\gpi\AGAP007208-PA-gpi.txt","N")</f>
        <v>N</v>
      </c>
      <c r="AO93" s="15" t="str">
        <f>HYPERLINK(".\links\netoglyc\AGAP007208-PA-netoglyc.txt","0")</f>
        <v>0</v>
      </c>
      <c r="AP93" s="14">
        <v>10.8</v>
      </c>
      <c r="AQ93" s="2">
        <v>12</v>
      </c>
      <c r="AR93" s="2">
        <v>3.6</v>
      </c>
      <c r="AS93" s="2" t="s">
        <v>94</v>
      </c>
      <c r="AT93" s="9" t="str">
        <f>HYPERLINK(".\links\NR-LIGHT\AGAP007208-PA-NR-LIGHT.txt","AGAP007208-PA")</f>
        <v>AGAP007208-PA</v>
      </c>
      <c r="AU93" s="2" t="str">
        <f>HYPERLINK("http://www.ncbi.nlm.nih.gov/sutils/blink.cgi?pid=XP_308577.2","1E-093")</f>
        <v>1E-093</v>
      </c>
      <c r="AV93" s="2" t="str">
        <f>HYPERLINK("http://www.ncbi.nlm.nih.gov/protein/XP_308577.2","XP_308577.2")</f>
        <v>XP_308577.2</v>
      </c>
      <c r="AW93" s="2">
        <v>100</v>
      </c>
      <c r="AX93" s="2">
        <v>100</v>
      </c>
      <c r="AY93" s="2">
        <v>100</v>
      </c>
      <c r="AZ93" s="2" t="s">
        <v>95</v>
      </c>
      <c r="BA93" s="9" t="str">
        <f>HYPERLINK(".\links\REFSEQ-INVERTEBRATE\AGAP007208-PA-REFSEQ-INVERTEBRATE.txt","AGAP007208-PA")</f>
        <v>AGAP007208-PA</v>
      </c>
      <c r="BB93" s="2" t="str">
        <f>HYPERLINK("http://www.ncbi.nlm.nih.gov/sutils/blink.cgi?pid=XP_308577.2","1E-093")</f>
        <v>1E-093</v>
      </c>
      <c r="BC93" s="2" t="str">
        <f>HYPERLINK("http://www.ncbi.nlm.nih.gov/protein/XP_308577.2","XP_308577.2")</f>
        <v>XP_308577.2</v>
      </c>
      <c r="BD93" s="2">
        <v>100</v>
      </c>
      <c r="BE93" s="2">
        <v>100</v>
      </c>
      <c r="BF93" s="2">
        <v>100</v>
      </c>
      <c r="BG93" s="2" t="s">
        <v>95</v>
      </c>
      <c r="BH93" s="9" t="str">
        <f>HYPERLINK(".\links\REFSEQ-PROTOZOA\AGAP007208-PA-REFSEQ-PROTOZOA.txt","conserved hypothetical protein")</f>
        <v>conserved hypothetical protein</v>
      </c>
      <c r="BI93" s="2" t="str">
        <f>HYPERLINK("http://www.ncbi.nlm.nih.gov/sutils/blink.cgi?pid=XP_002767146.1","0.006")</f>
        <v>0.006</v>
      </c>
      <c r="BJ93" s="2" t="str">
        <f>HYPERLINK("http://www.ncbi.nlm.nih.gov/protein/XP_002767146.1","XP_002767146.1")</f>
        <v>XP_002767146.1</v>
      </c>
      <c r="BK93" s="2">
        <v>33</v>
      </c>
      <c r="BL93" s="2">
        <v>44</v>
      </c>
      <c r="BM93" s="2">
        <v>46</v>
      </c>
      <c r="BN93" s="2" t="s">
        <v>1190</v>
      </c>
      <c r="BO93" s="9" t="str">
        <f>HYPERLINK(".\links\SWISSP\AGAP007208-PA-SWISSP.txt","NADH dehydrogenase [ubiquinone] 1 alpha subcomplex subunit 11")</f>
        <v>NADH dehydrogenase [ubiquinone] 1 alpha subcomplex subunit 11</v>
      </c>
      <c r="BP93" s="2" t="str">
        <f>HYPERLINK("http://www.uniprot.org/uniprot/Q8HXG6","6E-008")</f>
        <v>6E-008</v>
      </c>
      <c r="BQ93" s="2" t="str">
        <f>HYPERLINK("http://www.uniprot.org/uniprot/Q8HXG6#expression","Q8HXG6")</f>
        <v>Q8HXG6</v>
      </c>
      <c r="BR93" s="2">
        <v>30</v>
      </c>
      <c r="BS93" s="2">
        <v>45</v>
      </c>
      <c r="BT93" s="2">
        <v>94</v>
      </c>
      <c r="BU93" s="2" t="s">
        <v>183</v>
      </c>
      <c r="BV93" s="9" t="str">
        <f>HYPERLINK(".\links\FLYBASE\AGAP007208-PA-FLYBASE.txt","FBpp0071459")</f>
        <v>FBpp0071459</v>
      </c>
      <c r="BW93" s="2" t="str">
        <f>HYPERLINK("http://flybase.org/reports/FBgn0034576#alliance_summary_container","5E-51")</f>
        <v>5E-51</v>
      </c>
      <c r="BX93" s="2">
        <v>170</v>
      </c>
      <c r="BY93" s="2">
        <v>50</v>
      </c>
      <c r="BZ93" s="2">
        <v>69</v>
      </c>
      <c r="CA93" s="2">
        <v>96</v>
      </c>
      <c r="CB93" s="9" t="str">
        <f>HYPERLINK(".\links\CDD\AGAP007208-PA-CDD.txt","Tim17, Tim17/Tim22/Tim23/Pmp24 family")</f>
        <v>Tim17, Tim17/Tim22/Tim23/Pmp24 family</v>
      </c>
      <c r="CC93" s="13">
        <v>2.9999999999999997E-4</v>
      </c>
      <c r="CD93" s="2">
        <v>68.3</v>
      </c>
      <c r="CE93" s="2" t="s">
        <v>1259</v>
      </c>
      <c r="CF93" s="2" t="s">
        <v>1829</v>
      </c>
      <c r="CG93" s="9" t="str">
        <f>HYPERLINK(".\links\KOG\AGAP007208-PA-KOG.txt","subunit TIM23")</f>
        <v>subunit TIM23</v>
      </c>
      <c r="CH93" s="13">
        <v>5.0000000000000001E-3</v>
      </c>
      <c r="CI93" s="2">
        <v>49</v>
      </c>
      <c r="CJ93" s="2" t="s">
        <v>1830</v>
      </c>
      <c r="CK93" s="2" t="s">
        <v>278</v>
      </c>
      <c r="CL93" s="9" t="str">
        <f>HYPERLINK(".\links\PFAM\AGAP007208-PA-PFAM.txt","Tim17, Tim17/Tim22/Tim23/Pmp24 family")</f>
        <v>Tim17, Tim17/Tim22/Tim23/Pmp24 family</v>
      </c>
      <c r="CM93" s="13">
        <v>6.9999999999999994E-5</v>
      </c>
      <c r="CN93" s="2">
        <v>68.3</v>
      </c>
      <c r="CO93" s="2" t="s">
        <v>1259</v>
      </c>
      <c r="CP93" s="9" t="str">
        <f>HYPERLINK(".\links\SMART\AGAP007208-PA-SMART.txt","RHO, Rho (Ras homology) subfamily of Ras-like small GTPases")</f>
        <v>RHO, Rho (Ras homology) subfamily of Ras-like small GTPases</v>
      </c>
      <c r="CQ93" s="13">
        <v>1.8</v>
      </c>
      <c r="CR93" s="2">
        <v>14.9</v>
      </c>
      <c r="CS93" s="2" t="s">
        <v>1831</v>
      </c>
      <c r="CT93" s="2" t="s">
        <v>1827</v>
      </c>
      <c r="CU93" s="2" t="s">
        <v>1827</v>
      </c>
      <c r="CV93" s="2" t="s">
        <v>1827</v>
      </c>
      <c r="CW93" s="2" t="str">
        <f>HYPERLINK(".\links\pep\AGAP007208-PA-pep.txt","AGAP007208-PA")</f>
        <v>AGAP007208-PA</v>
      </c>
      <c r="CX93" s="2" t="s">
        <v>88</v>
      </c>
      <c r="CY93" s="2">
        <v>166</v>
      </c>
      <c r="CZ93" s="2" t="s">
        <v>103</v>
      </c>
      <c r="DA93" s="2" t="s">
        <v>1832</v>
      </c>
      <c r="DB93" s="2">
        <v>0</v>
      </c>
      <c r="DC93" s="2">
        <v>0</v>
      </c>
      <c r="DD93" s="2" t="str">
        <f>HYPERLINK("https://www.kegg.jp/kegg-bin/search_pathway_text?map=aga&amp;keyword=AGAP007208&amp;mode=1&amp;viewImage=true","AGAP007208")</f>
        <v>AGAP007208</v>
      </c>
      <c r="DE93" s="2" t="s">
        <v>1823</v>
      </c>
      <c r="DF93" s="2" t="s">
        <v>1824</v>
      </c>
      <c r="DG93" s="2" t="s">
        <v>87</v>
      </c>
      <c r="DH93" s="2" t="str">
        <f>HYPERLINK("https://vectorbase.org/vectorbase/app/record/gene/AGAP007208","AGAP007208-RA")</f>
        <v>AGAP007208-RA</v>
      </c>
      <c r="DI93" s="2" t="s">
        <v>158</v>
      </c>
      <c r="DJ93" s="2">
        <v>675</v>
      </c>
      <c r="DK93" s="2" t="str">
        <f>HYPERLINK(".\links\netoglyc\AGAP007208-PA-netoglyc.txt","0")</f>
        <v>0</v>
      </c>
      <c r="DL93" s="2">
        <v>10.8</v>
      </c>
      <c r="DM93" s="2">
        <v>12</v>
      </c>
      <c r="DN93" s="2">
        <v>3.6</v>
      </c>
      <c r="DO93" s="2" t="s">
        <v>94</v>
      </c>
      <c r="DP93" s="2" t="s">
        <v>89</v>
      </c>
      <c r="DQ93" s="2" t="str">
        <f>HYPERLINK(".\links\Sigp\AGAP007208-PA-SigP.txt","CYT")</f>
        <v>CYT</v>
      </c>
      <c r="DR93" s="2" t="s">
        <v>89</v>
      </c>
      <c r="DS93" s="2">
        <v>18.254000000000001</v>
      </c>
      <c r="DT93" s="2">
        <v>9.35</v>
      </c>
      <c r="DU93" s="2" t="s">
        <v>89</v>
      </c>
      <c r="DV93" s="2" t="s">
        <v>89</v>
      </c>
      <c r="DW93" s="2" t="s">
        <v>1828</v>
      </c>
      <c r="DX93" s="2">
        <v>166</v>
      </c>
      <c r="DY93" s="12" t="str">
        <f>HYPERLINK(".\links\tmhmm\AGAP007208-PA-tmhmm.txt","2")</f>
        <v>2</v>
      </c>
      <c r="DZ93" s="2">
        <v>23.5</v>
      </c>
      <c r="EA93" s="2">
        <v>6</v>
      </c>
      <c r="EB93" s="2">
        <v>70.5</v>
      </c>
      <c r="EC93" s="2" t="str">
        <f>HYPERLINK(".\links\gpi\AGAP007208-PA-gpi.txt","Y-NoSP")</f>
        <v>Y-NoSP</v>
      </c>
      <c r="ED93" s="2">
        <v>0.44</v>
      </c>
      <c r="EE93" s="2" t="s">
        <v>1833</v>
      </c>
      <c r="EF93" s="2">
        <v>0</v>
      </c>
      <c r="EG93" s="2" t="s">
        <v>89</v>
      </c>
      <c r="EH93" s="2" t="s">
        <v>89</v>
      </c>
      <c r="EI93" s="2">
        <v>10.8433734939759</v>
      </c>
      <c r="EJ93" s="2">
        <v>3.6144578313253</v>
      </c>
      <c r="EK93" s="2">
        <v>12.048192771084301</v>
      </c>
      <c r="EL93" s="2">
        <v>15.662650602409601</v>
      </c>
      <c r="EM93" s="2" t="s">
        <v>89</v>
      </c>
      <c r="EN93" s="2">
        <v>1</v>
      </c>
      <c r="EO93" s="2">
        <v>1</v>
      </c>
      <c r="EP93" s="2" t="s">
        <v>89</v>
      </c>
      <c r="EQ93" s="2" t="s">
        <v>89</v>
      </c>
      <c r="ER93" s="2" t="s">
        <v>89</v>
      </c>
      <c r="ES93" s="2" t="s">
        <v>89</v>
      </c>
      <c r="ET93" s="2" t="str">
        <f>HYPERLINK(".\links\REFSEQ-INVERTEBRATE\AGAP007208-PA-REFSEQ-INVERTEBRATE.txt","AGAP007208-PA")</f>
        <v>AGAP007208-PA</v>
      </c>
      <c r="EU93" s="2" t="str">
        <f>HYPERLINK("http://www.ncbi.nlm.nih.gov/sutils/blink.cgi?pid=XP_308577.2","1E-119")</f>
        <v>1E-119</v>
      </c>
      <c r="EV93" s="2" t="str">
        <f>HYPERLINK("http://www.ncbi.nlm.nih.gov/protein/XP_308577.2","XP_308577.2")</f>
        <v>XP_308577.2</v>
      </c>
      <c r="EW93" s="2">
        <v>100</v>
      </c>
      <c r="EX93" s="2">
        <v>100</v>
      </c>
      <c r="EY93" s="2">
        <v>100</v>
      </c>
      <c r="EZ93" s="2" t="s">
        <v>95</v>
      </c>
    </row>
    <row r="94" spans="1:156" x14ac:dyDescent="0.25">
      <c r="A94" s="2" t="s">
        <v>1162</v>
      </c>
      <c r="B94" s="2">
        <v>-0.79321563968392295</v>
      </c>
      <c r="C94" s="2">
        <f t="shared" si="1"/>
        <v>0.57705644966200986</v>
      </c>
      <c r="D94" s="2">
        <v>9.1311977223445897</v>
      </c>
      <c r="E94" s="2">
        <v>12.6599716788501</v>
      </c>
      <c r="F94" s="2">
        <v>3.73567873884989E-4</v>
      </c>
      <c r="G94" s="2">
        <v>2.1853720622271901E-2</v>
      </c>
      <c r="H94" s="2" t="s">
        <v>1163</v>
      </c>
      <c r="I94" s="2" t="s">
        <v>89</v>
      </c>
      <c r="J94" s="2" t="str">
        <f>HYPERLINK("https://vectorbase.org/vectorbase/app/record/gene/AGAP004598","AGAP004598-RA")</f>
        <v>AGAP004598-RA</v>
      </c>
      <c r="K94" s="2" t="str">
        <f>HYPERLINK(".\links\pep\AGAP004598-PA-pep.txt","AGAP004598-PA")</f>
        <v>AGAP004598-PA</v>
      </c>
      <c r="L94" s="12" t="s">
        <v>88</v>
      </c>
      <c r="M94" s="2">
        <v>364</v>
      </c>
      <c r="N94" s="2">
        <v>0</v>
      </c>
      <c r="O94" s="2">
        <v>2</v>
      </c>
      <c r="P94" s="2" t="s">
        <v>1164</v>
      </c>
      <c r="Q94" s="9" t="s">
        <v>1164</v>
      </c>
      <c r="R94" s="2" t="s">
        <v>209</v>
      </c>
      <c r="S94" s="2" t="str">
        <f>HYPERLINK(".\links\KOG\AGAP004598-PA-KOG.txt","KOG")</f>
        <v>KOG</v>
      </c>
      <c r="T94" s="2">
        <v>0</v>
      </c>
      <c r="U94" s="2">
        <v>99.4</v>
      </c>
      <c r="V94" s="2" t="s">
        <v>1165</v>
      </c>
      <c r="W94" s="10" t="s">
        <v>564</v>
      </c>
      <c r="X94" s="2" t="s">
        <v>209</v>
      </c>
      <c r="Y94" s="2" t="str">
        <f>HYPERLINK(".\links\COG\AGAP004598-PA-COG.txt","COG")</f>
        <v>COG</v>
      </c>
      <c r="Z94" s="13">
        <v>0</v>
      </c>
      <c r="AA94" s="2">
        <v>100.5</v>
      </c>
      <c r="AB94" s="14" t="s">
        <v>89</v>
      </c>
      <c r="AC94" s="14" t="str">
        <f>HYPERLINK(".\links\Sigp\AGAP004598-PA-SigP.txt","CYT")</f>
        <v>CYT</v>
      </c>
      <c r="AD94" s="2" t="s">
        <v>89</v>
      </c>
      <c r="AE94" s="2">
        <v>40.146999999999998</v>
      </c>
      <c r="AF94" s="2">
        <v>7.65</v>
      </c>
      <c r="AG94" s="2" t="s">
        <v>89</v>
      </c>
      <c r="AH94" s="2" t="s">
        <v>89</v>
      </c>
      <c r="AI94" s="2" t="s">
        <v>1166</v>
      </c>
      <c r="AJ94" s="14">
        <v>0</v>
      </c>
      <c r="AK94" s="2" t="s">
        <v>89</v>
      </c>
      <c r="AL94" s="2" t="s">
        <v>89</v>
      </c>
      <c r="AM94" s="2" t="s">
        <v>89</v>
      </c>
      <c r="AN94" s="14" t="str">
        <f>HYPERLINK(".\links\gpi\AGAP004598-PA-gpi.txt","N")</f>
        <v>N</v>
      </c>
      <c r="AO94" s="15" t="str">
        <f>HYPERLINK(".\links\netoglyc\AGAP004598-PA-netoglyc.txt","0")</f>
        <v>0</v>
      </c>
      <c r="AP94" s="14">
        <v>11.5</v>
      </c>
      <c r="AQ94" s="2">
        <v>9.1</v>
      </c>
      <c r="AR94" s="2">
        <v>4.4000000000000004</v>
      </c>
      <c r="AS94" s="2" t="s">
        <v>94</v>
      </c>
      <c r="AT94" s="9" t="str">
        <f>HYPERLINK(".\links\NR-LIGHT\AGAP004598-PA-NR-LIGHT.txt","AGAP004598-PA")</f>
        <v>AGAP004598-PA</v>
      </c>
      <c r="AU94" s="2" t="str">
        <f>HYPERLINK("http://www.ncbi.nlm.nih.gov/sutils/blink.cgi?pid=XP_557484.2","0.0")</f>
        <v>0.0</v>
      </c>
      <c r="AV94" s="2" t="str">
        <f>HYPERLINK("http://www.ncbi.nlm.nih.gov/protein/XP_557484.2","XP_557484.2")</f>
        <v>XP_557484.2</v>
      </c>
      <c r="AW94" s="2">
        <v>100</v>
      </c>
      <c r="AX94" s="2">
        <v>100</v>
      </c>
      <c r="AY94" s="2">
        <v>100</v>
      </c>
      <c r="AZ94" s="2" t="s">
        <v>95</v>
      </c>
      <c r="BA94" s="9" t="str">
        <f>HYPERLINK(".\links\REFSEQ-INVERTEBRATE\AGAP004598-PA-REFSEQ-INVERTEBRATE.txt","AGAP004598-PA")</f>
        <v>AGAP004598-PA</v>
      </c>
      <c r="BB94" s="2" t="str">
        <f>HYPERLINK("http://www.ncbi.nlm.nih.gov/sutils/blink.cgi?pid=XP_557484.2","0.0")</f>
        <v>0.0</v>
      </c>
      <c r="BC94" s="2" t="str">
        <f>HYPERLINK("http://www.ncbi.nlm.nih.gov/protein/XP_557484.2","XP_557484.2")</f>
        <v>XP_557484.2</v>
      </c>
      <c r="BD94" s="2">
        <v>100</v>
      </c>
      <c r="BE94" s="2">
        <v>100</v>
      </c>
      <c r="BF94" s="2">
        <v>100</v>
      </c>
      <c r="BG94" s="2" t="s">
        <v>95</v>
      </c>
      <c r="BH94" s="9" t="str">
        <f>HYPERLINK(".\links\REFSEQ-PROTOZOA\AGAP004598-PA-REFSEQ-PROTOZOA.txt","phosphoserine aminotransferase")</f>
        <v>phosphoserine aminotransferase</v>
      </c>
      <c r="BI94" s="2" t="str">
        <f>HYPERLINK("http://www.ncbi.nlm.nih.gov/sutils/blink.cgi?pid=XP_004364238.1","1E-107")</f>
        <v>1E-107</v>
      </c>
      <c r="BJ94" s="2" t="str">
        <f>HYPERLINK("http://www.ncbi.nlm.nih.gov/protein/XP_004364238.1","XP_004364238.1")</f>
        <v>XP_004364238.1</v>
      </c>
      <c r="BK94" s="2">
        <v>55</v>
      </c>
      <c r="BL94" s="2">
        <v>71</v>
      </c>
      <c r="BM94" s="2">
        <v>98</v>
      </c>
      <c r="BN94" s="2" t="s">
        <v>150</v>
      </c>
      <c r="BO94" s="9" t="str">
        <f>HYPERLINK(".\links\SWISSP\AGAP004598-PA-SWISSP.txt","Probable phosphoserine aminotransferase")</f>
        <v>Probable phosphoserine aminotransferase</v>
      </c>
      <c r="BP94" s="2" t="str">
        <f>HYPERLINK("http://www.uniprot.org/uniprot/Q9VAN0","1E-134")</f>
        <v>1E-134</v>
      </c>
      <c r="BQ94" s="2" t="str">
        <f>HYPERLINK("http://www.uniprot.org/uniprot/Q9VAN0#expression","Q9VAN0")</f>
        <v>Q9VAN0</v>
      </c>
      <c r="BR94" s="2">
        <v>66</v>
      </c>
      <c r="BS94" s="2">
        <v>78</v>
      </c>
      <c r="BT94" s="2">
        <v>100</v>
      </c>
      <c r="BU94" s="2" t="s">
        <v>151</v>
      </c>
      <c r="BV94" s="9" t="str">
        <f>HYPERLINK(".\links\FLYBASE\AGAP004598-PA-FLYBASE.txt","FBpp0084759")</f>
        <v>FBpp0084759</v>
      </c>
      <c r="BW94" s="2" t="str">
        <f>HYPERLINK("http://flybase.org/reports/FBgn0014427#alliance_summary_container","1E-178")</f>
        <v>1E-178</v>
      </c>
      <c r="BX94" s="2">
        <v>364</v>
      </c>
      <c r="BY94" s="2">
        <v>66</v>
      </c>
      <c r="BZ94" s="2">
        <v>78</v>
      </c>
      <c r="CA94" s="2">
        <v>100</v>
      </c>
      <c r="CB94" s="9" t="str">
        <f>HYPERLINK(".\links\CDD\AGAP004598-PA-CDD.txt","PRK05355, 3-phosphoserine/phosphohydroxythreonine aminotransferase")</f>
        <v>PRK05355, 3-phosphoserine/phosphohydroxythreonine aminotransferase</v>
      </c>
      <c r="CC94" s="13">
        <v>9.9999999999999994E-158</v>
      </c>
      <c r="CD94" s="2">
        <v>100.6</v>
      </c>
      <c r="CE94" s="2" t="s">
        <v>1167</v>
      </c>
      <c r="CF94" s="2" t="s">
        <v>1168</v>
      </c>
      <c r="CG94" s="9" t="str">
        <f>HYPERLINK(".\links\KOG\AGAP004598-PA-KOG.txt","Phosphoserine aminotransferase")</f>
        <v>Phosphoserine aminotransferase</v>
      </c>
      <c r="CH94" s="13">
        <v>9.9999999999999994E-149</v>
      </c>
      <c r="CI94" s="2">
        <v>99.5</v>
      </c>
      <c r="CJ94" s="2" t="s">
        <v>1169</v>
      </c>
      <c r="CK94" s="2" t="s">
        <v>1170</v>
      </c>
      <c r="CL94" s="9" t="str">
        <f>HYPERLINK(".\links\PFAM\AGAP004598-PA-PFAM.txt","Aminotran_5, Aminotransferase class-V")</f>
        <v>Aminotran_5, Aminotransferase class-V</v>
      </c>
      <c r="CM94" s="13">
        <v>8E-41</v>
      </c>
      <c r="CN94" s="2">
        <v>103.8</v>
      </c>
      <c r="CO94" s="2" t="s">
        <v>220</v>
      </c>
      <c r="CP94" s="9" t="str">
        <f>HYPERLINK(".\links\SMART\AGAP004598-PA-SMART.txt","ADF, Actin depolymerisation factor/cofilin -like domains")</f>
        <v>ADF, Actin depolymerisation factor/cofilin -like domains</v>
      </c>
      <c r="CQ94" s="13">
        <v>0.2</v>
      </c>
      <c r="CR94" s="2">
        <v>11</v>
      </c>
      <c r="CS94" s="2" t="s">
        <v>1171</v>
      </c>
      <c r="CT94" s="2" t="s">
        <v>1165</v>
      </c>
      <c r="CU94" s="2" t="s">
        <v>1165</v>
      </c>
      <c r="CV94" s="2" t="s">
        <v>1165</v>
      </c>
      <c r="CW94" s="2" t="str">
        <f>HYPERLINK(".\links\pep\AGAP004598-PA-pep.txt","AGAP004598-PA")</f>
        <v>AGAP004598-PA</v>
      </c>
      <c r="CX94" s="2" t="s">
        <v>88</v>
      </c>
      <c r="CY94" s="2">
        <v>364</v>
      </c>
      <c r="CZ94" s="2" t="s">
        <v>103</v>
      </c>
      <c r="DA94" s="2">
        <v>0</v>
      </c>
      <c r="DB94" s="2">
        <v>2</v>
      </c>
      <c r="DD94" s="2" t="str">
        <f>HYPERLINK("https://www.kegg.jp/kegg-bin/search_pathway_text?map=aga&amp;keyword=AGAP004598&amp;mode=1&amp;viewImage=true","AGAP004598")</f>
        <v>AGAP004598</v>
      </c>
      <c r="DE94" s="2" t="s">
        <v>1162</v>
      </c>
      <c r="DF94" s="2" t="s">
        <v>1163</v>
      </c>
      <c r="DG94" s="2" t="s">
        <v>89</v>
      </c>
      <c r="DH94" s="2" t="str">
        <f>HYPERLINK("https://vectorbase.org/vectorbase/app/record/gene/AGAP004598","AGAP004598-RA")</f>
        <v>AGAP004598-RA</v>
      </c>
      <c r="DI94" s="2" t="s">
        <v>140</v>
      </c>
      <c r="DJ94" s="2">
        <v>1659</v>
      </c>
      <c r="DK94" s="2" t="str">
        <f>HYPERLINK(".\links\netoglyc\AGAP004598-PA-netoglyc.txt","0")</f>
        <v>0</v>
      </c>
      <c r="DL94" s="2">
        <v>11.5</v>
      </c>
      <c r="DM94" s="2">
        <v>9.1</v>
      </c>
      <c r="DN94" s="2">
        <v>4.4000000000000004</v>
      </c>
      <c r="DO94" s="2" t="s">
        <v>94</v>
      </c>
      <c r="DP94" s="2" t="s">
        <v>89</v>
      </c>
      <c r="DQ94" s="2" t="str">
        <f>HYPERLINK(".\links\Sigp\AGAP004598-PA-SigP.txt","CYT")</f>
        <v>CYT</v>
      </c>
      <c r="DR94" s="2" t="s">
        <v>89</v>
      </c>
      <c r="DS94" s="2">
        <v>40.146999999999998</v>
      </c>
      <c r="DT94" s="2">
        <v>7.65</v>
      </c>
      <c r="DU94" s="2" t="s">
        <v>89</v>
      </c>
      <c r="DV94" s="2" t="s">
        <v>89</v>
      </c>
      <c r="DW94" s="2" t="s">
        <v>1166</v>
      </c>
      <c r="DX94" s="2">
        <v>364</v>
      </c>
      <c r="DY94" s="12">
        <v>0</v>
      </c>
      <c r="DZ94" s="2" t="s">
        <v>89</v>
      </c>
      <c r="EA94" s="2" t="s">
        <v>89</v>
      </c>
      <c r="EB94" s="2" t="s">
        <v>89</v>
      </c>
      <c r="EC94" s="2" t="str">
        <f>HYPERLINK(".\links\gpi\AGAP004598-PA-gpi.txt","Y-NoSP")</f>
        <v>Y-NoSP</v>
      </c>
      <c r="ED94" s="2">
        <v>0.26</v>
      </c>
      <c r="EF94" s="2">
        <v>3</v>
      </c>
      <c r="EG94" s="2" t="s">
        <v>89</v>
      </c>
      <c r="EH94" s="2" t="s">
        <v>89</v>
      </c>
      <c r="EI94" s="2">
        <v>11.538461538461499</v>
      </c>
      <c r="EJ94" s="2">
        <v>4.3956043956044004</v>
      </c>
      <c r="EK94" s="2">
        <v>9.0659340659340693</v>
      </c>
      <c r="EL94" s="2">
        <v>13.461538461538501</v>
      </c>
      <c r="EM94" s="2" t="s">
        <v>89</v>
      </c>
      <c r="EN94" s="2">
        <v>2</v>
      </c>
      <c r="EO94" s="2">
        <v>2</v>
      </c>
      <c r="EP94" s="2" t="s">
        <v>89</v>
      </c>
      <c r="EQ94" s="2" t="s">
        <v>89</v>
      </c>
      <c r="ER94" s="2" t="s">
        <v>89</v>
      </c>
      <c r="ES94" s="2" t="s">
        <v>89</v>
      </c>
      <c r="ET94" s="2" t="str">
        <f>HYPERLINK(".\links\REFSEQ-INVERTEBRATE\AGAP004598-PA-REFSEQ-INVERTEBRATE.txt","AGAP004598-PA")</f>
        <v>AGAP004598-PA</v>
      </c>
      <c r="EU94" s="2" t="str">
        <f>HYPERLINK("http://www.ncbi.nlm.nih.gov/sutils/blink.cgi?pid=XP_557484.2","0.0")</f>
        <v>0.0</v>
      </c>
      <c r="EV94" s="2" t="str">
        <f>HYPERLINK("http://www.ncbi.nlm.nih.gov/protein/XP_557484.2","XP_557484.2")</f>
        <v>XP_557484.2</v>
      </c>
      <c r="EW94" s="2">
        <v>100</v>
      </c>
      <c r="EX94" s="2">
        <v>100</v>
      </c>
      <c r="EY94" s="2">
        <v>100</v>
      </c>
      <c r="EZ94" s="2" t="s">
        <v>95</v>
      </c>
    </row>
    <row r="95" spans="1:156" x14ac:dyDescent="0.25">
      <c r="A95" s="2" t="s">
        <v>1995</v>
      </c>
      <c r="B95" s="2">
        <v>-0.79417432214691297</v>
      </c>
      <c r="C95" s="2">
        <f t="shared" si="1"/>
        <v>0.57667311838551971</v>
      </c>
      <c r="D95" s="2">
        <v>5.7118270958837396</v>
      </c>
      <c r="E95" s="2">
        <v>18.8748684180396</v>
      </c>
      <c r="F95" s="2">
        <v>1.3957947432029999E-5</v>
      </c>
      <c r="G95" s="2">
        <v>2.1485641082590302E-3</v>
      </c>
      <c r="H95" s="2" t="s">
        <v>1996</v>
      </c>
      <c r="I95" s="2" t="s">
        <v>87</v>
      </c>
      <c r="J95" s="2" t="str">
        <f>HYPERLINK("https://vectorbase.org/vectorbase/app/record/gene/AGAP007913","AGAP007913-RA")</f>
        <v>AGAP007913-RA</v>
      </c>
      <c r="K95" s="2" t="str">
        <f>HYPERLINK(".\links\pep\AGAP007913-PA-pep.txt","AGAP007913-PA")</f>
        <v>AGAP007913-PA</v>
      </c>
      <c r="L95" s="12" t="s">
        <v>88</v>
      </c>
      <c r="M95" s="2">
        <v>79</v>
      </c>
      <c r="N95" s="2">
        <v>0</v>
      </c>
      <c r="O95" s="2">
        <v>0</v>
      </c>
      <c r="P95" s="2" t="s">
        <v>1997</v>
      </c>
      <c r="Q95" s="9" t="s">
        <v>1998</v>
      </c>
      <c r="R95" s="2" t="s">
        <v>333</v>
      </c>
      <c r="S95" s="2" t="str">
        <f>HYPERLINK(".\links\CDD\AGAP007913-PA-CDD.txt","CDD")</f>
        <v>CDD</v>
      </c>
      <c r="T95" s="2">
        <v>3.0000000000000002E-33</v>
      </c>
      <c r="U95" s="2">
        <v>100</v>
      </c>
      <c r="V95" s="2" t="s">
        <v>1999</v>
      </c>
      <c r="W95" s="10" t="s">
        <v>2000</v>
      </c>
      <c r="X95" s="2" t="s">
        <v>333</v>
      </c>
      <c r="Y95" s="2" t="str">
        <f>HYPERLINK(".\links\UNIPROTKB\AGAP007913-PA-UNIPROTKB.txt","UNIPROTKB")</f>
        <v>UNIPROTKB</v>
      </c>
      <c r="Z95" s="13">
        <v>2.9999999999999999E-48</v>
      </c>
      <c r="AA95" s="2">
        <v>90.4</v>
      </c>
      <c r="AB95" s="14" t="s">
        <v>89</v>
      </c>
      <c r="AC95" s="14" t="str">
        <f>HYPERLINK(".\links\Sigp\AGAP007913-PA-SigP.txt","CYT")</f>
        <v>CYT</v>
      </c>
      <c r="AD95" s="2" t="s">
        <v>89</v>
      </c>
      <c r="AE95" s="2">
        <v>8.9529999999999994</v>
      </c>
      <c r="AF95" s="2">
        <v>6.57</v>
      </c>
      <c r="AG95" s="2" t="s">
        <v>89</v>
      </c>
      <c r="AH95" s="2" t="s">
        <v>89</v>
      </c>
      <c r="AI95" s="2" t="s">
        <v>2001</v>
      </c>
      <c r="AJ95" s="14">
        <v>0</v>
      </c>
      <c r="AK95" s="2" t="s">
        <v>89</v>
      </c>
      <c r="AL95" s="2" t="s">
        <v>89</v>
      </c>
      <c r="AM95" s="2" t="s">
        <v>89</v>
      </c>
      <c r="AN95" s="14" t="str">
        <f>HYPERLINK(".\links\gpi\AGAP007913-PA-gpi.txt","N")</f>
        <v>N</v>
      </c>
      <c r="AO95" s="15" t="str">
        <f>HYPERLINK(".\links\netoglyc\AGAP007913-PA-netoglyc.txt","1")</f>
        <v>1</v>
      </c>
      <c r="AP95" s="14">
        <v>7.6</v>
      </c>
      <c r="AQ95" s="2">
        <v>8.9</v>
      </c>
      <c r="AR95" s="2">
        <v>3.8</v>
      </c>
      <c r="AS95" s="2" t="s">
        <v>94</v>
      </c>
      <c r="AT95" s="9" t="str">
        <f>HYPERLINK(".\links\NR-LIGHT\AGAP007913-PA-NR-LIGHT.txt","AGAP007913-PA")</f>
        <v>AGAP007913-PA</v>
      </c>
      <c r="AU95" s="2" t="str">
        <f>HYPERLINK("http://www.ncbi.nlm.nih.gov/sutils/blink.cgi?pid=XP_317573.3","5E-037")</f>
        <v>5E-037</v>
      </c>
      <c r="AV95" s="2" t="str">
        <f>HYPERLINK("http://www.ncbi.nlm.nih.gov/protein/XP_317573.3","XP_317573.3")</f>
        <v>XP_317573.3</v>
      </c>
      <c r="AW95" s="2">
        <v>100</v>
      </c>
      <c r="AX95" s="2">
        <v>100</v>
      </c>
      <c r="AY95" s="2">
        <v>100</v>
      </c>
      <c r="AZ95" s="2" t="s">
        <v>95</v>
      </c>
      <c r="BA95" s="9" t="str">
        <f>HYPERLINK(".\links\REFSEQ-INVERTEBRATE\AGAP007913-PA-REFSEQ-INVERTEBRATE.txt","AGAP007913-PA")</f>
        <v>AGAP007913-PA</v>
      </c>
      <c r="BB95" s="2" t="str">
        <f>HYPERLINK("http://www.ncbi.nlm.nih.gov/sutils/blink.cgi?pid=XP_317573.3","4E-037")</f>
        <v>4E-037</v>
      </c>
      <c r="BC95" s="2" t="str">
        <f>HYPERLINK("http://www.ncbi.nlm.nih.gov/protein/XP_317573.3","XP_317573.3")</f>
        <v>XP_317573.3</v>
      </c>
      <c r="BD95" s="2">
        <v>100</v>
      </c>
      <c r="BE95" s="2">
        <v>100</v>
      </c>
      <c r="BF95" s="2">
        <v>100</v>
      </c>
      <c r="BG95" s="2" t="s">
        <v>95</v>
      </c>
      <c r="BH95" s="9" t="str">
        <f>HYPERLINK(".\links\REFSEQ-PROTOZOA\AGAP007913-PA-REFSEQ-PROTOZOA.txt","hypothetical protein CAOG_06522")</f>
        <v>hypothetical protein CAOG_06522</v>
      </c>
      <c r="BI95" s="2" t="str">
        <f>HYPERLINK("http://www.ncbi.nlm.nih.gov/sutils/blink.cgi?pid=XP_004345271.1","7E-033")</f>
        <v>7E-033</v>
      </c>
      <c r="BJ95" s="2" t="str">
        <f>HYPERLINK("http://www.ncbi.nlm.nih.gov/protein/XP_004345271.1","XP_004345271.1")</f>
        <v>XP_004345271.1</v>
      </c>
      <c r="BK95" s="2">
        <v>90</v>
      </c>
      <c r="BL95" s="2">
        <v>94</v>
      </c>
      <c r="BM95" s="2">
        <v>99</v>
      </c>
      <c r="BN95" s="2" t="s">
        <v>150</v>
      </c>
      <c r="BO95" s="9" t="str">
        <f>HYPERLINK(".\links\SWISSP\AGAP007913-PA-SWISSP.txt","NEDD8")</f>
        <v>NEDD8</v>
      </c>
      <c r="BP95" s="2" t="str">
        <f>HYPERLINK("http://www.uniprot.org/uniprot/Q9VJ33","5E-036")</f>
        <v>5E-036</v>
      </c>
      <c r="BQ95" s="2" t="str">
        <f>HYPERLINK("http://www.uniprot.org/uniprot/Q9VJ33#expression","Q9VJ33")</f>
        <v>Q9VJ33</v>
      </c>
      <c r="BR95" s="2">
        <v>98</v>
      </c>
      <c r="BS95" s="2">
        <v>98</v>
      </c>
      <c r="BT95" s="2">
        <v>90</v>
      </c>
      <c r="BU95" s="2" t="s">
        <v>151</v>
      </c>
      <c r="BV95" s="9" t="str">
        <f>HYPERLINK(".\links\FLYBASE\AGAP007913-PA-FLYBASE.txt","FBpp0309711")</f>
        <v>FBpp0309711</v>
      </c>
      <c r="BW95" s="2" t="str">
        <f>HYPERLINK("http://flybase.org/reports/FBgn0032725#alliance_summary_container","3E-49")</f>
        <v>3E-49</v>
      </c>
      <c r="BX95" s="2">
        <v>84</v>
      </c>
      <c r="BY95" s="2">
        <v>98</v>
      </c>
      <c r="BZ95" s="2">
        <v>98</v>
      </c>
      <c r="CA95" s="2">
        <v>90</v>
      </c>
      <c r="CB95" s="9" t="str">
        <f>HYPERLINK(".\links\CDD\AGAP007913-PA-CDD.txt","Nedd8, Nebb8-like  ubiquitin protein")</f>
        <v>Nedd8, Nebb8-like  ubiquitin protein</v>
      </c>
      <c r="CC95" s="13">
        <v>3.0000000000000002E-33</v>
      </c>
      <c r="CD95" s="2">
        <v>100</v>
      </c>
      <c r="CE95" s="2" t="s">
        <v>2002</v>
      </c>
      <c r="CF95" s="2" t="s">
        <v>2003</v>
      </c>
      <c r="CG95" s="9" t="str">
        <f>HYPERLINK(".\links\KOG\AGAP007913-PA-KOG.txt","Ubiquitin-like protein")</f>
        <v>Ubiquitin-like protein</v>
      </c>
      <c r="CH95" s="13">
        <v>3.0000000000000001E-27</v>
      </c>
      <c r="CI95" s="2">
        <v>100</v>
      </c>
      <c r="CJ95" s="2" t="s">
        <v>2004</v>
      </c>
      <c r="CK95" s="2" t="s">
        <v>119</v>
      </c>
      <c r="CL95" s="9" t="str">
        <f>HYPERLINK(".\links\PFAM\AGAP007913-PA-PFAM.txt","ubiquitin, Ubiquitin family")</f>
        <v>ubiquitin, Ubiquitin family</v>
      </c>
      <c r="CM95" s="13">
        <v>3.9999999999999999E-19</v>
      </c>
      <c r="CN95" s="2">
        <v>100</v>
      </c>
      <c r="CO95" s="2" t="s">
        <v>2005</v>
      </c>
      <c r="CP95" s="9" t="str">
        <f>HYPERLINK(".\links\SMART\AGAP007913-PA-SMART.txt","UBQ, Ubiquitin homologues")</f>
        <v>UBQ, Ubiquitin homologues</v>
      </c>
      <c r="CQ95" s="13">
        <v>1.0000000000000001E-18</v>
      </c>
      <c r="CR95" s="2">
        <v>100</v>
      </c>
      <c r="CS95" s="2" t="s">
        <v>2006</v>
      </c>
      <c r="CT95" s="2" t="s">
        <v>1999</v>
      </c>
      <c r="CU95" s="2" t="s">
        <v>1999</v>
      </c>
      <c r="CV95" s="2" t="s">
        <v>1999</v>
      </c>
      <c r="CW95" s="2" t="str">
        <f>HYPERLINK(".\links\pep\AGAP007913-PA-pep.txt","AGAP007913-PA")</f>
        <v>AGAP007913-PA</v>
      </c>
      <c r="CX95" s="2" t="s">
        <v>88</v>
      </c>
      <c r="CY95" s="2">
        <v>79</v>
      </c>
      <c r="CZ95" s="2" t="s">
        <v>103</v>
      </c>
      <c r="DA95" s="2" t="s">
        <v>2007</v>
      </c>
      <c r="DB95" s="2">
        <v>0</v>
      </c>
      <c r="DC95" s="2">
        <v>0</v>
      </c>
      <c r="DD95" s="2" t="str">
        <f>HYPERLINK("https://www.kegg.jp/kegg-bin/search_pathway_text?map=aga&amp;keyword=AGAP007913&amp;mode=1&amp;viewImage=true","AGAP007913")</f>
        <v>AGAP007913</v>
      </c>
      <c r="DE95" s="2" t="s">
        <v>1995</v>
      </c>
      <c r="DF95" s="2" t="s">
        <v>1996</v>
      </c>
      <c r="DG95" s="2" t="s">
        <v>87</v>
      </c>
      <c r="DH95" s="2" t="str">
        <f>HYPERLINK("https://vectorbase.org/vectorbase/app/record/gene/AGAP007913","AGAP007913-RA")</f>
        <v>AGAP007913-RA</v>
      </c>
      <c r="DI95" s="2" t="s">
        <v>105</v>
      </c>
      <c r="DJ95" s="2">
        <v>472</v>
      </c>
      <c r="DK95" s="2" t="str">
        <f>HYPERLINK(".\links\netoglyc\AGAP007913-PA-netoglyc.txt","1")</f>
        <v>1</v>
      </c>
      <c r="DL95" s="2">
        <v>7.6</v>
      </c>
      <c r="DM95" s="2">
        <v>8.9</v>
      </c>
      <c r="DN95" s="2">
        <v>3.8</v>
      </c>
      <c r="DO95" s="2" t="s">
        <v>94</v>
      </c>
      <c r="DP95" s="2" t="s">
        <v>89</v>
      </c>
      <c r="DQ95" s="2" t="str">
        <f>HYPERLINK(".\links\Sigp\AGAP007913-PA-SigP.txt","CYT")</f>
        <v>CYT</v>
      </c>
      <c r="DR95" s="2" t="s">
        <v>89</v>
      </c>
      <c r="DS95" s="2">
        <v>8.9529999999999994</v>
      </c>
      <c r="DT95" s="2">
        <v>6.57</v>
      </c>
      <c r="DU95" s="2" t="s">
        <v>89</v>
      </c>
      <c r="DV95" s="2" t="s">
        <v>89</v>
      </c>
      <c r="DW95" s="2" t="s">
        <v>2001</v>
      </c>
      <c r="DX95" s="2">
        <v>79</v>
      </c>
      <c r="DY95" s="12">
        <v>0</v>
      </c>
      <c r="DZ95" s="2" t="s">
        <v>89</v>
      </c>
      <c r="EA95" s="2" t="s">
        <v>89</v>
      </c>
      <c r="EB95" s="2" t="s">
        <v>89</v>
      </c>
      <c r="EC95" s="2" t="str">
        <f>HYPERLINK(".\links\gpi\AGAP007913-PA-gpi.txt","Y-NoSP")</f>
        <v>Y-NoSP</v>
      </c>
      <c r="ED95" s="2">
        <v>0.5</v>
      </c>
      <c r="EF95" s="2">
        <v>0</v>
      </c>
      <c r="EG95" s="2" t="s">
        <v>89</v>
      </c>
      <c r="EH95" s="2" t="s">
        <v>89</v>
      </c>
      <c r="EI95" s="2">
        <v>7.59493670886076</v>
      </c>
      <c r="EJ95" s="2">
        <v>3.79746835443038</v>
      </c>
      <c r="EK95" s="2">
        <v>8.8607594936708907</v>
      </c>
      <c r="EL95" s="2">
        <v>12.6582278481013</v>
      </c>
      <c r="EM95" s="2" t="s">
        <v>89</v>
      </c>
      <c r="EN95" s="2" t="s">
        <v>89</v>
      </c>
      <c r="EO95" s="2" t="s">
        <v>89</v>
      </c>
      <c r="EP95" s="2" t="s">
        <v>89</v>
      </c>
      <c r="EQ95" s="2" t="s">
        <v>89</v>
      </c>
      <c r="ER95" s="2" t="s">
        <v>89</v>
      </c>
      <c r="ES95" s="2" t="s">
        <v>89</v>
      </c>
      <c r="ET95" s="2" t="str">
        <f>HYPERLINK(".\links\REFSEQ-INVERTEBRATE\AGAP007913-PA-REFSEQ-INVERTEBRATE.txt","AGAP007913-PA")</f>
        <v>AGAP007913-PA</v>
      </c>
      <c r="EU95" s="2" t="str">
        <f>HYPERLINK("http://www.ncbi.nlm.nih.gov/sutils/blink.cgi?pid=XP_317573.3","1E-49")</f>
        <v>1E-49</v>
      </c>
      <c r="EV95" s="2" t="str">
        <f>HYPERLINK("http://www.ncbi.nlm.nih.gov/protein/XP_317573.3","XP_317573.3")</f>
        <v>XP_317573.3</v>
      </c>
      <c r="EW95" s="2">
        <v>100</v>
      </c>
      <c r="EX95" s="2">
        <v>100</v>
      </c>
      <c r="EY95" s="2">
        <v>100</v>
      </c>
      <c r="EZ95" s="2" t="s">
        <v>95</v>
      </c>
    </row>
    <row r="96" spans="1:156" x14ac:dyDescent="0.25">
      <c r="A96" s="2" t="s">
        <v>162</v>
      </c>
      <c r="B96" s="2">
        <v>-0.79439359062442205</v>
      </c>
      <c r="C96" s="2">
        <f t="shared" si="1"/>
        <v>0.57658547919317082</v>
      </c>
      <c r="D96" s="2">
        <v>4.9449507552536502</v>
      </c>
      <c r="E96" s="2">
        <v>16.171097222639599</v>
      </c>
      <c r="F96" s="2">
        <v>5.7870396428367102E-5</v>
      </c>
      <c r="G96" s="2">
        <v>5.9820010754643204E-3</v>
      </c>
      <c r="H96" s="2" t="s">
        <v>86</v>
      </c>
      <c r="I96" s="2" t="s">
        <v>87</v>
      </c>
      <c r="J96" s="2" t="str">
        <f>HYPERLINK("https://vectorbase.org/vectorbase/app/record/gene/AGAP000326","AGAP000326-RA")</f>
        <v>AGAP000326-RA</v>
      </c>
      <c r="K96" s="2" t="str">
        <f>HYPERLINK(".\links\pep\AGAP000326-PA-pep.txt","AGAP000326-PA")</f>
        <v>AGAP000326-PA</v>
      </c>
      <c r="L96" s="12" t="s">
        <v>88</v>
      </c>
      <c r="M96" s="2">
        <v>306</v>
      </c>
      <c r="N96" s="2">
        <v>0</v>
      </c>
      <c r="O96" s="2">
        <v>0</v>
      </c>
      <c r="P96" s="2" t="s">
        <v>89</v>
      </c>
      <c r="Q96" s="9" t="s">
        <v>163</v>
      </c>
      <c r="R96" s="2" t="s">
        <v>164</v>
      </c>
      <c r="S96" s="2" t="str">
        <f>HYPERLINK(".\links\KOG\AGAP000326-PA-KOG.txt","KOG")</f>
        <v>KOG</v>
      </c>
      <c r="T96" s="2">
        <v>9.9999999999999992E-66</v>
      </c>
      <c r="U96" s="2">
        <v>96.5</v>
      </c>
      <c r="V96" s="2" t="s">
        <v>165</v>
      </c>
      <c r="W96" s="10" t="s">
        <v>166</v>
      </c>
      <c r="X96" s="2" t="s">
        <v>164</v>
      </c>
      <c r="Y96" s="2" t="str">
        <f>HYPERLINK(".\links\KOG\AGAP000326-PA-KOG.txt","KOG")</f>
        <v>KOG</v>
      </c>
      <c r="Z96" s="13">
        <v>2E-51</v>
      </c>
      <c r="AA96" s="2">
        <v>98.6</v>
      </c>
      <c r="AB96" s="14" t="str">
        <f>HYPERLINK(".\links\pep\AGAP000326-PA-sulf.txt","1")</f>
        <v>1</v>
      </c>
      <c r="AC96" s="14" t="str">
        <f>HYPERLINK(".\links\Sigp\AGAP000326-PA-SigP.txt","CYT")</f>
        <v>CYT</v>
      </c>
      <c r="AD96" s="2" t="s">
        <v>89</v>
      </c>
      <c r="AE96" s="2">
        <v>34.731000000000002</v>
      </c>
      <c r="AF96" s="2">
        <v>10.050000000000001</v>
      </c>
      <c r="AG96" s="2" t="s">
        <v>89</v>
      </c>
      <c r="AH96" s="2" t="s">
        <v>89</v>
      </c>
      <c r="AI96" s="2" t="s">
        <v>167</v>
      </c>
      <c r="AJ96" s="14">
        <v>0</v>
      </c>
      <c r="AK96" s="2" t="s">
        <v>89</v>
      </c>
      <c r="AL96" s="2" t="s">
        <v>89</v>
      </c>
      <c r="AM96" s="2" t="s">
        <v>89</v>
      </c>
      <c r="AN96" s="14" t="str">
        <f>HYPERLINK(".\links\gpi\AGAP000326-PA-gpi.txt","N")</f>
        <v>N</v>
      </c>
      <c r="AO96" s="15" t="str">
        <f>HYPERLINK(".\links\netoglyc\AGAP000326-PA-netoglyc.txt","0")</f>
        <v>0</v>
      </c>
      <c r="AP96" s="14">
        <v>10.8</v>
      </c>
      <c r="AQ96" s="2">
        <v>3.6</v>
      </c>
      <c r="AR96" s="2">
        <v>5.2</v>
      </c>
      <c r="AS96" s="2" t="s">
        <v>94</v>
      </c>
      <c r="AT96" s="9" t="str">
        <f>HYPERLINK(".\links\NR-LIGHT\AGAP000326-PA-NR-LIGHT.txt","AGAP000326-PA")</f>
        <v>AGAP000326-PA</v>
      </c>
      <c r="AU96" s="2" t="str">
        <f>HYPERLINK("http://www.ncbi.nlm.nih.gov/sutils/blink.cgi?pid=XP_310791.5","1E-173")</f>
        <v>1E-173</v>
      </c>
      <c r="AV96" s="2" t="str">
        <f>HYPERLINK("http://www.ncbi.nlm.nih.gov/protein/XP_310791.5","XP_310791.5")</f>
        <v>XP_310791.5</v>
      </c>
      <c r="AW96" s="2">
        <v>100</v>
      </c>
      <c r="AX96" s="2">
        <v>100</v>
      </c>
      <c r="AY96" s="2">
        <v>100</v>
      </c>
      <c r="AZ96" s="2" t="s">
        <v>95</v>
      </c>
      <c r="BA96" s="9" t="str">
        <f>HYPERLINK(".\links\REFSEQ-INVERTEBRATE\AGAP000326-PA-REFSEQ-INVERTEBRATE.txt","AGAP000326-PA")</f>
        <v>AGAP000326-PA</v>
      </c>
      <c r="BB96" s="2" t="str">
        <f>HYPERLINK("http://www.ncbi.nlm.nih.gov/sutils/blink.cgi?pid=XP_310791.5","1E-173")</f>
        <v>1E-173</v>
      </c>
      <c r="BC96" s="2" t="str">
        <f>HYPERLINK("http://www.ncbi.nlm.nih.gov/protein/XP_310791.5","XP_310791.5")</f>
        <v>XP_310791.5</v>
      </c>
      <c r="BD96" s="2">
        <v>100</v>
      </c>
      <c r="BE96" s="2">
        <v>100</v>
      </c>
      <c r="BF96" s="2">
        <v>100</v>
      </c>
      <c r="BG96" s="2" t="s">
        <v>95</v>
      </c>
      <c r="BH96" s="9" t="str">
        <f>HYPERLINK(".\links\REFSEQ-PROTOZOA\AGAP000326-PA-REFSEQ-PROTOZOA.txt","hypothetical protein SARC_02452")</f>
        <v>hypothetical protein SARC_02452</v>
      </c>
      <c r="BI96" s="2" t="str">
        <f>HYPERLINK("http://www.ncbi.nlm.nih.gov/sutils/blink.cgi?pid=XP_014159262.1","2E-044")</f>
        <v>2E-044</v>
      </c>
      <c r="BJ96" s="2" t="str">
        <f>HYPERLINK("http://www.ncbi.nlm.nih.gov/protein/XP_014159262.1","XP_014159262.1")</f>
        <v>XP_014159262.1</v>
      </c>
      <c r="BK96" s="2">
        <v>35</v>
      </c>
      <c r="BL96" s="2">
        <v>58</v>
      </c>
      <c r="BM96" s="2">
        <v>87</v>
      </c>
      <c r="BN96" s="2" t="s">
        <v>168</v>
      </c>
      <c r="BO96" s="9" t="str">
        <f>HYPERLINK(".\links\SWISSP\AGAP000326-PA-SWISSP.txt","NADH dehydrogenase (ubiquinone) complex I, assembly factor 6 homolog")</f>
        <v>NADH dehydrogenase (ubiquinone) complex I, assembly factor 6 homolog</v>
      </c>
      <c r="BP96" s="2" t="str">
        <f>HYPERLINK("http://www.uniprot.org/uniprot/Q9VYS5","3E-065")</f>
        <v>3E-065</v>
      </c>
      <c r="BQ96" s="2" t="str">
        <f>HYPERLINK("http://www.uniprot.org/uniprot/Q9VYS5#expression","Q9VYS5")</f>
        <v>Q9VYS5</v>
      </c>
      <c r="BR96" s="2">
        <v>49</v>
      </c>
      <c r="BS96" s="2">
        <v>65</v>
      </c>
      <c r="BT96" s="2">
        <v>84</v>
      </c>
      <c r="BU96" s="2" t="s">
        <v>151</v>
      </c>
      <c r="BV96" s="9" t="str">
        <f>HYPERLINK(".\links\FLYBASE\AGAP000326-PA-FLYBASE.txt","FBpp0311993")</f>
        <v>FBpp0311993</v>
      </c>
      <c r="BW96" s="2" t="str">
        <f>HYPERLINK("http://flybase.org/reports/FBgn0030352#alliance_summary_container","7E-79")</f>
        <v>7E-79</v>
      </c>
      <c r="BX96" s="2">
        <v>334</v>
      </c>
      <c r="BY96" s="2">
        <v>48</v>
      </c>
      <c r="BZ96" s="2">
        <v>64</v>
      </c>
      <c r="CA96" s="2">
        <v>86</v>
      </c>
      <c r="CB96" s="9" t="str">
        <f>HYPERLINK(".\links\CDD\AGAP000326-PA-CDD.txt","SQS_PSY, Squalene/phytoene synthase")</f>
        <v>SQS_PSY, Squalene/phytoene synthase</v>
      </c>
      <c r="CC96" s="13">
        <v>1.9999999999999999E-40</v>
      </c>
      <c r="CD96" s="2">
        <v>98.5</v>
      </c>
      <c r="CE96" s="2" t="s">
        <v>169</v>
      </c>
      <c r="CF96" s="2" t="s">
        <v>170</v>
      </c>
      <c r="CG96" s="9" t="str">
        <f>HYPERLINK(".\links\KOG\AGAP000326-PA-KOG.txt","Phytoene/squalene synthetase")</f>
        <v>Phytoene/squalene synthetase</v>
      </c>
      <c r="CH96" s="13">
        <v>9.9999999999999992E-66</v>
      </c>
      <c r="CI96" s="2">
        <v>96.6</v>
      </c>
      <c r="CJ96" s="2" t="s">
        <v>171</v>
      </c>
      <c r="CK96" s="2" t="s">
        <v>172</v>
      </c>
      <c r="CL96" s="9" t="str">
        <f>HYPERLINK(".\links\PFAM\AGAP000326-PA-PFAM.txt","SQS_PSY, Squalene/phytoene synthase")</f>
        <v>SQS_PSY, Squalene/phytoene synthase</v>
      </c>
      <c r="CM96" s="13">
        <v>4E-41</v>
      </c>
      <c r="CN96" s="2">
        <v>98.5</v>
      </c>
      <c r="CO96" s="2" t="s">
        <v>169</v>
      </c>
      <c r="CP96" s="9" t="str">
        <f>HYPERLINK(".\links\SMART\AGAP000326-PA-SMART.txt","LPD_N, Lipoprotein N-terminal Domain")</f>
        <v>LPD_N, Lipoprotein N-terminal Domain</v>
      </c>
      <c r="CQ96" s="13">
        <v>1</v>
      </c>
      <c r="CR96" s="2">
        <v>7.3</v>
      </c>
      <c r="CS96" s="2" t="s">
        <v>173</v>
      </c>
      <c r="CT96" s="2" t="s">
        <v>165</v>
      </c>
      <c r="CU96" s="2" t="s">
        <v>165</v>
      </c>
      <c r="CV96" s="2" t="s">
        <v>165</v>
      </c>
      <c r="CW96" s="2" t="str">
        <f>HYPERLINK(".\links\pep\AGAP000326-PA-pep.txt","AGAP000326-PA")</f>
        <v>AGAP000326-PA</v>
      </c>
      <c r="CX96" s="2" t="s">
        <v>88</v>
      </c>
      <c r="CY96" s="2">
        <v>306</v>
      </c>
      <c r="CZ96" s="2" t="s">
        <v>103</v>
      </c>
      <c r="DA96" s="2" t="s">
        <v>174</v>
      </c>
      <c r="DB96" s="2">
        <v>0</v>
      </c>
      <c r="DC96" s="2">
        <v>0</v>
      </c>
      <c r="DD96" s="2" t="str">
        <f>HYPERLINK("https://www.kegg.jp/kegg-bin/search_pathway_text?map=aga&amp;keyword=AGAP000326&amp;mode=1&amp;viewImage=true","AGAP000326")</f>
        <v>AGAP000326</v>
      </c>
      <c r="DE96" s="2" t="s">
        <v>162</v>
      </c>
      <c r="DF96" s="2" t="s">
        <v>86</v>
      </c>
      <c r="DG96" s="2" t="s">
        <v>87</v>
      </c>
      <c r="DH96" s="2" t="str">
        <f>HYPERLINK("https://vectorbase.org/vectorbase/app/record/gene/AGAP000326","AGAP000326-RA")</f>
        <v>AGAP000326-RA</v>
      </c>
      <c r="DI96" s="2" t="s">
        <v>122</v>
      </c>
      <c r="DJ96" s="2">
        <v>1798</v>
      </c>
      <c r="DK96" s="2" t="str">
        <f>HYPERLINK(".\links\netoglyc\AGAP000326-PA-netoglyc.txt","0")</f>
        <v>0</v>
      </c>
      <c r="DL96" s="2">
        <v>10.8</v>
      </c>
      <c r="DM96" s="2">
        <v>3.6</v>
      </c>
      <c r="DN96" s="2">
        <v>5.2</v>
      </c>
      <c r="DO96" s="2" t="s">
        <v>94</v>
      </c>
      <c r="DP96" s="2" t="s">
        <v>89</v>
      </c>
      <c r="DQ96" s="2" t="str">
        <f>HYPERLINK(".\links\Sigp\AGAP000326-PA-SigP.txt","CYT")</f>
        <v>CYT</v>
      </c>
      <c r="DR96" s="2" t="s">
        <v>89</v>
      </c>
      <c r="DS96" s="2">
        <v>34.731000000000002</v>
      </c>
      <c r="DT96" s="2">
        <v>10.050000000000001</v>
      </c>
      <c r="DU96" s="2" t="s">
        <v>89</v>
      </c>
      <c r="DV96" s="2" t="s">
        <v>89</v>
      </c>
      <c r="DW96" s="2" t="s">
        <v>167</v>
      </c>
      <c r="DX96" s="2">
        <v>306</v>
      </c>
      <c r="DY96" s="12">
        <v>0</v>
      </c>
      <c r="DZ96" s="2" t="s">
        <v>89</v>
      </c>
      <c r="EA96" s="2" t="s">
        <v>89</v>
      </c>
      <c r="EB96" s="2" t="s">
        <v>89</v>
      </c>
      <c r="EC96" s="2" t="str">
        <f>HYPERLINK(".\links\gpi\AGAP000326-PA-gpi.txt","Y-NoSP")</f>
        <v>Y-NoSP</v>
      </c>
      <c r="ED96" s="2">
        <v>0.35</v>
      </c>
      <c r="EF96" s="2">
        <v>6</v>
      </c>
      <c r="EG96" s="2" t="str">
        <f>HYPERLINK(".\links\pep\AGAP000326-PA-sulf.txt","1")</f>
        <v>1</v>
      </c>
      <c r="EH96" s="2" t="s">
        <v>89</v>
      </c>
      <c r="EI96" s="2">
        <v>10.7843137254902</v>
      </c>
      <c r="EJ96" s="2">
        <v>5.2287581699346397</v>
      </c>
      <c r="EK96" s="2">
        <v>3.5947712418300699</v>
      </c>
      <c r="EL96" s="2">
        <v>8.8235294117647101</v>
      </c>
      <c r="EM96" s="2" t="s">
        <v>89</v>
      </c>
      <c r="EN96" s="2">
        <v>2</v>
      </c>
      <c r="EO96" s="2">
        <v>2</v>
      </c>
      <c r="EP96" s="2" t="s">
        <v>89</v>
      </c>
      <c r="EQ96" s="2" t="s">
        <v>89</v>
      </c>
      <c r="ER96" s="2" t="s">
        <v>89</v>
      </c>
      <c r="ES96" s="2" t="s">
        <v>89</v>
      </c>
      <c r="ET96" s="2" t="str">
        <f>HYPERLINK(".\links\REFSEQ-INVERTEBRATE\AGAP000326-PA-REFSEQ-INVERTEBRATE.txt","AGAP000326-PA")</f>
        <v>AGAP000326-PA</v>
      </c>
      <c r="EU96" s="2" t="str">
        <f>HYPERLINK("http://www.ncbi.nlm.nih.gov/sutils/blink.cgi?pid=XP_310791.5","0.0")</f>
        <v>0.0</v>
      </c>
      <c r="EV96" s="2" t="str">
        <f>HYPERLINK("http://www.ncbi.nlm.nih.gov/protein/XP_310791.5","XP_310791.5")</f>
        <v>XP_310791.5</v>
      </c>
      <c r="EW96" s="2">
        <v>100</v>
      </c>
      <c r="EX96" s="2">
        <v>100</v>
      </c>
      <c r="EY96" s="2">
        <v>100</v>
      </c>
      <c r="EZ96" s="2" t="s">
        <v>95</v>
      </c>
    </row>
    <row r="97" spans="1:156" x14ac:dyDescent="0.25">
      <c r="A97" s="2" t="s">
        <v>2359</v>
      </c>
      <c r="B97" s="2">
        <v>-0.795633848114358</v>
      </c>
      <c r="C97" s="2">
        <f t="shared" si="1"/>
        <v>0.57609001262413606</v>
      </c>
      <c r="D97" s="2">
        <v>11.0445520551334</v>
      </c>
      <c r="E97" s="2">
        <v>14.4056689174715</v>
      </c>
      <c r="F97" s="2">
        <v>1.47358036619974E-4</v>
      </c>
      <c r="G97" s="2">
        <v>1.1536183940388699E-2</v>
      </c>
      <c r="H97" s="2" t="s">
        <v>2360</v>
      </c>
      <c r="I97" s="2" t="s">
        <v>87</v>
      </c>
      <c r="J97" s="2" t="str">
        <f>HYPERLINK("https://vectorbase.org/vectorbase/app/record/gene/AGAP009920","AGAP009920-RA")</f>
        <v>AGAP009920-RA</v>
      </c>
      <c r="K97" s="2" t="str">
        <f>HYPERLINK(".\links\pep\AGAP009920-PA-pep.txt","AGAP009920-PA")</f>
        <v>AGAP009920-PA</v>
      </c>
      <c r="L97" s="12" t="s">
        <v>88</v>
      </c>
      <c r="M97" s="2">
        <v>89</v>
      </c>
      <c r="N97" s="2">
        <v>0</v>
      </c>
      <c r="O97" s="2">
        <v>0</v>
      </c>
      <c r="P97" s="2" t="s">
        <v>2361</v>
      </c>
      <c r="Q97" s="9" t="s">
        <v>317</v>
      </c>
      <c r="R97" s="2" t="s">
        <v>245</v>
      </c>
      <c r="S97" s="2" t="str">
        <f>HYPERLINK(".\links\KOG\AGAP009920-PA-KOG.txt","KOG")</f>
        <v>KOG</v>
      </c>
      <c r="T97" s="2">
        <v>4.0000000000000002E-33</v>
      </c>
      <c r="U97" s="2">
        <v>96.7</v>
      </c>
      <c r="V97" s="2" t="s">
        <v>2362</v>
      </c>
      <c r="W97" s="10" t="s">
        <v>2363</v>
      </c>
      <c r="X97" s="2" t="s">
        <v>245</v>
      </c>
      <c r="Y97" s="2" t="str">
        <f>HYPERLINK(".\links\REFSEQVERTEBRATE95\AGAP009920-PA-REFSEQVERTEBRATE95.txt","REFSEQVERTEBRATE95")</f>
        <v>REFSEQVERTEBRATE95</v>
      </c>
      <c r="Z97" s="13">
        <v>4.9999999999999999E-49</v>
      </c>
      <c r="AA97" s="2">
        <v>85.5</v>
      </c>
      <c r="AB97" s="14" t="s">
        <v>89</v>
      </c>
      <c r="AC97" s="14" t="str">
        <f>HYPERLINK(".\links\Sigp\AGAP009920-PA-SigP.txt","CYT")</f>
        <v>CYT</v>
      </c>
      <c r="AD97" s="2" t="s">
        <v>89</v>
      </c>
      <c r="AE97" s="2">
        <v>10.042999999999999</v>
      </c>
      <c r="AF97" s="2">
        <v>10.68</v>
      </c>
      <c r="AG97" s="2" t="s">
        <v>89</v>
      </c>
      <c r="AH97" s="2" t="s">
        <v>89</v>
      </c>
      <c r="AI97" s="2" t="s">
        <v>2364</v>
      </c>
      <c r="AJ97" s="14">
        <v>0</v>
      </c>
      <c r="AK97" s="2" t="s">
        <v>89</v>
      </c>
      <c r="AL97" s="2" t="s">
        <v>89</v>
      </c>
      <c r="AM97" s="2" t="s">
        <v>89</v>
      </c>
      <c r="AN97" s="14" t="str">
        <f>HYPERLINK(".\links\gpi\AGAP009920-PA-gpi.txt","N")</f>
        <v>N</v>
      </c>
      <c r="AO97" s="15" t="str">
        <f>HYPERLINK(".\links\netoglyc\AGAP009920-PA-netoglyc.txt","0")</f>
        <v>0</v>
      </c>
      <c r="AP97" s="14">
        <v>14.6</v>
      </c>
      <c r="AQ97" s="2">
        <v>9</v>
      </c>
      <c r="AR97" s="2" t="s">
        <v>274</v>
      </c>
      <c r="AS97" s="2" t="s">
        <v>94</v>
      </c>
      <c r="AT97" s="9" t="str">
        <f>HYPERLINK(".\links\NR-LIGHT\AGAP009920-PA-NR-LIGHT.txt","AGAP009920-PA")</f>
        <v>AGAP009920-PA</v>
      </c>
      <c r="AU97" s="2" t="str">
        <f>HYPERLINK("http://www.ncbi.nlm.nih.gov/sutils/blink.cgi?pid=XP_319038.4","1E-045")</f>
        <v>1E-045</v>
      </c>
      <c r="AV97" s="2" t="str">
        <f>HYPERLINK("http://www.ncbi.nlm.nih.gov/protein/XP_319038.4","XP_319038.4")</f>
        <v>XP_319038.4</v>
      </c>
      <c r="AW97" s="2">
        <v>100</v>
      </c>
      <c r="AX97" s="2">
        <v>100</v>
      </c>
      <c r="AY97" s="2">
        <v>100</v>
      </c>
      <c r="AZ97" s="2" t="s">
        <v>95</v>
      </c>
      <c r="BA97" s="9" t="str">
        <f>HYPERLINK(".\links\REFSEQ-INVERTEBRATE\AGAP009920-PA-REFSEQ-INVERTEBRATE.txt","AGAP009920-PA")</f>
        <v>AGAP009920-PA</v>
      </c>
      <c r="BB97" s="2" t="str">
        <f>HYPERLINK("http://www.ncbi.nlm.nih.gov/sutils/blink.cgi?pid=XP_319038.4","9E-046")</f>
        <v>9E-046</v>
      </c>
      <c r="BC97" s="2" t="str">
        <f>HYPERLINK("http://www.ncbi.nlm.nih.gov/protein/XP_319038.4","XP_319038.4")</f>
        <v>XP_319038.4</v>
      </c>
      <c r="BD97" s="2">
        <v>100</v>
      </c>
      <c r="BE97" s="2">
        <v>100</v>
      </c>
      <c r="BF97" s="2">
        <v>100</v>
      </c>
      <c r="BG97" s="2" t="s">
        <v>95</v>
      </c>
      <c r="BH97" s="9" t="str">
        <f>HYPERLINK(".\links\REFSEQ-PROTOZOA\AGAP009920-PA-REFSEQ-PROTOZOA.txt","ribosomal L37ae protein family")</f>
        <v>ribosomal L37ae protein family</v>
      </c>
      <c r="BI97" s="2" t="str">
        <f>HYPERLINK("http://www.ncbi.nlm.nih.gov/sutils/blink.cgi?pid=XP_004352812.1","6E-037")</f>
        <v>6E-037</v>
      </c>
      <c r="BJ97" s="2" t="str">
        <f>HYPERLINK("http://www.ncbi.nlm.nih.gov/protein/XP_004352812.1","XP_004352812.1")</f>
        <v>XP_004352812.1</v>
      </c>
      <c r="BK97" s="2">
        <v>77</v>
      </c>
      <c r="BL97" s="2">
        <v>89</v>
      </c>
      <c r="BM97" s="2">
        <v>97</v>
      </c>
      <c r="BN97" s="2" t="s">
        <v>114</v>
      </c>
      <c r="BO97" s="9" t="str">
        <f>HYPERLINK(".\links\SWISSP\AGAP009920-PA-SWISSP.txt","60S ribosomal protein L37a")</f>
        <v>60S ribosomal protein L37a</v>
      </c>
      <c r="BP97" s="2" t="str">
        <f>HYPERLINK("http://www.uniprot.org/uniprot/Q9VMU4","5E-042")</f>
        <v>5E-042</v>
      </c>
      <c r="BQ97" s="2" t="str">
        <f>HYPERLINK("http://www.uniprot.org/uniprot/Q9VMU4#expression","Q9VMU4")</f>
        <v>Q9VMU4</v>
      </c>
      <c r="BR97" s="2">
        <v>90</v>
      </c>
      <c r="BS97" s="2">
        <v>96</v>
      </c>
      <c r="BT97" s="2">
        <v>96</v>
      </c>
      <c r="BU97" s="2" t="s">
        <v>151</v>
      </c>
      <c r="BV97" s="9" t="str">
        <f>HYPERLINK(".\links\FLYBASE\AGAP009920-PA-FLYBASE.txt","FBpp0078655")</f>
        <v>FBpp0078655</v>
      </c>
      <c r="BW97" s="2" t="str">
        <f>HYPERLINK("http://flybase.org/reports/FBgn0261608#alliance_summary_container","3E-54")</f>
        <v>3E-54</v>
      </c>
      <c r="BX97" s="2">
        <v>92</v>
      </c>
      <c r="BY97" s="2">
        <v>90</v>
      </c>
      <c r="BZ97" s="2">
        <v>96</v>
      </c>
      <c r="CA97" s="2">
        <v>96</v>
      </c>
      <c r="CB97" s="9" t="str">
        <f>HYPERLINK(".\links\CDD\AGAP009920-PA-CDD.txt","PTZ00255, 60S ribosomal protein L37a")</f>
        <v>PTZ00255, 60S ribosomal protein L37a</v>
      </c>
      <c r="CC97" s="13">
        <v>3E-32</v>
      </c>
      <c r="CD97" s="2">
        <v>97.8</v>
      </c>
      <c r="CE97" s="2" t="s">
        <v>2365</v>
      </c>
      <c r="CF97" s="2" t="s">
        <v>2366</v>
      </c>
      <c r="CG97" s="9" t="str">
        <f>HYPERLINK(".\links\KOG\AGAP009920-PA-KOG.txt","60S ribosomal protein L37")</f>
        <v>60S ribosomal protein L37</v>
      </c>
      <c r="CH97" s="13">
        <v>4.0000000000000002E-33</v>
      </c>
      <c r="CI97" s="2">
        <v>96.7</v>
      </c>
      <c r="CJ97" s="2" t="s">
        <v>2367</v>
      </c>
      <c r="CK97" s="2" t="s">
        <v>252</v>
      </c>
      <c r="CL97" s="9" t="str">
        <f>HYPERLINK(".\links\PFAM\AGAP009920-PA-PFAM.txt","Ribosomal_L37ae, Ribosomal L37ae protein family")</f>
        <v>Ribosomal_L37ae, Ribosomal L37ae protein family</v>
      </c>
      <c r="CM97" s="13">
        <v>3E-32</v>
      </c>
      <c r="CN97" s="2">
        <v>100</v>
      </c>
      <c r="CO97" s="2" t="s">
        <v>2368</v>
      </c>
      <c r="CP97" s="9" t="str">
        <f>HYPERLINK(".\links\SMART\AGAP009920-PA-SMART.txt","B_lectin, Bulb-type mannose-specific lectin")</f>
        <v>B_lectin, Bulb-type mannose-specific lectin</v>
      </c>
      <c r="CQ97" s="13">
        <v>1.1000000000000001</v>
      </c>
      <c r="CR97" s="2">
        <v>33.299999999999997</v>
      </c>
      <c r="CS97" s="2" t="s">
        <v>2369</v>
      </c>
      <c r="CT97" s="2" t="s">
        <v>2362</v>
      </c>
      <c r="CU97" s="2" t="s">
        <v>2362</v>
      </c>
      <c r="CV97" s="2" t="s">
        <v>2362</v>
      </c>
      <c r="CW97" s="2" t="str">
        <f>HYPERLINK(".\links\pep\AGAP009920-PA-pep.txt","AGAP009920-PA")</f>
        <v>AGAP009920-PA</v>
      </c>
      <c r="CX97" s="2" t="s">
        <v>88</v>
      </c>
      <c r="CY97" s="2">
        <v>89</v>
      </c>
      <c r="CZ97" s="2" t="s">
        <v>103</v>
      </c>
      <c r="DA97" s="2" t="s">
        <v>2370</v>
      </c>
      <c r="DB97" s="2">
        <v>0</v>
      </c>
      <c r="DC97" s="2">
        <v>0</v>
      </c>
      <c r="DD97" s="2" t="str">
        <f>HYPERLINK("https://www.kegg.jp/kegg-bin/search_pathway_text?map=aga&amp;keyword=AGAP009920&amp;mode=1&amp;viewImage=true","AGAP009920")</f>
        <v>AGAP009920</v>
      </c>
      <c r="DE97" s="2" t="s">
        <v>2359</v>
      </c>
      <c r="DF97" s="2" t="s">
        <v>2360</v>
      </c>
      <c r="DG97" s="2" t="s">
        <v>87</v>
      </c>
      <c r="DH97" s="2" t="str">
        <f>HYPERLINK("https://vectorbase.org/vectorbase/app/record/gene/AGAP009920","AGAP009920-RA")</f>
        <v>AGAP009920-RA</v>
      </c>
      <c r="DI97" s="2" t="s">
        <v>122</v>
      </c>
      <c r="DJ97" s="2">
        <v>632</v>
      </c>
      <c r="DK97" s="2" t="str">
        <f>HYPERLINK(".\links\netoglyc\AGAP009920-PA-netoglyc.txt","0")</f>
        <v>0</v>
      </c>
      <c r="DL97" s="2">
        <v>14.6</v>
      </c>
      <c r="DM97" s="2">
        <v>9</v>
      </c>
      <c r="DN97" s="2" t="s">
        <v>274</v>
      </c>
      <c r="DO97" s="2" t="s">
        <v>94</v>
      </c>
      <c r="DP97" s="2" t="s">
        <v>89</v>
      </c>
      <c r="DQ97" s="2" t="str">
        <f>HYPERLINK(".\links\Sigp\AGAP009920-PA-SigP.txt","CYT")</f>
        <v>CYT</v>
      </c>
      <c r="DR97" s="2" t="s">
        <v>89</v>
      </c>
      <c r="DS97" s="2">
        <v>10.042999999999999</v>
      </c>
      <c r="DT97" s="2">
        <v>10.68</v>
      </c>
      <c r="DU97" s="2" t="s">
        <v>89</v>
      </c>
      <c r="DV97" s="2" t="s">
        <v>89</v>
      </c>
      <c r="DW97" s="2" t="s">
        <v>2364</v>
      </c>
      <c r="DX97" s="2">
        <v>89</v>
      </c>
      <c r="DY97" s="12">
        <v>0</v>
      </c>
      <c r="DZ97" s="2" t="s">
        <v>89</v>
      </c>
      <c r="EA97" s="2" t="s">
        <v>89</v>
      </c>
      <c r="EB97" s="2" t="s">
        <v>89</v>
      </c>
      <c r="EC97" s="2" t="str">
        <f>HYPERLINK(".\links\gpi\AGAP009920-PA-gpi.txt","Y-NoSP")</f>
        <v>Y-NoSP</v>
      </c>
      <c r="ED97" s="2">
        <v>0.68</v>
      </c>
      <c r="EE97" s="2" t="s">
        <v>2371</v>
      </c>
      <c r="EF97" s="2">
        <v>5</v>
      </c>
      <c r="EG97" s="2" t="s">
        <v>89</v>
      </c>
      <c r="EH97" s="2" t="s">
        <v>89</v>
      </c>
      <c r="EI97" s="2">
        <v>14.6067415730337</v>
      </c>
      <c r="EJ97" s="2">
        <v>0</v>
      </c>
      <c r="EK97" s="2">
        <v>8.9887640449438209</v>
      </c>
      <c r="EL97" s="2">
        <v>8.9887640449438209</v>
      </c>
      <c r="EM97" s="2" t="s">
        <v>89</v>
      </c>
      <c r="EN97" s="2" t="s">
        <v>89</v>
      </c>
      <c r="EO97" s="2" t="s">
        <v>89</v>
      </c>
      <c r="EP97" s="2" t="s">
        <v>89</v>
      </c>
      <c r="EQ97" s="2" t="s">
        <v>89</v>
      </c>
      <c r="ER97" s="2" t="s">
        <v>89</v>
      </c>
      <c r="ES97" s="2" t="s">
        <v>89</v>
      </c>
      <c r="ET97" s="2" t="str">
        <f>HYPERLINK(".\links\REFSEQ-INVERTEBRATE\AGAP009920-PA-REFSEQ-INVERTEBRATE.txt","AGAP009920-PA")</f>
        <v>AGAP009920-PA</v>
      </c>
      <c r="EU97" s="2" t="str">
        <f>HYPERLINK("http://www.ncbi.nlm.nih.gov/sutils/blink.cgi?pid=XP_319038.4","1E-57")</f>
        <v>1E-57</v>
      </c>
      <c r="EV97" s="2" t="str">
        <f>HYPERLINK("http://www.ncbi.nlm.nih.gov/protein/XP_319038.4","XP_319038.4")</f>
        <v>XP_319038.4</v>
      </c>
      <c r="EW97" s="2">
        <v>100</v>
      </c>
      <c r="EX97" s="2">
        <v>100</v>
      </c>
      <c r="EY97" s="2">
        <v>100</v>
      </c>
      <c r="EZ97" s="2" t="s">
        <v>95</v>
      </c>
    </row>
    <row r="98" spans="1:156" x14ac:dyDescent="0.25">
      <c r="A98" s="2" t="s">
        <v>644</v>
      </c>
      <c r="B98" s="2">
        <v>-0.79660405437897497</v>
      </c>
      <c r="C98" s="2">
        <f t="shared" si="1"/>
        <v>0.57570272478589268</v>
      </c>
      <c r="D98" s="2">
        <v>5.2897403005722303</v>
      </c>
      <c r="E98" s="2">
        <v>14.582048363297799</v>
      </c>
      <c r="F98" s="2">
        <v>1.3418679337249401E-4</v>
      </c>
      <c r="G98" s="2">
        <v>1.0829090819464E-2</v>
      </c>
      <c r="H98" s="2" t="s">
        <v>645</v>
      </c>
      <c r="I98" s="2" t="s">
        <v>87</v>
      </c>
      <c r="J98" s="2" t="str">
        <f>HYPERLINK("https://vectorbase.org/vectorbase/app/record/gene/AGAP002730","AGAP002730-RA")</f>
        <v>AGAP002730-RA</v>
      </c>
      <c r="K98" s="2" t="str">
        <f>HYPERLINK(".\links\pep\AGAP002730-PA-pep.txt","AGAP002730-PA")</f>
        <v>AGAP002730-PA</v>
      </c>
      <c r="L98" s="12" t="s">
        <v>88</v>
      </c>
      <c r="M98" s="2">
        <v>130</v>
      </c>
      <c r="N98" s="2">
        <v>0</v>
      </c>
      <c r="O98" s="2">
        <v>0</v>
      </c>
      <c r="P98" s="2" t="s">
        <v>646</v>
      </c>
      <c r="Q98" s="9" t="s">
        <v>647</v>
      </c>
      <c r="R98" s="2" t="s">
        <v>145</v>
      </c>
      <c r="S98" s="2" t="str">
        <f>HYPERLINK(".\links\REFSEQ-INVERTEBRATE\AGAP002730-PA-REFSEQ-INVERTEBRATE.txt","REFSEQ-INVERTEBRATE")</f>
        <v>REFSEQ-INVERTEBRATE</v>
      </c>
      <c r="T98" s="2">
        <v>1E-59</v>
      </c>
      <c r="U98" s="2">
        <v>100.7</v>
      </c>
      <c r="V98" s="2" t="s">
        <v>648</v>
      </c>
      <c r="W98" s="10" t="s">
        <v>649</v>
      </c>
      <c r="X98" s="2" t="s">
        <v>145</v>
      </c>
      <c r="Y98" s="2" t="str">
        <f>HYPERLINK(".\links\REFSEQ-INVERTEBRATE\AGAP002730-PA-REFSEQ-INVERTEBRATE.txt","REFSEQ-INVERTEBRATE")</f>
        <v>REFSEQ-INVERTEBRATE</v>
      </c>
      <c r="Z98" s="13">
        <v>2.9999999999999999E-89</v>
      </c>
      <c r="AA98" s="2">
        <v>100</v>
      </c>
      <c r="AB98" s="14" t="str">
        <f>HYPERLINK(".\links\pep\AGAP002730-PA-sulf.txt","1")</f>
        <v>1</v>
      </c>
      <c r="AC98" s="14" t="str">
        <f>HYPERLINK(".\links\Sigp\AGAP002730-PA-SigP.txt","CYT")</f>
        <v>CYT</v>
      </c>
      <c r="AD98" s="2" t="s">
        <v>89</v>
      </c>
      <c r="AE98" s="2">
        <v>14.271000000000001</v>
      </c>
      <c r="AF98" s="2">
        <v>8.7899999999999991</v>
      </c>
      <c r="AG98" s="2" t="s">
        <v>89</v>
      </c>
      <c r="AH98" s="2" t="s">
        <v>89</v>
      </c>
      <c r="AI98" s="2" t="s">
        <v>607</v>
      </c>
      <c r="AJ98" s="14">
        <v>0</v>
      </c>
      <c r="AK98" s="2" t="s">
        <v>89</v>
      </c>
      <c r="AL98" s="2" t="s">
        <v>89</v>
      </c>
      <c r="AM98" s="2" t="s">
        <v>89</v>
      </c>
      <c r="AN98" s="14" t="str">
        <f>HYPERLINK(".\links\gpi\AGAP002730-PA-gpi.txt","N")</f>
        <v>N</v>
      </c>
      <c r="AO98" s="15" t="str">
        <f>HYPERLINK(".\links\netoglyc\AGAP002730-PA-netoglyc.txt","0")</f>
        <v>0</v>
      </c>
      <c r="AP98" s="14">
        <v>11.5</v>
      </c>
      <c r="AQ98" s="2">
        <v>7.7</v>
      </c>
      <c r="AR98" s="2">
        <v>2.2999999999999998</v>
      </c>
      <c r="AS98" s="2" t="s">
        <v>94</v>
      </c>
      <c r="AT98" s="9" t="str">
        <f>HYPERLINK(".\links\NR-LIGHT\AGAP002730-PA-NR-LIGHT.txt","AGAP002730-PA")</f>
        <v>AGAP002730-PA</v>
      </c>
      <c r="AU98" s="2" t="str">
        <f>HYPERLINK("http://www.ncbi.nlm.nih.gov/sutils/blink.cgi?pid=XP_312196.1","5E-067")</f>
        <v>5E-067</v>
      </c>
      <c r="AV98" s="2" t="str">
        <f>HYPERLINK("http://www.ncbi.nlm.nih.gov/protein/XP_312196.1","XP_312196.1")</f>
        <v>XP_312196.1</v>
      </c>
      <c r="AW98" s="2">
        <v>100</v>
      </c>
      <c r="AX98" s="2">
        <v>100</v>
      </c>
      <c r="AY98" s="2">
        <v>100</v>
      </c>
      <c r="AZ98" s="2" t="s">
        <v>95</v>
      </c>
      <c r="BA98" s="9" t="str">
        <f>HYPERLINK(".\links\REFSEQ-INVERTEBRATE\AGAP002730-PA-REFSEQ-INVERTEBRATE.txt","AGAP002730-PA")</f>
        <v>AGAP002730-PA</v>
      </c>
      <c r="BB98" s="2" t="str">
        <f>HYPERLINK("http://www.ncbi.nlm.nih.gov/sutils/blink.cgi?pid=XP_312196.1","4E-067")</f>
        <v>4E-067</v>
      </c>
      <c r="BC98" s="2" t="str">
        <f>HYPERLINK("http://www.ncbi.nlm.nih.gov/protein/XP_312196.1","XP_312196.1")</f>
        <v>XP_312196.1</v>
      </c>
      <c r="BD98" s="2">
        <v>100</v>
      </c>
      <c r="BE98" s="2">
        <v>100</v>
      </c>
      <c r="BF98" s="2">
        <v>100</v>
      </c>
      <c r="BG98" s="2" t="s">
        <v>95</v>
      </c>
      <c r="BH98" s="9" t="str">
        <f>HYPERLINK(".\links\REFSEQ-PROTOZOA\AGAP002730-PA-REFSEQ-PROTOZOA.txt","hypothetical protein H257_08194")</f>
        <v>hypothetical protein H257_08194</v>
      </c>
      <c r="BI98" s="2" t="str">
        <f>HYPERLINK("http://www.ncbi.nlm.nih.gov/sutils/blink.cgi?pid=XP_009832302.1","3E-032")</f>
        <v>3E-032</v>
      </c>
      <c r="BJ98" s="2" t="str">
        <f>HYPERLINK("http://www.ncbi.nlm.nih.gov/protein/XP_009832302.1","XP_009832302.1")</f>
        <v>XP_009832302.1</v>
      </c>
      <c r="BK98" s="2">
        <v>52</v>
      </c>
      <c r="BL98" s="2">
        <v>70</v>
      </c>
      <c r="BM98" s="2">
        <v>96</v>
      </c>
      <c r="BN98" s="2" t="s">
        <v>320</v>
      </c>
      <c r="BO98" s="9" t="str">
        <f>HYPERLINK(".\links\SWISSP\AGAP002730-PA-SWISSP.txt","Iron-sulfur cluster assembly 1 homolog, mitochondrial")</f>
        <v>Iron-sulfur cluster assembly 1 homolog, mitochondrial</v>
      </c>
      <c r="BP98" s="2" t="str">
        <f>HYPERLINK("http://www.uniprot.org/uniprot/Q8T3X9","1E-055")</f>
        <v>1E-055</v>
      </c>
      <c r="BQ98" s="2" t="str">
        <f>HYPERLINK("http://www.uniprot.org/uniprot/Q8T3X9#expression","Q8T3X9")</f>
        <v>Q8T3X9</v>
      </c>
      <c r="BR98" s="2">
        <v>81</v>
      </c>
      <c r="BS98" s="2">
        <v>92</v>
      </c>
      <c r="BT98" s="2">
        <v>100</v>
      </c>
      <c r="BU98" s="2" t="s">
        <v>151</v>
      </c>
      <c r="BV98" s="9" t="str">
        <f>HYPERLINK(".\links\FLYBASE\AGAP002730-PA-FLYBASE.txt","FBpp0073900")</f>
        <v>FBpp0073900</v>
      </c>
      <c r="BW98" s="2" t="str">
        <f>HYPERLINK("http://flybase.org/reports/FBgn0026666#alliance_summary_container","6E-77")</f>
        <v>6E-77</v>
      </c>
      <c r="BX98" s="2">
        <v>130</v>
      </c>
      <c r="BY98" s="2">
        <v>81</v>
      </c>
      <c r="BZ98" s="2">
        <v>92</v>
      </c>
      <c r="CA98" s="2">
        <v>100</v>
      </c>
      <c r="CB98" s="9" t="str">
        <f>HYPERLINK(".\links\CDD\AGAP002730-PA-CDD.txt","Uncharacterized_protein_in_nifU_5'region, Iron-sulfur cluster assembly accessory protein")</f>
        <v>Uncharacterized_protein_in_nifU_5'region, Iron-sulfur cluster assembly accessory protein</v>
      </c>
      <c r="CC98" s="13">
        <v>6.9999999999999999E-36</v>
      </c>
      <c r="CD98" s="2">
        <v>99</v>
      </c>
      <c r="CE98" s="2" t="s">
        <v>650</v>
      </c>
      <c r="CF98" s="2" t="s">
        <v>651</v>
      </c>
      <c r="CG98" s="9" t="str">
        <f>HYPERLINK(".\links\KOG\AGAP002730-PA-KOG.txt","Fe-S cluster biosynthesis protein ISA1 (contains a HesB-like domain)")</f>
        <v>Fe-S cluster biosynthesis protein ISA1 (contains a HesB-like domain)</v>
      </c>
      <c r="CH98" s="13">
        <v>9.9999999999999997E-49</v>
      </c>
      <c r="CI98" s="2">
        <v>97</v>
      </c>
      <c r="CJ98" s="2" t="s">
        <v>652</v>
      </c>
      <c r="CK98" s="2" t="s">
        <v>653</v>
      </c>
      <c r="CL98" s="9" t="str">
        <f>HYPERLINK(".\links\PFAM\AGAP002730-PA-PFAM.txt","Fe-S_biosyn, Iron-sulphur cluster biosynthesis")</f>
        <v>Fe-S_biosyn, Iron-sulphur cluster biosynthesis</v>
      </c>
      <c r="CM98" s="13">
        <v>4.0000000000000001E-13</v>
      </c>
      <c r="CN98" s="2">
        <v>98.2</v>
      </c>
      <c r="CO98" s="2" t="s">
        <v>654</v>
      </c>
      <c r="CP98" s="9" t="str">
        <f>HYPERLINK(".\links\SMART\AGAP002730-PA-SMART.txt","AIP3, Actin interacting protein 3")</f>
        <v>AIP3, Actin interacting protein 3</v>
      </c>
      <c r="CQ98" s="13">
        <v>0.38</v>
      </c>
      <c r="CR98" s="2">
        <v>8.5</v>
      </c>
      <c r="CS98" s="2" t="s">
        <v>221</v>
      </c>
      <c r="CT98" s="2" t="s">
        <v>648</v>
      </c>
      <c r="CU98" s="2" t="s">
        <v>648</v>
      </c>
      <c r="CV98" s="2" t="s">
        <v>648</v>
      </c>
      <c r="CW98" s="2" t="str">
        <f>HYPERLINK(".\links\pep\AGAP002730-PA-pep.txt","AGAP002730-PA")</f>
        <v>AGAP002730-PA</v>
      </c>
      <c r="CX98" s="2" t="s">
        <v>88</v>
      </c>
      <c r="CY98" s="2">
        <v>130</v>
      </c>
      <c r="CZ98" s="2" t="s">
        <v>103</v>
      </c>
      <c r="DA98" s="2" t="s">
        <v>655</v>
      </c>
      <c r="DB98" s="2">
        <v>0</v>
      </c>
      <c r="DC98" s="2">
        <v>0</v>
      </c>
      <c r="DD98" s="2" t="str">
        <f>HYPERLINK("https://www.kegg.jp/kegg-bin/search_pathway_text?map=aga&amp;keyword=AGAP002730&amp;mode=1&amp;viewImage=true","AGAP002730")</f>
        <v>AGAP002730</v>
      </c>
      <c r="DE98" s="2" t="s">
        <v>644</v>
      </c>
      <c r="DF98" s="2" t="s">
        <v>645</v>
      </c>
      <c r="DG98" s="2" t="s">
        <v>87</v>
      </c>
      <c r="DH98" s="2" t="str">
        <f>HYPERLINK("https://vectorbase.org/vectorbase/app/record/gene/AGAP002730","AGAP002730-RA")</f>
        <v>AGAP002730-RA</v>
      </c>
      <c r="DI98" s="2" t="s">
        <v>105</v>
      </c>
      <c r="DJ98" s="2">
        <v>769</v>
      </c>
      <c r="DK98" s="2" t="str">
        <f>HYPERLINK(".\links\netoglyc\AGAP002730-PA-netoglyc.txt","0")</f>
        <v>0</v>
      </c>
      <c r="DL98" s="2">
        <v>11.5</v>
      </c>
      <c r="DM98" s="2">
        <v>7.7</v>
      </c>
      <c r="DN98" s="2">
        <v>2.2999999999999998</v>
      </c>
      <c r="DO98" s="2" t="s">
        <v>94</v>
      </c>
      <c r="DP98" s="2" t="s">
        <v>89</v>
      </c>
      <c r="DQ98" s="2" t="str">
        <f>HYPERLINK(".\links\Sigp\AGAP002730-PA-SigP.txt","CYT")</f>
        <v>CYT</v>
      </c>
      <c r="DR98" s="2" t="s">
        <v>89</v>
      </c>
      <c r="DS98" s="2">
        <v>14.271000000000001</v>
      </c>
      <c r="DT98" s="2">
        <v>8.7899999999999991</v>
      </c>
      <c r="DU98" s="2" t="s">
        <v>89</v>
      </c>
      <c r="DV98" s="2" t="s">
        <v>89</v>
      </c>
      <c r="DW98" s="2" t="s">
        <v>607</v>
      </c>
      <c r="DX98" s="2">
        <v>130</v>
      </c>
      <c r="DY98" s="12">
        <v>0</v>
      </c>
      <c r="DZ98" s="2" t="s">
        <v>89</v>
      </c>
      <c r="EA98" s="2" t="s">
        <v>89</v>
      </c>
      <c r="EB98" s="2" t="s">
        <v>89</v>
      </c>
      <c r="EC98" s="2" t="str">
        <f>HYPERLINK(".\links\gpi\AGAP002730-PA-gpi.txt","N")</f>
        <v>N</v>
      </c>
      <c r="ED98" s="2">
        <v>0.26</v>
      </c>
      <c r="EF98" s="2">
        <v>3</v>
      </c>
      <c r="EG98" s="2" t="str">
        <f>HYPERLINK(".\links\pep\AGAP002730-PA-sulf.txt","1")</f>
        <v>1</v>
      </c>
      <c r="EH98" s="2" t="s">
        <v>89</v>
      </c>
      <c r="EI98" s="2">
        <v>11.538461538461499</v>
      </c>
      <c r="EJ98" s="2">
        <v>2.3076923076923102</v>
      </c>
      <c r="EK98" s="2">
        <v>7.6923076923076898</v>
      </c>
      <c r="EL98" s="2">
        <v>10</v>
      </c>
      <c r="EM98" s="2" t="s">
        <v>89</v>
      </c>
      <c r="EN98" s="2">
        <v>1</v>
      </c>
      <c r="EO98" s="2">
        <v>1</v>
      </c>
      <c r="EP98" s="2" t="s">
        <v>89</v>
      </c>
      <c r="EQ98" s="2" t="s">
        <v>89</v>
      </c>
      <c r="ER98" s="2" t="s">
        <v>89</v>
      </c>
      <c r="ES98" s="2" t="s">
        <v>89</v>
      </c>
      <c r="ET98" s="2" t="str">
        <f>HYPERLINK(".\links\REFSEQ-INVERTEBRATE\AGAP002730-PA-REFSEQ-INVERTEBRATE.txt","AGAP002730-PA")</f>
        <v>AGAP002730-PA</v>
      </c>
      <c r="EU98" s="2" t="str">
        <f>HYPERLINK("http://www.ncbi.nlm.nih.gov/sutils/blink.cgi?pid=XP_312196.1","4E-92")</f>
        <v>4E-92</v>
      </c>
      <c r="EV98" s="2" t="str">
        <f>HYPERLINK("http://www.ncbi.nlm.nih.gov/protein/XP_312196.1","XP_312196.1")</f>
        <v>XP_312196.1</v>
      </c>
      <c r="EW98" s="2">
        <v>100</v>
      </c>
      <c r="EX98" s="2">
        <v>100</v>
      </c>
      <c r="EY98" s="2">
        <v>100</v>
      </c>
      <c r="EZ98" s="2" t="s">
        <v>95</v>
      </c>
    </row>
    <row r="99" spans="1:156" x14ac:dyDescent="0.25">
      <c r="A99" s="2" t="s">
        <v>1941</v>
      </c>
      <c r="B99" s="2">
        <v>-0.797081533401787</v>
      </c>
      <c r="C99" s="2">
        <f t="shared" si="1"/>
        <v>0.57551221987451973</v>
      </c>
      <c r="D99" s="2">
        <v>7.3896544787914999</v>
      </c>
      <c r="E99" s="2">
        <v>18.6062440201882</v>
      </c>
      <c r="F99" s="2">
        <v>1.6069336232824299E-5</v>
      </c>
      <c r="G99" s="2">
        <v>2.34370168316275E-3</v>
      </c>
      <c r="H99" s="2" t="s">
        <v>1942</v>
      </c>
      <c r="I99" s="2" t="s">
        <v>87</v>
      </c>
      <c r="J99" s="2" t="str">
        <f>HYPERLINK("https://vectorbase.org/vectorbase/app/record/gene/AGAP007722","AGAP007722-RA")</f>
        <v>AGAP007722-RA</v>
      </c>
      <c r="K99" s="2" t="str">
        <f>HYPERLINK(".\links\pep\AGAP007722-PA-pep.txt","AGAP007722-PA")</f>
        <v>AGAP007722-PA</v>
      </c>
      <c r="L99" s="12" t="s">
        <v>88</v>
      </c>
      <c r="M99" s="2">
        <v>240</v>
      </c>
      <c r="N99" s="2">
        <v>0</v>
      </c>
      <c r="O99" s="2">
        <v>0</v>
      </c>
      <c r="P99" s="2" t="s">
        <v>1943</v>
      </c>
      <c r="Q99" s="9" t="s">
        <v>1944</v>
      </c>
      <c r="R99" s="2" t="s">
        <v>562</v>
      </c>
      <c r="S99" s="2" t="str">
        <f>HYPERLINK(".\links\KOG\AGAP007722-PA-KOG.txt","KOG")</f>
        <v>KOG</v>
      </c>
      <c r="T99" s="2">
        <v>4.0000000000000002E-33</v>
      </c>
      <c r="U99" s="2">
        <v>113.3</v>
      </c>
      <c r="V99" s="2" t="s">
        <v>1945</v>
      </c>
      <c r="W99" s="10" t="s">
        <v>1946</v>
      </c>
      <c r="X99" s="2" t="s">
        <v>562</v>
      </c>
      <c r="Y99" s="2" t="str">
        <f>HYPERLINK(".\links\COG\AGAP007722-PA-COG.txt","COG")</f>
        <v>COG</v>
      </c>
      <c r="Z99" s="13">
        <v>2.0000000000000001E-37</v>
      </c>
      <c r="AA99" s="2">
        <v>116.8</v>
      </c>
      <c r="AB99" s="14" t="s">
        <v>89</v>
      </c>
      <c r="AC99" s="14" t="str">
        <f>HYPERLINK(".\links\Sigp\AGAP007722-PA-SigP.txt","CYT")</f>
        <v>CYT</v>
      </c>
      <c r="AD99" s="2" t="s">
        <v>89</v>
      </c>
      <c r="AE99" s="2">
        <v>26.443000000000001</v>
      </c>
      <c r="AF99" s="2">
        <v>7.02</v>
      </c>
      <c r="AG99" s="2" t="s">
        <v>89</v>
      </c>
      <c r="AH99" s="2" t="s">
        <v>89</v>
      </c>
      <c r="AI99" s="2" t="s">
        <v>93</v>
      </c>
      <c r="AJ99" s="14">
        <v>0</v>
      </c>
      <c r="AK99" s="2" t="s">
        <v>89</v>
      </c>
      <c r="AL99" s="2" t="s">
        <v>89</v>
      </c>
      <c r="AM99" s="2" t="s">
        <v>89</v>
      </c>
      <c r="AN99" s="14" t="str">
        <f>HYPERLINK(".\links\gpi\AGAP007722-PA-gpi.txt","N")</f>
        <v>N</v>
      </c>
      <c r="AO99" s="15" t="str">
        <f>HYPERLINK(".\links\netoglyc\AGAP007722-PA-netoglyc.txt","0")</f>
        <v>0</v>
      </c>
      <c r="AP99" s="14">
        <v>10.4</v>
      </c>
      <c r="AQ99" s="2">
        <v>7.5</v>
      </c>
      <c r="AR99" s="2">
        <v>5</v>
      </c>
      <c r="AS99" s="2" t="s">
        <v>94</v>
      </c>
      <c r="AT99" s="9" t="str">
        <f>HYPERLINK(".\links\NR-LIGHT\AGAP007722-PA-NR-LIGHT.txt","AGAP007722-PA")</f>
        <v>AGAP007722-PA</v>
      </c>
      <c r="AU99" s="2" t="str">
        <f>HYPERLINK("http://www.ncbi.nlm.nih.gov/sutils/blink.cgi?pid=XP_308155.2","1E-133")</f>
        <v>1E-133</v>
      </c>
      <c r="AV99" s="2" t="str">
        <f>HYPERLINK("http://www.ncbi.nlm.nih.gov/protein/XP_308155.2","XP_308155.2")</f>
        <v>XP_308155.2</v>
      </c>
      <c r="AW99" s="2">
        <v>100</v>
      </c>
      <c r="AX99" s="2">
        <v>100</v>
      </c>
      <c r="AY99" s="2">
        <v>100</v>
      </c>
      <c r="AZ99" s="2" t="s">
        <v>95</v>
      </c>
      <c r="BA99" s="9" t="str">
        <f>HYPERLINK(".\links\REFSEQ-INVERTEBRATE\AGAP007722-PA-REFSEQ-INVERTEBRATE.txt","AGAP007722-PA")</f>
        <v>AGAP007722-PA</v>
      </c>
      <c r="BB99" s="2" t="str">
        <f>HYPERLINK("http://www.ncbi.nlm.nih.gov/sutils/blink.cgi?pid=XP_308155.2","1E-133")</f>
        <v>1E-133</v>
      </c>
      <c r="BC99" s="2" t="str">
        <f>HYPERLINK("http://www.ncbi.nlm.nih.gov/protein/XP_308155.2","XP_308155.2")</f>
        <v>XP_308155.2</v>
      </c>
      <c r="BD99" s="2">
        <v>100</v>
      </c>
      <c r="BE99" s="2">
        <v>100</v>
      </c>
      <c r="BF99" s="2">
        <v>100</v>
      </c>
      <c r="BG99" s="2" t="s">
        <v>95</v>
      </c>
      <c r="BH99" s="9" t="str">
        <f>HYPERLINK(".\links\REFSEQ-PROTOZOA\AGAP007722-PA-REFSEQ-PROTOZOA.txt","adenylate kinase")</f>
        <v>adenylate kinase</v>
      </c>
      <c r="BI99" s="2" t="str">
        <f>HYPERLINK("http://www.ncbi.nlm.nih.gov/sutils/blink.cgi?pid=XP_009493463.1","3E-079")</f>
        <v>3E-079</v>
      </c>
      <c r="BJ99" s="2" t="str">
        <f>HYPERLINK("http://www.ncbi.nlm.nih.gov/protein/XP_009493463.1","XP_009493463.1")</f>
        <v>XP_009493463.1</v>
      </c>
      <c r="BK99" s="2">
        <v>64</v>
      </c>
      <c r="BL99" s="2">
        <v>76</v>
      </c>
      <c r="BM99" s="2">
        <v>93</v>
      </c>
      <c r="BN99" s="2" t="s">
        <v>1072</v>
      </c>
      <c r="BO99" s="9" t="str">
        <f>HYPERLINK(".\links\SWISSP\AGAP007722-PA-SWISSP.txt","Adenylate kinase")</f>
        <v>Adenylate kinase</v>
      </c>
      <c r="BP99" s="2" t="str">
        <f>HYPERLINK("http://www.uniprot.org/uniprot/Q7QJX9","1E-134")</f>
        <v>1E-134</v>
      </c>
      <c r="BQ99" s="2" t="str">
        <f>HYPERLINK("http://www.uniprot.org/uniprot/Q7QJX9#expression","Q7QJX9")</f>
        <v>Q7QJX9</v>
      </c>
      <c r="BR99" s="2">
        <v>100</v>
      </c>
      <c r="BS99" s="2">
        <v>100</v>
      </c>
      <c r="BT99" s="2">
        <v>100</v>
      </c>
      <c r="BU99" s="2" t="s">
        <v>215</v>
      </c>
      <c r="BV99" s="9" t="str">
        <f>HYPERLINK(".\links\FLYBASE\AGAP007722-PA-FLYBASE.txt","FBpp0072072")</f>
        <v>FBpp0072072</v>
      </c>
      <c r="BW99" s="2" t="str">
        <f>HYPERLINK("http://flybase.org/reports/FBgn0283494#alliance_summary_container","1E-144")</f>
        <v>1E-144</v>
      </c>
      <c r="BX99" s="2">
        <v>240</v>
      </c>
      <c r="BY99" s="2">
        <v>81</v>
      </c>
      <c r="BZ99" s="2">
        <v>89</v>
      </c>
      <c r="CA99" s="2">
        <v>99</v>
      </c>
      <c r="CB99" s="9" t="str">
        <f>HYPERLINK(".\links\CDD\AGAP007722-PA-CDD.txt","adk, adenylate kinase")</f>
        <v>adk, adenylate kinase</v>
      </c>
      <c r="CC99" s="13">
        <v>2.0000000000000001E-83</v>
      </c>
      <c r="CD99" s="2">
        <v>97.7</v>
      </c>
      <c r="CE99" s="2" t="s">
        <v>1947</v>
      </c>
      <c r="CF99" s="2" t="s">
        <v>1948</v>
      </c>
      <c r="CG99" s="9" t="str">
        <f>HYPERLINK(".\links\KOG\AGAP007722-PA-KOG.txt","Adenylate kinase")</f>
        <v>Adenylate kinase</v>
      </c>
      <c r="CH99" s="13">
        <v>3.0000000000000001E-71</v>
      </c>
      <c r="CI99" s="2">
        <v>91.5</v>
      </c>
      <c r="CJ99" s="2" t="s">
        <v>1949</v>
      </c>
      <c r="CK99" s="2" t="s">
        <v>237</v>
      </c>
      <c r="CL99" s="9" t="str">
        <f>HYPERLINK(".\links\PFAM\AGAP007722-PA-PFAM.txt","ADK, Adenylate kinase")</f>
        <v>ADK, Adenylate kinase</v>
      </c>
      <c r="CM99" s="13">
        <v>5E-80</v>
      </c>
      <c r="CN99" s="2">
        <v>98.9</v>
      </c>
      <c r="CO99" s="2" t="s">
        <v>1950</v>
      </c>
      <c r="CP99" s="9" t="str">
        <f>HYPERLINK(".\links\SMART\AGAP007722-PA-SMART.txt","DEXDc, DEAD-like helicases superfamily")</f>
        <v>DEXDc, DEAD-like helicases superfamily</v>
      </c>
      <c r="CQ99" s="13">
        <v>5.6000000000000001E-2</v>
      </c>
      <c r="CR99" s="2">
        <v>54.7</v>
      </c>
      <c r="CS99" s="2" t="s">
        <v>694</v>
      </c>
      <c r="CT99" s="2" t="s">
        <v>1945</v>
      </c>
      <c r="CU99" s="2" t="s">
        <v>1945</v>
      </c>
      <c r="CV99" s="2" t="s">
        <v>1945</v>
      </c>
      <c r="CW99" s="2" t="str">
        <f>HYPERLINK(".\links\pep\AGAP007722-PA-pep.txt","AGAP007722-PA")</f>
        <v>AGAP007722-PA</v>
      </c>
      <c r="CX99" s="2" t="s">
        <v>88</v>
      </c>
      <c r="CY99" s="2">
        <v>240</v>
      </c>
      <c r="CZ99" s="2" t="s">
        <v>103</v>
      </c>
      <c r="DA99" s="2" t="s">
        <v>1951</v>
      </c>
      <c r="DB99" s="2">
        <v>0</v>
      </c>
      <c r="DC99" s="2">
        <v>0</v>
      </c>
      <c r="DD99" s="2" t="str">
        <f>HYPERLINK("https://www.kegg.jp/kegg-bin/search_pathway_text?map=aga&amp;keyword=AGAP007722&amp;mode=1&amp;viewImage=true","AGAP007722")</f>
        <v>AGAP007722</v>
      </c>
      <c r="DE99" s="2" t="s">
        <v>1941</v>
      </c>
      <c r="DF99" s="2" t="s">
        <v>1942</v>
      </c>
      <c r="DG99" s="2" t="s">
        <v>87</v>
      </c>
      <c r="DH99" s="2" t="str">
        <f>HYPERLINK("https://vectorbase.org/vectorbase/app/record/gene/AGAP007722","AGAP007722-RA")</f>
        <v>AGAP007722-RA</v>
      </c>
      <c r="DI99" s="2" t="s">
        <v>105</v>
      </c>
      <c r="DJ99" s="2">
        <v>1201</v>
      </c>
      <c r="DK99" s="2" t="str">
        <f>HYPERLINK(".\links\netoglyc\AGAP007722-PA-netoglyc.txt","0")</f>
        <v>0</v>
      </c>
      <c r="DL99" s="2">
        <v>10.4</v>
      </c>
      <c r="DM99" s="2">
        <v>7.5</v>
      </c>
      <c r="DN99" s="2">
        <v>5</v>
      </c>
      <c r="DO99" s="2" t="s">
        <v>94</v>
      </c>
      <c r="DP99" s="2" t="s">
        <v>89</v>
      </c>
      <c r="DQ99" s="2" t="str">
        <f>HYPERLINK(".\links\Sigp\AGAP007722-PA-SigP.txt","CYT")</f>
        <v>CYT</v>
      </c>
      <c r="DR99" s="2" t="s">
        <v>89</v>
      </c>
      <c r="DS99" s="2">
        <v>26.443000000000001</v>
      </c>
      <c r="DT99" s="2">
        <v>7.02</v>
      </c>
      <c r="DU99" s="2" t="s">
        <v>89</v>
      </c>
      <c r="DV99" s="2" t="s">
        <v>89</v>
      </c>
      <c r="DW99" s="2" t="s">
        <v>93</v>
      </c>
      <c r="DX99" s="2">
        <v>240</v>
      </c>
      <c r="DY99" s="12">
        <v>0</v>
      </c>
      <c r="DZ99" s="2" t="s">
        <v>89</v>
      </c>
      <c r="EA99" s="2" t="s">
        <v>89</v>
      </c>
      <c r="EB99" s="2" t="s">
        <v>89</v>
      </c>
      <c r="EC99" s="2" t="str">
        <f>HYPERLINK(".\links\gpi\AGAP007722-PA-gpi.txt","Y-NoSP")</f>
        <v>Y-NoSP</v>
      </c>
      <c r="ED99" s="2">
        <v>0.23</v>
      </c>
      <c r="EF99" s="2">
        <v>3</v>
      </c>
      <c r="EG99" s="2" t="s">
        <v>89</v>
      </c>
      <c r="EH99" s="2" t="s">
        <v>89</v>
      </c>
      <c r="EI99" s="2">
        <v>10.4166666666667</v>
      </c>
      <c r="EJ99" s="2">
        <v>5</v>
      </c>
      <c r="EK99" s="2">
        <v>7.5</v>
      </c>
      <c r="EL99" s="2">
        <v>12.5</v>
      </c>
      <c r="EM99" s="2">
        <v>1</v>
      </c>
      <c r="EN99" s="2">
        <v>1</v>
      </c>
      <c r="EO99" s="2">
        <v>1</v>
      </c>
      <c r="EP99" s="2" t="s">
        <v>89</v>
      </c>
      <c r="EQ99" s="2" t="s">
        <v>89</v>
      </c>
      <c r="ER99" s="2" t="s">
        <v>89</v>
      </c>
      <c r="ES99" s="2" t="s">
        <v>89</v>
      </c>
      <c r="ET99" s="2" t="str">
        <f>HYPERLINK(".\links\REFSEQ-INVERTEBRATE\AGAP007722-PA-REFSEQ-INVERTEBRATE.txt","AGAP007722-PA")</f>
        <v>AGAP007722-PA</v>
      </c>
      <c r="EU99" s="2" t="str">
        <f>HYPERLINK("http://www.ncbi.nlm.nih.gov/sutils/blink.cgi?pid=XP_308155.2","1E-177")</f>
        <v>1E-177</v>
      </c>
      <c r="EV99" s="2" t="str">
        <f>HYPERLINK("http://www.ncbi.nlm.nih.gov/protein/XP_308155.2","XP_308155.2")</f>
        <v>XP_308155.2</v>
      </c>
      <c r="EW99" s="2">
        <v>100</v>
      </c>
      <c r="EX99" s="2">
        <v>100</v>
      </c>
      <c r="EY99" s="2">
        <v>100</v>
      </c>
      <c r="EZ99" s="2" t="s">
        <v>95</v>
      </c>
    </row>
    <row r="100" spans="1:156" x14ac:dyDescent="0.25">
      <c r="A100" s="2" t="s">
        <v>2295</v>
      </c>
      <c r="B100" s="2">
        <v>-0.79857652991488903</v>
      </c>
      <c r="C100" s="2">
        <f t="shared" si="1"/>
        <v>0.57491615272139474</v>
      </c>
      <c r="D100" s="2">
        <v>4.97711598837535</v>
      </c>
      <c r="E100" s="2">
        <v>13.697888855871</v>
      </c>
      <c r="F100" s="2">
        <v>2.1469569703257E-4</v>
      </c>
      <c r="G100" s="2">
        <v>1.4862412043059801E-2</v>
      </c>
      <c r="H100" s="2" t="s">
        <v>86</v>
      </c>
      <c r="I100" s="2" t="s">
        <v>87</v>
      </c>
      <c r="J100" s="2" t="str">
        <f>HYPERLINK("https://vectorbase.org/vectorbase/app/record/gene/AGAP009614","AGAP009614-RA")</f>
        <v>AGAP009614-RA</v>
      </c>
      <c r="K100" s="2" t="str">
        <f>HYPERLINK(".\links\pep\AGAP009614-PA-pep.txt","AGAP009614-PA")</f>
        <v>AGAP009614-PA</v>
      </c>
      <c r="L100" s="12" t="s">
        <v>88</v>
      </c>
      <c r="M100" s="2">
        <v>233</v>
      </c>
      <c r="N100" s="2">
        <v>0</v>
      </c>
      <c r="O100" s="2">
        <v>0</v>
      </c>
      <c r="P100" s="2" t="s">
        <v>89</v>
      </c>
      <c r="Q100" s="9" t="s">
        <v>1197</v>
      </c>
      <c r="R100" s="2" t="s">
        <v>700</v>
      </c>
      <c r="S100" s="2" t="str">
        <f>HYPERLINK(".\links\REFSEQ-INVERTEBRATE\AGAP009614-PA-REFSEQ-INVERTEBRATE.txt","REFSEQ-INVERTEBRATE")</f>
        <v>REFSEQ-INVERTEBRATE</v>
      </c>
      <c r="T100" s="2">
        <v>0</v>
      </c>
      <c r="V100" s="2" t="s">
        <v>2296</v>
      </c>
      <c r="W100" s="10" t="s">
        <v>1197</v>
      </c>
      <c r="X100" s="2" t="s">
        <v>700</v>
      </c>
      <c r="Y100" s="2" t="str">
        <f>HYPERLINK(".\links\REFSEQ-INVERTEBRATE\AGAP009614-PA-REFSEQ-INVERTEBRATE.txt","REFSEQ-INVERTEBRATE")</f>
        <v>REFSEQ-INVERTEBRATE</v>
      </c>
      <c r="Z100" s="2">
        <v>0</v>
      </c>
      <c r="AB100" s="14" t="s">
        <v>89</v>
      </c>
      <c r="AC100" s="14" t="str">
        <f>HYPERLINK(".\links\Sigp\AGAP009614-PA-SigP.txt","CYT")</f>
        <v>CYT</v>
      </c>
      <c r="AD100" s="2" t="s">
        <v>89</v>
      </c>
      <c r="AE100" s="2">
        <v>25.96</v>
      </c>
      <c r="AF100" s="2">
        <v>9.0299999999999994</v>
      </c>
      <c r="AG100" s="2" t="s">
        <v>89</v>
      </c>
      <c r="AH100" s="2" t="s">
        <v>89</v>
      </c>
      <c r="AI100" s="2" t="s">
        <v>2297</v>
      </c>
      <c r="AJ100" s="14" t="str">
        <f>HYPERLINK(".\links\tmhmm\AGAP009614-PA-tmhmm.txt","2")</f>
        <v>2</v>
      </c>
      <c r="AK100" s="2">
        <v>17.600000000000001</v>
      </c>
      <c r="AL100" s="2">
        <v>6.4</v>
      </c>
      <c r="AM100" s="2">
        <v>76</v>
      </c>
      <c r="AN100" s="14" t="str">
        <f>HYPERLINK(".\links\gpi\AGAP009614-PA-gpi.txt","N")</f>
        <v>N</v>
      </c>
      <c r="AO100" s="15" t="str">
        <f>HYPERLINK(".\links\netoglyc\AGAP009614-PA-netoglyc.txt","4")</f>
        <v>4</v>
      </c>
      <c r="AP100" s="14">
        <v>17.600000000000001</v>
      </c>
      <c r="AQ100" s="2">
        <v>6.4</v>
      </c>
      <c r="AR100" s="2">
        <v>3</v>
      </c>
      <c r="AS100" s="2" t="s">
        <v>94</v>
      </c>
      <c r="AT100" s="9" t="str">
        <f>HYPERLINK(".\links\NR-LIGHT\AGAP009614-PA-NR-LIGHT.txt","AGAP009614-PA")</f>
        <v>AGAP009614-PA</v>
      </c>
      <c r="AU100" s="2" t="str">
        <f>HYPERLINK("http://www.ncbi.nlm.nih.gov/sutils/blink.cgi?pid=XP_318644.3","1E-130")</f>
        <v>1E-130</v>
      </c>
      <c r="AV100" s="2" t="str">
        <f>HYPERLINK("http://www.ncbi.nlm.nih.gov/protein/XP_318644.3","XP_318644.3")</f>
        <v>XP_318644.3</v>
      </c>
      <c r="AW100" s="2">
        <v>100</v>
      </c>
      <c r="AX100" s="2">
        <v>100</v>
      </c>
      <c r="AY100" s="2">
        <v>100</v>
      </c>
      <c r="AZ100" s="2" t="s">
        <v>95</v>
      </c>
      <c r="BA100" s="9" t="str">
        <f>HYPERLINK(".\links\REFSEQ-INVERTEBRATE\AGAP009614-PA-REFSEQ-INVERTEBRATE.txt","AGAP009614-PA")</f>
        <v>AGAP009614-PA</v>
      </c>
      <c r="BB100" s="2" t="str">
        <f>HYPERLINK("http://www.ncbi.nlm.nih.gov/sutils/blink.cgi?pid=XP_318644.3","1E-130")</f>
        <v>1E-130</v>
      </c>
      <c r="BC100" s="2" t="str">
        <f>HYPERLINK("http://www.ncbi.nlm.nih.gov/protein/XP_318644.3","XP_318644.3")</f>
        <v>XP_318644.3</v>
      </c>
      <c r="BD100" s="2">
        <v>100</v>
      </c>
      <c r="BE100" s="2">
        <v>100</v>
      </c>
      <c r="BF100" s="2">
        <v>100</v>
      </c>
      <c r="BG100" s="2" t="s">
        <v>95</v>
      </c>
      <c r="BH100" s="9" t="str">
        <f>HYPERLINK(".\links\REFSEQ-PROTOZOA\AGAP009614-PA-REFSEQ-PROTOZOA.txt","hypothetical protein PRSY57_1139400")</f>
        <v>hypothetical protein PRSY57_1139400</v>
      </c>
      <c r="BI100" s="2" t="str">
        <f>HYPERLINK("http://www.ncbi.nlm.nih.gov/sutils/blink.cgi?pid=XP_019970358.1","0.67")</f>
        <v>0.67</v>
      </c>
      <c r="BJ100" s="2" t="str">
        <f>HYPERLINK("http://www.ncbi.nlm.nih.gov/protein/XP_019970358.1","XP_019970358.1")</f>
        <v>XP_019970358.1</v>
      </c>
      <c r="BK100" s="2">
        <v>28</v>
      </c>
      <c r="BL100" s="2">
        <v>46</v>
      </c>
      <c r="BM100" s="2">
        <v>10</v>
      </c>
      <c r="BN100" s="2" t="s">
        <v>2298</v>
      </c>
      <c r="BO100" s="9" t="str">
        <f>HYPERLINK(".\links\SWISSP\AGAP009614-PA-SWISSP.txt","Transmembrane protein 186")</f>
        <v>Transmembrane protein 186</v>
      </c>
      <c r="BP100" s="2" t="str">
        <f>HYPERLINK("http://www.uniprot.org/uniprot/Q4KLZ1","5E-008")</f>
        <v>5E-008</v>
      </c>
      <c r="BQ100" s="2" t="str">
        <f>HYPERLINK("http://www.uniprot.org/uniprot/Q4KLZ1#expression","Q4KLZ1")</f>
        <v>Q4KLZ1</v>
      </c>
      <c r="BR100" s="2">
        <v>23</v>
      </c>
      <c r="BS100" s="2">
        <v>44</v>
      </c>
      <c r="BT100" s="2">
        <v>86</v>
      </c>
      <c r="BU100" s="2" t="s">
        <v>198</v>
      </c>
      <c r="BV100" s="9" t="str">
        <f>HYPERLINK(".\links\FLYBASE\AGAP009614-PA-FLYBASE.txt","FBpp0086851")</f>
        <v>FBpp0086851</v>
      </c>
      <c r="BW100" s="2" t="str">
        <f>HYPERLINK("http://flybase.org/reports/FBgn0033808#alliance_summary_container","8E-23")</f>
        <v>8E-23</v>
      </c>
      <c r="BX100" s="2">
        <v>204</v>
      </c>
      <c r="BY100" s="2">
        <v>32</v>
      </c>
      <c r="BZ100" s="2">
        <v>50</v>
      </c>
      <c r="CA100" s="2">
        <v>82</v>
      </c>
      <c r="CB100" s="9" t="str">
        <f>HYPERLINK(".\links\CDD\AGAP009614-PA-CDD.txt","PLN02554, UDP-glycosyltransferase family protein")</f>
        <v>PLN02554, UDP-glycosyltransferase family protein</v>
      </c>
      <c r="CC100" s="13">
        <v>3.1</v>
      </c>
      <c r="CD100" s="2">
        <v>4.4000000000000004</v>
      </c>
      <c r="CE100" s="2" t="s">
        <v>2299</v>
      </c>
      <c r="CF100" s="2" t="s">
        <v>2300</v>
      </c>
      <c r="CG100" s="9" t="str">
        <f>HYPERLINK(".\links\KOG\AGAP009614-PA-KOG.txt","Uncharacterized conserved protein")</f>
        <v>Uncharacterized conserved protein</v>
      </c>
      <c r="CH100" s="13">
        <v>0.74</v>
      </c>
      <c r="CI100" s="2">
        <v>3.2</v>
      </c>
      <c r="CJ100" s="2" t="s">
        <v>2301</v>
      </c>
      <c r="CK100" s="2" t="s">
        <v>101</v>
      </c>
      <c r="CL100" s="9" t="str">
        <f>HYPERLINK(".\links\PFAM\AGAP009614-PA-PFAM.txt","DUF2518, Protein of function (DUF2518)")</f>
        <v>DUF2518, Protein of function (DUF2518)</v>
      </c>
      <c r="CM100" s="13">
        <v>1.2</v>
      </c>
      <c r="CN100" s="2">
        <v>12.7</v>
      </c>
      <c r="CO100" s="2" t="s">
        <v>2302</v>
      </c>
      <c r="CP100" s="9" t="str">
        <f>HYPERLINK(".\links\SMART\AGAP009614-PA-SMART.txt","B3, B3 DNA binding domain")</f>
        <v>B3, B3 DNA binding domain</v>
      </c>
      <c r="CQ100" s="13">
        <v>0.54</v>
      </c>
      <c r="CR100" s="2">
        <v>46.9</v>
      </c>
      <c r="CS100" s="2" t="s">
        <v>2303</v>
      </c>
      <c r="CT100" s="2" t="s">
        <v>2296</v>
      </c>
      <c r="CU100" s="2" t="s">
        <v>2296</v>
      </c>
      <c r="CV100" s="2" t="s">
        <v>2296</v>
      </c>
      <c r="CW100" s="2" t="str">
        <f>HYPERLINK(".\links\pep\AGAP009614-PA-pep.txt","AGAP009614-PA")</f>
        <v>AGAP009614-PA</v>
      </c>
      <c r="CX100" s="2" t="s">
        <v>88</v>
      </c>
      <c r="CY100" s="2">
        <v>233</v>
      </c>
      <c r="CZ100" s="2" t="s">
        <v>103</v>
      </c>
      <c r="DA100" s="2" t="s">
        <v>2304</v>
      </c>
      <c r="DB100" s="2">
        <v>0</v>
      </c>
      <c r="DC100" s="2">
        <v>0</v>
      </c>
      <c r="DD100" s="2" t="str">
        <f>HYPERLINK("https://www.kegg.jp/kegg-bin/search_pathway_text?map=aga&amp;keyword=AGAP009614&amp;mode=1&amp;viewImage=true","AGAP009614")</f>
        <v>AGAP009614</v>
      </c>
      <c r="DE100" s="2" t="s">
        <v>2295</v>
      </c>
      <c r="DF100" s="2" t="s">
        <v>86</v>
      </c>
      <c r="DG100" s="2" t="s">
        <v>87</v>
      </c>
      <c r="DH100" s="2" t="str">
        <f>HYPERLINK("https://vectorbase.org/vectorbase/app/record/gene/AGAP009614","AGAP009614-RA")</f>
        <v>AGAP009614-RA</v>
      </c>
      <c r="DI100" s="2" t="s">
        <v>105</v>
      </c>
      <c r="DJ100" s="2">
        <v>851</v>
      </c>
      <c r="DK100" s="2" t="str">
        <f>HYPERLINK(".\links\netoglyc\AGAP009614-PA-netoglyc.txt","4")</f>
        <v>4</v>
      </c>
      <c r="DL100" s="2">
        <v>17.600000000000001</v>
      </c>
      <c r="DM100" s="2">
        <v>6.4</v>
      </c>
      <c r="DN100" s="2">
        <v>3</v>
      </c>
      <c r="DO100" s="2" t="s">
        <v>94</v>
      </c>
      <c r="DP100" s="2" t="s">
        <v>89</v>
      </c>
      <c r="DQ100" s="2" t="str">
        <f>HYPERLINK(".\links\Sigp\AGAP009614-PA-SigP.txt","CYT")</f>
        <v>CYT</v>
      </c>
      <c r="DR100" s="2" t="s">
        <v>89</v>
      </c>
      <c r="DS100" s="2">
        <v>25.96</v>
      </c>
      <c r="DT100" s="2">
        <v>9.0299999999999994</v>
      </c>
      <c r="DU100" s="2" t="s">
        <v>89</v>
      </c>
      <c r="DV100" s="2" t="s">
        <v>89</v>
      </c>
      <c r="DW100" s="2" t="s">
        <v>2297</v>
      </c>
      <c r="DX100" s="2">
        <v>233</v>
      </c>
      <c r="DY100" s="12" t="str">
        <f>HYPERLINK(".\links\tmhmm\AGAP009614-PA-tmhmm.txt","2")</f>
        <v>2</v>
      </c>
      <c r="DZ100" s="2">
        <v>17.600000000000001</v>
      </c>
      <c r="EA100" s="2">
        <v>6.4</v>
      </c>
      <c r="EB100" s="2">
        <v>76</v>
      </c>
      <c r="EC100" s="2" t="str">
        <f>HYPERLINK(".\links\gpi\AGAP009614-PA-gpi.txt","N")</f>
        <v>N</v>
      </c>
      <c r="ED100" s="2">
        <v>0.25</v>
      </c>
      <c r="EF100" s="2">
        <v>5</v>
      </c>
      <c r="EG100" s="2" t="s">
        <v>89</v>
      </c>
      <c r="EH100" s="2" t="s">
        <v>89</v>
      </c>
      <c r="EI100" s="2">
        <v>17.596566523605201</v>
      </c>
      <c r="EJ100" s="2">
        <v>3.0042918454935599</v>
      </c>
      <c r="EK100" s="2">
        <v>6.4377682403433498</v>
      </c>
      <c r="EL100" s="2">
        <v>9.4420600858369106</v>
      </c>
      <c r="EM100" s="2" t="s">
        <v>89</v>
      </c>
      <c r="EN100" s="2">
        <v>2</v>
      </c>
      <c r="EO100" s="2">
        <v>2</v>
      </c>
      <c r="EP100" s="2" t="s">
        <v>89</v>
      </c>
      <c r="EQ100" s="2" t="s">
        <v>89</v>
      </c>
      <c r="ER100" s="2" t="s">
        <v>89</v>
      </c>
      <c r="ES100" s="2" t="s">
        <v>2305</v>
      </c>
      <c r="ET100" s="2" t="str">
        <f>HYPERLINK(".\links\REFSEQ-INVERTEBRATE\AGAP009614-PA-REFSEQ-INVERTEBRATE.txt","AGAP009614-PA")</f>
        <v>AGAP009614-PA</v>
      </c>
      <c r="EU100" s="2" t="str">
        <f>HYPERLINK("http://www.ncbi.nlm.nih.gov/sutils/blink.cgi?pid=XP_318644.3","1E-175")</f>
        <v>1E-175</v>
      </c>
      <c r="EV100" s="2" t="str">
        <f>HYPERLINK("http://www.ncbi.nlm.nih.gov/protein/XP_318644.3","XP_318644.3")</f>
        <v>XP_318644.3</v>
      </c>
      <c r="EW100" s="2">
        <v>100</v>
      </c>
      <c r="EX100" s="2">
        <v>100</v>
      </c>
      <c r="EY100" s="2">
        <v>100</v>
      </c>
      <c r="EZ100" s="2" t="s">
        <v>95</v>
      </c>
    </row>
    <row r="101" spans="1:156" x14ac:dyDescent="0.25">
      <c r="A101" s="2" t="s">
        <v>469</v>
      </c>
      <c r="B101" s="2">
        <v>-0.79871488699279602</v>
      </c>
      <c r="C101" s="2">
        <f t="shared" si="1"/>
        <v>0.57486101986059868</v>
      </c>
      <c r="D101" s="2">
        <v>7.0117271280348996</v>
      </c>
      <c r="E101" s="2">
        <v>15.0401362887965</v>
      </c>
      <c r="F101" s="2">
        <v>1.05248860423741E-4</v>
      </c>
      <c r="G101" s="2">
        <v>9.28126213233464E-3</v>
      </c>
      <c r="H101" s="2" t="s">
        <v>470</v>
      </c>
      <c r="I101" s="2" t="s">
        <v>89</v>
      </c>
      <c r="J101" s="2" t="str">
        <f>HYPERLINK("https://vectorbase.org/vectorbase/app/record/gene/AGAP001459","AGAP001459-RB")</f>
        <v>AGAP001459-RB</v>
      </c>
      <c r="K101" s="2" t="str">
        <f>HYPERLINK(".\links\pep\AGAP001459-PB-pep.txt","AGAP001459-PB")</f>
        <v>AGAP001459-PB</v>
      </c>
      <c r="L101" s="12" t="s">
        <v>88</v>
      </c>
      <c r="M101" s="2">
        <v>187</v>
      </c>
      <c r="N101" s="2">
        <v>0</v>
      </c>
      <c r="O101" s="2">
        <v>0</v>
      </c>
      <c r="P101" s="2" t="s">
        <v>471</v>
      </c>
      <c r="Q101" s="9" t="s">
        <v>472</v>
      </c>
      <c r="R101" s="2" t="s">
        <v>245</v>
      </c>
      <c r="S101" s="2" t="str">
        <f>HYPERLINK(".\links\CDD\AGAP001459-PB-CDD.txt","CDD")</f>
        <v>CDD</v>
      </c>
      <c r="T101" s="2">
        <v>6.9999999999999997E-75</v>
      </c>
      <c r="U101" s="2">
        <v>99.4</v>
      </c>
      <c r="V101" s="2" t="s">
        <v>473</v>
      </c>
      <c r="W101" s="10" t="s">
        <v>474</v>
      </c>
      <c r="X101" s="2" t="s">
        <v>245</v>
      </c>
      <c r="Y101" s="2" t="str">
        <f>HYPERLINK(".\links\REFSEQVERTEBRATE95\AGAP001459-PB-REFSEQVERTEBRATE95.txt","REFSEQVERTEBRATE95")</f>
        <v>REFSEQVERTEBRATE95</v>
      </c>
      <c r="Z101" s="13">
        <v>1E-89</v>
      </c>
      <c r="AA101" s="2">
        <v>86.2</v>
      </c>
      <c r="AB101" s="14" t="str">
        <f>HYPERLINK(".\links\pep\AGAP001459-PB-sulf.txt","1")</f>
        <v>1</v>
      </c>
      <c r="AC101" s="14" t="str">
        <f>HYPERLINK(".\links\Sigp\AGAP001459-PB-SigP.txt","CYT")</f>
        <v>CYT</v>
      </c>
      <c r="AD101" s="2" t="s">
        <v>89</v>
      </c>
      <c r="AE101" s="2">
        <v>21.7</v>
      </c>
      <c r="AF101" s="2">
        <v>10.36</v>
      </c>
      <c r="AG101" s="2" t="s">
        <v>89</v>
      </c>
      <c r="AH101" s="2" t="s">
        <v>89</v>
      </c>
      <c r="AI101" s="2" t="s">
        <v>93</v>
      </c>
      <c r="AJ101" s="14">
        <v>0</v>
      </c>
      <c r="AK101" s="2" t="s">
        <v>89</v>
      </c>
      <c r="AL101" s="2" t="s">
        <v>89</v>
      </c>
      <c r="AM101" s="2" t="s">
        <v>89</v>
      </c>
      <c r="AN101" s="14" t="str">
        <f>HYPERLINK(".\links\gpi\AGAP001459-PB-gpi.txt","N")</f>
        <v>N</v>
      </c>
      <c r="AO101" s="15" t="str">
        <f>HYPERLINK(".\links\netoglyc\AGAP001459-PB-netoglyc.txt","0")</f>
        <v>0</v>
      </c>
      <c r="AP101" s="14">
        <v>9.6</v>
      </c>
      <c r="AQ101" s="2">
        <v>4.8</v>
      </c>
      <c r="AR101" s="2">
        <v>3.7</v>
      </c>
      <c r="AS101" s="2" t="s">
        <v>94</v>
      </c>
      <c r="AT101" s="9" t="str">
        <f>HYPERLINK(".\links\NR-LIGHT\AGAP001459-PB-NR-LIGHT.txt","AGAP001459-PA")</f>
        <v>AGAP001459-PA</v>
      </c>
      <c r="AU101" s="2" t="str">
        <f>HYPERLINK("http://www.ncbi.nlm.nih.gov/sutils/blink.cgi?pid=XP_551371.1","1E-104")</f>
        <v>1E-104</v>
      </c>
      <c r="AV101" s="2" t="str">
        <f>HYPERLINK("http://www.ncbi.nlm.nih.gov/protein/XP_551371.1","XP_551371.1")</f>
        <v>XP_551371.1</v>
      </c>
      <c r="AW101" s="2">
        <v>100</v>
      </c>
      <c r="AX101" s="2">
        <v>100</v>
      </c>
      <c r="AY101" s="2">
        <v>100</v>
      </c>
      <c r="AZ101" s="2" t="s">
        <v>95</v>
      </c>
      <c r="BA101" s="9" t="str">
        <f>HYPERLINK(".\links\REFSEQ-INVERTEBRATE\AGAP001459-PB-REFSEQ-INVERTEBRATE.txt","AGAP001459-PA")</f>
        <v>AGAP001459-PA</v>
      </c>
      <c r="BB101" s="2" t="str">
        <f>HYPERLINK("http://www.ncbi.nlm.nih.gov/sutils/blink.cgi?pid=XP_551371.1","1E-104")</f>
        <v>1E-104</v>
      </c>
      <c r="BC101" s="2" t="str">
        <f>HYPERLINK("http://www.ncbi.nlm.nih.gov/protein/XP_551371.1","XP_551371.1")</f>
        <v>XP_551371.1</v>
      </c>
      <c r="BD101" s="2">
        <v>100</v>
      </c>
      <c r="BE101" s="2">
        <v>100</v>
      </c>
      <c r="BF101" s="2">
        <v>100</v>
      </c>
      <c r="BG101" s="2" t="s">
        <v>95</v>
      </c>
      <c r="BH101" s="9" t="str">
        <f>HYPERLINK(".\links\REFSEQ-PROTOZOA\AGAP001459-PB-REFSEQ-PROTOZOA.txt","hypothetical protein")</f>
        <v>hypothetical protein</v>
      </c>
      <c r="BI101" s="2" t="str">
        <f>HYPERLINK("http://www.ncbi.nlm.nih.gov/sutils/blink.cgi?pid=XP_001742127.1","5E-058")</f>
        <v>5E-058</v>
      </c>
      <c r="BJ101" s="2" t="str">
        <f>HYPERLINK("http://www.ncbi.nlm.nih.gov/protein/XP_001742127.1","XP_001742127.1")</f>
        <v>XP_001742127.1</v>
      </c>
      <c r="BK101" s="2">
        <v>63</v>
      </c>
      <c r="BL101" s="2">
        <v>78</v>
      </c>
      <c r="BM101" s="2">
        <v>99</v>
      </c>
      <c r="BN101" s="2" t="s">
        <v>389</v>
      </c>
      <c r="BO101" s="9" t="str">
        <f>HYPERLINK(".\links\SWISSP\AGAP001459-PB-SWISSP.txt","60S ribosomal protein L17")</f>
        <v>60S ribosomal protein L17</v>
      </c>
      <c r="BP101" s="2" t="str">
        <f>HYPERLINK("http://www.uniprot.org/uniprot/A0NGY0","1E-105")</f>
        <v>1E-105</v>
      </c>
      <c r="BQ101" s="2" t="str">
        <f>HYPERLINK("http://www.uniprot.org/uniprot/A0NGY0#expression","A0NGY0")</f>
        <v>A0NGY0</v>
      </c>
      <c r="BR101" s="2">
        <v>100</v>
      </c>
      <c r="BS101" s="2">
        <v>100</v>
      </c>
      <c r="BT101" s="2">
        <v>100</v>
      </c>
      <c r="BU101" s="2" t="s">
        <v>215</v>
      </c>
      <c r="BV101" s="9" t="str">
        <f>HYPERLINK(".\links\FLYBASE\AGAP001459-PB-FLYBASE.txt","FBpp0311459")</f>
        <v>FBpp0311459</v>
      </c>
      <c r="BW101" s="2" t="str">
        <f>HYPERLINK("http://flybase.org/reports/FBgn0029897#alliance_summary_container","1E-107")</f>
        <v>1E-107</v>
      </c>
      <c r="BX101" s="2">
        <v>186</v>
      </c>
      <c r="BY101" s="2">
        <v>81</v>
      </c>
      <c r="BZ101" s="2">
        <v>91</v>
      </c>
      <c r="CA101" s="2">
        <v>101</v>
      </c>
      <c r="CB101" s="9" t="str">
        <f>HYPERLINK(".\links\CDD\AGAP001459-PB-CDD.txt","PTZ00178, 60S ribosomal protein L17")</f>
        <v>PTZ00178, 60S ribosomal protein L17</v>
      </c>
      <c r="CC101" s="13">
        <v>6.9999999999999997E-75</v>
      </c>
      <c r="CD101" s="2">
        <v>99.4</v>
      </c>
      <c r="CE101" s="2" t="s">
        <v>475</v>
      </c>
      <c r="CF101" s="2" t="s">
        <v>476</v>
      </c>
      <c r="CG101" s="9" t="str">
        <f>HYPERLINK(".\links\KOG\AGAP001459-PB-KOG.txt","60S ribosomal protein L22")</f>
        <v>60S ribosomal protein L22</v>
      </c>
      <c r="CH101" s="13">
        <v>3.0000000000000003E-67</v>
      </c>
      <c r="CI101" s="2">
        <v>100</v>
      </c>
      <c r="CJ101" s="2" t="s">
        <v>477</v>
      </c>
      <c r="CK101" s="2" t="s">
        <v>252</v>
      </c>
      <c r="CL101" s="9" t="str">
        <f>HYPERLINK(".\links\PFAM\AGAP001459-PB-PFAM.txt","Ribosomal_L22, Ribosomal protein L22p/L17e")</f>
        <v>Ribosomal_L22, Ribosomal protein L22p/L17e</v>
      </c>
      <c r="CM101" s="13">
        <v>8.9999999999999996E-29</v>
      </c>
      <c r="CN101" s="2">
        <v>129.80000000000001</v>
      </c>
      <c r="CO101" s="2" t="s">
        <v>478</v>
      </c>
      <c r="CP101" s="9" t="str">
        <f>HYPERLINK(".\links\SMART\AGAP001459-PB-SMART.txt","TOP4c, DNA Topoisomerase IV")</f>
        <v>TOP4c, DNA Topoisomerase IV</v>
      </c>
      <c r="CQ101" s="13">
        <v>0.15</v>
      </c>
      <c r="CR101" s="2">
        <v>11.5</v>
      </c>
      <c r="CS101" s="2" t="s">
        <v>479</v>
      </c>
      <c r="CT101" s="2" t="s">
        <v>473</v>
      </c>
      <c r="CU101" s="2" t="s">
        <v>473</v>
      </c>
      <c r="CV101" s="2" t="s">
        <v>473</v>
      </c>
      <c r="CW101" s="2" t="str">
        <f>HYPERLINK(".\links\pep\AGAP001459-PB-pep.txt","AGAP001459-PB")</f>
        <v>AGAP001459-PB</v>
      </c>
      <c r="CX101" s="2" t="s">
        <v>88</v>
      </c>
      <c r="CY101" s="2">
        <v>187</v>
      </c>
      <c r="CZ101" s="2" t="s">
        <v>103</v>
      </c>
      <c r="DA101" s="2">
        <v>0</v>
      </c>
      <c r="DB101" s="2">
        <v>0</v>
      </c>
      <c r="DD101" s="2" t="str">
        <f>HYPERLINK("https://www.kegg.jp/kegg-bin/search_pathway_text?map=aga&amp;keyword=AGAP001459&amp;mode=1&amp;viewImage=true","AGAP001459")</f>
        <v>AGAP001459</v>
      </c>
      <c r="DE101" s="2" t="s">
        <v>469</v>
      </c>
      <c r="DF101" s="2" t="s">
        <v>470</v>
      </c>
      <c r="DG101" s="2" t="s">
        <v>89</v>
      </c>
      <c r="DH101" s="2" t="str">
        <f>HYPERLINK("https://vectorbase.org/vectorbase/app/record/gene/AGAP001459","AGAP001459-RB")</f>
        <v>AGAP001459-RB</v>
      </c>
      <c r="DI101" s="2" t="s">
        <v>158</v>
      </c>
      <c r="DJ101" s="2">
        <v>729</v>
      </c>
      <c r="DK101" s="2" t="str">
        <f>HYPERLINK(".\links\netoglyc\AGAP001459-PB-netoglyc.txt","0")</f>
        <v>0</v>
      </c>
      <c r="DL101" s="2">
        <v>9.6</v>
      </c>
      <c r="DM101" s="2">
        <v>4.8</v>
      </c>
      <c r="DN101" s="2">
        <v>3.7</v>
      </c>
      <c r="DO101" s="2" t="s">
        <v>94</v>
      </c>
      <c r="DP101" s="2" t="s">
        <v>480</v>
      </c>
      <c r="DQ101" s="2" t="str">
        <f>HYPERLINK(".\links\Sigp\AGAP001459-PB-SigP.txt","CYT")</f>
        <v>CYT</v>
      </c>
      <c r="DR101" s="2" t="s">
        <v>89</v>
      </c>
      <c r="DS101" s="2">
        <v>21.7</v>
      </c>
      <c r="DT101" s="2">
        <v>10.36</v>
      </c>
      <c r="DU101" s="2" t="s">
        <v>89</v>
      </c>
      <c r="DV101" s="2" t="s">
        <v>89</v>
      </c>
      <c r="DW101" s="2" t="s">
        <v>93</v>
      </c>
      <c r="DX101" s="2">
        <v>187</v>
      </c>
      <c r="DY101" s="12">
        <v>0</v>
      </c>
      <c r="DZ101" s="2" t="s">
        <v>89</v>
      </c>
      <c r="EA101" s="2" t="s">
        <v>89</v>
      </c>
      <c r="EB101" s="2" t="s">
        <v>89</v>
      </c>
      <c r="EC101" s="2" t="str">
        <f>HYPERLINK(".\links\gpi\AGAP001459-PB-gpi.txt","N")</f>
        <v>N</v>
      </c>
      <c r="ED101" s="2">
        <v>0.33</v>
      </c>
      <c r="EF101" s="2">
        <v>5</v>
      </c>
      <c r="EG101" s="2" t="str">
        <f>HYPERLINK(".\links\pep\AGAP001459-PB-sulf.txt","1")</f>
        <v>1</v>
      </c>
      <c r="EH101" s="2" t="s">
        <v>89</v>
      </c>
      <c r="EI101" s="2">
        <v>9.6256684491978604</v>
      </c>
      <c r="EJ101" s="2">
        <v>3.7433155080213898</v>
      </c>
      <c r="EK101" s="2">
        <v>4.8128342245989302</v>
      </c>
      <c r="EL101" s="2">
        <v>8.5561497326203195</v>
      </c>
      <c r="EM101" s="2" t="s">
        <v>89</v>
      </c>
      <c r="EN101" s="2">
        <v>1</v>
      </c>
      <c r="EO101" s="2">
        <v>1</v>
      </c>
      <c r="EP101" s="2" t="s">
        <v>89</v>
      </c>
      <c r="EQ101" s="2" t="s">
        <v>89</v>
      </c>
      <c r="ER101" s="2" t="s">
        <v>89</v>
      </c>
      <c r="ES101" s="2" t="s">
        <v>89</v>
      </c>
      <c r="ET101" s="2" t="str">
        <f>HYPERLINK(".\links\REFSEQ-INVERTEBRATE\AGAP001459-PB-REFSEQ-INVERTEBRATE.txt","AGAP001459-PA")</f>
        <v>AGAP001459-PA</v>
      </c>
      <c r="EU101" s="2" t="str">
        <f>HYPERLINK("http://www.ncbi.nlm.nih.gov/sutils/blink.cgi?pid=XP_551371.1","1E-138")</f>
        <v>1E-138</v>
      </c>
      <c r="EV101" s="2" t="str">
        <f>HYPERLINK("http://www.ncbi.nlm.nih.gov/protein/XP_551371.1","XP_551371.1")</f>
        <v>XP_551371.1</v>
      </c>
      <c r="EW101" s="2">
        <v>100</v>
      </c>
      <c r="EX101" s="2">
        <v>100</v>
      </c>
      <c r="EY101" s="2">
        <v>100</v>
      </c>
      <c r="EZ101" s="2" t="s">
        <v>95</v>
      </c>
    </row>
    <row r="102" spans="1:156" x14ac:dyDescent="0.25">
      <c r="A102" s="2" t="s">
        <v>1595</v>
      </c>
      <c r="B102" s="2">
        <v>-0.79992242368896604</v>
      </c>
      <c r="C102" s="2">
        <f t="shared" si="1"/>
        <v>0.57438006211870374</v>
      </c>
      <c r="D102" s="2">
        <v>5.2739242352210898</v>
      </c>
      <c r="E102" s="2">
        <v>11.335576406223799</v>
      </c>
      <c r="F102" s="2">
        <v>7.6036229528424995E-4</v>
      </c>
      <c r="G102" s="2">
        <v>3.4596484435433401E-2</v>
      </c>
      <c r="H102" s="2" t="s">
        <v>86</v>
      </c>
      <c r="I102" s="2" t="s">
        <v>87</v>
      </c>
      <c r="J102" s="2" t="str">
        <f>HYPERLINK("https://vectorbase.org/vectorbase/app/record/gene/AGAP005979","AGAP005979-RA")</f>
        <v>AGAP005979-RA</v>
      </c>
      <c r="K102" s="2" t="str">
        <f>HYPERLINK(".\links\pep\AGAP005979-PA-pep.txt","AGAP005979-PA")</f>
        <v>AGAP005979-PA</v>
      </c>
      <c r="L102" s="12" t="s">
        <v>88</v>
      </c>
      <c r="M102" s="2">
        <v>142</v>
      </c>
      <c r="N102" s="2">
        <v>0</v>
      </c>
      <c r="O102" s="2">
        <v>0</v>
      </c>
      <c r="P102" s="2" t="s">
        <v>89</v>
      </c>
      <c r="Q102" s="9" t="s">
        <v>1596</v>
      </c>
      <c r="R102" s="2" t="s">
        <v>91</v>
      </c>
      <c r="S102" s="2" t="str">
        <f>HYPERLINK(".\links\REFSEQ-INVERTEBRATE\AGAP005979-PA-REFSEQ-INVERTEBRATE.txt","REFSEQ-INVERTEBRATE")</f>
        <v>REFSEQ-INVERTEBRATE</v>
      </c>
      <c r="T102" s="2">
        <v>3.0000000000000002E-77</v>
      </c>
      <c r="U102" s="2">
        <v>100</v>
      </c>
      <c r="V102" s="2" t="s">
        <v>1596</v>
      </c>
      <c r="W102" s="10" t="s">
        <v>1597</v>
      </c>
      <c r="X102" s="2" t="s">
        <v>91</v>
      </c>
      <c r="Y102" s="2" t="str">
        <f>HYPERLINK(".\links\ARTHORPODA\AGAP005979-PA-ARTHORPODA.txt","ARTHORPODA")</f>
        <v>ARTHORPODA</v>
      </c>
      <c r="Z102" s="2">
        <v>0</v>
      </c>
      <c r="AA102" s="2">
        <v>100</v>
      </c>
      <c r="AB102" s="14" t="s">
        <v>89</v>
      </c>
      <c r="AC102" s="14" t="str">
        <f>HYPERLINK(".\links\Sigp\AGAP005979-PA-SigP.txt","CYT")</f>
        <v>CYT</v>
      </c>
      <c r="AD102" s="2" t="s">
        <v>89</v>
      </c>
      <c r="AE102" s="2">
        <v>16.263999999999999</v>
      </c>
      <c r="AF102" s="2">
        <v>6.8</v>
      </c>
      <c r="AG102" s="2" t="s">
        <v>89</v>
      </c>
      <c r="AH102" s="2" t="s">
        <v>89</v>
      </c>
      <c r="AI102" s="2" t="s">
        <v>93</v>
      </c>
      <c r="AJ102" s="14">
        <v>0</v>
      </c>
      <c r="AK102" s="2" t="s">
        <v>89</v>
      </c>
      <c r="AL102" s="2" t="s">
        <v>89</v>
      </c>
      <c r="AM102" s="2" t="s">
        <v>89</v>
      </c>
      <c r="AN102" s="14" t="str">
        <f>HYPERLINK(".\links\gpi\AGAP005979-PA-gpi.txt","N")</f>
        <v>N</v>
      </c>
      <c r="AO102" s="15" t="str">
        <f>HYPERLINK(".\links\netoglyc\AGAP005979-PA-netoglyc.txt","0")</f>
        <v>0</v>
      </c>
      <c r="AP102" s="14">
        <v>12</v>
      </c>
      <c r="AQ102" s="2">
        <v>1.4</v>
      </c>
      <c r="AR102" s="2">
        <v>2.8</v>
      </c>
      <c r="AS102" s="2" t="s">
        <v>94</v>
      </c>
      <c r="AT102" s="9" t="str">
        <f>HYPERLINK(".\links\NR-LIGHT\AGAP005979-PA-NR-LIGHT.txt","AGAP005979-PA")</f>
        <v>AGAP005979-PA</v>
      </c>
      <c r="AU102" s="2" t="str">
        <f>HYPERLINK("http://www.ncbi.nlm.nih.gov/sutils/blink.cgi?pid=XP_316022.3","3E-077")</f>
        <v>3E-077</v>
      </c>
      <c r="AV102" s="2" t="str">
        <f>HYPERLINK("http://www.ncbi.nlm.nih.gov/protein/XP_316022.3","XP_316022.3")</f>
        <v>XP_316022.3</v>
      </c>
      <c r="AW102" s="2">
        <v>100</v>
      </c>
      <c r="AX102" s="2">
        <v>100</v>
      </c>
      <c r="AY102" s="2">
        <v>100</v>
      </c>
      <c r="AZ102" s="2" t="s">
        <v>95</v>
      </c>
      <c r="BA102" s="9" t="str">
        <f>HYPERLINK(".\links\REFSEQ-INVERTEBRATE\AGAP005979-PA-REFSEQ-INVERTEBRATE.txt","AGAP005979-PA")</f>
        <v>AGAP005979-PA</v>
      </c>
      <c r="BB102" s="2" t="str">
        <f>HYPERLINK("http://www.ncbi.nlm.nih.gov/sutils/blink.cgi?pid=XP_316022.3","3E-077")</f>
        <v>3E-077</v>
      </c>
      <c r="BC102" s="2" t="str">
        <f>HYPERLINK("http://www.ncbi.nlm.nih.gov/protein/XP_316022.3","XP_316022.3")</f>
        <v>XP_316022.3</v>
      </c>
      <c r="BD102" s="2">
        <v>100</v>
      </c>
      <c r="BE102" s="2">
        <v>100</v>
      </c>
      <c r="BF102" s="2">
        <v>100</v>
      </c>
      <c r="BG102" s="2" t="s">
        <v>95</v>
      </c>
      <c r="BH102" s="9" t="str">
        <f>HYPERLINK(".\links\REFSEQ-PROTOZOA\AGAP005979-PA-REFSEQ-PROTOZOA.txt","hypothetical protein H310_13426")</f>
        <v>hypothetical protein H310_13426</v>
      </c>
      <c r="BI102" s="2" t="str">
        <f>HYPERLINK("http://www.ncbi.nlm.nih.gov/sutils/blink.cgi?pid=XP_008879143.1","2E-022")</f>
        <v>2E-022</v>
      </c>
      <c r="BJ102" s="2" t="str">
        <f>HYPERLINK("http://www.ncbi.nlm.nih.gov/protein/XP_008879143.1","XP_008879143.1")</f>
        <v>XP_008879143.1</v>
      </c>
      <c r="BK102" s="2">
        <v>34</v>
      </c>
      <c r="BL102" s="2">
        <v>54</v>
      </c>
      <c r="BM102" s="2">
        <v>96</v>
      </c>
      <c r="BN102" s="2" t="s">
        <v>1350</v>
      </c>
      <c r="BO102" s="9" t="str">
        <f>HYPERLINK(".\links\SWISSP\AGAP005979-PA-SWISSP.txt","Protein FAM136A")</f>
        <v>Protein FAM136A</v>
      </c>
      <c r="BP102" s="2" t="str">
        <f>HYPERLINK("http://www.uniprot.org/uniprot/A4QNC6","9E-025")</f>
        <v>9E-025</v>
      </c>
      <c r="BQ102" s="2" t="str">
        <f>HYPERLINK("http://www.uniprot.org/uniprot/A4QNC6#expression","A4QNC6")</f>
        <v>A4QNC6</v>
      </c>
      <c r="BR102" s="2">
        <v>38</v>
      </c>
      <c r="BS102" s="2">
        <v>58</v>
      </c>
      <c r="BT102" s="2">
        <v>99</v>
      </c>
      <c r="BU102" s="2" t="s">
        <v>97</v>
      </c>
      <c r="BV102" s="9" t="str">
        <f>HYPERLINK(".\links\FLYBASE\AGAP005979-PA-FLYBASE.txt","FBpp0085885")</f>
        <v>FBpp0085885</v>
      </c>
      <c r="BW102" s="2" t="str">
        <f>HYPERLINK("http://flybase.org/reports/FBgn0034362#alliance_summary_container","4E-58")</f>
        <v>4E-58</v>
      </c>
      <c r="BX102" s="2">
        <v>146</v>
      </c>
      <c r="BY102" s="2">
        <v>56</v>
      </c>
      <c r="BZ102" s="2">
        <v>75</v>
      </c>
      <c r="CA102" s="2">
        <v>97</v>
      </c>
      <c r="CB102" s="9" t="str">
        <f>HYPERLINK(".\links\CDD\AGAP005979-PA-CDD.txt","DUF842, Eukaryotic protein of unknown function (DUF842)")</f>
        <v>DUF842, Eukaryotic protein of unknown function (DUF842)</v>
      </c>
      <c r="CC102" s="13">
        <v>2E-41</v>
      </c>
      <c r="CD102" s="2">
        <v>100</v>
      </c>
      <c r="CE102" s="2" t="s">
        <v>1598</v>
      </c>
      <c r="CF102" s="2" t="s">
        <v>1599</v>
      </c>
      <c r="CG102" s="9" t="str">
        <f>HYPERLINK(".\links\KOG\AGAP005979-PA-KOG.txt","Uncharacterized conserved protein")</f>
        <v>Uncharacterized conserved protein</v>
      </c>
      <c r="CH102" s="13">
        <v>1.0000000000000001E-31</v>
      </c>
      <c r="CI102" s="2">
        <v>96.5</v>
      </c>
      <c r="CJ102" s="2" t="s">
        <v>1600</v>
      </c>
      <c r="CK102" s="2" t="s">
        <v>101</v>
      </c>
      <c r="CL102" s="9" t="str">
        <f>HYPERLINK(".\links\PFAM\AGAP005979-PA-PFAM.txt","DUF842, Eukaryotic protein of unknown function (DUF842)")</f>
        <v>DUF842, Eukaryotic protein of unknown function (DUF842)</v>
      </c>
      <c r="CM102" s="13">
        <v>5E-42</v>
      </c>
      <c r="CN102" s="2">
        <v>100</v>
      </c>
      <c r="CO102" s="2" t="s">
        <v>1598</v>
      </c>
      <c r="CP102" s="9" t="str">
        <f>HYPERLINK(".\links\SMART\AGAP005979-PA-SMART.txt","Zpr1, Duplicated domain in the epidermal growth factor- and elongation factor-1alpha-binding protein Zpr1")</f>
        <v>Zpr1, Duplicated domain in the epidermal growth factor- and elongation factor-1alpha-binding protein Zpr1</v>
      </c>
      <c r="CQ102" s="13">
        <v>0.46</v>
      </c>
      <c r="CR102" s="2">
        <v>19.399999999999999</v>
      </c>
      <c r="CS102" s="2" t="s">
        <v>1601</v>
      </c>
      <c r="CT102" s="2" t="s">
        <v>1596</v>
      </c>
      <c r="CU102" s="2" t="s">
        <v>1596</v>
      </c>
      <c r="CV102" s="2" t="s">
        <v>1596</v>
      </c>
      <c r="CW102" s="2" t="str">
        <f>HYPERLINK(".\links\pep\AGAP005979-PA-pep.txt","AGAP005979-PA")</f>
        <v>AGAP005979-PA</v>
      </c>
      <c r="CX102" s="2" t="s">
        <v>88</v>
      </c>
      <c r="CY102" s="2">
        <v>142</v>
      </c>
      <c r="CZ102" s="2" t="s">
        <v>103</v>
      </c>
      <c r="DA102" s="2" t="s">
        <v>1602</v>
      </c>
      <c r="DB102" s="2">
        <v>0</v>
      </c>
      <c r="DC102" s="2">
        <v>0</v>
      </c>
      <c r="DD102" s="2" t="str">
        <f>HYPERLINK("https://www.kegg.jp/kegg-bin/search_pathway_text?map=aga&amp;keyword=AGAP005979&amp;mode=1&amp;viewImage=true","AGAP005979")</f>
        <v>AGAP005979</v>
      </c>
      <c r="DE102" s="2" t="s">
        <v>1595</v>
      </c>
      <c r="DF102" s="2" t="s">
        <v>86</v>
      </c>
      <c r="DG102" s="2" t="s">
        <v>87</v>
      </c>
      <c r="DH102" s="2" t="str">
        <f>HYPERLINK("https://vectorbase.org/vectorbase/app/record/gene/AGAP005979","AGAP005979-RA")</f>
        <v>AGAP005979-RA</v>
      </c>
      <c r="DI102" s="2" t="s">
        <v>122</v>
      </c>
      <c r="DJ102" s="2">
        <v>785</v>
      </c>
      <c r="DK102" s="2" t="str">
        <f>HYPERLINK(".\links\netoglyc\AGAP005979-PA-netoglyc.txt","0")</f>
        <v>0</v>
      </c>
      <c r="DL102" s="2">
        <v>12</v>
      </c>
      <c r="DM102" s="2">
        <v>1.4</v>
      </c>
      <c r="DN102" s="2">
        <v>2.8</v>
      </c>
      <c r="DO102" s="2" t="s">
        <v>94</v>
      </c>
      <c r="DP102" s="2" t="s">
        <v>1603</v>
      </c>
      <c r="DQ102" s="2" t="str">
        <f>HYPERLINK(".\links\Sigp\AGAP005979-PA-SigP.txt","CYT")</f>
        <v>CYT</v>
      </c>
      <c r="DR102" s="2" t="s">
        <v>89</v>
      </c>
      <c r="DS102" s="2">
        <v>16.263999999999999</v>
      </c>
      <c r="DT102" s="2">
        <v>6.8</v>
      </c>
      <c r="DU102" s="2" t="s">
        <v>89</v>
      </c>
      <c r="DV102" s="2" t="s">
        <v>89</v>
      </c>
      <c r="DW102" s="2" t="s">
        <v>93</v>
      </c>
      <c r="DX102" s="2">
        <v>142</v>
      </c>
      <c r="DY102" s="12">
        <v>0</v>
      </c>
      <c r="DZ102" s="2" t="s">
        <v>89</v>
      </c>
      <c r="EA102" s="2" t="s">
        <v>89</v>
      </c>
      <c r="EB102" s="2" t="s">
        <v>89</v>
      </c>
      <c r="EC102" s="2" t="str">
        <f>HYPERLINK(".\links\gpi\AGAP005979-PA-gpi.txt","N")</f>
        <v>N</v>
      </c>
      <c r="ED102" s="2">
        <v>0.41</v>
      </c>
      <c r="EE102" s="2" t="s">
        <v>1368</v>
      </c>
      <c r="EF102" s="2">
        <v>9</v>
      </c>
      <c r="EG102" s="2" t="s">
        <v>89</v>
      </c>
      <c r="EH102" s="2" t="s">
        <v>89</v>
      </c>
      <c r="EI102" s="2">
        <v>11.971830985915499</v>
      </c>
      <c r="EJ102" s="2">
        <v>2.8169014084507</v>
      </c>
      <c r="EK102" s="2">
        <v>1.40845070422535</v>
      </c>
      <c r="EL102" s="2">
        <v>4.2253521126760596</v>
      </c>
      <c r="EM102" s="2" t="s">
        <v>89</v>
      </c>
      <c r="EN102" s="2" t="s">
        <v>89</v>
      </c>
      <c r="EO102" s="2" t="s">
        <v>89</v>
      </c>
      <c r="EP102" s="2" t="s">
        <v>89</v>
      </c>
      <c r="EQ102" s="2" t="s">
        <v>89</v>
      </c>
      <c r="ER102" s="2" t="s">
        <v>89</v>
      </c>
      <c r="ES102" s="2" t="s">
        <v>89</v>
      </c>
      <c r="ET102" s="2" t="str">
        <f>HYPERLINK(".\links\REFSEQ-INVERTEBRATE\AGAP005979-PA-REFSEQ-INVERTEBRATE.txt","AGAP005979-PA")</f>
        <v>AGAP005979-PA</v>
      </c>
      <c r="EU102" s="2" t="str">
        <f>HYPERLINK("http://www.ncbi.nlm.nih.gov/sutils/blink.cgi?pid=XP_316022.3","1E-101")</f>
        <v>1E-101</v>
      </c>
      <c r="EV102" s="2" t="str">
        <f>HYPERLINK("http://www.ncbi.nlm.nih.gov/protein/XP_316022.3","XP_316022.3")</f>
        <v>XP_316022.3</v>
      </c>
      <c r="EW102" s="2">
        <v>100</v>
      </c>
      <c r="EX102" s="2">
        <v>100</v>
      </c>
      <c r="EY102" s="2">
        <v>100</v>
      </c>
      <c r="EZ102" s="2" t="s">
        <v>95</v>
      </c>
    </row>
    <row r="103" spans="1:156" x14ac:dyDescent="0.25">
      <c r="A103" s="2" t="s">
        <v>2517</v>
      </c>
      <c r="B103" s="2">
        <v>-0.80055580689291095</v>
      </c>
      <c r="C103" s="2">
        <f t="shared" si="1"/>
        <v>0.57412794866044614</v>
      </c>
      <c r="D103" s="2">
        <v>11.230717763290199</v>
      </c>
      <c r="E103" s="2">
        <v>11.7159306357566</v>
      </c>
      <c r="F103" s="2">
        <v>6.1967313494299195E-4</v>
      </c>
      <c r="G103" s="2">
        <v>3.0392002374321402E-2</v>
      </c>
      <c r="H103" s="2" t="s">
        <v>2518</v>
      </c>
      <c r="I103" s="2" t="s">
        <v>87</v>
      </c>
      <c r="J103" s="2" t="str">
        <f>HYPERLINK("https://vectorbase.org/vectorbase/app/record/gene/AGAP010252","AGAP010252-RA")</f>
        <v>AGAP010252-RA</v>
      </c>
      <c r="K103" s="2" t="str">
        <f>HYPERLINK(".\links\pep\AGAP010252-PA-pep.txt","AGAP010252-PA")</f>
        <v>AGAP010252-PA</v>
      </c>
      <c r="L103" s="12" t="s">
        <v>88</v>
      </c>
      <c r="M103" s="2">
        <v>140</v>
      </c>
      <c r="N103" s="2">
        <v>0</v>
      </c>
      <c r="O103" s="2">
        <v>0</v>
      </c>
      <c r="P103" s="2" t="s">
        <v>2519</v>
      </c>
      <c r="Q103" s="9" t="s">
        <v>2520</v>
      </c>
      <c r="R103" s="2" t="s">
        <v>245</v>
      </c>
      <c r="S103" s="2" t="str">
        <f>HYPERLINK(".\links\CDD\AGAP010252-PA-CDD.txt","CDD")</f>
        <v>CDD</v>
      </c>
      <c r="T103" s="2">
        <v>6E-68</v>
      </c>
      <c r="U103" s="2">
        <v>99.2</v>
      </c>
      <c r="V103" s="2" t="s">
        <v>2521</v>
      </c>
      <c r="W103" s="10" t="s">
        <v>2522</v>
      </c>
      <c r="X103" s="2" t="s">
        <v>245</v>
      </c>
      <c r="Y103" s="2" t="str">
        <f>HYPERLINK(".\links\REFSEQVERTEBRATE95\AGAP010252-PA-REFSEQVERTEBRATE95.txt","REFSEQVERTEBRATE95")</f>
        <v>REFSEQVERTEBRATE95</v>
      </c>
      <c r="Z103" s="13">
        <v>1.9999999999999999E-88</v>
      </c>
      <c r="AA103" s="2">
        <v>83.8</v>
      </c>
      <c r="AB103" s="14" t="s">
        <v>89</v>
      </c>
      <c r="AC103" s="14" t="str">
        <f>HYPERLINK(".\links\Sigp\AGAP010252-PA-SigP.txt","CYT")</f>
        <v>CYT</v>
      </c>
      <c r="AD103" s="2" t="s">
        <v>89</v>
      </c>
      <c r="AE103" s="2">
        <v>15.013999999999999</v>
      </c>
      <c r="AF103" s="2">
        <v>10.83</v>
      </c>
      <c r="AG103" s="2" t="s">
        <v>89</v>
      </c>
      <c r="AH103" s="2" t="s">
        <v>89</v>
      </c>
      <c r="AI103" s="2" t="s">
        <v>2523</v>
      </c>
      <c r="AJ103" s="14">
        <v>0</v>
      </c>
      <c r="AK103" s="2" t="s">
        <v>89</v>
      </c>
      <c r="AL103" s="2" t="s">
        <v>89</v>
      </c>
      <c r="AM103" s="2" t="s">
        <v>89</v>
      </c>
      <c r="AN103" s="14" t="str">
        <f>HYPERLINK(".\links\gpi\AGAP010252-PA-gpi.txt","N")</f>
        <v>N</v>
      </c>
      <c r="AO103" s="15" t="str">
        <f>HYPERLINK(".\links\netoglyc\AGAP010252-PA-netoglyc.txt","0")</f>
        <v>0</v>
      </c>
      <c r="AP103" s="14">
        <v>6.4</v>
      </c>
      <c r="AQ103" s="2">
        <v>13.6</v>
      </c>
      <c r="AR103" s="2">
        <v>5</v>
      </c>
      <c r="AS103" s="2" t="s">
        <v>94</v>
      </c>
      <c r="AT103" s="9" t="str">
        <f>HYPERLINK(".\links\NR-LIGHT\AGAP010252-PA-NR-LIGHT.txt","60S ribosomal protein L23")</f>
        <v>60S ribosomal protein L23</v>
      </c>
      <c r="AU103" s="2" t="str">
        <f>HYPERLINK("http://www.ncbi.nlm.nih.gov/sutils/blink.cgi?pid=XP_001663765.1","1E-074")</f>
        <v>1E-074</v>
      </c>
      <c r="AV103" s="2" t="str">
        <f>HYPERLINK("http://www.ncbi.nlm.nih.gov/protein/XP_001663765.1","XP_001663765.1")</f>
        <v>XP_001663765.1</v>
      </c>
      <c r="AW103" s="2">
        <v>100</v>
      </c>
      <c r="AX103" s="2">
        <v>100</v>
      </c>
      <c r="AY103" s="2">
        <v>100</v>
      </c>
      <c r="AZ103" s="2" t="s">
        <v>233</v>
      </c>
      <c r="BA103" s="9" t="str">
        <f>HYPERLINK(".\links\REFSEQ-INVERTEBRATE\AGAP010252-PA-REFSEQ-INVERTEBRATE.txt","60S ribosomal protein L23")</f>
        <v>60S ribosomal protein L23</v>
      </c>
      <c r="BB103" s="2" t="str">
        <f>HYPERLINK("http://www.ncbi.nlm.nih.gov/sutils/blink.cgi?pid=XP_019551090.1","9E-075")</f>
        <v>9E-075</v>
      </c>
      <c r="BC103" s="2" t="str">
        <f>HYPERLINK("http://www.ncbi.nlm.nih.gov/protein/XP_019551090.1","XP_019551090.1")</f>
        <v>XP_019551090.1</v>
      </c>
      <c r="BD103" s="2">
        <v>100</v>
      </c>
      <c r="BE103" s="2">
        <v>100</v>
      </c>
      <c r="BF103" s="2">
        <v>100</v>
      </c>
      <c r="BG103" s="2" t="s">
        <v>2012</v>
      </c>
      <c r="BH103" s="9" t="str">
        <f>HYPERLINK(".\links\REFSEQ-PROTOZOA\AGAP010252-PA-REFSEQ-PROTOZOA.txt","hypothetical protein PHYSODRAFT_285581")</f>
        <v>hypothetical protein PHYSODRAFT_285581</v>
      </c>
      <c r="BI103" s="2" t="str">
        <f>HYPERLINK("http://www.ncbi.nlm.nih.gov/sutils/blink.cgi?pid=XP_009523977.1","1E-064")</f>
        <v>1E-064</v>
      </c>
      <c r="BJ103" s="2" t="str">
        <f>HYPERLINK("http://www.ncbi.nlm.nih.gov/protein/XP_009523977.1","XP_009523977.1")</f>
        <v>XP_009523977.1</v>
      </c>
      <c r="BK103" s="2">
        <v>86</v>
      </c>
      <c r="BL103" s="2">
        <v>95</v>
      </c>
      <c r="BM103" s="2">
        <v>98</v>
      </c>
      <c r="BN103" s="2" t="s">
        <v>1201</v>
      </c>
      <c r="BO103" s="9" t="str">
        <f>HYPERLINK(".\links\SWISSP\AGAP010252-PA-SWISSP.txt","60S ribosomal protein L23")</f>
        <v>60S ribosomal protein L23</v>
      </c>
      <c r="BP103" s="2" t="str">
        <f>HYPERLINK("http://www.uniprot.org/uniprot/Q9GNE2","9E-076")</f>
        <v>9E-076</v>
      </c>
      <c r="BQ103" s="2" t="str">
        <f>HYPERLINK("http://www.uniprot.org/uniprot/Q9GNE2#expression","Q9GNE2")</f>
        <v>Q9GNE2</v>
      </c>
      <c r="BR103" s="2">
        <v>100</v>
      </c>
      <c r="BS103" s="2">
        <v>100</v>
      </c>
      <c r="BT103" s="2">
        <v>100</v>
      </c>
      <c r="BU103" s="2" t="s">
        <v>233</v>
      </c>
      <c r="BV103" s="9" t="str">
        <f>HYPERLINK(".\links\FLYBASE\AGAP010252-PA-FLYBASE.txt","FBpp0071808")</f>
        <v>FBpp0071808</v>
      </c>
      <c r="BW103" s="2" t="str">
        <f>HYPERLINK("http://flybase.org/reports/FBgn0010078#alliance_summary_container","6E-97")</f>
        <v>6E-97</v>
      </c>
      <c r="BX103" s="2">
        <v>140</v>
      </c>
      <c r="BY103" s="2">
        <v>97</v>
      </c>
      <c r="BZ103" s="2">
        <v>99</v>
      </c>
      <c r="CA103" s="2">
        <v>100</v>
      </c>
      <c r="CB103" s="9" t="str">
        <f>HYPERLINK(".\links\CDD\AGAP010252-PA-CDD.txt","PTZ00054, 60S ribosomal protein L23")</f>
        <v>PTZ00054, 60S ribosomal protein L23</v>
      </c>
      <c r="CC103" s="13">
        <v>6E-68</v>
      </c>
      <c r="CD103" s="2">
        <v>99.3</v>
      </c>
      <c r="CE103" s="2" t="s">
        <v>2524</v>
      </c>
      <c r="CF103" s="2" t="s">
        <v>2525</v>
      </c>
      <c r="CG103" s="9" t="str">
        <f>HYPERLINK(".\links\KOG\AGAP010252-PA-KOG.txt","60S ribosomal protein L14/L17/L23")</f>
        <v>60S ribosomal protein L14/L17/L23</v>
      </c>
      <c r="CH103" s="13">
        <v>2.9999999999999999E-56</v>
      </c>
      <c r="CI103" s="2">
        <v>100</v>
      </c>
      <c r="CJ103" s="2" t="s">
        <v>2526</v>
      </c>
      <c r="CK103" s="2" t="s">
        <v>252</v>
      </c>
      <c r="CL103" s="9" t="str">
        <f>HYPERLINK(".\links\PFAM\AGAP010252-PA-PFAM.txt","Ribosomal_L14, Ribosomal protein L14p/L23e")</f>
        <v>Ribosomal_L14, Ribosomal protein L14p/L23e</v>
      </c>
      <c r="CM103" s="13">
        <v>1E-42</v>
      </c>
      <c r="CN103" s="2">
        <v>103.4</v>
      </c>
      <c r="CO103" s="2" t="s">
        <v>2527</v>
      </c>
      <c r="CP103" s="9" t="str">
        <f>HYPERLINK(".\links\SMART\AGAP010252-PA-SMART.txt","PAC, Motif C-terminal to PAS motifs (likely to contribute to PAS structural domain)")</f>
        <v>PAC, Motif C-terminal to PAS motifs (likely to contribute to PAS structural domain)</v>
      </c>
      <c r="CQ103" s="13">
        <v>0.63</v>
      </c>
      <c r="CR103" s="2">
        <v>62.8</v>
      </c>
      <c r="CS103" s="2" t="s">
        <v>2528</v>
      </c>
      <c r="CT103" s="2" t="s">
        <v>2521</v>
      </c>
      <c r="CU103" s="2" t="s">
        <v>2521</v>
      </c>
      <c r="CV103" s="2" t="s">
        <v>2521</v>
      </c>
      <c r="CW103" s="2" t="str">
        <f>HYPERLINK(".\links\pep\AGAP010252-PA-pep.txt","AGAP010252-PA")</f>
        <v>AGAP010252-PA</v>
      </c>
      <c r="CX103" s="2" t="s">
        <v>88</v>
      </c>
      <c r="CY103" s="2">
        <v>140</v>
      </c>
      <c r="CZ103" s="2" t="s">
        <v>103</v>
      </c>
      <c r="DA103" s="2" t="s">
        <v>2529</v>
      </c>
      <c r="DB103" s="2">
        <v>0</v>
      </c>
      <c r="DC103" s="2">
        <v>0</v>
      </c>
      <c r="DD103" s="2" t="str">
        <f>HYPERLINK("https://www.kegg.jp/kegg-bin/search_pathway_text?map=aga&amp;keyword=AGAP010252&amp;mode=1&amp;viewImage=true","AGAP010252")</f>
        <v>AGAP010252</v>
      </c>
      <c r="DE103" s="2" t="s">
        <v>2517</v>
      </c>
      <c r="DF103" s="2" t="s">
        <v>2518</v>
      </c>
      <c r="DG103" s="2" t="s">
        <v>87</v>
      </c>
      <c r="DH103" s="2" t="str">
        <f>HYPERLINK("https://vectorbase.org/vectorbase/app/record/gene/AGAP010252","AGAP010252-RA")</f>
        <v>AGAP010252-RA</v>
      </c>
      <c r="DI103" s="2" t="s">
        <v>122</v>
      </c>
      <c r="DJ103" s="2">
        <v>664</v>
      </c>
      <c r="DK103" s="2" t="str">
        <f>HYPERLINK(".\links\netoglyc\AGAP010252-PA-netoglyc.txt","0")</f>
        <v>0</v>
      </c>
      <c r="DL103" s="2">
        <v>6.4</v>
      </c>
      <c r="DM103" s="2">
        <v>13.6</v>
      </c>
      <c r="DN103" s="2">
        <v>5</v>
      </c>
      <c r="DO103" s="2" t="s">
        <v>94</v>
      </c>
      <c r="DP103" s="2" t="s">
        <v>89</v>
      </c>
      <c r="DQ103" s="2" t="str">
        <f>HYPERLINK(".\links\Sigp\AGAP010252-PA-SigP.txt","CYT")</f>
        <v>CYT</v>
      </c>
      <c r="DR103" s="2" t="s">
        <v>89</v>
      </c>
      <c r="DS103" s="2">
        <v>15.013999999999999</v>
      </c>
      <c r="DT103" s="2">
        <v>10.83</v>
      </c>
      <c r="DU103" s="2" t="s">
        <v>89</v>
      </c>
      <c r="DV103" s="2" t="s">
        <v>89</v>
      </c>
      <c r="DW103" s="2" t="s">
        <v>2523</v>
      </c>
      <c r="DX103" s="2">
        <v>140</v>
      </c>
      <c r="DY103" s="12">
        <v>0</v>
      </c>
      <c r="DZ103" s="2" t="s">
        <v>89</v>
      </c>
      <c r="EA103" s="2" t="s">
        <v>89</v>
      </c>
      <c r="EB103" s="2" t="s">
        <v>89</v>
      </c>
      <c r="EC103" s="2" t="str">
        <f>HYPERLINK(".\links\gpi\AGAP010252-PA-gpi.txt","Y-NoSP")</f>
        <v>Y-NoSP</v>
      </c>
      <c r="ED103" s="2">
        <v>0.5</v>
      </c>
      <c r="EF103" s="2">
        <v>2</v>
      </c>
      <c r="EG103" s="2" t="s">
        <v>89</v>
      </c>
      <c r="EH103" s="2" t="s">
        <v>89</v>
      </c>
      <c r="EI103" s="2">
        <v>6.4285714285714297</v>
      </c>
      <c r="EJ103" s="2">
        <v>5</v>
      </c>
      <c r="EK103" s="2">
        <v>13.5714285714286</v>
      </c>
      <c r="EL103" s="2">
        <v>18.571428571428601</v>
      </c>
      <c r="EM103" s="2" t="s">
        <v>89</v>
      </c>
      <c r="EN103" s="2">
        <v>3</v>
      </c>
      <c r="EO103" s="2">
        <v>3</v>
      </c>
      <c r="EP103" s="2" t="s">
        <v>89</v>
      </c>
      <c r="EQ103" s="2" t="s">
        <v>300</v>
      </c>
      <c r="ER103" s="2" t="s">
        <v>89</v>
      </c>
      <c r="ES103" s="2" t="s">
        <v>89</v>
      </c>
      <c r="ET103" s="2" t="str">
        <f>HYPERLINK(".\links\REFSEQ-INVERTEBRATE\AGAP010252-PA-REFSEQ-INVERTEBRATE.txt","AGAP010252-PA")</f>
        <v>AGAP010252-PA</v>
      </c>
      <c r="EU103" s="2" t="str">
        <f>HYPERLINK("http://www.ncbi.nlm.nih.gov/sutils/blink.cgi?pid=XP_319443.3","2E-96")</f>
        <v>2E-96</v>
      </c>
      <c r="EV103" s="2" t="str">
        <f>HYPERLINK("http://www.ncbi.nlm.nih.gov/protein/XP_319443.3","XP_319443.3")</f>
        <v>XP_319443.3</v>
      </c>
      <c r="EW103" s="2">
        <v>100</v>
      </c>
      <c r="EX103" s="2">
        <v>100</v>
      </c>
      <c r="EY103" s="2">
        <v>100</v>
      </c>
      <c r="EZ103" s="2" t="s">
        <v>95</v>
      </c>
    </row>
    <row r="104" spans="1:156" x14ac:dyDescent="0.25">
      <c r="A104" s="2" t="s">
        <v>2490</v>
      </c>
      <c r="B104" s="2">
        <v>-0.80506191830914597</v>
      </c>
      <c r="C104" s="2">
        <f t="shared" si="1"/>
        <v>0.5723375159037295</v>
      </c>
      <c r="D104" s="2">
        <v>7.3419091580168496</v>
      </c>
      <c r="E104" s="2">
        <v>20.427626816126001</v>
      </c>
      <c r="F104" s="2">
        <v>6.1929304271228697E-6</v>
      </c>
      <c r="G104" s="2">
        <v>1.2928652991681801E-3</v>
      </c>
      <c r="H104" s="2" t="s">
        <v>86</v>
      </c>
      <c r="I104" s="2" t="s">
        <v>87</v>
      </c>
      <c r="J104" s="2" t="str">
        <f>HYPERLINK("https://vectorbase.org/vectorbase/app/record/gene/AGAP010226","AGAP010226-RA")</f>
        <v>AGAP010226-RA</v>
      </c>
      <c r="K104" s="2" t="str">
        <f>HYPERLINK(".\links\pep\AGAP010226-PA-pep.txt","AGAP010226-PA")</f>
        <v>AGAP010226-PA</v>
      </c>
      <c r="L104" s="12" t="s">
        <v>88</v>
      </c>
      <c r="M104" s="2">
        <v>61</v>
      </c>
      <c r="N104" s="2">
        <v>0</v>
      </c>
      <c r="O104" s="2">
        <v>0</v>
      </c>
      <c r="P104" s="2" t="s">
        <v>89</v>
      </c>
      <c r="Q104" s="9" t="s">
        <v>2491</v>
      </c>
      <c r="R104" s="2" t="s">
        <v>91</v>
      </c>
      <c r="S104" s="2" t="str">
        <f>HYPERLINK(".\links\REFSEQ-INVERTEBRATE\AGAP010226-PA-REFSEQ-INVERTEBRATE.txt","REFSEQ-INVERTEBRATE")</f>
        <v>REFSEQ-INVERTEBRATE</v>
      </c>
      <c r="T104" s="2">
        <v>2.9999999999999998E-25</v>
      </c>
      <c r="U104" s="2">
        <v>100</v>
      </c>
      <c r="V104" s="2" t="s">
        <v>2491</v>
      </c>
      <c r="W104" s="10" t="s">
        <v>2492</v>
      </c>
      <c r="X104" s="2" t="s">
        <v>91</v>
      </c>
      <c r="Y104" s="2" t="str">
        <f>HYPERLINK(".\links\ARTHORPODA\AGAP010226-PA-ARTHORPODA.txt","ARTHORPODA")</f>
        <v>ARTHORPODA</v>
      </c>
      <c r="Z104" s="13">
        <v>9.9999999999999994E-37</v>
      </c>
      <c r="AA104" s="2">
        <v>100</v>
      </c>
      <c r="AB104" s="14" t="s">
        <v>89</v>
      </c>
      <c r="AC104" s="14" t="str">
        <f>HYPERLINK(".\links\Sigp\AGAP010226-PA-SigP.txt","CYT")</f>
        <v>CYT</v>
      </c>
      <c r="AD104" s="2" t="s">
        <v>89</v>
      </c>
      <c r="AE104" s="2">
        <v>6.7919999999999998</v>
      </c>
      <c r="AF104" s="2">
        <v>10.74</v>
      </c>
      <c r="AG104" s="2" t="s">
        <v>89</v>
      </c>
      <c r="AH104" s="2" t="s">
        <v>89</v>
      </c>
      <c r="AI104" s="2" t="s">
        <v>2493</v>
      </c>
      <c r="AJ104" s="14">
        <v>0</v>
      </c>
      <c r="AK104" s="2" t="s">
        <v>89</v>
      </c>
      <c r="AL104" s="2" t="s">
        <v>89</v>
      </c>
      <c r="AM104" s="2" t="s">
        <v>89</v>
      </c>
      <c r="AN104" s="14" t="str">
        <f>HYPERLINK(".\links\gpi\AGAP010226-PA-gpi.txt","N")</f>
        <v>N</v>
      </c>
      <c r="AO104" s="15" t="str">
        <f>HYPERLINK(".\links\netoglyc\AGAP010226-PA-netoglyc.txt","0")</f>
        <v>0</v>
      </c>
      <c r="AP104" s="14">
        <v>21.3</v>
      </c>
      <c r="AQ104" s="2">
        <v>3.3</v>
      </c>
      <c r="AR104" s="2" t="s">
        <v>274</v>
      </c>
      <c r="AS104" s="2" t="s">
        <v>94</v>
      </c>
      <c r="AT104" s="9" t="str">
        <f>HYPERLINK(".\links\NR-LIGHT\AGAP010226-PA-NR-LIGHT.txt","AGAP010226-PA")</f>
        <v>AGAP010226-PA</v>
      </c>
      <c r="AU104" s="2" t="str">
        <f>HYPERLINK("http://www.ncbi.nlm.nih.gov/sutils/blink.cgi?pid=XP_001238835.1","3E-025")</f>
        <v>3E-025</v>
      </c>
      <c r="AV104" s="2" t="str">
        <f>HYPERLINK("http://www.ncbi.nlm.nih.gov/protein/XP_001238835.1","XP_001238835.1")</f>
        <v>XP_001238835.1</v>
      </c>
      <c r="AW104" s="2">
        <v>100</v>
      </c>
      <c r="AX104" s="2">
        <v>100</v>
      </c>
      <c r="AY104" s="2">
        <v>100</v>
      </c>
      <c r="AZ104" s="2" t="s">
        <v>95</v>
      </c>
      <c r="BA104" s="9" t="str">
        <f>HYPERLINK(".\links\REFSEQ-INVERTEBRATE\AGAP010226-PA-REFSEQ-INVERTEBRATE.txt","AGAP010226-PA")</f>
        <v>AGAP010226-PA</v>
      </c>
      <c r="BB104" s="2" t="str">
        <f>HYPERLINK("http://www.ncbi.nlm.nih.gov/sutils/blink.cgi?pid=XP_001238835.1","3E-025")</f>
        <v>3E-025</v>
      </c>
      <c r="BC104" s="2" t="str">
        <f>HYPERLINK("http://www.ncbi.nlm.nih.gov/protein/XP_001238835.1","XP_001238835.1")</f>
        <v>XP_001238835.1</v>
      </c>
      <c r="BD104" s="2">
        <v>100</v>
      </c>
      <c r="BE104" s="2">
        <v>100</v>
      </c>
      <c r="BF104" s="2">
        <v>100</v>
      </c>
      <c r="BG104" s="2" t="s">
        <v>95</v>
      </c>
      <c r="BH104" s="9" t="str">
        <f>HYPERLINK(".\links\REFSEQ-PROTOZOA\AGAP010226-PA-REFSEQ-PROTOZOA.txt","ATPase, AAA family protein")</f>
        <v>ATPase, AAA family protein</v>
      </c>
      <c r="BI104" s="2" t="str">
        <f>HYPERLINK("http://www.ncbi.nlm.nih.gov/sutils/blink.cgi?pid=XP_008856243.1","19")</f>
        <v>19</v>
      </c>
      <c r="BJ104" s="2" t="str">
        <f>HYPERLINK("http://www.ncbi.nlm.nih.gov/protein/XP_008856243.1","XP_008856243.1")</f>
        <v>XP_008856243.1</v>
      </c>
      <c r="BK104" s="2">
        <v>37</v>
      </c>
      <c r="BL104" s="2">
        <v>56</v>
      </c>
      <c r="BM104" s="2">
        <v>6</v>
      </c>
      <c r="BN104" s="2" t="s">
        <v>2494</v>
      </c>
      <c r="BO104" s="9" t="str">
        <f>HYPERLINK(".\links\SWISSP\AGAP010226-PA-SWISSP.txt","Enolase")</f>
        <v>Enolase</v>
      </c>
      <c r="BP104" s="2" t="str">
        <f>HYPERLINK("http://www.uniprot.org/uniprot/A8EWY0","9.9")</f>
        <v>9.9</v>
      </c>
      <c r="BQ104" s="2" t="str">
        <f>HYPERLINK("http://www.uniprot.org/uniprot/A8EWY0#expression","A8EWY0")</f>
        <v>A8EWY0</v>
      </c>
      <c r="BR104" s="2">
        <v>31</v>
      </c>
      <c r="BS104" s="2">
        <v>50</v>
      </c>
      <c r="BT104" s="2">
        <v>11</v>
      </c>
      <c r="BU104" s="2" t="s">
        <v>2495</v>
      </c>
      <c r="BV104" s="9" t="str">
        <f>HYPERLINK(".\links\FLYBASE\AGAP010226-PA-FLYBASE.txt","FBpp0298345")</f>
        <v>FBpp0298345</v>
      </c>
      <c r="BW104" s="2" t="str">
        <f>HYPERLINK("http://flybase.org/reports/FBgn0053199#alliance_summary_container","3E-09")</f>
        <v>3E-09</v>
      </c>
      <c r="BX104" s="2">
        <v>79</v>
      </c>
      <c r="BY104" s="2">
        <v>37</v>
      </c>
      <c r="BZ104" s="2">
        <v>55</v>
      </c>
      <c r="CA104" s="2">
        <v>94</v>
      </c>
      <c r="CB104" s="9" t="str">
        <f>HYPERLINK(".\links\CDD\AGAP010226-PA-CDD.txt","PRK09249, coproporphyrinogen III oxidase")</f>
        <v>PRK09249, coproporphyrinogen III oxidase</v>
      </c>
      <c r="CC104" s="13">
        <v>2.2999999999999998</v>
      </c>
      <c r="CD104" s="2">
        <v>4.5999999999999996</v>
      </c>
      <c r="CE104" s="2" t="s">
        <v>2496</v>
      </c>
      <c r="CF104" s="2" t="s">
        <v>2497</v>
      </c>
      <c r="CG104" s="9" t="str">
        <f>HYPERLINK(".\links\KOG\AGAP010226-PA-KOG.txt","Monocarboxylate transporter")</f>
        <v>Monocarboxylate transporter</v>
      </c>
      <c r="CH104" s="13">
        <v>2.6</v>
      </c>
      <c r="CI104" s="2">
        <v>6.3</v>
      </c>
      <c r="CJ104" s="2" t="s">
        <v>2498</v>
      </c>
      <c r="CK104" s="2" t="s">
        <v>1206</v>
      </c>
      <c r="CL104" s="9" t="str">
        <f>HYPERLINK(".\links\PFAM\AGAP010226-PA-PFAM.txt","LCAT, Lecithin:cholesterol acyltransferase")</f>
        <v>LCAT, Lecithin:cholesterol acyltransferase</v>
      </c>
      <c r="CM104" s="13">
        <v>2.2000000000000002</v>
      </c>
      <c r="CN104" s="2">
        <v>9.6999999999999993</v>
      </c>
      <c r="CO104" s="2" t="s">
        <v>2499</v>
      </c>
      <c r="CP104" s="9" t="str">
        <f>HYPERLINK(".\links\SMART\AGAP010226-PA-SMART.txt","Adenylsucc_synt, Adenylosuccinate synthetase")</f>
        <v>Adenylsucc_synt, Adenylosuccinate synthetase</v>
      </c>
      <c r="CQ104" s="13">
        <v>0.83</v>
      </c>
      <c r="CR104" s="2">
        <v>2.2000000000000002</v>
      </c>
      <c r="CS104" s="2" t="s">
        <v>2500</v>
      </c>
      <c r="CT104" s="2" t="s">
        <v>2491</v>
      </c>
      <c r="CU104" s="2" t="s">
        <v>2491</v>
      </c>
      <c r="CV104" s="2" t="s">
        <v>2491</v>
      </c>
      <c r="CW104" s="2" t="str">
        <f>HYPERLINK(".\links\pep\AGAP010226-PA-pep.txt","AGAP010226-PA")</f>
        <v>AGAP010226-PA</v>
      </c>
      <c r="CX104" s="2" t="s">
        <v>88</v>
      </c>
      <c r="CY104" s="2">
        <v>61</v>
      </c>
      <c r="CZ104" s="2" t="s">
        <v>103</v>
      </c>
      <c r="DA104" s="2" t="s">
        <v>2501</v>
      </c>
      <c r="DB104" s="2">
        <v>0</v>
      </c>
      <c r="DC104" s="2">
        <v>0</v>
      </c>
      <c r="DD104" s="2" t="str">
        <f>HYPERLINK("https://www.kegg.jp/kegg-bin/search_pathway_text?map=aga&amp;keyword=AGAP010226&amp;mode=1&amp;viewImage=true","AGAP010226")</f>
        <v>AGAP010226</v>
      </c>
      <c r="DE104" s="2" t="s">
        <v>2490</v>
      </c>
      <c r="DF104" s="2" t="s">
        <v>86</v>
      </c>
      <c r="DG104" s="2" t="s">
        <v>87</v>
      </c>
      <c r="DH104" s="2" t="str">
        <f>HYPERLINK("https://vectorbase.org/vectorbase/app/record/gene/AGAP010226","AGAP010226-RA")</f>
        <v>AGAP010226-RA</v>
      </c>
      <c r="DI104" s="2" t="s">
        <v>105</v>
      </c>
      <c r="DJ104" s="2">
        <v>925</v>
      </c>
      <c r="DK104" s="2" t="str">
        <f>HYPERLINK(".\links\netoglyc\AGAP010226-PA-netoglyc.txt","0")</f>
        <v>0</v>
      </c>
      <c r="DL104" s="2">
        <v>21.3</v>
      </c>
      <c r="DM104" s="2">
        <v>3.3</v>
      </c>
      <c r="DN104" s="2" t="s">
        <v>274</v>
      </c>
      <c r="DO104" s="2" t="s">
        <v>94</v>
      </c>
      <c r="DP104" s="2" t="s">
        <v>89</v>
      </c>
      <c r="DQ104" s="2" t="str">
        <f>HYPERLINK(".\links\Sigp\AGAP010226-PA-SigP.txt","CYT")</f>
        <v>CYT</v>
      </c>
      <c r="DR104" s="2" t="s">
        <v>89</v>
      </c>
      <c r="DS104" s="2">
        <v>6.7919999999999998</v>
      </c>
      <c r="DT104" s="2">
        <v>10.74</v>
      </c>
      <c r="DU104" s="2" t="s">
        <v>89</v>
      </c>
      <c r="DV104" s="2" t="s">
        <v>89</v>
      </c>
      <c r="DW104" s="2" t="s">
        <v>2493</v>
      </c>
      <c r="DX104" s="2">
        <v>61</v>
      </c>
      <c r="DY104" s="12">
        <v>0</v>
      </c>
      <c r="DZ104" s="2" t="s">
        <v>89</v>
      </c>
      <c r="EA104" s="2" t="s">
        <v>89</v>
      </c>
      <c r="EB104" s="2" t="s">
        <v>89</v>
      </c>
      <c r="EC104" s="2" t="str">
        <f>HYPERLINK(".\links\gpi\AGAP010226-PA-gpi.txt","Y-NoSP")</f>
        <v>Y-NoSP</v>
      </c>
      <c r="ED104" s="2">
        <v>0.55000000000000004</v>
      </c>
      <c r="EF104" s="2">
        <v>1</v>
      </c>
      <c r="EG104" s="2" t="s">
        <v>89</v>
      </c>
      <c r="EH104" s="2" t="s">
        <v>89</v>
      </c>
      <c r="EI104" s="2">
        <v>21.311475409836099</v>
      </c>
      <c r="EJ104" s="2">
        <v>0</v>
      </c>
      <c r="EK104" s="2">
        <v>3.27868852459016</v>
      </c>
      <c r="EL104" s="2">
        <v>3.27868852459016</v>
      </c>
      <c r="EM104" s="2" t="s">
        <v>89</v>
      </c>
      <c r="EN104" s="2" t="s">
        <v>89</v>
      </c>
      <c r="EO104" s="2" t="s">
        <v>89</v>
      </c>
      <c r="EP104" s="2" t="s">
        <v>89</v>
      </c>
      <c r="EQ104" s="2" t="s">
        <v>89</v>
      </c>
      <c r="ER104" s="2" t="s">
        <v>89</v>
      </c>
      <c r="ES104" s="2" t="s">
        <v>89</v>
      </c>
      <c r="ET104" s="2" t="str">
        <f>HYPERLINK(".\links\REFSEQ-INVERTEBRATE\AGAP010226-PA-REFSEQ-INVERTEBRATE.txt","AGAP010226-PA")</f>
        <v>AGAP010226-PA</v>
      </c>
      <c r="EU104" s="2" t="str">
        <f>HYPERLINK("http://www.ncbi.nlm.nih.gov/sutils/blink.cgi?pid=XP_001238835.1","2E-36")</f>
        <v>2E-36</v>
      </c>
      <c r="EV104" s="2" t="str">
        <f>HYPERLINK("http://www.ncbi.nlm.nih.gov/protein/XP_001238835.1","XP_001238835.1")</f>
        <v>XP_001238835.1</v>
      </c>
      <c r="EW104" s="2">
        <v>100</v>
      </c>
      <c r="EX104" s="2">
        <v>100</v>
      </c>
      <c r="EY104" s="2">
        <v>100</v>
      </c>
      <c r="EZ104" s="2" t="s">
        <v>95</v>
      </c>
    </row>
    <row r="105" spans="1:156" x14ac:dyDescent="0.25">
      <c r="A105" s="2" t="s">
        <v>546</v>
      </c>
      <c r="B105" s="2">
        <v>-0.805362650604597</v>
      </c>
      <c r="C105" s="2">
        <f t="shared" si="1"/>
        <v>0.57221822358490737</v>
      </c>
      <c r="D105" s="2">
        <v>8.0409189761198192</v>
      </c>
      <c r="E105" s="2">
        <v>14.747808420610999</v>
      </c>
      <c r="F105" s="2">
        <v>1.2289028523983399E-4</v>
      </c>
      <c r="G105" s="2">
        <v>1.03024635192796E-2</v>
      </c>
      <c r="H105" s="2" t="s">
        <v>547</v>
      </c>
      <c r="I105" s="2" t="s">
        <v>87</v>
      </c>
      <c r="J105" s="2" t="str">
        <f>HYPERLINK("https://vectorbase.org/vectorbase/app/record/gene/AGAP002020","AGAP002020-RA")</f>
        <v>AGAP002020-RA</v>
      </c>
      <c r="K105" s="2" t="str">
        <f>HYPERLINK(".\links\pep\AGAP002020-PA-pep.txt","AGAP002020-PA")</f>
        <v>AGAP002020-PA</v>
      </c>
      <c r="L105" s="12" t="s">
        <v>88</v>
      </c>
      <c r="M105" s="2">
        <v>174</v>
      </c>
      <c r="N105" s="2">
        <v>0</v>
      </c>
      <c r="O105" s="2">
        <v>1</v>
      </c>
      <c r="P105" s="2" t="s">
        <v>548</v>
      </c>
      <c r="Q105" s="9" t="s">
        <v>549</v>
      </c>
      <c r="R105" s="2" t="s">
        <v>145</v>
      </c>
      <c r="S105" s="2" t="str">
        <f>HYPERLINK(".\links\KOG\AGAP002020-PA-KOG.txt","KOG")</f>
        <v>KOG</v>
      </c>
      <c r="T105" s="2">
        <v>6.0000000000000005E-42</v>
      </c>
      <c r="U105" s="2">
        <v>94</v>
      </c>
      <c r="V105" s="2" t="s">
        <v>550</v>
      </c>
      <c r="W105" s="10" t="s">
        <v>551</v>
      </c>
      <c r="X105" s="2" t="s">
        <v>145</v>
      </c>
      <c r="Y105" s="2" t="str">
        <f>HYPERLINK(".\links\KOG\AGAP002020-PA-KOG.txt","KOG")</f>
        <v>KOG</v>
      </c>
      <c r="Z105" s="13">
        <v>9.9999999999999993E-35</v>
      </c>
      <c r="AA105" s="2">
        <v>93.5</v>
      </c>
      <c r="AB105" s="14" t="str">
        <f>HYPERLINK(".\links\pep\AGAP002020-PA-sulf.txt","3")</f>
        <v>3</v>
      </c>
      <c r="AC105" s="14" t="str">
        <f>HYPERLINK(".\links\Sigp\AGAP002020-PA-SigP.txt","CYT")</f>
        <v>CYT</v>
      </c>
      <c r="AD105" s="2" t="s">
        <v>89</v>
      </c>
      <c r="AE105" s="2">
        <v>20.390999999999998</v>
      </c>
      <c r="AF105" s="2">
        <v>7.01</v>
      </c>
      <c r="AG105" s="2" t="s">
        <v>89</v>
      </c>
      <c r="AH105" s="2" t="s">
        <v>89</v>
      </c>
      <c r="AI105" s="2" t="s">
        <v>552</v>
      </c>
      <c r="AJ105" s="14" t="str">
        <f>HYPERLINK(".\links\tmhmm\AGAP002020-PA-tmhmm.txt","1")</f>
        <v>1</v>
      </c>
      <c r="AK105" s="2">
        <v>10.9</v>
      </c>
      <c r="AL105" s="2">
        <v>73.599999999999994</v>
      </c>
      <c r="AM105" s="2">
        <v>15.5</v>
      </c>
      <c r="AN105" s="14" t="str">
        <f>HYPERLINK(".\links\gpi\AGAP002020-PA-gpi.txt","N")</f>
        <v>N</v>
      </c>
      <c r="AO105" s="15" t="str">
        <f>HYPERLINK(".\links\netoglyc\AGAP002020-PA-netoglyc.txt","0")</f>
        <v>0</v>
      </c>
      <c r="AP105" s="14">
        <v>8</v>
      </c>
      <c r="AQ105" s="2">
        <v>6.3</v>
      </c>
      <c r="AR105" s="2">
        <v>8</v>
      </c>
      <c r="AS105" s="2" t="s">
        <v>94</v>
      </c>
      <c r="AT105" s="9" t="str">
        <f>HYPERLINK(".\links\NR-LIGHT\AGAP002020-PA-NR-LIGHT.txt","AGAP002020-PA")</f>
        <v>AGAP002020-PA</v>
      </c>
      <c r="AU105" s="2" t="str">
        <f>HYPERLINK("http://www.ncbi.nlm.nih.gov/sutils/blink.cgi?pid=XP_321035.4","1E-103")</f>
        <v>1E-103</v>
      </c>
      <c r="AV105" s="2" t="str">
        <f>HYPERLINK("http://www.ncbi.nlm.nih.gov/protein/XP_321035.4","XP_321035.4")</f>
        <v>XP_321035.4</v>
      </c>
      <c r="AW105" s="2">
        <v>100</v>
      </c>
      <c r="AX105" s="2">
        <v>100</v>
      </c>
      <c r="AY105" s="2">
        <v>100</v>
      </c>
      <c r="AZ105" s="2" t="s">
        <v>95</v>
      </c>
      <c r="BA105" s="9" t="str">
        <f>HYPERLINK(".\links\REFSEQ-INVERTEBRATE\AGAP002020-PA-REFSEQ-INVERTEBRATE.txt","AGAP002020-PA")</f>
        <v>AGAP002020-PA</v>
      </c>
      <c r="BB105" s="2" t="str">
        <f>HYPERLINK("http://www.ncbi.nlm.nih.gov/sutils/blink.cgi?pid=XP_321035.4","1E-103")</f>
        <v>1E-103</v>
      </c>
      <c r="BC105" s="2" t="str">
        <f>HYPERLINK("http://www.ncbi.nlm.nih.gov/protein/XP_321035.4","XP_321035.4")</f>
        <v>XP_321035.4</v>
      </c>
      <c r="BD105" s="2">
        <v>100</v>
      </c>
      <c r="BE105" s="2">
        <v>100</v>
      </c>
      <c r="BF105" s="2">
        <v>100</v>
      </c>
      <c r="BG105" s="2" t="s">
        <v>95</v>
      </c>
      <c r="BH105" s="9" t="str">
        <f>HYPERLINK(".\links\REFSEQ-PROTOZOA\AGAP002020-PA-REFSEQ-PROTOZOA.txt","hypothetical protein CAOG_03183")</f>
        <v>hypothetical protein CAOG_03183</v>
      </c>
      <c r="BI105" s="2" t="str">
        <f>HYPERLINK("http://www.ncbi.nlm.nih.gov/sutils/blink.cgi?pid=XP_004364022.1","0.006")</f>
        <v>0.006</v>
      </c>
      <c r="BJ105" s="2" t="str">
        <f>HYPERLINK("http://www.ncbi.nlm.nih.gov/protein/XP_004364022.1","XP_004364022.1")</f>
        <v>XP_004364022.1</v>
      </c>
      <c r="BK105" s="2">
        <v>26</v>
      </c>
      <c r="BL105" s="2">
        <v>47</v>
      </c>
      <c r="BM105" s="2">
        <v>68</v>
      </c>
      <c r="BN105" s="2" t="s">
        <v>150</v>
      </c>
      <c r="BO105" s="9" t="str">
        <f>HYPERLINK(".\links\SWISSP\AGAP002020-PA-SWISSP.txt","NADH dehydrogenase [ubiquinone] 1 beta subcomplex subunit 8, mitochondrial")</f>
        <v>NADH dehydrogenase [ubiquinone] 1 beta subcomplex subunit 8, mitochondrial</v>
      </c>
      <c r="BP105" s="2" t="str">
        <f>HYPERLINK("http://www.uniprot.org/uniprot/Q02372","1E-023")</f>
        <v>1E-023</v>
      </c>
      <c r="BQ105" s="2" t="str">
        <f>HYPERLINK("http://www.uniprot.org/uniprot/Q02372#expression","Q02372")</f>
        <v>Q02372</v>
      </c>
      <c r="BR105" s="2">
        <v>39</v>
      </c>
      <c r="BS105" s="2">
        <v>60</v>
      </c>
      <c r="BT105" s="2">
        <v>71</v>
      </c>
      <c r="BU105" s="2" t="s">
        <v>183</v>
      </c>
      <c r="BV105" s="9" t="str">
        <f>HYPERLINK(".\links\FLYBASE\AGAP002020-PA-FLYBASE.txt","FBpp0309988")</f>
        <v>FBpp0309988</v>
      </c>
      <c r="BW105" s="2" t="str">
        <f>HYPERLINK("http://flybase.org/reports/FBgn0029888#alliance_summary_container","4E-65")</f>
        <v>4E-65</v>
      </c>
      <c r="BX105" s="2">
        <v>175</v>
      </c>
      <c r="BY105" s="2">
        <v>55</v>
      </c>
      <c r="BZ105" s="2">
        <v>72</v>
      </c>
      <c r="CA105" s="2">
        <v>100</v>
      </c>
      <c r="CB105" s="9" t="str">
        <f>HYPERLINK(".\links\CDD\AGAP002020-PA-CDD.txt","NDUF_B8, NADH-ubiquinone oxidoreductase ASHI subunit (CI-ASHI or NDUFB8)")</f>
        <v>NDUF_B8, NADH-ubiquinone oxidoreductase ASHI subunit (CI-ASHI or NDUFB8)</v>
      </c>
      <c r="CC105" s="13">
        <v>3.9999999999999998E-23</v>
      </c>
      <c r="CD105" s="2">
        <v>86.8</v>
      </c>
      <c r="CE105" s="2" t="s">
        <v>553</v>
      </c>
      <c r="CF105" s="2" t="s">
        <v>554</v>
      </c>
      <c r="CG105" s="9" t="str">
        <f>HYPERLINK(".\links\KOG\AGAP002020-PA-KOG.txt","NDUFB8/ASHI subunit")</f>
        <v>NDUFB8/ASHI subunit</v>
      </c>
      <c r="CH105" s="13">
        <v>6.0000000000000005E-42</v>
      </c>
      <c r="CI105" s="2">
        <v>94.1</v>
      </c>
      <c r="CJ105" s="2" t="s">
        <v>555</v>
      </c>
      <c r="CK105" s="2" t="s">
        <v>155</v>
      </c>
      <c r="CL105" s="9" t="str">
        <f>HYPERLINK(".\links\PFAM\AGAP002020-PA-PFAM.txt","NDUF_B8, NADH-ubiquinone oxidoreductase ASHI subunit (CI-ASHI or NDUFB8)")</f>
        <v>NDUF_B8, NADH-ubiquinone oxidoreductase ASHI subunit (CI-ASHI or NDUFB8)</v>
      </c>
      <c r="CM105" s="13">
        <v>8.9999999999999995E-24</v>
      </c>
      <c r="CN105" s="2">
        <v>86.8</v>
      </c>
      <c r="CO105" s="2" t="s">
        <v>553</v>
      </c>
      <c r="CP105" s="9" t="str">
        <f>HYPERLINK(".\links\SMART\AGAP002020-PA-SMART.txt","RES, RES domain")</f>
        <v>RES, RES domain</v>
      </c>
      <c r="CQ105" s="13">
        <v>3.2</v>
      </c>
      <c r="CR105" s="2">
        <v>12.4</v>
      </c>
      <c r="CS105" s="2" t="s">
        <v>556</v>
      </c>
      <c r="CT105" s="2" t="s">
        <v>550</v>
      </c>
      <c r="CU105" s="2" t="s">
        <v>550</v>
      </c>
      <c r="CV105" s="2" t="s">
        <v>550</v>
      </c>
      <c r="CW105" s="2" t="str">
        <f>HYPERLINK(".\links\pep\AGAP002020-PA-pep.txt","AGAP002020-PA")</f>
        <v>AGAP002020-PA</v>
      </c>
      <c r="CX105" s="2" t="s">
        <v>88</v>
      </c>
      <c r="CY105" s="2">
        <v>174</v>
      </c>
      <c r="CZ105" s="2" t="s">
        <v>103</v>
      </c>
      <c r="DA105" s="2" t="s">
        <v>557</v>
      </c>
      <c r="DB105" s="2">
        <v>0</v>
      </c>
      <c r="DC105" s="2">
        <v>1</v>
      </c>
      <c r="DD105" s="2" t="str">
        <f>HYPERLINK("https://www.kegg.jp/kegg-bin/search_pathway_text?map=aga&amp;keyword=AGAP002020&amp;mode=1&amp;viewImage=true","AGAP002020")</f>
        <v>AGAP002020</v>
      </c>
      <c r="DE105" s="2" t="s">
        <v>546</v>
      </c>
      <c r="DF105" s="2" t="s">
        <v>547</v>
      </c>
      <c r="DG105" s="2" t="s">
        <v>87</v>
      </c>
      <c r="DH105" s="2" t="str">
        <f>HYPERLINK("https://vectorbase.org/vectorbase/app/record/gene/AGAP002020","AGAP002020-RA")</f>
        <v>AGAP002020-RA</v>
      </c>
      <c r="DI105" s="2" t="s">
        <v>158</v>
      </c>
      <c r="DJ105" s="2">
        <v>766</v>
      </c>
      <c r="DK105" s="2" t="str">
        <f>HYPERLINK(".\links\netoglyc\AGAP002020-PA-netoglyc.txt","0")</f>
        <v>0</v>
      </c>
      <c r="DL105" s="2">
        <v>8</v>
      </c>
      <c r="DM105" s="2">
        <v>6.3</v>
      </c>
      <c r="DN105" s="2">
        <v>8</v>
      </c>
      <c r="DO105" s="2" t="s">
        <v>94</v>
      </c>
      <c r="DP105" s="2" t="s">
        <v>89</v>
      </c>
      <c r="DQ105" s="2" t="str">
        <f>HYPERLINK(".\links\Sigp\AGAP002020-PA-SigP.txt","CYT")</f>
        <v>CYT</v>
      </c>
      <c r="DR105" s="2" t="s">
        <v>89</v>
      </c>
      <c r="DS105" s="2">
        <v>20.390999999999998</v>
      </c>
      <c r="DT105" s="2">
        <v>7.01</v>
      </c>
      <c r="DU105" s="2" t="s">
        <v>89</v>
      </c>
      <c r="DV105" s="2" t="s">
        <v>89</v>
      </c>
      <c r="DW105" s="2" t="s">
        <v>552</v>
      </c>
      <c r="DX105" s="2">
        <v>174</v>
      </c>
      <c r="DY105" s="12" t="str">
        <f>HYPERLINK(".\links\tmhmm\AGAP002020-PA-tmhmm.txt","1")</f>
        <v>1</v>
      </c>
      <c r="DZ105" s="2">
        <v>10.9</v>
      </c>
      <c r="EA105" s="2">
        <v>73.599999999999994</v>
      </c>
      <c r="EB105" s="2">
        <v>15.5</v>
      </c>
      <c r="EC105" s="2" t="str">
        <f>HYPERLINK(".\links\gpi\AGAP002020-PA-gpi.txt","N")</f>
        <v>N</v>
      </c>
      <c r="ED105" s="2">
        <v>0.39</v>
      </c>
      <c r="EE105" s="2" t="s">
        <v>558</v>
      </c>
      <c r="EF105" s="2">
        <v>1</v>
      </c>
      <c r="EG105" s="2" t="str">
        <f>HYPERLINK(".\links\pep\AGAP002020-PA-sulf.txt","3")</f>
        <v>3</v>
      </c>
      <c r="EH105" s="2" t="s">
        <v>89</v>
      </c>
      <c r="EI105" s="2">
        <v>8.0459770114942497</v>
      </c>
      <c r="EJ105" s="2">
        <v>8.0459770114942497</v>
      </c>
      <c r="EK105" s="2">
        <v>6.3218390804597702</v>
      </c>
      <c r="EL105" s="2">
        <v>14.367816091953999</v>
      </c>
      <c r="EM105" s="2" t="s">
        <v>89</v>
      </c>
      <c r="EN105" s="2">
        <v>1</v>
      </c>
      <c r="EO105" s="2">
        <v>2</v>
      </c>
      <c r="EP105" s="2" t="s">
        <v>89</v>
      </c>
      <c r="EQ105" s="2" t="s">
        <v>89</v>
      </c>
      <c r="ER105" s="2" t="s">
        <v>89</v>
      </c>
      <c r="ES105" s="2" t="s">
        <v>89</v>
      </c>
      <c r="ET105" s="2" t="str">
        <f>HYPERLINK(".\links\REFSEQ-INVERTEBRATE\AGAP002020-PA-REFSEQ-INVERTEBRATE.txt","AGAP002020-PA")</f>
        <v>AGAP002020-PA</v>
      </c>
      <c r="EU105" s="2" t="str">
        <f>HYPERLINK("http://www.ncbi.nlm.nih.gov/sutils/blink.cgi?pid=XP_321035.4","1E-128")</f>
        <v>1E-128</v>
      </c>
      <c r="EV105" s="2" t="str">
        <f>HYPERLINK("http://www.ncbi.nlm.nih.gov/protein/XP_321035.4","XP_321035.4")</f>
        <v>XP_321035.4</v>
      </c>
      <c r="EW105" s="2">
        <v>100</v>
      </c>
      <c r="EX105" s="2">
        <v>100</v>
      </c>
      <c r="EY105" s="2">
        <v>100</v>
      </c>
      <c r="EZ105" s="2" t="s">
        <v>95</v>
      </c>
    </row>
    <row r="106" spans="1:156" x14ac:dyDescent="0.25">
      <c r="A106" s="2" t="s">
        <v>268</v>
      </c>
      <c r="B106" s="2">
        <v>-0.80545885506986203</v>
      </c>
      <c r="C106" s="2">
        <f t="shared" si="1"/>
        <v>0.57218006714073577</v>
      </c>
      <c r="D106" s="2">
        <v>5.7412109833652298</v>
      </c>
      <c r="E106" s="2">
        <v>19.229979221880399</v>
      </c>
      <c r="F106" s="2">
        <v>1.15879249261112E-5</v>
      </c>
      <c r="G106" s="2">
        <v>1.89810210289701E-3</v>
      </c>
      <c r="H106" s="2" t="s">
        <v>269</v>
      </c>
      <c r="I106" s="2" t="s">
        <v>87</v>
      </c>
      <c r="J106" s="2" t="str">
        <f>HYPERLINK("https://vectorbase.org/vectorbase/app/record/gene/AGAP000781","AGAP000781-RA")</f>
        <v>AGAP000781-RA</v>
      </c>
      <c r="K106" s="2" t="str">
        <f>HYPERLINK(".\links\pep\AGAP000781-PA-pep.txt","AGAP000781-PA")</f>
        <v>AGAP000781-PA</v>
      </c>
      <c r="L106" s="12" t="s">
        <v>88</v>
      </c>
      <c r="M106" s="2">
        <v>94</v>
      </c>
      <c r="N106" s="2">
        <v>0</v>
      </c>
      <c r="O106" s="2">
        <v>0</v>
      </c>
      <c r="P106" s="2" t="s">
        <v>270</v>
      </c>
      <c r="Q106" s="9" t="s">
        <v>270</v>
      </c>
      <c r="R106" s="2" t="s">
        <v>145</v>
      </c>
      <c r="S106" s="2" t="str">
        <f>HYPERLINK(".\links\REFSEQ-INVERTEBRATE\AGAP000781-PA-REFSEQ-INVERTEBRATE.txt","REFSEQ-INVERTEBRATE")</f>
        <v>REFSEQ-INVERTEBRATE</v>
      </c>
      <c r="T106" s="2">
        <v>1.0000000000000001E-43</v>
      </c>
      <c r="U106" s="2">
        <v>98.9</v>
      </c>
      <c r="V106" s="2" t="s">
        <v>271</v>
      </c>
      <c r="W106" s="10" t="s">
        <v>272</v>
      </c>
      <c r="X106" s="2" t="s">
        <v>145</v>
      </c>
      <c r="Y106" s="2" t="str">
        <f>HYPERLINK(".\links\REFSEQ-INVERTEBRATE\AGAP000781-PA-REFSEQ-INVERTEBRATE.txt","REFSEQ-INVERTEBRATE")</f>
        <v>REFSEQ-INVERTEBRATE</v>
      </c>
      <c r="Z106" s="13">
        <v>3.9999999999999998E-57</v>
      </c>
      <c r="AA106" s="2">
        <v>96.7</v>
      </c>
      <c r="AB106" s="14" t="s">
        <v>89</v>
      </c>
      <c r="AC106" s="14" t="str">
        <f>HYPERLINK(".\links\Sigp\AGAP000781-PA-SigP.txt","CYT")</f>
        <v>CYT</v>
      </c>
      <c r="AD106" s="2" t="s">
        <v>89</v>
      </c>
      <c r="AE106" s="2">
        <v>10.694000000000001</v>
      </c>
      <c r="AF106" s="2">
        <v>5.35</v>
      </c>
      <c r="AG106" s="2" t="s">
        <v>89</v>
      </c>
      <c r="AH106" s="2" t="s">
        <v>89</v>
      </c>
      <c r="AI106" s="2" t="s">
        <v>273</v>
      </c>
      <c r="AJ106" s="14">
        <v>0</v>
      </c>
      <c r="AK106" s="2" t="s">
        <v>89</v>
      </c>
      <c r="AL106" s="2" t="s">
        <v>89</v>
      </c>
      <c r="AM106" s="2" t="s">
        <v>89</v>
      </c>
      <c r="AN106" s="14" t="str">
        <f>HYPERLINK(".\links\gpi\AGAP000781-PA-gpi.txt","N")</f>
        <v>N</v>
      </c>
      <c r="AO106" s="15" t="str">
        <f>HYPERLINK(".\links\netoglyc\AGAP000781-PA-netoglyc.txt","0")</f>
        <v>0</v>
      </c>
      <c r="AP106" s="14">
        <v>10.6</v>
      </c>
      <c r="AQ106" s="2">
        <v>4.3</v>
      </c>
      <c r="AR106" s="2" t="s">
        <v>274</v>
      </c>
      <c r="AS106" s="2" t="s">
        <v>94</v>
      </c>
      <c r="AT106" s="9" t="str">
        <f>HYPERLINK(".\links\NR-LIGHT\AGAP000781-PA-NR-LIGHT.txt","AGAP000781-PA")</f>
        <v>AGAP000781-PA</v>
      </c>
      <c r="AU106" s="2" t="str">
        <f>HYPERLINK("http://www.ncbi.nlm.nih.gov/sutils/blink.cgi?pid=XP_311321.4","7E-047")</f>
        <v>7E-047</v>
      </c>
      <c r="AV106" s="2" t="str">
        <f>HYPERLINK("http://www.ncbi.nlm.nih.gov/protein/XP_311321.4","XP_311321.4")</f>
        <v>XP_311321.4</v>
      </c>
      <c r="AW106" s="2">
        <v>100</v>
      </c>
      <c r="AX106" s="2">
        <v>100</v>
      </c>
      <c r="AY106" s="2">
        <v>100</v>
      </c>
      <c r="AZ106" s="2" t="s">
        <v>95</v>
      </c>
      <c r="BA106" s="9" t="str">
        <f>HYPERLINK(".\links\REFSEQ-INVERTEBRATE\AGAP000781-PA-REFSEQ-INVERTEBRATE.txt","AGAP000781-PA")</f>
        <v>AGAP000781-PA</v>
      </c>
      <c r="BB106" s="2" t="str">
        <f>HYPERLINK("http://www.ncbi.nlm.nih.gov/sutils/blink.cgi?pid=XP_311321.4","6E-047")</f>
        <v>6E-047</v>
      </c>
      <c r="BC106" s="2" t="str">
        <f>HYPERLINK("http://www.ncbi.nlm.nih.gov/protein/XP_311321.4","XP_311321.4")</f>
        <v>XP_311321.4</v>
      </c>
      <c r="BD106" s="2">
        <v>100</v>
      </c>
      <c r="BE106" s="2">
        <v>100</v>
      </c>
      <c r="BF106" s="2">
        <v>100</v>
      </c>
      <c r="BG106" s="2" t="s">
        <v>95</v>
      </c>
      <c r="BH106" s="9" t="str">
        <f>HYPERLINK(".\links\REFSEQ-PROTOZOA\AGAP000781-PA-REFSEQ-PROTOZOA.txt","hypothetical protein SARC_07335")</f>
        <v>hypothetical protein SARC_07335</v>
      </c>
      <c r="BI106" s="2" t="str">
        <f>HYPERLINK("http://www.ncbi.nlm.nih.gov/sutils/blink.cgi?pid=XP_014154202.1","2E-013")</f>
        <v>2E-013</v>
      </c>
      <c r="BJ106" s="2" t="str">
        <f>HYPERLINK("http://www.ncbi.nlm.nih.gov/protein/XP_014154202.1","XP_014154202.1")</f>
        <v>XP_014154202.1</v>
      </c>
      <c r="BK106" s="2">
        <v>54</v>
      </c>
      <c r="BL106" s="2">
        <v>72</v>
      </c>
      <c r="BM106" s="2">
        <v>73</v>
      </c>
      <c r="BN106" s="2" t="s">
        <v>168</v>
      </c>
      <c r="BO106" s="9" t="str">
        <f>HYPERLINK(".\links\SWISSP\AGAP000781-PA-SWISSP.txt","Mitochondrial import inner membrane translocase subunit Tim9")</f>
        <v>Mitochondrial import inner membrane translocase subunit Tim9</v>
      </c>
      <c r="BP106" s="2" t="str">
        <f>HYPERLINK("http://www.uniprot.org/uniprot/Q9VYD7","1E-033")</f>
        <v>1E-033</v>
      </c>
      <c r="BQ106" s="2" t="str">
        <f>HYPERLINK("http://www.uniprot.org/uniprot/Q9VYD7#expression","Q9VYD7")</f>
        <v>Q9VYD7</v>
      </c>
      <c r="BR106" s="2">
        <v>72</v>
      </c>
      <c r="BS106" s="2">
        <v>87</v>
      </c>
      <c r="BT106" s="2">
        <v>93</v>
      </c>
      <c r="BU106" s="2" t="s">
        <v>151</v>
      </c>
      <c r="BV106" s="9" t="str">
        <f>HYPERLINK(".\links\FLYBASE\AGAP000781-PA-FLYBASE.txt","FBpp0309846")</f>
        <v>FBpp0309846</v>
      </c>
      <c r="BW106" s="2" t="str">
        <f>HYPERLINK("http://flybase.org/reports/FBgn0030480#alliance_summary_container","1E-45")</f>
        <v>1E-45</v>
      </c>
      <c r="BX106" s="2">
        <v>95</v>
      </c>
      <c r="BY106" s="2">
        <v>71</v>
      </c>
      <c r="BZ106" s="2">
        <v>85</v>
      </c>
      <c r="CA106" s="2">
        <v>95</v>
      </c>
      <c r="CB106" s="9" t="str">
        <f>HYPERLINK(".\links\CDD\AGAP000781-PA-CDD.txt","zf-Tim10_DDP, Tim10/DDP family zinc finger")</f>
        <v>zf-Tim10_DDP, Tim10/DDP family zinc finger</v>
      </c>
      <c r="CC106" s="13">
        <v>3.9999999999999999E-12</v>
      </c>
      <c r="CD106" s="2">
        <v>93.5</v>
      </c>
      <c r="CE106" s="2" t="s">
        <v>275</v>
      </c>
      <c r="CF106" s="2" t="s">
        <v>276</v>
      </c>
      <c r="CG106" s="9" t="str">
        <f>HYPERLINK(".\links\KOG\AGAP000781-PA-KOG.txt","subunit TIM9")</f>
        <v>subunit TIM9</v>
      </c>
      <c r="CH106" s="13">
        <v>2.0000000000000001E-25</v>
      </c>
      <c r="CI106" s="2">
        <v>96.4</v>
      </c>
      <c r="CJ106" s="2" t="s">
        <v>277</v>
      </c>
      <c r="CK106" s="2" t="s">
        <v>278</v>
      </c>
      <c r="CL106" s="9" t="str">
        <f>HYPERLINK(".\links\PFAM\AGAP000781-PA-PFAM.txt","zf-Tim10_DDP, Tim10/DDP family zinc finger")</f>
        <v>zf-Tim10_DDP, Tim10/DDP family zinc finger</v>
      </c>
      <c r="CM106" s="13">
        <v>9E-13</v>
      </c>
      <c r="CN106" s="2">
        <v>93.5</v>
      </c>
      <c r="CO106" s="2" t="s">
        <v>275</v>
      </c>
      <c r="CP106" s="9" t="str">
        <f>HYPERLINK(".\links\SMART\AGAP000781-PA-SMART.txt","V4R, The V4R (vinyl 4 reductase) domain is a predicted small molecular binding domain, that may bind to hydrocarbons")</f>
        <v>V4R, The V4R (vinyl 4 reductase) domain is a predicted small molecular binding domain, that may bind to hydrocarbons</v>
      </c>
      <c r="CQ106" s="13">
        <v>0.69</v>
      </c>
      <c r="CR106" s="2">
        <v>29.5</v>
      </c>
      <c r="CS106" s="2" t="s">
        <v>279</v>
      </c>
      <c r="CT106" s="2" t="s">
        <v>271</v>
      </c>
      <c r="CU106" s="2" t="s">
        <v>271</v>
      </c>
      <c r="CV106" s="2" t="s">
        <v>271</v>
      </c>
      <c r="CW106" s="2" t="str">
        <f>HYPERLINK(".\links\pep\AGAP000781-PA-pep.txt","AGAP000781-PA")</f>
        <v>AGAP000781-PA</v>
      </c>
      <c r="CX106" s="2" t="s">
        <v>88</v>
      </c>
      <c r="CY106" s="2">
        <v>94</v>
      </c>
      <c r="CZ106" s="2" t="s">
        <v>103</v>
      </c>
      <c r="DA106" s="2" t="s">
        <v>280</v>
      </c>
      <c r="DB106" s="2">
        <v>0</v>
      </c>
      <c r="DC106" s="2">
        <v>0</v>
      </c>
      <c r="DD106" s="2" t="str">
        <f>HYPERLINK("https://www.kegg.jp/kegg-bin/search_pathway_text?map=aga&amp;keyword=AGAP000781&amp;mode=1&amp;viewImage=true","AGAP000781")</f>
        <v>AGAP000781</v>
      </c>
      <c r="DE106" s="2" t="s">
        <v>268</v>
      </c>
      <c r="DF106" s="2" t="s">
        <v>269</v>
      </c>
      <c r="DG106" s="2" t="s">
        <v>87</v>
      </c>
      <c r="DH106" s="2" t="str">
        <f>HYPERLINK("https://vectorbase.org/vectorbase/app/record/gene/AGAP000781","AGAP000781-RA")</f>
        <v>AGAP000781-RA</v>
      </c>
      <c r="DI106" s="2" t="s">
        <v>158</v>
      </c>
      <c r="DJ106" s="2">
        <v>529</v>
      </c>
      <c r="DK106" s="2" t="str">
        <f>HYPERLINK(".\links\netoglyc\AGAP000781-PA-netoglyc.txt","0")</f>
        <v>0</v>
      </c>
      <c r="DL106" s="2">
        <v>10.6</v>
      </c>
      <c r="DM106" s="2">
        <v>4.3</v>
      </c>
      <c r="DN106" s="2" t="s">
        <v>274</v>
      </c>
      <c r="DO106" s="2" t="s">
        <v>94</v>
      </c>
      <c r="DP106" s="2" t="s">
        <v>89</v>
      </c>
      <c r="DQ106" s="2" t="str">
        <f>HYPERLINK(".\links\Sigp\AGAP000781-PA-SigP.txt","CYT")</f>
        <v>CYT</v>
      </c>
      <c r="DR106" s="2" t="s">
        <v>89</v>
      </c>
      <c r="DS106" s="2">
        <v>10.694000000000001</v>
      </c>
      <c r="DT106" s="2">
        <v>5.35</v>
      </c>
      <c r="DU106" s="2" t="s">
        <v>89</v>
      </c>
      <c r="DV106" s="2" t="s">
        <v>89</v>
      </c>
      <c r="DW106" s="2" t="s">
        <v>273</v>
      </c>
      <c r="DX106" s="2">
        <v>94</v>
      </c>
      <c r="DY106" s="12">
        <v>0</v>
      </c>
      <c r="DZ106" s="2" t="s">
        <v>89</v>
      </c>
      <c r="EA106" s="2" t="s">
        <v>89</v>
      </c>
      <c r="EB106" s="2" t="s">
        <v>89</v>
      </c>
      <c r="EC106" s="2" t="str">
        <f>HYPERLINK(".\links\gpi\AGAP000781-PA-gpi.txt","N")</f>
        <v>N</v>
      </c>
      <c r="ED106" s="2">
        <v>0.47</v>
      </c>
      <c r="EF106" s="2">
        <v>4</v>
      </c>
      <c r="EG106" s="2" t="s">
        <v>89</v>
      </c>
      <c r="EH106" s="2" t="s">
        <v>89</v>
      </c>
      <c r="EI106" s="2">
        <v>10.6382978723404</v>
      </c>
      <c r="EJ106" s="2">
        <v>0</v>
      </c>
      <c r="EK106" s="2">
        <v>4.2553191489361701</v>
      </c>
      <c r="EL106" s="2">
        <v>4.2553191489361701</v>
      </c>
      <c r="EM106" s="2" t="s">
        <v>89</v>
      </c>
      <c r="EN106" s="2" t="s">
        <v>89</v>
      </c>
      <c r="EO106" s="2" t="s">
        <v>89</v>
      </c>
      <c r="EP106" s="2" t="s">
        <v>89</v>
      </c>
      <c r="EQ106" s="2" t="s">
        <v>89</v>
      </c>
      <c r="ER106" s="2" t="s">
        <v>89</v>
      </c>
      <c r="ES106" s="2" t="s">
        <v>89</v>
      </c>
      <c r="ET106" s="2" t="str">
        <f>HYPERLINK(".\links\REFSEQ-INVERTEBRATE\AGAP000781-PA-REFSEQ-INVERTEBRATE.txt","AGAP000781-PA")</f>
        <v>AGAP000781-PA</v>
      </c>
      <c r="EU106" s="2" t="str">
        <f>HYPERLINK("http://www.ncbi.nlm.nih.gov/sutils/blink.cgi?pid=XP_311321.4","2E-62")</f>
        <v>2E-62</v>
      </c>
      <c r="EV106" s="2" t="str">
        <f>HYPERLINK("http://www.ncbi.nlm.nih.gov/protein/XP_311321.4","XP_311321.4")</f>
        <v>XP_311321.4</v>
      </c>
      <c r="EW106" s="2">
        <v>100</v>
      </c>
      <c r="EX106" s="2">
        <v>100</v>
      </c>
      <c r="EY106" s="2">
        <v>100</v>
      </c>
      <c r="EZ106" s="2" t="s">
        <v>95</v>
      </c>
    </row>
    <row r="107" spans="1:156" x14ac:dyDescent="0.25">
      <c r="A107" s="2" t="s">
        <v>343</v>
      </c>
      <c r="B107" s="2">
        <v>-0.80799255253087199</v>
      </c>
      <c r="C107" s="2">
        <f t="shared" si="1"/>
        <v>0.57117607193734188</v>
      </c>
      <c r="D107" s="2">
        <v>6.41128388349982</v>
      </c>
      <c r="E107" s="2">
        <v>21.7513449806907</v>
      </c>
      <c r="F107" s="2">
        <v>3.1037220047151599E-6</v>
      </c>
      <c r="G107" s="2">
        <v>8.2613320460505702E-4</v>
      </c>
      <c r="H107" s="2" t="s">
        <v>344</v>
      </c>
      <c r="I107" s="2" t="s">
        <v>87</v>
      </c>
      <c r="J107" s="2" t="str">
        <f>HYPERLINK("https://vectorbase.org/vectorbase/app/record/gene/AGAP001064","AGAP001064-RA")</f>
        <v>AGAP001064-RA</v>
      </c>
      <c r="K107" s="2" t="str">
        <f>HYPERLINK(".\links\pep\AGAP001064-PA-pep.txt","AGAP001064-PA")</f>
        <v>AGAP001064-PA</v>
      </c>
      <c r="L107" s="12" t="s">
        <v>88</v>
      </c>
      <c r="M107" s="2">
        <v>204</v>
      </c>
      <c r="N107" s="2">
        <v>0</v>
      </c>
      <c r="O107" s="2">
        <v>0</v>
      </c>
      <c r="P107" s="2" t="s">
        <v>345</v>
      </c>
      <c r="Q107" s="9" t="s">
        <v>346</v>
      </c>
      <c r="R107" s="2" t="s">
        <v>347</v>
      </c>
      <c r="S107" s="2" t="str">
        <f>HYPERLINK(".\links\KOG\AGAP001064-PA-KOG.txt","KOG")</f>
        <v>KOG</v>
      </c>
      <c r="T107" s="2">
        <v>3.9999999999999999E-66</v>
      </c>
      <c r="U107" s="2">
        <v>98</v>
      </c>
      <c r="V107" s="2" t="s">
        <v>348</v>
      </c>
      <c r="W107" s="10" t="s">
        <v>349</v>
      </c>
      <c r="X107" s="2" t="s">
        <v>347</v>
      </c>
      <c r="Y107" s="2" t="str">
        <f>HYPERLINK(".\links\KOG\AGAP001064-PA-KOG.txt","KOG")</f>
        <v>KOG</v>
      </c>
      <c r="Z107" s="13">
        <v>2E-55</v>
      </c>
      <c r="AA107" s="2">
        <v>90.4</v>
      </c>
      <c r="AB107" s="14" t="str">
        <f>HYPERLINK(".\links\pep\AGAP001064-PA-sulf.txt","1")</f>
        <v>1</v>
      </c>
      <c r="AC107" s="14" t="str">
        <f>HYPERLINK(".\links\Sigp\AGAP001064-PA-SigP.txt","SIG")</f>
        <v>SIG</v>
      </c>
      <c r="AD107" s="2" t="s">
        <v>350</v>
      </c>
      <c r="AE107" s="2">
        <v>23.437000000000001</v>
      </c>
      <c r="AF107" s="2">
        <v>6.19</v>
      </c>
      <c r="AG107" s="2">
        <v>21.285</v>
      </c>
      <c r="AH107" s="2">
        <v>6.24</v>
      </c>
      <c r="AI107" s="2" t="s">
        <v>351</v>
      </c>
      <c r="AJ107" s="14" t="str">
        <f>HYPERLINK(".\links\tmhmm\AGAP001064-PA-tmhmm.txt","2")</f>
        <v>2</v>
      </c>
      <c r="AK107" s="2">
        <v>21.6</v>
      </c>
      <c r="AL107" s="2">
        <v>6.9</v>
      </c>
      <c r="AM107" s="2">
        <v>71.599999999999994</v>
      </c>
      <c r="AN107" s="14" t="str">
        <f>HYPERLINK(".\links\gpi\AGAP001064-PA-gpi.txt","N")</f>
        <v>N</v>
      </c>
      <c r="AO107" s="15" t="str">
        <f>HYPERLINK(".\links\netoglyc\AGAP001064-PA-netoglyc.txt","0")</f>
        <v>0</v>
      </c>
      <c r="AP107" s="14">
        <v>12.7</v>
      </c>
      <c r="AQ107" s="2">
        <v>4.9000000000000004</v>
      </c>
      <c r="AR107" s="2">
        <v>2</v>
      </c>
      <c r="AS107" s="2" t="s">
        <v>94</v>
      </c>
      <c r="AT107" s="9" t="str">
        <f>HYPERLINK(".\links\NR-LIGHT\AGAP001064-PA-NR-LIGHT.txt","AGAP001064-PA")</f>
        <v>AGAP001064-PA</v>
      </c>
      <c r="AU107" s="2" t="str">
        <f>HYPERLINK("http://www.ncbi.nlm.nih.gov/sutils/blink.cgi?pid=XP_318301.4","1E-109")</f>
        <v>1E-109</v>
      </c>
      <c r="AV107" s="2" t="str">
        <f>HYPERLINK("http://www.ncbi.nlm.nih.gov/protein/XP_318301.4","XP_318301.4")</f>
        <v>XP_318301.4</v>
      </c>
      <c r="AW107" s="2">
        <v>100</v>
      </c>
      <c r="AX107" s="2">
        <v>100</v>
      </c>
      <c r="AY107" s="2">
        <v>100</v>
      </c>
      <c r="AZ107" s="2" t="s">
        <v>95</v>
      </c>
      <c r="BA107" s="9" t="str">
        <f>HYPERLINK(".\links\REFSEQ-INVERTEBRATE\AGAP001064-PA-REFSEQ-INVERTEBRATE.txt","AGAP001064-PA")</f>
        <v>AGAP001064-PA</v>
      </c>
      <c r="BB107" s="2" t="str">
        <f>HYPERLINK("http://www.ncbi.nlm.nih.gov/sutils/blink.cgi?pid=XP_318301.4","1E-109")</f>
        <v>1E-109</v>
      </c>
      <c r="BC107" s="2" t="str">
        <f>HYPERLINK("http://www.ncbi.nlm.nih.gov/protein/XP_318301.4","XP_318301.4")</f>
        <v>XP_318301.4</v>
      </c>
      <c r="BD107" s="2">
        <v>100</v>
      </c>
      <c r="BE107" s="2">
        <v>100</v>
      </c>
      <c r="BF107" s="2">
        <v>100</v>
      </c>
      <c r="BG107" s="2" t="s">
        <v>95</v>
      </c>
      <c r="BH107" s="9" t="str">
        <f>HYPERLINK(".\links\REFSEQ-PROTOZOA\AGAP001064-PA-REFSEQ-PROTOZOA.txt","transmembrane emp24 domain-containing protein 10")</f>
        <v>transmembrane emp24 domain-containing protein 10</v>
      </c>
      <c r="BI107" s="2" t="str">
        <f>HYPERLINK("http://www.ncbi.nlm.nih.gov/sutils/blink.cgi?pid=XP_004989910.1","2E-047")</f>
        <v>2E-047</v>
      </c>
      <c r="BJ107" s="2" t="str">
        <f>HYPERLINK("http://www.ncbi.nlm.nih.gov/protein/XP_004989910.1","XP_004989910.1")</f>
        <v>XP_004989910.1</v>
      </c>
      <c r="BK107" s="2">
        <v>47</v>
      </c>
      <c r="BL107" s="2">
        <v>69</v>
      </c>
      <c r="BM107" s="2">
        <v>96</v>
      </c>
      <c r="BN107" s="2" t="s">
        <v>182</v>
      </c>
      <c r="BO107" s="9" t="str">
        <f>HYPERLINK(".\links\SWISSP\AGAP001064-PA-SWISSP.txt","Transmembrane emp24 domain-containing protein bai")</f>
        <v>Transmembrane emp24 domain-containing protein bai</v>
      </c>
      <c r="BP107" s="2" t="str">
        <f>HYPERLINK("http://www.uniprot.org/uniprot/B4PUZ3","1E-080")</f>
        <v>1E-080</v>
      </c>
      <c r="BQ107" s="2" t="str">
        <f>HYPERLINK("http://www.uniprot.org/uniprot/B4PUZ3#expression","B4PUZ3")</f>
        <v>B4PUZ3</v>
      </c>
      <c r="BR107" s="2">
        <v>72</v>
      </c>
      <c r="BS107" s="2">
        <v>85</v>
      </c>
      <c r="BT107" s="2">
        <v>97</v>
      </c>
      <c r="BU107" s="2" t="s">
        <v>352</v>
      </c>
      <c r="BV107" s="9" t="str">
        <f>HYPERLINK(".\links\FLYBASE\AGAP001064-PA-FLYBASE.txt","FBpp0084133")</f>
        <v>FBpp0084133</v>
      </c>
      <c r="BW107" s="2" t="str">
        <f>HYPERLINK("http://flybase.org/reports/FBgn0045866#alliance_summary_container","1E-110")</f>
        <v>1E-110</v>
      </c>
      <c r="BX107" s="2">
        <v>206</v>
      </c>
      <c r="BY107" s="2">
        <v>76</v>
      </c>
      <c r="BZ107" s="2">
        <v>89</v>
      </c>
      <c r="CA107" s="2">
        <v>91</v>
      </c>
      <c r="CB107" s="9" t="str">
        <f>HYPERLINK(".\links\CDD\AGAP001064-PA-CDD.txt","EMP24_GP25L, emp24/gp25L/p24 family/GOLD")</f>
        <v>EMP24_GP25L, emp24/gp25L/p24 family/GOLD</v>
      </c>
      <c r="CC107" s="13">
        <v>1.9999999999999999E-40</v>
      </c>
      <c r="CD107" s="2">
        <v>101.1</v>
      </c>
      <c r="CE107" s="2" t="s">
        <v>353</v>
      </c>
      <c r="CF107" s="2" t="s">
        <v>354</v>
      </c>
      <c r="CG107" s="9" t="str">
        <f>HYPERLINK(".\links\KOG\AGAP001064-PA-KOG.txt","emp24/gp25L/p24 family of membrane trafficking proteins")</f>
        <v>emp24/gp25L/p24 family of membrane trafficking proteins</v>
      </c>
      <c r="CH107" s="13">
        <v>3.9999999999999999E-66</v>
      </c>
      <c r="CI107" s="2">
        <v>98.1</v>
      </c>
      <c r="CJ107" s="2" t="s">
        <v>355</v>
      </c>
      <c r="CK107" s="2" t="s">
        <v>278</v>
      </c>
      <c r="CL107" s="9" t="str">
        <f>HYPERLINK(".\links\PFAM\AGAP001064-PA-PFAM.txt","EMP24_GP25L, emp24/gp25L/p24 family/GOLD")</f>
        <v>EMP24_GP25L, emp24/gp25L/p24 family/GOLD</v>
      </c>
      <c r="CM107" s="13">
        <v>4E-41</v>
      </c>
      <c r="CN107" s="2">
        <v>101.1</v>
      </c>
      <c r="CO107" s="2" t="s">
        <v>353</v>
      </c>
      <c r="CP107" s="9" t="str">
        <f>HYPERLINK(".\links\SMART\AGAP001064-PA-SMART.txt","AIP3, Actin interacting protein 3")</f>
        <v>AIP3, Actin interacting protein 3</v>
      </c>
      <c r="CQ107" s="13">
        <v>0.18</v>
      </c>
      <c r="CR107" s="2">
        <v>23</v>
      </c>
      <c r="CS107" s="2" t="s">
        <v>221</v>
      </c>
      <c r="CT107" s="2" t="s">
        <v>348</v>
      </c>
      <c r="CU107" s="2" t="s">
        <v>348</v>
      </c>
      <c r="CV107" s="2" t="s">
        <v>348</v>
      </c>
      <c r="CW107" s="2" t="str">
        <f>HYPERLINK(".\links\pep\AGAP001064-PA-pep.txt","AGAP001064-PA")</f>
        <v>AGAP001064-PA</v>
      </c>
      <c r="CX107" s="2" t="s">
        <v>88</v>
      </c>
      <c r="CY107" s="2">
        <v>204</v>
      </c>
      <c r="CZ107" s="2" t="s">
        <v>103</v>
      </c>
      <c r="DA107" s="2" t="s">
        <v>356</v>
      </c>
      <c r="DB107" s="2">
        <v>0</v>
      </c>
      <c r="DC107" s="2">
        <v>0</v>
      </c>
      <c r="DD107" s="2" t="str">
        <f>HYPERLINK("https://www.kegg.jp/kegg-bin/search_pathway_text?map=aga&amp;keyword=AGAP001064&amp;mode=1&amp;viewImage=true","AGAP001064")</f>
        <v>AGAP001064</v>
      </c>
      <c r="DE107" s="2" t="s">
        <v>343</v>
      </c>
      <c r="DF107" s="2" t="s">
        <v>344</v>
      </c>
      <c r="DG107" s="2" t="s">
        <v>87</v>
      </c>
      <c r="DH107" s="2" t="str">
        <f>HYPERLINK("https://vectorbase.org/vectorbase/app/record/gene/AGAP001064","AGAP001064-RA")</f>
        <v>AGAP001064-RA</v>
      </c>
      <c r="DI107" s="2" t="s">
        <v>140</v>
      </c>
      <c r="DJ107" s="2">
        <v>1010</v>
      </c>
      <c r="DK107" s="2" t="str">
        <f>HYPERLINK(".\links\netoglyc\AGAP001064-PA-netoglyc.txt","0")</f>
        <v>0</v>
      </c>
      <c r="DL107" s="2">
        <v>12.7</v>
      </c>
      <c r="DM107" s="2">
        <v>4.9000000000000004</v>
      </c>
      <c r="DN107" s="2">
        <v>2</v>
      </c>
      <c r="DO107" s="2" t="s">
        <v>94</v>
      </c>
      <c r="DP107" s="2" t="s">
        <v>89</v>
      </c>
      <c r="DQ107" s="2" t="str">
        <f>HYPERLINK(".\links\Sigp\AGAP001064-PA-SigP.txt","SIG")</f>
        <v>SIG</v>
      </c>
      <c r="DR107" s="2" t="s">
        <v>350</v>
      </c>
      <c r="DS107" s="2">
        <v>23.436</v>
      </c>
      <c r="DT107" s="2">
        <v>6.19</v>
      </c>
      <c r="DU107" s="2">
        <v>21.285</v>
      </c>
      <c r="DV107" s="2">
        <v>6.24</v>
      </c>
      <c r="DW107" s="2" t="s">
        <v>351</v>
      </c>
      <c r="DX107" s="2">
        <v>204</v>
      </c>
      <c r="DY107" s="12" t="str">
        <f>HYPERLINK(".\links\tmhmm\AGAP001064-PA-tmhmm.txt","2")</f>
        <v>2</v>
      </c>
      <c r="DZ107" s="2">
        <v>21.6</v>
      </c>
      <c r="EA107" s="2">
        <v>6.9</v>
      </c>
      <c r="EB107" s="2">
        <v>71.599999999999994</v>
      </c>
      <c r="EC107" s="2" t="str">
        <f>HYPERLINK(".\links\gpi\AGAP001064-PA-gpi.txt","Y-NoSP")</f>
        <v>Y-NoSP</v>
      </c>
      <c r="ED107" s="2">
        <v>0.26</v>
      </c>
      <c r="EF107" s="2">
        <v>3</v>
      </c>
      <c r="EG107" s="2" t="str">
        <f>HYPERLINK(".\links\pep\AGAP001064-PA-sulf.txt","1")</f>
        <v>1</v>
      </c>
      <c r="EH107" s="2" t="s">
        <v>89</v>
      </c>
      <c r="EI107" s="2">
        <v>12.7450980392157</v>
      </c>
      <c r="EJ107" s="2">
        <v>1.9607843137254899</v>
      </c>
      <c r="EK107" s="2">
        <v>4.9019607843137303</v>
      </c>
      <c r="EL107" s="2">
        <v>6.8627450980392197</v>
      </c>
      <c r="EM107" s="2">
        <v>1</v>
      </c>
      <c r="EN107" s="2">
        <v>3</v>
      </c>
      <c r="EO107" s="2">
        <v>3</v>
      </c>
      <c r="EP107" s="2" t="s">
        <v>89</v>
      </c>
      <c r="EQ107" s="2" t="s">
        <v>89</v>
      </c>
      <c r="ER107" s="2" t="s">
        <v>89</v>
      </c>
      <c r="ES107" s="2" t="s">
        <v>89</v>
      </c>
      <c r="ET107" s="2" t="str">
        <f>HYPERLINK(".\links\REFSEQ-INVERTEBRATE\AGAP001064-PA-REFSEQ-INVERTEBRATE.txt","AGAP001064-PA")</f>
        <v>AGAP001064-PA</v>
      </c>
      <c r="EU107" s="2" t="str">
        <f>HYPERLINK("http://www.ncbi.nlm.nih.gov/sutils/blink.cgi?pid=XP_318301.4","1E-150")</f>
        <v>1E-150</v>
      </c>
      <c r="EV107" s="2" t="str">
        <f>HYPERLINK("http://www.ncbi.nlm.nih.gov/protein/XP_318301.4","XP_318301.4")</f>
        <v>XP_318301.4</v>
      </c>
      <c r="EW107" s="2">
        <v>100</v>
      </c>
      <c r="EX107" s="2">
        <v>100</v>
      </c>
      <c r="EY107" s="2">
        <v>100</v>
      </c>
      <c r="EZ107" s="2" t="s">
        <v>95</v>
      </c>
    </row>
    <row r="108" spans="1:156" x14ac:dyDescent="0.25">
      <c r="A108" s="2" t="s">
        <v>865</v>
      </c>
      <c r="B108" s="2">
        <v>-0.81253536599563603</v>
      </c>
      <c r="C108" s="2">
        <f t="shared" si="1"/>
        <v>0.56938035950814125</v>
      </c>
      <c r="D108" s="2">
        <v>5.7867986343677602</v>
      </c>
      <c r="E108" s="2">
        <v>16.528437663096</v>
      </c>
      <c r="F108" s="2">
        <v>4.7925868317739203E-5</v>
      </c>
      <c r="G108" s="2">
        <v>5.2604816492677299E-3</v>
      </c>
      <c r="H108" s="2" t="s">
        <v>866</v>
      </c>
      <c r="I108" s="2" t="s">
        <v>87</v>
      </c>
      <c r="J108" s="2" t="str">
        <f>HYPERLINK("https://vectorbase.org/vectorbase/app/record/gene/AGAP003553","AGAP003553-RA")</f>
        <v>AGAP003553-RA</v>
      </c>
      <c r="K108" s="2" t="str">
        <f>HYPERLINK(".\links\pep\AGAP003553-PA-pep.txt","AGAP003553-PA")</f>
        <v>AGAP003553-PA</v>
      </c>
      <c r="L108" s="12" t="s">
        <v>88</v>
      </c>
      <c r="M108" s="2">
        <v>217</v>
      </c>
      <c r="N108" s="2">
        <v>0</v>
      </c>
      <c r="O108" s="2">
        <v>2</v>
      </c>
      <c r="P108" s="2" t="s">
        <v>867</v>
      </c>
      <c r="Q108" s="9" t="s">
        <v>346</v>
      </c>
      <c r="R108" s="2" t="s">
        <v>347</v>
      </c>
      <c r="S108" s="2" t="str">
        <f>HYPERLINK(".\links\KOG\AGAP003553-PA-KOG.txt","KOG")</f>
        <v>KOG</v>
      </c>
      <c r="T108" s="2">
        <v>1.0000000000000001E-33</v>
      </c>
      <c r="U108" s="2">
        <v>102.3</v>
      </c>
      <c r="V108" s="2" t="s">
        <v>868</v>
      </c>
      <c r="W108" s="10" t="s">
        <v>349</v>
      </c>
      <c r="X108" s="2" t="s">
        <v>347</v>
      </c>
      <c r="Y108" s="2" t="str">
        <f>HYPERLINK(".\links\KOG\AGAP003553-PA-KOG.txt","KOG")</f>
        <v>KOG</v>
      </c>
      <c r="Z108" s="13">
        <v>9.9999999999999993E-78</v>
      </c>
      <c r="AA108" s="2">
        <v>92.5</v>
      </c>
      <c r="AB108" s="14" t="s">
        <v>89</v>
      </c>
      <c r="AC108" s="14" t="str">
        <f>HYPERLINK(".\links\Sigp\AGAP003553-PA-SigP.txt","SIG")</f>
        <v>SIG</v>
      </c>
      <c r="AD108" s="2" t="s">
        <v>842</v>
      </c>
      <c r="AE108" s="2">
        <v>25.143000000000001</v>
      </c>
      <c r="AF108" s="2">
        <v>6.17</v>
      </c>
      <c r="AG108" s="2">
        <v>22.911999999999999</v>
      </c>
      <c r="AH108" s="2">
        <v>6.19</v>
      </c>
      <c r="AI108" s="2" t="s">
        <v>869</v>
      </c>
      <c r="AJ108" s="14" t="str">
        <f>HYPERLINK(".\links\tmhmm\AGAP003553-PA-tmhmm.txt","2")</f>
        <v>2</v>
      </c>
      <c r="AK108" s="2">
        <v>18.899999999999999</v>
      </c>
      <c r="AL108" s="2">
        <v>8.3000000000000007</v>
      </c>
      <c r="AM108" s="2">
        <v>72.8</v>
      </c>
      <c r="AN108" s="14" t="str">
        <f>HYPERLINK(".\links\gpi\AGAP003553-PA-gpi.txt","N")</f>
        <v>N</v>
      </c>
      <c r="AO108" s="15" t="str">
        <f>HYPERLINK(".\links\netoglyc\AGAP003553-PA-netoglyc.txt","0")</f>
        <v>0</v>
      </c>
      <c r="AP108" s="14">
        <v>13.8</v>
      </c>
      <c r="AQ108" s="2">
        <v>5.0999999999999996</v>
      </c>
      <c r="AR108" s="2">
        <v>3.7</v>
      </c>
      <c r="AS108" s="2" t="s">
        <v>94</v>
      </c>
      <c r="AT108" s="9" t="str">
        <f>HYPERLINK(".\links\NR-LIGHT\AGAP003553-PA-NR-LIGHT.txt","AGAP003553-PA")</f>
        <v>AGAP003553-PA</v>
      </c>
      <c r="AU108" s="2" t="str">
        <f>HYPERLINK("http://www.ncbi.nlm.nih.gov/sutils/blink.cgi?pid=XP_562397.3","1E-122")</f>
        <v>1E-122</v>
      </c>
      <c r="AV108" s="2" t="str">
        <f>HYPERLINK("http://www.ncbi.nlm.nih.gov/protein/XP_562397.3","XP_562397.3")</f>
        <v>XP_562397.3</v>
      </c>
      <c r="AW108" s="2">
        <v>100</v>
      </c>
      <c r="AX108" s="2">
        <v>100</v>
      </c>
      <c r="AY108" s="2">
        <v>100</v>
      </c>
      <c r="AZ108" s="2" t="s">
        <v>95</v>
      </c>
      <c r="BA108" s="9" t="str">
        <f>HYPERLINK(".\links\REFSEQ-INVERTEBRATE\AGAP003553-PA-REFSEQ-INVERTEBRATE.txt","AGAP003553-PA")</f>
        <v>AGAP003553-PA</v>
      </c>
      <c r="BB108" s="2" t="str">
        <f>HYPERLINK("http://www.ncbi.nlm.nih.gov/sutils/blink.cgi?pid=XP_562397.3","1E-122")</f>
        <v>1E-122</v>
      </c>
      <c r="BC108" s="2" t="str">
        <f>HYPERLINK("http://www.ncbi.nlm.nih.gov/protein/XP_562397.3","XP_562397.3")</f>
        <v>XP_562397.3</v>
      </c>
      <c r="BD108" s="2">
        <v>100</v>
      </c>
      <c r="BE108" s="2">
        <v>100</v>
      </c>
      <c r="BF108" s="2">
        <v>100</v>
      </c>
      <c r="BG108" s="2" t="s">
        <v>95</v>
      </c>
      <c r="BH108" s="9" t="str">
        <f>HYPERLINK(".\links\REFSEQ-PROTOZOA\AGAP003553-PA-REFSEQ-PROTOZOA.txt","transmembrane emp24 domain-containing protein 4")</f>
        <v>transmembrane emp24 domain-containing protein 4</v>
      </c>
      <c r="BI108" s="2" t="str">
        <f>HYPERLINK("http://www.ncbi.nlm.nih.gov/sutils/blink.cgi?pid=XP_004993338.1","4E-068")</f>
        <v>4E-068</v>
      </c>
      <c r="BJ108" s="2" t="str">
        <f>HYPERLINK("http://www.ncbi.nlm.nih.gov/protein/XP_004993338.1","XP_004993338.1")</f>
        <v>XP_004993338.1</v>
      </c>
      <c r="BK108" s="2">
        <v>57</v>
      </c>
      <c r="BL108" s="2">
        <v>73</v>
      </c>
      <c r="BM108" s="2">
        <v>93</v>
      </c>
      <c r="BN108" s="2" t="s">
        <v>182</v>
      </c>
      <c r="BO108" s="9" t="str">
        <f>HYPERLINK(".\links\SWISSP\AGAP003553-PA-SWISSP.txt","Transmembrane emp24 domain-containing protein eca")</f>
        <v>Transmembrane emp24 domain-containing protein eca</v>
      </c>
      <c r="BP108" s="2" t="str">
        <f>HYPERLINK("http://www.uniprot.org/uniprot/B4NKL0","1E-102")</f>
        <v>1E-102</v>
      </c>
      <c r="BQ108" s="2" t="str">
        <f>HYPERLINK("http://www.uniprot.org/uniprot/B4NKL0#expression","B4NKL0")</f>
        <v>B4NKL0</v>
      </c>
      <c r="BR108" s="2">
        <v>84</v>
      </c>
      <c r="BS108" s="2">
        <v>91</v>
      </c>
      <c r="BT108" s="2">
        <v>98</v>
      </c>
      <c r="BU108" s="2" t="s">
        <v>870</v>
      </c>
      <c r="BV108" s="9" t="str">
        <f>HYPERLINK(".\links\FLYBASE\AGAP003553-PA-FLYBASE.txt","FBpp0081576")</f>
        <v>FBpp0081576</v>
      </c>
      <c r="BW108" s="2" t="str">
        <f>HYPERLINK("http://flybase.org/reports/FBgn0069242#alliance_summary_container","1E-135")</f>
        <v>1E-135</v>
      </c>
      <c r="BX108" s="2">
        <v>216</v>
      </c>
      <c r="BY108" s="2">
        <v>83</v>
      </c>
      <c r="BZ108" s="2">
        <v>91</v>
      </c>
      <c r="CA108" s="2">
        <v>98</v>
      </c>
      <c r="CB108" s="9" t="str">
        <f>HYPERLINK(".\links\CDD\AGAP003553-PA-CDD.txt","EMP24_GP25L, emp24/gp25L/p24 family/GOLD")</f>
        <v>EMP24_GP25L, emp24/gp25L/p24 family/GOLD</v>
      </c>
      <c r="CC108" s="13">
        <v>1.9999999999999999E-48</v>
      </c>
      <c r="CD108" s="2">
        <v>107.7</v>
      </c>
      <c r="CE108" s="2" t="s">
        <v>353</v>
      </c>
      <c r="CF108" s="2" t="s">
        <v>871</v>
      </c>
      <c r="CG108" s="9" t="str">
        <f>HYPERLINK(".\links\KOG\AGAP003553-PA-KOG.txt","emp24/gp25L/p24 family of membrane trafficking proteins")</f>
        <v>emp24/gp25L/p24 family of membrane trafficking proteins</v>
      </c>
      <c r="CH108" s="13">
        <v>3.0000000000000001E-83</v>
      </c>
      <c r="CI108" s="2">
        <v>98.6</v>
      </c>
      <c r="CJ108" s="2" t="s">
        <v>872</v>
      </c>
      <c r="CK108" s="2" t="s">
        <v>278</v>
      </c>
      <c r="CL108" s="9" t="str">
        <f>HYPERLINK(".\links\PFAM\AGAP003553-PA-PFAM.txt","EMP24_GP25L, emp24/gp25L/p24 family/GOLD")</f>
        <v>EMP24_GP25L, emp24/gp25L/p24 family/GOLD</v>
      </c>
      <c r="CM108" s="13">
        <v>3.9999999999999997E-49</v>
      </c>
      <c r="CN108" s="2">
        <v>107.7</v>
      </c>
      <c r="CO108" s="2" t="s">
        <v>353</v>
      </c>
      <c r="CP108" s="9" t="str">
        <f>HYPERLINK(".\links\SMART\AGAP003553-PA-SMART.txt","C1Q, Complement component C1q domain")</f>
        <v>C1Q, Complement component C1q domain</v>
      </c>
      <c r="CQ108" s="13">
        <v>2.6</v>
      </c>
      <c r="CR108" s="2">
        <v>25.9</v>
      </c>
      <c r="CS108" s="2" t="s">
        <v>873</v>
      </c>
      <c r="CT108" s="2" t="s">
        <v>868</v>
      </c>
      <c r="CU108" s="2" t="s">
        <v>868</v>
      </c>
      <c r="CV108" s="2" t="s">
        <v>868</v>
      </c>
      <c r="CW108" s="2" t="str">
        <f>HYPERLINK(".\links\pep\AGAP003553-PA-pep.txt","AGAP003553-PA")</f>
        <v>AGAP003553-PA</v>
      </c>
      <c r="CX108" s="2" t="s">
        <v>88</v>
      </c>
      <c r="CY108" s="2">
        <v>217</v>
      </c>
      <c r="CZ108" s="2" t="s">
        <v>103</v>
      </c>
      <c r="DA108" s="2" t="s">
        <v>874</v>
      </c>
      <c r="DB108" s="2">
        <v>0</v>
      </c>
      <c r="DC108" s="2">
        <v>2</v>
      </c>
      <c r="DD108" s="2" t="str">
        <f>HYPERLINK("https://www.kegg.jp/kegg-bin/search_pathway_text?map=aga&amp;keyword=AGAP003553&amp;mode=1&amp;viewImage=true","AGAP003553")</f>
        <v>AGAP003553</v>
      </c>
      <c r="DE108" s="2" t="s">
        <v>865</v>
      </c>
      <c r="DF108" s="2" t="s">
        <v>866</v>
      </c>
      <c r="DG108" s="2" t="s">
        <v>87</v>
      </c>
      <c r="DH108" s="2" t="str">
        <f>HYPERLINK("https://vectorbase.org/vectorbase/app/record/gene/AGAP003553","AGAP003553-RA")</f>
        <v>AGAP003553-RA</v>
      </c>
      <c r="DI108" s="2" t="s">
        <v>105</v>
      </c>
      <c r="DJ108" s="2">
        <v>841</v>
      </c>
      <c r="DK108" s="2" t="str">
        <f>HYPERLINK(".\links\netoglyc\AGAP003553-PA-netoglyc.txt","0")</f>
        <v>0</v>
      </c>
      <c r="DL108" s="2">
        <v>13.8</v>
      </c>
      <c r="DM108" s="2">
        <v>5.0999999999999996</v>
      </c>
      <c r="DN108" s="2">
        <v>3.7</v>
      </c>
      <c r="DO108" s="2" t="s">
        <v>94</v>
      </c>
      <c r="DP108" s="2" t="s">
        <v>89</v>
      </c>
      <c r="DQ108" s="2" t="str">
        <f>HYPERLINK(".\links\Sigp\AGAP003553-PA-SigP.txt","SIG")</f>
        <v>SIG</v>
      </c>
      <c r="DR108" s="2" t="s">
        <v>842</v>
      </c>
      <c r="DS108" s="2">
        <v>25.143000000000001</v>
      </c>
      <c r="DT108" s="2">
        <v>6.17</v>
      </c>
      <c r="DU108" s="2">
        <v>22.911999999999999</v>
      </c>
      <c r="DV108" s="2">
        <v>6.19</v>
      </c>
      <c r="DW108" s="2" t="s">
        <v>869</v>
      </c>
      <c r="DX108" s="2">
        <v>217</v>
      </c>
      <c r="DY108" s="12" t="str">
        <f>HYPERLINK(".\links\tmhmm\AGAP003553-PA-tmhmm.txt","2")</f>
        <v>2</v>
      </c>
      <c r="DZ108" s="2">
        <v>18.899999999999999</v>
      </c>
      <c r="EA108" s="2">
        <v>8.3000000000000007</v>
      </c>
      <c r="EB108" s="2">
        <v>72.8</v>
      </c>
      <c r="EC108" s="2" t="str">
        <f>HYPERLINK(".\links\gpi\AGAP003553-PA-gpi.txt","Y-NoSP")</f>
        <v>Y-NoSP</v>
      </c>
      <c r="ED108" s="2">
        <v>0.22</v>
      </c>
      <c r="EF108" s="2">
        <v>2</v>
      </c>
      <c r="EG108" s="2" t="s">
        <v>89</v>
      </c>
      <c r="EH108" s="2" t="s">
        <v>89</v>
      </c>
      <c r="EI108" s="2">
        <v>13.824884792626699</v>
      </c>
      <c r="EJ108" s="2">
        <v>3.68663594470046</v>
      </c>
      <c r="EK108" s="2">
        <v>5.0691244239631299</v>
      </c>
      <c r="EL108" s="2">
        <v>8.7557603686635908</v>
      </c>
      <c r="EM108" s="2" t="s">
        <v>89</v>
      </c>
      <c r="EN108" s="2" t="s">
        <v>89</v>
      </c>
      <c r="EO108" s="2">
        <v>2</v>
      </c>
      <c r="EP108" s="2" t="s">
        <v>89</v>
      </c>
      <c r="EQ108" s="2" t="s">
        <v>89</v>
      </c>
      <c r="ER108" s="2" t="s">
        <v>89</v>
      </c>
      <c r="ES108" s="2" t="s">
        <v>89</v>
      </c>
      <c r="ET108" s="2" t="str">
        <f>HYPERLINK(".\links\REFSEQ-INVERTEBRATE\AGAP003553-PA-REFSEQ-INVERTEBRATE.txt","AGAP003553-PA")</f>
        <v>AGAP003553-PA</v>
      </c>
      <c r="EU108" s="2" t="str">
        <f>HYPERLINK("http://www.ncbi.nlm.nih.gov/sutils/blink.cgi?pid=XP_562397.3","1E-163")</f>
        <v>1E-163</v>
      </c>
      <c r="EV108" s="2" t="str">
        <f>HYPERLINK("http://www.ncbi.nlm.nih.gov/protein/XP_562397.3","XP_562397.3")</f>
        <v>XP_562397.3</v>
      </c>
      <c r="EW108" s="2">
        <v>100</v>
      </c>
      <c r="EX108" s="2">
        <v>100</v>
      </c>
      <c r="EY108" s="2">
        <v>100</v>
      </c>
      <c r="EZ108" s="2" t="s">
        <v>95</v>
      </c>
    </row>
    <row r="109" spans="1:156" x14ac:dyDescent="0.25">
      <c r="A109" s="2" t="s">
        <v>2139</v>
      </c>
      <c r="B109" s="2">
        <v>-0.81305317894137297</v>
      </c>
      <c r="C109" s="2">
        <f t="shared" si="1"/>
        <v>0.56917603384786897</v>
      </c>
      <c r="D109" s="2">
        <v>5.4455846197201998</v>
      </c>
      <c r="E109" s="2">
        <v>11.180220882879899</v>
      </c>
      <c r="F109" s="2">
        <v>8.2673929648777796E-4</v>
      </c>
      <c r="G109" s="2">
        <v>3.6373112767377598E-2</v>
      </c>
      <c r="H109" s="2" t="s">
        <v>2140</v>
      </c>
      <c r="I109" s="2" t="s">
        <v>87</v>
      </c>
      <c r="J109" s="2" t="str">
        <f>HYPERLINK("https://vectorbase.org/vectorbase/app/record/gene/AGAP009019","AGAP009019-RA")</f>
        <v>AGAP009019-RA</v>
      </c>
      <c r="K109" s="2" t="str">
        <f>HYPERLINK(".\links\pep\AGAP009019-PA-pep.txt","AGAP009019-PA")</f>
        <v>AGAP009019-PA</v>
      </c>
      <c r="L109" s="12" t="s">
        <v>88</v>
      </c>
      <c r="M109" s="2">
        <v>225</v>
      </c>
      <c r="N109" s="2">
        <v>0</v>
      </c>
      <c r="O109" s="2">
        <v>0</v>
      </c>
      <c r="P109" s="2" t="s">
        <v>2141</v>
      </c>
      <c r="Q109" s="9" t="s">
        <v>2142</v>
      </c>
      <c r="R109" s="2" t="s">
        <v>1788</v>
      </c>
      <c r="S109" s="2" t="str">
        <f>HYPERLINK(".\links\REFSEQ-INVERTEBRATE\AGAP009019-PA-REFSEQ-INVERTEBRATE.txt","REFSEQ-INVERTEBRATE")</f>
        <v>REFSEQ-INVERTEBRATE</v>
      </c>
      <c r="T109" s="2">
        <v>0</v>
      </c>
      <c r="U109" s="2">
        <v>100</v>
      </c>
      <c r="V109" s="2" t="s">
        <v>2143</v>
      </c>
      <c r="W109" s="10" t="s">
        <v>2144</v>
      </c>
      <c r="X109" s="2" t="s">
        <v>1788</v>
      </c>
      <c r="Y109" s="2" t="str">
        <f>HYPERLINK(".\links\REFSEQVERTEBRATE95\AGAP009019-PA-REFSEQVERTEBRATE95.txt","REFSEQVERTEBRATE95")</f>
        <v>REFSEQVERTEBRATE95</v>
      </c>
      <c r="Z109" s="13">
        <v>0</v>
      </c>
      <c r="AA109" s="2">
        <v>81</v>
      </c>
      <c r="AB109" s="14" t="s">
        <v>89</v>
      </c>
      <c r="AC109" s="14" t="str">
        <f>HYPERLINK(".\links\Sigp\AGAP009019-PA-SigP.txt","CYT")</f>
        <v>CYT</v>
      </c>
      <c r="AD109" s="2" t="s">
        <v>89</v>
      </c>
      <c r="AE109" s="2">
        <v>24.623999999999999</v>
      </c>
      <c r="AF109" s="2">
        <v>7.78</v>
      </c>
      <c r="AG109" s="2" t="s">
        <v>89</v>
      </c>
      <c r="AH109" s="2" t="s">
        <v>89</v>
      </c>
      <c r="AI109" s="2" t="s">
        <v>2145</v>
      </c>
      <c r="AJ109" s="14">
        <v>0</v>
      </c>
      <c r="AK109" s="2" t="s">
        <v>89</v>
      </c>
      <c r="AL109" s="2" t="s">
        <v>89</v>
      </c>
      <c r="AM109" s="2" t="s">
        <v>89</v>
      </c>
      <c r="AN109" s="14" t="str">
        <f>HYPERLINK(".\links\gpi\AGAP009019-PA-gpi.txt","N")</f>
        <v>N</v>
      </c>
      <c r="AO109" s="15" t="str">
        <f>HYPERLINK(".\links\netoglyc\AGAP009019-PA-netoglyc.txt","6")</f>
        <v>6</v>
      </c>
      <c r="AP109" s="14">
        <v>14.7</v>
      </c>
      <c r="AQ109" s="2">
        <v>7.1</v>
      </c>
      <c r="AR109" s="2">
        <v>5.8</v>
      </c>
      <c r="AS109" s="2" t="s">
        <v>94</v>
      </c>
      <c r="AT109" s="9" t="str">
        <f>HYPERLINK(".\links\NR-LIGHT\AGAP009019-PA-NR-LIGHT.txt","AGAP009019-PA")</f>
        <v>AGAP009019-PA</v>
      </c>
      <c r="AU109" s="2" t="str">
        <f>HYPERLINK("http://www.ncbi.nlm.nih.gov/sutils/blink.cgi?pid=XP_319765.3","1E-124")</f>
        <v>1E-124</v>
      </c>
      <c r="AV109" s="2" t="str">
        <f>HYPERLINK("http://www.ncbi.nlm.nih.gov/protein/XP_319765.3","XP_319765.3")</f>
        <v>XP_319765.3</v>
      </c>
      <c r="AW109" s="2">
        <v>100</v>
      </c>
      <c r="AX109" s="2">
        <v>100</v>
      </c>
      <c r="AY109" s="2">
        <v>100</v>
      </c>
      <c r="AZ109" s="2" t="s">
        <v>95</v>
      </c>
      <c r="BA109" s="9" t="str">
        <f>HYPERLINK(".\links\REFSEQ-INVERTEBRATE\AGAP009019-PA-REFSEQ-INVERTEBRATE.txt","AGAP009019-PA")</f>
        <v>AGAP009019-PA</v>
      </c>
      <c r="BB109" s="2" t="str">
        <f>HYPERLINK("http://www.ncbi.nlm.nih.gov/sutils/blink.cgi?pid=XP_319765.3","1E-124")</f>
        <v>1E-124</v>
      </c>
      <c r="BC109" s="2" t="str">
        <f>HYPERLINK("http://www.ncbi.nlm.nih.gov/protein/XP_319765.3","XP_319765.3")</f>
        <v>XP_319765.3</v>
      </c>
      <c r="BD109" s="2">
        <v>100</v>
      </c>
      <c r="BE109" s="2">
        <v>100</v>
      </c>
      <c r="BF109" s="2">
        <v>100</v>
      </c>
      <c r="BG109" s="2" t="s">
        <v>95</v>
      </c>
      <c r="BH109" s="9" t="str">
        <f>HYPERLINK(".\links\REFSEQ-PROTOZOA\AGAP009019-PA-REFSEQ-PROTOZOA.txt","ATP-dependent Clp protease proteolytic subunit")</f>
        <v>ATP-dependent Clp protease proteolytic subunit</v>
      </c>
      <c r="BI109" s="2" t="str">
        <f>HYPERLINK("http://www.ncbi.nlm.nih.gov/sutils/blink.cgi?pid=XP_004993737.1","9E-074")</f>
        <v>9E-074</v>
      </c>
      <c r="BJ109" s="2" t="str">
        <f>HYPERLINK("http://www.ncbi.nlm.nih.gov/protein/XP_004993737.1","XP_004993737.1")</f>
        <v>XP_004993737.1</v>
      </c>
      <c r="BK109" s="2">
        <v>70</v>
      </c>
      <c r="BL109" s="2">
        <v>82</v>
      </c>
      <c r="BM109" s="2">
        <v>75</v>
      </c>
      <c r="BN109" s="2" t="s">
        <v>182</v>
      </c>
      <c r="BO109" s="9" t="str">
        <f>HYPERLINK(".\links\SWISSP\AGAP009019-PA-SWISSP.txt","ATP-dependent Clp protease proteolytic subunit, mitochondrial")</f>
        <v>ATP-dependent Clp protease proteolytic subunit, mitochondrial</v>
      </c>
      <c r="BP109" s="2" t="str">
        <f>HYPERLINK("http://www.uniprot.org/uniprot/Q2KHU4","1E-086")</f>
        <v>1E-086</v>
      </c>
      <c r="BQ109" s="2" t="str">
        <f>HYPERLINK("http://www.uniprot.org/uniprot/Q2KHU4#expression","Q2KHU4")</f>
        <v>Q2KHU4</v>
      </c>
      <c r="BR109" s="2">
        <v>74</v>
      </c>
      <c r="BS109" s="2">
        <v>83</v>
      </c>
      <c r="BT109" s="2">
        <v>78</v>
      </c>
      <c r="BU109" s="2" t="s">
        <v>183</v>
      </c>
      <c r="BV109" s="9" t="str">
        <f>HYPERLINK(".\links\FLYBASE\AGAP009019-PA-FLYBASE.txt","FBpp0304498")</f>
        <v>FBpp0304498</v>
      </c>
      <c r="BW109" s="2" t="str">
        <f>HYPERLINK("http://flybase.org/reports/FBgn0032229#alliance_summary_container","1E-119")</f>
        <v>1E-119</v>
      </c>
      <c r="BX109" s="2">
        <v>253</v>
      </c>
      <c r="BY109" s="2">
        <v>80</v>
      </c>
      <c r="BZ109" s="2">
        <v>89</v>
      </c>
      <c r="CA109" s="2">
        <v>77</v>
      </c>
      <c r="CB109" s="9" t="str">
        <f>HYPERLINK(".\links\CDD\AGAP009019-PA-CDD.txt","clpP, ATP-dependent Clp protease proteolytic subunit")</f>
        <v>clpP, ATP-dependent Clp protease proteolytic subunit</v>
      </c>
      <c r="CC109" s="13">
        <v>9.9999999999999993E-103</v>
      </c>
      <c r="CD109" s="2">
        <v>97.5</v>
      </c>
      <c r="CE109" s="2" t="s">
        <v>2146</v>
      </c>
      <c r="CF109" s="2" t="s">
        <v>2147</v>
      </c>
      <c r="CG109" s="9" t="str">
        <f>HYPERLINK(".\links\KOG\AGAP009019-PA-KOG.txt","proteolytic subunit")</f>
        <v>proteolytic subunit</v>
      </c>
      <c r="CH109" s="13">
        <v>1E-89</v>
      </c>
      <c r="CI109" s="2">
        <v>71.3</v>
      </c>
      <c r="CJ109" s="2" t="s">
        <v>2148</v>
      </c>
      <c r="CK109" s="2" t="s">
        <v>264</v>
      </c>
      <c r="CL109" s="9" t="str">
        <f>HYPERLINK(".\links\PFAM\AGAP009019-PA-PFAM.txt","CLP_protease, Clp protease")</f>
        <v>CLP_protease, Clp protease</v>
      </c>
      <c r="CM109" s="13">
        <v>1.9999999999999999E-88</v>
      </c>
      <c r="CN109" s="2">
        <v>100</v>
      </c>
      <c r="CO109" s="2" t="s">
        <v>2149</v>
      </c>
      <c r="CP109" s="9" t="str">
        <f>HYPERLINK(".\links\SMART\AGAP009019-PA-SMART.txt","WNT1, found in Wnt-1")</f>
        <v>WNT1, found in Wnt-1</v>
      </c>
      <c r="CQ109" s="13">
        <v>0.93</v>
      </c>
      <c r="CR109" s="2">
        <v>4.5999999999999996</v>
      </c>
      <c r="CS109" s="2" t="s">
        <v>102</v>
      </c>
      <c r="CT109" s="2" t="s">
        <v>2143</v>
      </c>
      <c r="CU109" s="2" t="s">
        <v>2143</v>
      </c>
      <c r="CV109" s="2" t="s">
        <v>2143</v>
      </c>
      <c r="CW109" s="2" t="str">
        <f>HYPERLINK(".\links\pep\AGAP009019-PA-pep.txt","AGAP009019-PA")</f>
        <v>AGAP009019-PA</v>
      </c>
      <c r="CX109" s="2" t="s">
        <v>88</v>
      </c>
      <c r="CY109" s="2">
        <v>225</v>
      </c>
      <c r="CZ109" s="2" t="s">
        <v>103</v>
      </c>
      <c r="DA109" s="2" t="s">
        <v>2150</v>
      </c>
      <c r="DB109" s="2">
        <v>0</v>
      </c>
      <c r="DC109" s="2">
        <v>0</v>
      </c>
      <c r="DD109" s="2" t="str">
        <f>HYPERLINK("https://www.kegg.jp/kegg-bin/search_pathway_text?map=aga&amp;keyword=AGAP009019&amp;mode=1&amp;viewImage=true","AGAP009019")</f>
        <v>AGAP009019</v>
      </c>
      <c r="DE109" s="2" t="s">
        <v>2139</v>
      </c>
      <c r="DF109" s="2" t="s">
        <v>2140</v>
      </c>
      <c r="DG109" s="2" t="s">
        <v>87</v>
      </c>
      <c r="DH109" s="2" t="str">
        <f>HYPERLINK("https://vectorbase.org/vectorbase/app/record/gene/AGAP009019","AGAP009019-RA")</f>
        <v>AGAP009019-RA</v>
      </c>
      <c r="DI109" s="2" t="s">
        <v>158</v>
      </c>
      <c r="DJ109" s="2">
        <v>788</v>
      </c>
      <c r="DK109" s="2" t="str">
        <f>HYPERLINK(".\links\netoglyc\AGAP009019-PA-netoglyc.txt","6")</f>
        <v>6</v>
      </c>
      <c r="DL109" s="2">
        <v>14.7</v>
      </c>
      <c r="DM109" s="2">
        <v>7.1</v>
      </c>
      <c r="DN109" s="2">
        <v>5.8</v>
      </c>
      <c r="DO109" s="2" t="s">
        <v>94</v>
      </c>
      <c r="DP109" s="2" t="s">
        <v>89</v>
      </c>
      <c r="DQ109" s="2" t="str">
        <f>HYPERLINK(".\links\Sigp\AGAP009019-PA-SigP.txt","CYT")</f>
        <v>CYT</v>
      </c>
      <c r="DR109" s="2" t="s">
        <v>89</v>
      </c>
      <c r="DS109" s="2">
        <v>24.623999999999999</v>
      </c>
      <c r="DT109" s="2">
        <v>7.78</v>
      </c>
      <c r="DU109" s="2" t="s">
        <v>89</v>
      </c>
      <c r="DV109" s="2" t="s">
        <v>89</v>
      </c>
      <c r="DW109" s="2" t="s">
        <v>2145</v>
      </c>
      <c r="DX109" s="2">
        <v>225</v>
      </c>
      <c r="DY109" s="12">
        <v>0</v>
      </c>
      <c r="DZ109" s="2" t="s">
        <v>89</v>
      </c>
      <c r="EA109" s="2" t="s">
        <v>89</v>
      </c>
      <c r="EB109" s="2" t="s">
        <v>89</v>
      </c>
      <c r="EC109" s="2" t="str">
        <f>HYPERLINK(".\links\gpi\AGAP009019-PA-gpi.txt","N")</f>
        <v>N</v>
      </c>
      <c r="ED109" s="2">
        <v>0.2</v>
      </c>
      <c r="EF109" s="2">
        <v>3</v>
      </c>
      <c r="EG109" s="2" t="s">
        <v>89</v>
      </c>
      <c r="EH109" s="2" t="s">
        <v>89</v>
      </c>
      <c r="EI109" s="2">
        <v>14.6666666666667</v>
      </c>
      <c r="EJ109" s="2">
        <v>5.7777777777777803</v>
      </c>
      <c r="EK109" s="2">
        <v>7.1111111111111098</v>
      </c>
      <c r="EL109" s="2">
        <v>12.8888888888889</v>
      </c>
      <c r="EM109" s="2">
        <v>1</v>
      </c>
      <c r="EN109" s="2" t="s">
        <v>89</v>
      </c>
      <c r="EO109" s="2">
        <v>2</v>
      </c>
      <c r="EP109" s="2" t="s">
        <v>89</v>
      </c>
      <c r="EQ109" s="2" t="s">
        <v>89</v>
      </c>
      <c r="ER109" s="2" t="s">
        <v>89</v>
      </c>
      <c r="ES109" s="2" t="s">
        <v>89</v>
      </c>
      <c r="ET109" s="2" t="str">
        <f>HYPERLINK(".\links\REFSEQ-INVERTEBRATE\AGAP009019-PA-REFSEQ-INVERTEBRATE.txt","AGAP009019-PA")</f>
        <v>AGAP009019-PA</v>
      </c>
      <c r="EU109" s="2" t="str">
        <f>HYPERLINK("http://www.ncbi.nlm.nih.gov/sutils/blink.cgi?pid=XP_319765.3","1E-167")</f>
        <v>1E-167</v>
      </c>
      <c r="EV109" s="2" t="str">
        <f>HYPERLINK("http://www.ncbi.nlm.nih.gov/protein/XP_319765.3","XP_319765.3")</f>
        <v>XP_319765.3</v>
      </c>
      <c r="EW109" s="2">
        <v>100</v>
      </c>
      <c r="EX109" s="2">
        <v>100</v>
      </c>
      <c r="EY109" s="2">
        <v>100</v>
      </c>
      <c r="EZ109" s="2" t="s">
        <v>95</v>
      </c>
    </row>
    <row r="110" spans="1:156" x14ac:dyDescent="0.25">
      <c r="A110" s="2" t="s">
        <v>1031</v>
      </c>
      <c r="B110" s="2">
        <v>-0.81639237493596695</v>
      </c>
      <c r="C110" s="2">
        <f t="shared" si="1"/>
        <v>0.5678601684259561</v>
      </c>
      <c r="D110" s="2">
        <v>7.94256044285921</v>
      </c>
      <c r="E110" s="2">
        <v>11.5516374170793</v>
      </c>
      <c r="F110" s="2">
        <v>6.7689617183450698E-4</v>
      </c>
      <c r="G110" s="2">
        <v>3.2173721167508898E-2</v>
      </c>
      <c r="H110" s="2" t="s">
        <v>86</v>
      </c>
      <c r="I110" s="2" t="s">
        <v>87</v>
      </c>
      <c r="J110" s="2" t="str">
        <f>HYPERLINK("https://vectorbase.org/vectorbase/app/record/gene/AGAP003960","AGAP003960-RA")</f>
        <v>AGAP003960-RA</v>
      </c>
      <c r="K110" s="2" t="str">
        <f>HYPERLINK(".\links\pep\AGAP003960-PA-pep.txt","AGAP003960-PA")</f>
        <v>AGAP003960-PA</v>
      </c>
      <c r="L110" s="12" t="s">
        <v>88</v>
      </c>
      <c r="M110" s="2">
        <v>579</v>
      </c>
      <c r="N110" s="2">
        <v>0</v>
      </c>
      <c r="O110" s="2">
        <v>0</v>
      </c>
      <c r="P110" s="2" t="s">
        <v>89</v>
      </c>
      <c r="Q110" s="9" t="s">
        <v>1032</v>
      </c>
      <c r="R110" s="2" t="s">
        <v>303</v>
      </c>
      <c r="S110" s="2" t="str">
        <f>HYPERLINK(".\links\CDD\AGAP003960-PA-CDD.txt","CDD")</f>
        <v>CDD</v>
      </c>
      <c r="T110" s="2">
        <v>4.0000000000000002E-56</v>
      </c>
      <c r="U110" s="2">
        <v>106</v>
      </c>
      <c r="V110" s="2" t="s">
        <v>1033</v>
      </c>
      <c r="W110" s="10" t="s">
        <v>1034</v>
      </c>
      <c r="X110" s="2" t="s">
        <v>755</v>
      </c>
      <c r="Y110" s="2" t="str">
        <f>HYPERLINK(".\links\MEROPS\AGAP003960-PA-MEROPS.txt","MEROPS")</f>
        <v>MEROPS</v>
      </c>
      <c r="Z110" s="2">
        <v>0</v>
      </c>
      <c r="AA110" s="2">
        <v>100</v>
      </c>
      <c r="AB110" s="14" t="str">
        <f>HYPERLINK(".\links\pep\AGAP003960-PA-sulf.txt","3")</f>
        <v>3</v>
      </c>
      <c r="AC110" s="14" t="str">
        <f>HYPERLINK(".\links\Sigp\AGAP003960-PA-SigP.txt","SIG")</f>
        <v>SIG</v>
      </c>
      <c r="AD110" s="2" t="s">
        <v>1035</v>
      </c>
      <c r="AE110" s="2">
        <v>64.644999999999996</v>
      </c>
      <c r="AF110" s="2">
        <v>8.2899999999999991</v>
      </c>
      <c r="AG110" s="2">
        <v>61.802999999999997</v>
      </c>
      <c r="AH110" s="2">
        <v>8.0399999999999991</v>
      </c>
      <c r="AI110" s="2" t="s">
        <v>1036</v>
      </c>
      <c r="AJ110" s="14" t="str">
        <f>HYPERLINK(".\links\tmhmm\AGAP003960-PA-tmhmm.txt","1")</f>
        <v>1</v>
      </c>
      <c r="AK110" s="2">
        <v>3.3</v>
      </c>
      <c r="AL110" s="2">
        <v>95.5</v>
      </c>
      <c r="AM110" s="2">
        <v>1.2</v>
      </c>
      <c r="AN110" s="14" t="str">
        <f>HYPERLINK(".\links\gpi\AGAP003960-PA-gpi.txt","N")</f>
        <v>N</v>
      </c>
      <c r="AO110" s="15" t="str">
        <f>HYPERLINK(".\links\netoglyc\AGAP003960-PA-netoglyc.txt","0")</f>
        <v>0</v>
      </c>
      <c r="AP110" s="14">
        <v>15.5</v>
      </c>
      <c r="AQ110" s="2">
        <v>6</v>
      </c>
      <c r="AR110" s="2">
        <v>4.0999999999999996</v>
      </c>
      <c r="AS110" s="2" t="s">
        <v>94</v>
      </c>
      <c r="AT110" s="9" t="str">
        <f>HYPERLINK(".\links\NR-LIGHT\AGAP003960-PA-NR-LIGHT.txt","AGAP003960-PA")</f>
        <v>AGAP003960-PA</v>
      </c>
      <c r="AU110" s="2" t="str">
        <f>HYPERLINK("http://www.ncbi.nlm.nih.gov/sutils/blink.cgi?pid=XP_318412.5","0.0")</f>
        <v>0.0</v>
      </c>
      <c r="AV110" s="2" t="str">
        <f>HYPERLINK("http://www.ncbi.nlm.nih.gov/protein/XP_318412.5","XP_318412.5")</f>
        <v>XP_318412.5</v>
      </c>
      <c r="AW110" s="2">
        <v>100</v>
      </c>
      <c r="AX110" s="2">
        <v>100</v>
      </c>
      <c r="AY110" s="2">
        <v>100</v>
      </c>
      <c r="AZ110" s="2" t="s">
        <v>95</v>
      </c>
      <c r="BA110" s="9" t="str">
        <f>HYPERLINK(".\links\REFSEQ-INVERTEBRATE\AGAP003960-PA-REFSEQ-INVERTEBRATE.txt","AGAP003960-PA")</f>
        <v>AGAP003960-PA</v>
      </c>
      <c r="BB110" s="2" t="str">
        <f>HYPERLINK("http://www.ncbi.nlm.nih.gov/sutils/blink.cgi?pid=XP_318412.5","0.0")</f>
        <v>0.0</v>
      </c>
      <c r="BC110" s="2" t="str">
        <f>HYPERLINK("http://www.ncbi.nlm.nih.gov/protein/XP_318412.5","XP_318412.5")</f>
        <v>XP_318412.5</v>
      </c>
      <c r="BD110" s="2">
        <v>100</v>
      </c>
      <c r="BE110" s="2">
        <v>100</v>
      </c>
      <c r="BF110" s="2">
        <v>100</v>
      </c>
      <c r="BG110" s="2" t="s">
        <v>95</v>
      </c>
      <c r="BH110" s="9" t="str">
        <f>HYPERLINK(".\links\REFSEQ-PROTOZOA\AGAP003960-PA-REFSEQ-PROTOZOA.txt","predicted protein")</f>
        <v>predicted protein</v>
      </c>
      <c r="BI110" s="2" t="str">
        <f>HYPERLINK("http://www.ncbi.nlm.nih.gov/sutils/blink.cgi?pid=XP_002679282.1","5E-020")</f>
        <v>5E-020</v>
      </c>
      <c r="BJ110" s="2" t="str">
        <f>HYPERLINK("http://www.ncbi.nlm.nih.gov/protein/XP_002679282.1","XP_002679282.1")</f>
        <v>XP_002679282.1</v>
      </c>
      <c r="BK110" s="2">
        <v>28</v>
      </c>
      <c r="BL110" s="2">
        <v>45</v>
      </c>
      <c r="BM110" s="2">
        <v>86</v>
      </c>
      <c r="BN110" s="2" t="s">
        <v>1037</v>
      </c>
      <c r="BO110" s="9" t="str">
        <f>HYPERLINK(".\links\SWISSP\AGAP003960-PA-SWISSP.txt","Serine protease gd")</f>
        <v>Serine protease gd</v>
      </c>
      <c r="BP110" s="2" t="str">
        <f>HYPERLINK("http://www.uniprot.org/uniprot/O62589","4E-032")</f>
        <v>4E-032</v>
      </c>
      <c r="BQ110" s="2" t="str">
        <f>HYPERLINK("http://www.uniprot.org/uniprot/O62589#expression","O62589")</f>
        <v>O62589</v>
      </c>
      <c r="BR110" s="2">
        <v>30</v>
      </c>
      <c r="BS110" s="2">
        <v>48</v>
      </c>
      <c r="BT110" s="2">
        <v>52</v>
      </c>
      <c r="BU110" s="2" t="s">
        <v>151</v>
      </c>
      <c r="BV110" s="9" t="str">
        <f>HYPERLINK(".\links\FLYBASE\AGAP003960-PA-FLYBASE.txt","FBpp0082363")</f>
        <v>FBpp0082363</v>
      </c>
      <c r="BW110" s="2" t="str">
        <f>HYPERLINK("http://flybase.org/reports/FBgn0038211#alliance_summary_container","9E-39")</f>
        <v>9E-39</v>
      </c>
      <c r="BX110" s="2">
        <v>504</v>
      </c>
      <c r="BY110" s="2">
        <v>32</v>
      </c>
      <c r="BZ110" s="2">
        <v>53</v>
      </c>
      <c r="CA110" s="2">
        <v>51</v>
      </c>
      <c r="CB110" s="9" t="str">
        <f>HYPERLINK(".\links\CDD\AGAP003960-PA-CDD.txt","Tryp_SPc, Trypsin-like serine protease")</f>
        <v>Tryp_SPc, Trypsin-like serine protease</v>
      </c>
      <c r="CC110" s="13">
        <v>4.0000000000000002E-56</v>
      </c>
      <c r="CD110" s="2">
        <v>106.9</v>
      </c>
      <c r="CE110" s="2" t="s">
        <v>758</v>
      </c>
      <c r="CF110" s="2" t="s">
        <v>1038</v>
      </c>
      <c r="CG110" s="9" t="str">
        <f>HYPERLINK(".\links\KOG\AGAP003960-PA-KOG.txt","Trypsin")</f>
        <v>Trypsin</v>
      </c>
      <c r="CH110" s="13">
        <v>9.9999999999999997E-49</v>
      </c>
      <c r="CI110" s="2">
        <v>100.4</v>
      </c>
      <c r="CJ110" s="2" t="s">
        <v>760</v>
      </c>
      <c r="CK110" s="2" t="s">
        <v>393</v>
      </c>
      <c r="CL110" s="9" t="str">
        <f>HYPERLINK(".\links\PFAM\AGAP003960-PA-PFAM.txt","Trypsin, Trypsin")</f>
        <v>Trypsin, Trypsin</v>
      </c>
      <c r="CM110" s="13">
        <v>2E-46</v>
      </c>
      <c r="CN110" s="2">
        <v>110.9</v>
      </c>
      <c r="CO110" s="2" t="s">
        <v>761</v>
      </c>
      <c r="CP110" s="9" t="str">
        <f>HYPERLINK(".\links\SMART\AGAP003960-PA-SMART.txt","Tryp_SPc, Trypsin-like serine protease")</f>
        <v>Tryp_SPc, Trypsin-like serine protease</v>
      </c>
      <c r="CQ110" s="13">
        <v>2.0000000000000001E-54</v>
      </c>
      <c r="CR110" s="2">
        <v>107.9</v>
      </c>
      <c r="CS110" s="2" t="s">
        <v>762</v>
      </c>
      <c r="CT110" s="2" t="s">
        <v>1033</v>
      </c>
      <c r="CU110" s="2" t="s">
        <v>1033</v>
      </c>
      <c r="CV110" s="2" t="s">
        <v>1033</v>
      </c>
      <c r="CW110" s="2" t="str">
        <f>HYPERLINK(".\links\pep\AGAP003960-PA-pep.txt","AGAP003960-PA")</f>
        <v>AGAP003960-PA</v>
      </c>
      <c r="CX110" s="2" t="s">
        <v>88</v>
      </c>
      <c r="CY110" s="2">
        <v>579</v>
      </c>
      <c r="CZ110" s="2" t="s">
        <v>103</v>
      </c>
      <c r="DA110" s="2" t="s">
        <v>1039</v>
      </c>
      <c r="DB110" s="2">
        <v>0</v>
      </c>
      <c r="DC110" s="2">
        <v>0</v>
      </c>
      <c r="DD110" s="2" t="str">
        <f>HYPERLINK("https://www.kegg.jp/kegg-bin/search_pathway_text?map=aga&amp;keyword=AGAP003960&amp;mode=1&amp;viewImage=true","AGAP003960")</f>
        <v>AGAP003960</v>
      </c>
      <c r="DE110" s="2" t="s">
        <v>1031</v>
      </c>
      <c r="DF110" s="2" t="s">
        <v>86</v>
      </c>
      <c r="DG110" s="2" t="s">
        <v>87</v>
      </c>
      <c r="DH110" s="2" t="str">
        <f>HYPERLINK("https://vectorbase.org/vectorbase/app/record/gene/AGAP003960","AGAP003960-RA")</f>
        <v>AGAP003960-RA</v>
      </c>
      <c r="DI110" s="2" t="s">
        <v>140</v>
      </c>
      <c r="DJ110" s="2">
        <v>2020</v>
      </c>
      <c r="DK110" s="2" t="str">
        <f>HYPERLINK(".\links\netoglyc\AGAP003960-PA-netoglyc.txt","0")</f>
        <v>0</v>
      </c>
      <c r="DL110" s="2">
        <v>15.5</v>
      </c>
      <c r="DM110" s="2">
        <v>6</v>
      </c>
      <c r="DN110" s="2">
        <v>4.0999999999999996</v>
      </c>
      <c r="DO110" s="2" t="s">
        <v>94</v>
      </c>
      <c r="DP110" s="2" t="s">
        <v>1040</v>
      </c>
      <c r="DQ110" s="2" t="str">
        <f>HYPERLINK(".\links\Sigp\AGAP003960-PA-SigP.txt","SIG")</f>
        <v>SIG</v>
      </c>
      <c r="DR110" s="2" t="s">
        <v>1035</v>
      </c>
      <c r="DS110" s="2">
        <v>64.644999999999996</v>
      </c>
      <c r="DT110" s="2">
        <v>8.2899999999999991</v>
      </c>
      <c r="DU110" s="2">
        <v>61.802999999999997</v>
      </c>
      <c r="DV110" s="2">
        <v>8.0399999999999991</v>
      </c>
      <c r="DW110" s="2" t="s">
        <v>1036</v>
      </c>
      <c r="DX110" s="2">
        <v>579</v>
      </c>
      <c r="DY110" s="12" t="str">
        <f>HYPERLINK(".\links\tmhmm\AGAP003960-PA-tmhmm.txt","1")</f>
        <v>1</v>
      </c>
      <c r="DZ110" s="2">
        <v>3.3</v>
      </c>
      <c r="EA110" s="2">
        <v>95.5</v>
      </c>
      <c r="EB110" s="2">
        <v>1.2</v>
      </c>
      <c r="EC110" s="2" t="str">
        <f>HYPERLINK(".\links\gpi\AGAP003960-PA-gpi.txt","Y-NoSP")</f>
        <v>Y-NoSP</v>
      </c>
      <c r="ED110" s="2">
        <v>0.2</v>
      </c>
      <c r="EF110" s="2">
        <v>19</v>
      </c>
      <c r="EG110" s="2" t="str">
        <f>HYPERLINK(".\links\pep\AGAP003960-PA-sulf.txt","3")</f>
        <v>3</v>
      </c>
      <c r="EH110" s="2" t="s">
        <v>89</v>
      </c>
      <c r="EI110" s="2">
        <v>15.5440414507772</v>
      </c>
      <c r="EJ110" s="2">
        <v>4.14507772020725</v>
      </c>
      <c r="EK110" s="2">
        <v>6.0449050086355802</v>
      </c>
      <c r="EL110" s="2">
        <v>10.1899827288428</v>
      </c>
      <c r="EM110" s="2" t="s">
        <v>89</v>
      </c>
      <c r="EN110" s="2" t="s">
        <v>89</v>
      </c>
      <c r="EO110" s="2" t="s">
        <v>89</v>
      </c>
      <c r="EP110" s="2" t="s">
        <v>89</v>
      </c>
      <c r="EQ110" s="2" t="s">
        <v>89</v>
      </c>
      <c r="ER110" s="2" t="s">
        <v>89</v>
      </c>
      <c r="ES110" s="2" t="s">
        <v>89</v>
      </c>
      <c r="ET110" s="2" t="str">
        <f>HYPERLINK(".\links\REFSEQ-INVERTEBRATE\AGAP003960-PA-REFSEQ-INVERTEBRATE.txt","AGAP003960-PA")</f>
        <v>AGAP003960-PA</v>
      </c>
      <c r="EU110" s="2" t="str">
        <f>HYPERLINK("http://www.ncbi.nlm.nih.gov/sutils/blink.cgi?pid=XP_318412.5","0.0")</f>
        <v>0.0</v>
      </c>
      <c r="EV110" s="2" t="str">
        <f>HYPERLINK("http://www.ncbi.nlm.nih.gov/protein/XP_318412.5","XP_318412.5")</f>
        <v>XP_318412.5</v>
      </c>
      <c r="EW110" s="2">
        <v>100</v>
      </c>
      <c r="EX110" s="2">
        <v>100</v>
      </c>
      <c r="EY110" s="2">
        <v>100</v>
      </c>
      <c r="EZ110" s="2" t="s">
        <v>95</v>
      </c>
    </row>
    <row r="111" spans="1:156" x14ac:dyDescent="0.25">
      <c r="A111" s="2" t="s">
        <v>1731</v>
      </c>
      <c r="B111" s="2">
        <v>-0.81661828622615595</v>
      </c>
      <c r="C111" s="2">
        <f t="shared" si="1"/>
        <v>0.5677712542923069</v>
      </c>
      <c r="D111" s="2">
        <v>5.77721286714449</v>
      </c>
      <c r="E111" s="2">
        <v>19.5012475380335</v>
      </c>
      <c r="F111" s="2">
        <v>1.0053400257120999E-5</v>
      </c>
      <c r="G111" s="2">
        <v>1.69902464345345E-3</v>
      </c>
      <c r="H111" s="2" t="s">
        <v>1732</v>
      </c>
      <c r="I111" s="2" t="s">
        <v>89</v>
      </c>
      <c r="J111" s="2" t="str">
        <f>HYPERLINK("https://vectorbase.org/vectorbase/app/record/gene/AGAP006946","AGAP006946-RA")</f>
        <v>AGAP006946-RA</v>
      </c>
      <c r="K111" s="2" t="str">
        <f>HYPERLINK(".\links\pep\AGAP006946-PA-pep.txt","AGAP006946-PA")</f>
        <v>AGAP006946-PA</v>
      </c>
      <c r="L111" s="12" t="s">
        <v>88</v>
      </c>
      <c r="M111" s="2">
        <v>138</v>
      </c>
      <c r="N111" s="2">
        <v>0</v>
      </c>
      <c r="O111" s="2">
        <v>0</v>
      </c>
      <c r="P111" s="2" t="s">
        <v>1733</v>
      </c>
      <c r="Q111" s="9" t="s">
        <v>1734</v>
      </c>
      <c r="R111" s="2" t="s">
        <v>303</v>
      </c>
      <c r="S111" s="2" t="str">
        <f>HYPERLINK(".\links\KOG\AGAP006946-PA-KOG.txt","KOG")</f>
        <v>KOG</v>
      </c>
      <c r="T111" s="2">
        <v>9.9999999999999992E-25</v>
      </c>
      <c r="U111" s="2">
        <v>93.1</v>
      </c>
      <c r="V111" s="2" t="s">
        <v>1735</v>
      </c>
      <c r="W111" s="10" t="s">
        <v>1736</v>
      </c>
      <c r="X111" s="2" t="s">
        <v>303</v>
      </c>
      <c r="Y111" s="2" t="str">
        <f>HYPERLINK(".\links\UNIPROTKB\AGAP006946-PA-UNIPROTKB.txt","UNIPROTKB")</f>
        <v>UNIPROTKB</v>
      </c>
      <c r="Z111" s="13">
        <v>6E-37</v>
      </c>
      <c r="AA111" s="2">
        <v>97.8</v>
      </c>
      <c r="AB111" s="14" t="str">
        <f>HYPERLINK(".\links\pep\AGAP006946-PA-sulf.txt","1")</f>
        <v>1</v>
      </c>
      <c r="AC111" s="14" t="str">
        <f>HYPERLINK(".\links\Sigp\AGAP006946-PA-SigP.txt","CYT")</f>
        <v>CYT</v>
      </c>
      <c r="AD111" s="2" t="s">
        <v>89</v>
      </c>
      <c r="AE111" s="2">
        <v>16.059999999999999</v>
      </c>
      <c r="AF111" s="2">
        <v>4.88</v>
      </c>
      <c r="AG111" s="2" t="s">
        <v>89</v>
      </c>
      <c r="AH111" s="2" t="s">
        <v>89</v>
      </c>
      <c r="AI111" s="2" t="s">
        <v>93</v>
      </c>
      <c r="AJ111" s="14">
        <v>0</v>
      </c>
      <c r="AK111" s="2" t="s">
        <v>89</v>
      </c>
      <c r="AL111" s="2" t="s">
        <v>89</v>
      </c>
      <c r="AM111" s="2" t="s">
        <v>89</v>
      </c>
      <c r="AN111" s="14" t="str">
        <f>HYPERLINK(".\links\gpi\AGAP006946-PA-gpi.txt","N")</f>
        <v>N</v>
      </c>
      <c r="AO111" s="15" t="str">
        <f>HYPERLINK(".\links\netoglyc\AGAP006946-PA-netoglyc.txt","1")</f>
        <v>1</v>
      </c>
      <c r="AP111" s="14">
        <v>8</v>
      </c>
      <c r="AQ111" s="2">
        <v>5.0999999999999996</v>
      </c>
      <c r="AR111" s="2">
        <v>1.4</v>
      </c>
      <c r="AS111" s="2" t="s">
        <v>94</v>
      </c>
      <c r="AT111" s="9" t="str">
        <f>HYPERLINK(".\links\NR-LIGHT\AGAP006946-PA-NR-LIGHT.txt","AGAP006946-PA")</f>
        <v>AGAP006946-PA</v>
      </c>
      <c r="AU111" s="2" t="str">
        <f>HYPERLINK("http://www.ncbi.nlm.nih.gov/sutils/blink.cgi?pid=XP_308810.3","1E-072")</f>
        <v>1E-072</v>
      </c>
      <c r="AV111" s="2" t="str">
        <f>HYPERLINK("http://www.ncbi.nlm.nih.gov/protein/XP_308810.3","XP_308810.3")</f>
        <v>XP_308810.3</v>
      </c>
      <c r="AW111" s="2">
        <v>100</v>
      </c>
      <c r="AX111" s="2">
        <v>100</v>
      </c>
      <c r="AY111" s="2">
        <v>100</v>
      </c>
      <c r="AZ111" s="2" t="s">
        <v>95</v>
      </c>
      <c r="BA111" s="9" t="str">
        <f>HYPERLINK(".\links\REFSEQ-INVERTEBRATE\AGAP006946-PA-REFSEQ-INVERTEBRATE.txt","AGAP006946-PA")</f>
        <v>AGAP006946-PA</v>
      </c>
      <c r="BB111" s="2" t="str">
        <f>HYPERLINK("http://www.ncbi.nlm.nih.gov/sutils/blink.cgi?pid=XP_308810.3","1E-072")</f>
        <v>1E-072</v>
      </c>
      <c r="BC111" s="2" t="str">
        <f>HYPERLINK("http://www.ncbi.nlm.nih.gov/protein/XP_308810.3","XP_308810.3")</f>
        <v>XP_308810.3</v>
      </c>
      <c r="BD111" s="2">
        <v>100</v>
      </c>
      <c r="BE111" s="2">
        <v>100</v>
      </c>
      <c r="BF111" s="2">
        <v>100</v>
      </c>
      <c r="BG111" s="2" t="s">
        <v>95</v>
      </c>
      <c r="BH111" s="9" t="str">
        <f>HYPERLINK(".\links\REFSEQ-PROTOZOA\AGAP006946-PA-REFSEQ-PROTOZOA.txt","predicted protein")</f>
        <v>predicted protein</v>
      </c>
      <c r="BI111" s="2" t="str">
        <f>HYPERLINK("http://www.ncbi.nlm.nih.gov/sutils/blink.cgi?pid=XP_002668152.1","7E-018")</f>
        <v>7E-018</v>
      </c>
      <c r="BJ111" s="2" t="str">
        <f>HYPERLINK("http://www.ncbi.nlm.nih.gov/protein/XP_002668152.1","XP_002668152.1")</f>
        <v>XP_002668152.1</v>
      </c>
      <c r="BK111" s="2">
        <v>36</v>
      </c>
      <c r="BL111" s="2">
        <v>60</v>
      </c>
      <c r="BM111" s="2">
        <v>98</v>
      </c>
      <c r="BN111" s="2" t="s">
        <v>1037</v>
      </c>
      <c r="BO111" s="9" t="str">
        <f>HYPERLINK(".\links\SWISSP\AGAP006946-PA-SWISSP.txt","Probable prefoldin subunit 4")</f>
        <v>Probable prefoldin subunit 4</v>
      </c>
      <c r="BP111" s="2" t="str">
        <f>HYPERLINK("http://www.uniprot.org/uniprot/Q9VRL3","6E-035")</f>
        <v>6E-035</v>
      </c>
      <c r="BQ111" s="2" t="str">
        <f>HYPERLINK("http://www.uniprot.org/uniprot/Q9VRL3#expression","Q9VRL3")</f>
        <v>Q9VRL3</v>
      </c>
      <c r="BR111" s="2">
        <v>51</v>
      </c>
      <c r="BS111" s="2">
        <v>73</v>
      </c>
      <c r="BT111" s="2">
        <v>100</v>
      </c>
      <c r="BU111" s="2" t="s">
        <v>151</v>
      </c>
      <c r="BV111" s="9" t="str">
        <f>HYPERLINK(".\links\FLYBASE\AGAP006946-PA-FLYBASE.txt","FBpp0076858")</f>
        <v>FBpp0076858</v>
      </c>
      <c r="BW111" s="2" t="str">
        <f>HYPERLINK("http://flybase.org/reports/FBgn0035603#alliance_summary_container","5E-38")</f>
        <v>5E-38</v>
      </c>
      <c r="BX111" s="2">
        <v>138</v>
      </c>
      <c r="BY111" s="2">
        <v>52</v>
      </c>
      <c r="BZ111" s="2">
        <v>74</v>
      </c>
      <c r="CA111" s="2">
        <v>98</v>
      </c>
      <c r="CB111" s="9" t="str">
        <f>HYPERLINK(".\links\CDD\AGAP006946-PA-CDD.txt","Prefoldin_2, Prefoldin subunit")</f>
        <v>Prefoldin_2, Prefoldin subunit</v>
      </c>
      <c r="CC111" s="13">
        <v>5.0000000000000002E-14</v>
      </c>
      <c r="CD111" s="2">
        <v>100</v>
      </c>
      <c r="CE111" s="2" t="s">
        <v>1737</v>
      </c>
      <c r="CF111" s="2" t="s">
        <v>1738</v>
      </c>
      <c r="CG111" s="9" t="str">
        <f>HYPERLINK(".\links\KOG\AGAP006946-PA-KOG.txt","subunit 4")</f>
        <v>subunit 4</v>
      </c>
      <c r="CH111" s="13">
        <v>9.9999999999999992E-25</v>
      </c>
      <c r="CI111" s="2">
        <v>93.1</v>
      </c>
      <c r="CJ111" s="2" t="s">
        <v>1739</v>
      </c>
      <c r="CK111" s="2" t="s">
        <v>264</v>
      </c>
      <c r="CL111" s="9" t="str">
        <f>HYPERLINK(".\links\PFAM\AGAP006946-PA-PFAM.txt","Prefoldin_2, Prefoldin subunit")</f>
        <v>Prefoldin_2, Prefoldin subunit</v>
      </c>
      <c r="CM111" s="13">
        <v>1E-14</v>
      </c>
      <c r="CN111" s="2">
        <v>100</v>
      </c>
      <c r="CO111" s="2" t="s">
        <v>1737</v>
      </c>
      <c r="CP111" s="9" t="str">
        <f>HYPERLINK(".\links\SMART\AGAP006946-PA-SMART.txt","TFIIE, Transcription initiation factor IIE")</f>
        <v>TFIIE, Transcription initiation factor IIE</v>
      </c>
      <c r="CQ111" s="13">
        <v>0.56000000000000005</v>
      </c>
      <c r="CR111" s="2">
        <v>11.6</v>
      </c>
      <c r="CS111" s="2" t="s">
        <v>1740</v>
      </c>
      <c r="CT111" s="2" t="s">
        <v>1735</v>
      </c>
      <c r="CU111" s="2" t="s">
        <v>1735</v>
      </c>
      <c r="CV111" s="2" t="s">
        <v>1735</v>
      </c>
      <c r="CW111" s="2" t="str">
        <f>HYPERLINK(".\links\pep\AGAP006946-PA-pep.txt","AGAP006946-PA")</f>
        <v>AGAP006946-PA</v>
      </c>
      <c r="CX111" s="2" t="s">
        <v>88</v>
      </c>
      <c r="CY111" s="2">
        <v>138</v>
      </c>
      <c r="CZ111" s="2" t="s">
        <v>103</v>
      </c>
      <c r="DA111" s="2">
        <v>0</v>
      </c>
      <c r="DB111" s="2">
        <v>0</v>
      </c>
      <c r="DD111" s="2" t="str">
        <f>HYPERLINK("https://www.kegg.jp/kegg-bin/search_pathway_text?map=aga&amp;keyword=AGAP006946&amp;mode=1&amp;viewImage=true","AGAP006946")</f>
        <v>AGAP006946</v>
      </c>
      <c r="DE111" s="2" t="s">
        <v>1731</v>
      </c>
      <c r="DF111" s="2" t="s">
        <v>1732</v>
      </c>
      <c r="DG111" s="2" t="s">
        <v>89</v>
      </c>
      <c r="DH111" s="2" t="str">
        <f>HYPERLINK("https://vectorbase.org/vectorbase/app/record/gene/AGAP006946","AGAP006946-RA")</f>
        <v>AGAP006946-RA</v>
      </c>
      <c r="DI111" s="2" t="s">
        <v>105</v>
      </c>
      <c r="DJ111" s="2">
        <v>563</v>
      </c>
      <c r="DK111" s="2" t="str">
        <f>HYPERLINK(".\links\netoglyc\AGAP006946-PA-netoglyc.txt","1")</f>
        <v>1</v>
      </c>
      <c r="DL111" s="2">
        <v>8</v>
      </c>
      <c r="DM111" s="2">
        <v>5.0999999999999996</v>
      </c>
      <c r="DN111" s="2">
        <v>1.4</v>
      </c>
      <c r="DO111" s="2" t="s">
        <v>94</v>
      </c>
      <c r="DP111" s="2" t="s">
        <v>89</v>
      </c>
      <c r="DQ111" s="2" t="str">
        <f>HYPERLINK(".\links\Sigp\AGAP006946-PA-SigP.txt","CYT")</f>
        <v>CYT</v>
      </c>
      <c r="DR111" s="2" t="s">
        <v>89</v>
      </c>
      <c r="DS111" s="2">
        <v>16.059999999999999</v>
      </c>
      <c r="DT111" s="2">
        <v>4.88</v>
      </c>
      <c r="DU111" s="2" t="s">
        <v>89</v>
      </c>
      <c r="DV111" s="2" t="s">
        <v>89</v>
      </c>
      <c r="DW111" s="2" t="s">
        <v>93</v>
      </c>
      <c r="DX111" s="2">
        <v>138</v>
      </c>
      <c r="DY111" s="12">
        <v>0</v>
      </c>
      <c r="DZ111" s="2" t="s">
        <v>89</v>
      </c>
      <c r="EA111" s="2" t="s">
        <v>89</v>
      </c>
      <c r="EB111" s="2" t="s">
        <v>89</v>
      </c>
      <c r="EC111" s="2" t="str">
        <f>HYPERLINK(".\links\gpi\AGAP006946-PA-gpi.txt","N")</f>
        <v>N</v>
      </c>
      <c r="ED111" s="2">
        <v>0.46</v>
      </c>
      <c r="EF111" s="2">
        <v>0</v>
      </c>
      <c r="EG111" s="2" t="str">
        <f>HYPERLINK(".\links\pep\AGAP006946-PA-sulf.txt","1")</f>
        <v>1</v>
      </c>
      <c r="EH111" s="2" t="s">
        <v>89</v>
      </c>
      <c r="EI111" s="2">
        <v>7.9710144927536204</v>
      </c>
      <c r="EJ111" s="2">
        <v>1.4492753623188399</v>
      </c>
      <c r="EK111" s="2">
        <v>5.0724637681159397</v>
      </c>
      <c r="EL111" s="2">
        <v>6.5217391304347796</v>
      </c>
      <c r="EM111" s="2" t="s">
        <v>89</v>
      </c>
      <c r="EN111" s="2">
        <v>2</v>
      </c>
      <c r="EO111" s="2">
        <v>2</v>
      </c>
      <c r="EP111" s="2" t="s">
        <v>89</v>
      </c>
      <c r="EQ111" s="2" t="s">
        <v>89</v>
      </c>
      <c r="ER111" s="2" t="s">
        <v>89</v>
      </c>
      <c r="ES111" s="2" t="s">
        <v>89</v>
      </c>
      <c r="ET111" s="2" t="str">
        <f>HYPERLINK(".\links\REFSEQ-INVERTEBRATE\AGAP006946-PA-REFSEQ-INVERTEBRATE.txt","AGAP006946-PA")</f>
        <v>AGAP006946-PA</v>
      </c>
      <c r="EU111" s="2" t="str">
        <f>HYPERLINK("http://www.ncbi.nlm.nih.gov/sutils/blink.cgi?pid=XP_308810.3","4E-96")</f>
        <v>4E-96</v>
      </c>
      <c r="EV111" s="2" t="str">
        <f>HYPERLINK("http://www.ncbi.nlm.nih.gov/protein/XP_308810.3","XP_308810.3")</f>
        <v>XP_308810.3</v>
      </c>
      <c r="EW111" s="2">
        <v>100</v>
      </c>
      <c r="EX111" s="2">
        <v>100</v>
      </c>
      <c r="EY111" s="2">
        <v>100</v>
      </c>
      <c r="EZ111" s="2" t="s">
        <v>95</v>
      </c>
    </row>
    <row r="112" spans="1:156" x14ac:dyDescent="0.25">
      <c r="A112" s="2" t="s">
        <v>2530</v>
      </c>
      <c r="B112" s="2">
        <v>-0.81873409105655603</v>
      </c>
      <c r="C112" s="2">
        <f t="shared" si="1"/>
        <v>0.56693919160955342</v>
      </c>
      <c r="D112" s="2">
        <v>4.9911508909327402</v>
      </c>
      <c r="E112" s="2">
        <v>13.8043804482843</v>
      </c>
      <c r="F112" s="2">
        <v>2.0286270022756999E-4</v>
      </c>
      <c r="G112" s="2">
        <v>1.43991944621529E-2</v>
      </c>
      <c r="H112" s="2" t="s">
        <v>465</v>
      </c>
      <c r="I112" s="2" t="s">
        <v>466</v>
      </c>
      <c r="J112" s="8" t="s">
        <v>2531</v>
      </c>
      <c r="Q112" s="9"/>
      <c r="W112" s="10"/>
      <c r="AB112" s="9"/>
      <c r="AC112" s="9"/>
      <c r="AJ112" s="9"/>
      <c r="AN112" s="9"/>
      <c r="AO112" s="11"/>
      <c r="AP112" s="9"/>
      <c r="AT112" s="9"/>
      <c r="BA112" s="9"/>
      <c r="BH112" s="9"/>
      <c r="BO112" s="9"/>
      <c r="BV112" s="9"/>
      <c r="CB112" s="9"/>
      <c r="CG112" s="9"/>
      <c r="CL112" s="9"/>
      <c r="CP112" s="9"/>
      <c r="DE112" s="2" t="s">
        <v>2530</v>
      </c>
      <c r="DF112" s="2" t="s">
        <v>465</v>
      </c>
      <c r="DG112" s="2" t="s">
        <v>466</v>
      </c>
      <c r="DH112" s="8" t="s">
        <v>2531</v>
      </c>
      <c r="DI112" s="2" t="s">
        <v>158</v>
      </c>
      <c r="DJ112" s="2">
        <v>738</v>
      </c>
      <c r="DQ112" s="2" t="s">
        <v>468</v>
      </c>
      <c r="DS112" s="2">
        <v>22234</v>
      </c>
      <c r="DT112" s="2">
        <v>6.37</v>
      </c>
      <c r="DX112" s="2">
        <v>197</v>
      </c>
      <c r="DY112" s="12"/>
    </row>
    <row r="113" spans="1:156" x14ac:dyDescent="0.25">
      <c r="A113" s="2" t="s">
        <v>2808</v>
      </c>
      <c r="B113" s="2">
        <v>-0.81945582687481</v>
      </c>
      <c r="C113" s="2">
        <f t="shared" si="1"/>
        <v>0.56665564035535021</v>
      </c>
      <c r="D113" s="2">
        <v>6.4609145266219201</v>
      </c>
      <c r="E113" s="2">
        <v>16.471804891314299</v>
      </c>
      <c r="F113" s="2">
        <v>4.9378966410123097E-5</v>
      </c>
      <c r="G113" s="2">
        <v>5.3142950048632098E-3</v>
      </c>
      <c r="H113" s="2" t="s">
        <v>2809</v>
      </c>
      <c r="I113" s="2" t="s">
        <v>87</v>
      </c>
      <c r="J113" s="2" t="str">
        <f>HYPERLINK("https://vectorbase.org/vectorbase/app/record/gene/AGAP012235","AGAP012235-RA")</f>
        <v>AGAP012235-RA</v>
      </c>
      <c r="K113" s="2" t="str">
        <f>HYPERLINK(".\links\pep\AGAP012235-PA-pep.txt","AGAP012235-PA")</f>
        <v>AGAP012235-PA</v>
      </c>
      <c r="L113" s="12" t="s">
        <v>88</v>
      </c>
      <c r="M113" s="2">
        <v>127</v>
      </c>
      <c r="N113" s="2">
        <v>0</v>
      </c>
      <c r="O113" s="2">
        <v>0</v>
      </c>
      <c r="P113" s="2" t="s">
        <v>2810</v>
      </c>
      <c r="Q113" s="9" t="s">
        <v>2811</v>
      </c>
      <c r="R113" s="2" t="s">
        <v>303</v>
      </c>
      <c r="S113" s="2" t="str">
        <f>HYPERLINK(".\links\KOG\AGAP012235-PA-KOG.txt","KOG")</f>
        <v>KOG</v>
      </c>
      <c r="T113" s="2">
        <v>1.0000000000000001E-18</v>
      </c>
      <c r="U113" s="2">
        <v>95.8</v>
      </c>
      <c r="V113" s="2" t="s">
        <v>2812</v>
      </c>
      <c r="W113" s="10" t="s">
        <v>2813</v>
      </c>
      <c r="X113" s="2" t="s">
        <v>303</v>
      </c>
      <c r="Y113" s="2" t="str">
        <f>HYPERLINK(".\links\UNIPROTKB\AGAP012235-PA-UNIPROTKB.txt","UNIPROTKB")</f>
        <v>UNIPROTKB</v>
      </c>
      <c r="Z113" s="13">
        <v>1.0000000000000001E-32</v>
      </c>
      <c r="AA113" s="2">
        <v>99</v>
      </c>
      <c r="AB113" s="14" t="s">
        <v>89</v>
      </c>
      <c r="AC113" s="14" t="str">
        <f>HYPERLINK(".\links\Sigp\AGAP012235-PA-SigP.txt","CYT")</f>
        <v>CYT</v>
      </c>
      <c r="AD113" s="2" t="s">
        <v>89</v>
      </c>
      <c r="AE113" s="2">
        <v>15.074</v>
      </c>
      <c r="AF113" s="2">
        <v>9.08</v>
      </c>
      <c r="AG113" s="2" t="s">
        <v>89</v>
      </c>
      <c r="AH113" s="2" t="s">
        <v>89</v>
      </c>
      <c r="AI113" s="2" t="s">
        <v>93</v>
      </c>
      <c r="AJ113" s="14">
        <v>0</v>
      </c>
      <c r="AK113" s="2" t="s">
        <v>89</v>
      </c>
      <c r="AL113" s="2" t="s">
        <v>89</v>
      </c>
      <c r="AM113" s="2" t="s">
        <v>89</v>
      </c>
      <c r="AN113" s="14" t="str">
        <f>HYPERLINK(".\links\gpi\AGAP012235-PA-gpi.txt","N")</f>
        <v>N</v>
      </c>
      <c r="AO113" s="15" t="str">
        <f>HYPERLINK(".\links\netoglyc\AGAP012235-PA-netoglyc.txt","0")</f>
        <v>0</v>
      </c>
      <c r="AP113" s="14">
        <v>7.9</v>
      </c>
      <c r="AQ113" s="2">
        <v>3.1</v>
      </c>
      <c r="AR113" s="2">
        <v>1.6</v>
      </c>
      <c r="AS113" s="2" t="s">
        <v>94</v>
      </c>
      <c r="AT113" s="9" t="str">
        <f>HYPERLINK(".\links\NR-LIGHT\AGAP012235-PA-NR-LIGHT.txt","AGAP012235-PA")</f>
        <v>AGAP012235-PA</v>
      </c>
      <c r="AU113" s="2" t="str">
        <f>HYPERLINK("http://www.ncbi.nlm.nih.gov/sutils/blink.cgi?pid=XP_320305.3","4E-065")</f>
        <v>4E-065</v>
      </c>
      <c r="AV113" s="2" t="str">
        <f>HYPERLINK("http://www.ncbi.nlm.nih.gov/protein/XP_320305.3","XP_320305.3")</f>
        <v>XP_320305.3</v>
      </c>
      <c r="AW113" s="2">
        <v>100</v>
      </c>
      <c r="AX113" s="2">
        <v>100</v>
      </c>
      <c r="AY113" s="2">
        <v>100</v>
      </c>
      <c r="AZ113" s="2" t="s">
        <v>95</v>
      </c>
      <c r="BA113" s="9" t="str">
        <f>HYPERLINK(".\links\REFSEQ-INVERTEBRATE\AGAP012235-PA-REFSEQ-INVERTEBRATE.txt","AGAP012235-PA")</f>
        <v>AGAP012235-PA</v>
      </c>
      <c r="BB113" s="2" t="str">
        <f>HYPERLINK("http://www.ncbi.nlm.nih.gov/sutils/blink.cgi?pid=XP_320305.3","4E-065")</f>
        <v>4E-065</v>
      </c>
      <c r="BC113" s="2" t="str">
        <f>HYPERLINK("http://www.ncbi.nlm.nih.gov/protein/XP_320305.3","XP_320305.3")</f>
        <v>XP_320305.3</v>
      </c>
      <c r="BD113" s="2">
        <v>100</v>
      </c>
      <c r="BE113" s="2">
        <v>100</v>
      </c>
      <c r="BF113" s="2">
        <v>100</v>
      </c>
      <c r="BG113" s="2" t="s">
        <v>95</v>
      </c>
      <c r="BH113" s="9" t="str">
        <f>HYPERLINK(".\links\REFSEQ-PROTOZOA\AGAP012235-PA-REFSEQ-PROTOZOA.txt","hypothetical protein CAOG_05159")</f>
        <v>hypothetical protein CAOG_05159</v>
      </c>
      <c r="BI113" s="2" t="str">
        <f>HYPERLINK("http://www.ncbi.nlm.nih.gov/sutils/blink.cgi?pid=XP_004346844.1","2E-019")</f>
        <v>2E-019</v>
      </c>
      <c r="BJ113" s="2" t="str">
        <f>HYPERLINK("http://www.ncbi.nlm.nih.gov/protein/XP_004346844.1","XP_004346844.1")</f>
        <v>XP_004346844.1</v>
      </c>
      <c r="BK113" s="2">
        <v>40</v>
      </c>
      <c r="BL113" s="2">
        <v>61</v>
      </c>
      <c r="BM113" s="2">
        <v>98</v>
      </c>
      <c r="BN113" s="2" t="s">
        <v>150</v>
      </c>
      <c r="BO113" s="9" t="str">
        <f>HYPERLINK(".\links\SWISSP\AGAP012235-PA-SWISSP.txt","Probable prefoldin subunit 6")</f>
        <v>Probable prefoldin subunit 6</v>
      </c>
      <c r="BP113" s="2" t="str">
        <f>HYPERLINK("http://www.uniprot.org/uniprot/Q9VW56","1E-026")</f>
        <v>1E-026</v>
      </c>
      <c r="BQ113" s="2" t="str">
        <f>HYPERLINK("http://www.uniprot.org/uniprot/Q9VW56#expression","Q9VW56")</f>
        <v>Q9VW56</v>
      </c>
      <c r="BR113" s="2">
        <v>47</v>
      </c>
      <c r="BS113" s="2">
        <v>70</v>
      </c>
      <c r="BT113" s="2">
        <v>99</v>
      </c>
      <c r="BU113" s="2" t="s">
        <v>151</v>
      </c>
      <c r="BV113" s="9" t="str">
        <f>HYPERLINK(".\links\FLYBASE\AGAP012235-PA-FLYBASE.txt","FBpp0303214")</f>
        <v>FBpp0303214</v>
      </c>
      <c r="BW113" s="2" t="str">
        <f>HYPERLINK("http://flybase.org/reports/FBgn0036918#alliance_summary_container","1E-33")</f>
        <v>1E-33</v>
      </c>
      <c r="BX113" s="2">
        <v>125</v>
      </c>
      <c r="BY113" s="2">
        <v>47</v>
      </c>
      <c r="BZ113" s="2">
        <v>70</v>
      </c>
      <c r="CA113" s="2">
        <v>99</v>
      </c>
      <c r="CB113" s="9" t="str">
        <f>HYPERLINK(".\links\CDD\AGAP012235-PA-CDD.txt","Prefoldin_2, Prefoldin subunit")</f>
        <v>Prefoldin_2, Prefoldin subunit</v>
      </c>
      <c r="CC113" s="13">
        <v>7.0000000000000004E-11</v>
      </c>
      <c r="CD113" s="2">
        <v>100</v>
      </c>
      <c r="CE113" s="2" t="s">
        <v>1737</v>
      </c>
      <c r="CF113" s="2" t="s">
        <v>2814</v>
      </c>
      <c r="CG113" s="9" t="str">
        <f>HYPERLINK(".\links\KOG\AGAP012235-PA-KOG.txt","KE2 family")</f>
        <v>KE2 family</v>
      </c>
      <c r="CH113" s="13">
        <v>1.0000000000000001E-18</v>
      </c>
      <c r="CI113" s="2">
        <v>95.8</v>
      </c>
      <c r="CJ113" s="2" t="s">
        <v>2815</v>
      </c>
      <c r="CK113" s="2" t="s">
        <v>264</v>
      </c>
      <c r="CL113" s="9" t="str">
        <f>HYPERLINK(".\links\PFAM\AGAP012235-PA-PFAM.txt","Prefoldin_2, Prefoldin subunit")</f>
        <v>Prefoldin_2, Prefoldin subunit</v>
      </c>
      <c r="CM113" s="13">
        <v>1.9999999999999999E-11</v>
      </c>
      <c r="CN113" s="2">
        <v>100</v>
      </c>
      <c r="CO113" s="2" t="s">
        <v>1737</v>
      </c>
      <c r="CP113" s="9" t="str">
        <f>HYPERLINK(".\links\SMART\AGAP012235-PA-SMART.txt","Carb_anhydrase, Eukaryotic-type carbonic anhydrase")</f>
        <v>Carb_anhydrase, Eukaryotic-type carbonic anhydrase</v>
      </c>
      <c r="CQ113" s="13">
        <v>0.46</v>
      </c>
      <c r="CR113" s="2">
        <v>11.7</v>
      </c>
      <c r="CS113" s="2" t="s">
        <v>2816</v>
      </c>
      <c r="CT113" s="2" t="s">
        <v>2812</v>
      </c>
      <c r="CU113" s="2" t="s">
        <v>2812</v>
      </c>
      <c r="CV113" s="2" t="s">
        <v>2812</v>
      </c>
      <c r="CW113" s="2" t="str">
        <f>HYPERLINK(".\links\pep\AGAP012235-PA-pep.txt","AGAP012235-PA")</f>
        <v>AGAP012235-PA</v>
      </c>
      <c r="CX113" s="2" t="s">
        <v>88</v>
      </c>
      <c r="CY113" s="2">
        <v>127</v>
      </c>
      <c r="CZ113" s="2" t="s">
        <v>103</v>
      </c>
      <c r="DA113" s="2" t="s">
        <v>2817</v>
      </c>
      <c r="DB113" s="2">
        <v>0</v>
      </c>
      <c r="DC113" s="2">
        <v>0</v>
      </c>
      <c r="DD113" s="2" t="str">
        <f>HYPERLINK("https://www.kegg.jp/kegg-bin/search_pathway_text?map=aga&amp;keyword=AGAP012235&amp;mode=1&amp;viewImage=true","AGAP012235")</f>
        <v>AGAP012235</v>
      </c>
      <c r="DE113" s="2" t="s">
        <v>2808</v>
      </c>
      <c r="DF113" s="2" t="s">
        <v>2809</v>
      </c>
      <c r="DG113" s="2" t="s">
        <v>87</v>
      </c>
      <c r="DH113" s="2" t="str">
        <f>HYPERLINK("https://vectorbase.org/vectorbase/app/record/gene/AGAP012235","AGAP012235-RA")</f>
        <v>AGAP012235-RA</v>
      </c>
      <c r="DI113" s="2" t="s">
        <v>158</v>
      </c>
      <c r="DJ113" s="2">
        <v>826</v>
      </c>
      <c r="DK113" s="2" t="str">
        <f>HYPERLINK(".\links\netoglyc\AGAP012235-PA-netoglyc.txt","0")</f>
        <v>0</v>
      </c>
      <c r="DL113" s="2">
        <v>7.9</v>
      </c>
      <c r="DM113" s="2">
        <v>3.1</v>
      </c>
      <c r="DN113" s="2">
        <v>1.6</v>
      </c>
      <c r="DO113" s="2" t="s">
        <v>94</v>
      </c>
      <c r="DP113" s="2" t="s">
        <v>89</v>
      </c>
      <c r="DQ113" s="2" t="str">
        <f>HYPERLINK(".\links\Sigp\AGAP012235-PA-SigP.txt","CYT")</f>
        <v>CYT</v>
      </c>
      <c r="DR113" s="2" t="s">
        <v>89</v>
      </c>
      <c r="DS113" s="2">
        <v>15.074</v>
      </c>
      <c r="DT113" s="2">
        <v>9.08</v>
      </c>
      <c r="DU113" s="2" t="s">
        <v>89</v>
      </c>
      <c r="DV113" s="2" t="s">
        <v>89</v>
      </c>
      <c r="DW113" s="2" t="s">
        <v>93</v>
      </c>
      <c r="DX113" s="2">
        <v>127</v>
      </c>
      <c r="DY113" s="12">
        <v>0</v>
      </c>
      <c r="DZ113" s="2" t="s">
        <v>89</v>
      </c>
      <c r="EA113" s="2" t="s">
        <v>89</v>
      </c>
      <c r="EB113" s="2" t="s">
        <v>89</v>
      </c>
      <c r="EC113" s="2" t="str">
        <f>HYPERLINK(".\links\gpi\AGAP012235-PA-gpi.txt","N")</f>
        <v>N</v>
      </c>
      <c r="ED113" s="2">
        <v>0.54</v>
      </c>
      <c r="EF113" s="2">
        <v>1</v>
      </c>
      <c r="EG113" s="2" t="s">
        <v>89</v>
      </c>
      <c r="EH113" s="2" t="s">
        <v>89</v>
      </c>
      <c r="EI113" s="2">
        <v>7.8740157480314998</v>
      </c>
      <c r="EJ113" s="2">
        <v>1.5748031496063</v>
      </c>
      <c r="EK113" s="2">
        <v>3.1496062992125999</v>
      </c>
      <c r="EL113" s="2">
        <v>4.7244094488188999</v>
      </c>
      <c r="EM113" s="2" t="s">
        <v>89</v>
      </c>
      <c r="EN113" s="2" t="s">
        <v>89</v>
      </c>
      <c r="EO113" s="2" t="s">
        <v>89</v>
      </c>
      <c r="EP113" s="2" t="s">
        <v>89</v>
      </c>
      <c r="EQ113" s="2" t="s">
        <v>89</v>
      </c>
      <c r="ER113" s="2" t="s">
        <v>89</v>
      </c>
      <c r="ES113" s="2" t="s">
        <v>89</v>
      </c>
      <c r="ET113" s="2" t="str">
        <f>HYPERLINK(".\links\REFSEQ-INVERTEBRATE\AGAP012235-PA-REFSEQ-INVERTEBRATE.txt","AGAP012235-PA")</f>
        <v>AGAP012235-PA</v>
      </c>
      <c r="EU113" s="2" t="str">
        <f>HYPERLINK("http://www.ncbi.nlm.nih.gov/sutils/blink.cgi?pid=XP_320305.3","3E-86")</f>
        <v>3E-86</v>
      </c>
      <c r="EV113" s="2" t="str">
        <f>HYPERLINK("http://www.ncbi.nlm.nih.gov/protein/XP_320305.3","XP_320305.3")</f>
        <v>XP_320305.3</v>
      </c>
      <c r="EW113" s="2">
        <v>100</v>
      </c>
      <c r="EX113" s="2">
        <v>100</v>
      </c>
      <c r="EY113" s="2">
        <v>100</v>
      </c>
      <c r="EZ113" s="2" t="s">
        <v>95</v>
      </c>
    </row>
    <row r="114" spans="1:156" x14ac:dyDescent="0.25">
      <c r="A114" s="2" t="s">
        <v>1103</v>
      </c>
      <c r="B114" s="2">
        <v>-0.82205387398445395</v>
      </c>
      <c r="C114" s="2">
        <f t="shared" si="1"/>
        <v>0.56563610870536807</v>
      </c>
      <c r="D114" s="2">
        <v>5.1118003328459203</v>
      </c>
      <c r="E114" s="2">
        <v>10.597530671736299</v>
      </c>
      <c r="F114" s="2">
        <v>1.1323879630136E-3</v>
      </c>
      <c r="G114" s="2">
        <v>4.4163130557530503E-2</v>
      </c>
      <c r="H114" s="2" t="s">
        <v>1104</v>
      </c>
      <c r="I114" s="2" t="s">
        <v>89</v>
      </c>
      <c r="J114" s="2" t="str">
        <f>HYPERLINK("https://vectorbase.org/vectorbase/app/record/gene/AGAP004404","AGAP004404-RA")</f>
        <v>AGAP004404-RA</v>
      </c>
      <c r="K114" s="2" t="str">
        <f>HYPERLINK(".\links\pep\AGAP004404-PA-pep.txt","AGAP004404-PA")</f>
        <v>AGAP004404-PA</v>
      </c>
      <c r="L114" s="12" t="s">
        <v>88</v>
      </c>
      <c r="M114" s="2">
        <v>160</v>
      </c>
      <c r="N114" s="2">
        <v>0</v>
      </c>
      <c r="O114" s="2">
        <v>0</v>
      </c>
      <c r="P114" s="2" t="s">
        <v>1105</v>
      </c>
      <c r="Q114" s="9" t="s">
        <v>1106</v>
      </c>
      <c r="R114" s="2" t="s">
        <v>245</v>
      </c>
      <c r="S114" s="2" t="str">
        <f>HYPERLINK(".\links\REFSEQ-INVERTEBRATE\AGAP004404-PA-REFSEQ-INVERTEBRATE.txt","REFSEQ-INVERTEBRATE")</f>
        <v>REFSEQ-INVERTEBRATE</v>
      </c>
      <c r="T114" s="2">
        <v>3.0000000000000002E-76</v>
      </c>
      <c r="U114" s="2">
        <v>98.7</v>
      </c>
      <c r="V114" s="2" t="s">
        <v>1107</v>
      </c>
      <c r="W114" s="10" t="s">
        <v>1108</v>
      </c>
      <c r="X114" s="2" t="s">
        <v>245</v>
      </c>
      <c r="Y114" s="2" t="str">
        <f>HYPERLINK(".\links\ARTHORPODA\AGAP004404-PA-ARTHORPODA.txt","ARTHORPODA")</f>
        <v>ARTHORPODA</v>
      </c>
      <c r="Z114" s="2">
        <v>0</v>
      </c>
      <c r="AA114" s="2">
        <v>100</v>
      </c>
      <c r="AB114" s="14" t="s">
        <v>89</v>
      </c>
      <c r="AC114" s="14" t="str">
        <f>HYPERLINK(".\links\Sigp\AGAP004404-PA-SigP.txt","BL/SIG")</f>
        <v>BL/SIG</v>
      </c>
      <c r="AD114" s="2" t="s">
        <v>89</v>
      </c>
      <c r="AE114" s="2">
        <v>18.588999999999999</v>
      </c>
      <c r="AF114" s="2">
        <v>9.6300000000000008</v>
      </c>
      <c r="AG114" s="2" t="s">
        <v>89</v>
      </c>
      <c r="AH114" s="2" t="s">
        <v>89</v>
      </c>
      <c r="AI114" s="2" t="s">
        <v>1109</v>
      </c>
      <c r="AJ114" s="14">
        <v>0</v>
      </c>
      <c r="AK114" s="2" t="s">
        <v>89</v>
      </c>
      <c r="AL114" s="2" t="s">
        <v>89</v>
      </c>
      <c r="AM114" s="2" t="s">
        <v>89</v>
      </c>
      <c r="AN114" s="14" t="str">
        <f>HYPERLINK(".\links\gpi\AGAP004404-PA-gpi.txt","N")</f>
        <v>N</v>
      </c>
      <c r="AO114" s="15" t="str">
        <f>HYPERLINK(".\links\netoglyc\AGAP004404-PA-netoglyc.txt","0")</f>
        <v>0</v>
      </c>
      <c r="AP114" s="14">
        <v>12.5</v>
      </c>
      <c r="AQ114" s="2">
        <v>3.8</v>
      </c>
      <c r="AR114" s="2">
        <v>5</v>
      </c>
      <c r="AS114" s="2" t="s">
        <v>94</v>
      </c>
      <c r="AT114" s="9" t="str">
        <f>HYPERLINK(".\links\NR-LIGHT\AGAP004404-PA-NR-LIGHT.txt","AGAP004404-PB")</f>
        <v>AGAP004404-PB</v>
      </c>
      <c r="AU114" s="2" t="str">
        <f>HYPERLINK("http://www.ncbi.nlm.nih.gov/sutils/blink.cgi?pid=XP_003436804.1","3E-089")</f>
        <v>3E-089</v>
      </c>
      <c r="AV114" s="2" t="str">
        <f>HYPERLINK("http://www.ncbi.nlm.nih.gov/protein/XP_003436804.1","XP_003436804.1")</f>
        <v>XP_003436804.1</v>
      </c>
      <c r="AW114" s="2">
        <v>100</v>
      </c>
      <c r="AX114" s="2">
        <v>100</v>
      </c>
      <c r="AY114" s="2">
        <v>100</v>
      </c>
      <c r="AZ114" s="2" t="s">
        <v>95</v>
      </c>
      <c r="BA114" s="9" t="str">
        <f>HYPERLINK(".\links\REFSEQ-INVERTEBRATE\AGAP004404-PA-REFSEQ-INVERTEBRATE.txt","AGAP004404-PB")</f>
        <v>AGAP004404-PB</v>
      </c>
      <c r="BB114" s="2" t="str">
        <f>HYPERLINK("http://www.ncbi.nlm.nih.gov/sutils/blink.cgi?pid=XP_003436804.1","3E-089")</f>
        <v>3E-089</v>
      </c>
      <c r="BC114" s="2" t="str">
        <f>HYPERLINK("http://www.ncbi.nlm.nih.gov/protein/XP_003436804.1","XP_003436804.1")</f>
        <v>XP_003436804.1</v>
      </c>
      <c r="BD114" s="2">
        <v>100</v>
      </c>
      <c r="BE114" s="2">
        <v>100</v>
      </c>
      <c r="BF114" s="2">
        <v>100</v>
      </c>
      <c r="BG114" s="2" t="s">
        <v>95</v>
      </c>
      <c r="BH114" s="9" t="str">
        <f>HYPERLINK(".\links\REFSEQ-PROTOZOA\AGAP004404-PA-REFSEQ-PROTOZOA.txt","thiamin biosynthesis protein G (plastid)")</f>
        <v>thiamin biosynthesis protein G (plastid)</v>
      </c>
      <c r="BI114" s="2" t="str">
        <f>HYPERLINK("http://www.ncbi.nlm.nih.gov/sutils/blink.cgi?pid=YP_009027649.1","0.21")</f>
        <v>0.21</v>
      </c>
      <c r="BJ114" s="2" t="str">
        <f>HYPERLINK("http://www.ncbi.nlm.nih.gov/protein/YP_009027649.1","YP_009027649.1")</f>
        <v>YP_009027649.1</v>
      </c>
      <c r="BK114" s="2">
        <v>30</v>
      </c>
      <c r="BL114" s="2">
        <v>47</v>
      </c>
      <c r="BM114" s="2">
        <v>48</v>
      </c>
      <c r="BN114" s="2" t="s">
        <v>1110</v>
      </c>
      <c r="BO114" s="9" t="str">
        <f>HYPERLINK(".\links\SWISSP\AGAP004404-PA-SWISSP.txt","28S ribosomal protein S24, mitochondrial")</f>
        <v>28S ribosomal protein S24, mitochondrial</v>
      </c>
      <c r="BP114" s="2" t="str">
        <f>HYPERLINK("http://www.uniprot.org/uniprot/Q9VCC3","1E-056")</f>
        <v>1E-056</v>
      </c>
      <c r="BQ114" s="2" t="str">
        <f>HYPERLINK("http://www.uniprot.org/uniprot/Q9VCC3#expression","Q9VCC3")</f>
        <v>Q9VCC3</v>
      </c>
      <c r="BR114" s="2">
        <v>68</v>
      </c>
      <c r="BS114" s="2">
        <v>82</v>
      </c>
      <c r="BT114" s="2">
        <v>90</v>
      </c>
      <c r="BU114" s="2" t="s">
        <v>151</v>
      </c>
      <c r="BV114" s="9" t="str">
        <f>HYPERLINK(".\links\FLYBASE\AGAP004404-PA-FLYBASE.txt","FBpp0083962")</f>
        <v>FBpp0083962</v>
      </c>
      <c r="BW114" s="2" t="str">
        <f>HYPERLINK("http://flybase.org/reports/FBgn0039159#alliance_summary_container","1E-76")</f>
        <v>1E-76</v>
      </c>
      <c r="BX114" s="2">
        <v>165</v>
      </c>
      <c r="BY114" s="2">
        <v>68</v>
      </c>
      <c r="BZ114" s="2">
        <v>82</v>
      </c>
      <c r="CA114" s="2">
        <v>90</v>
      </c>
      <c r="CB114" s="9" t="str">
        <f>HYPERLINK(".\links\CDD\AGAP004404-PA-CDD.txt","MRP-S24, Mitochondrial ribosome subunit S24")</f>
        <v>MRP-S24, Mitochondrial ribosome subunit S24</v>
      </c>
      <c r="CC114" s="13">
        <v>3.9999999999999999E-72</v>
      </c>
      <c r="CD114" s="2">
        <v>100</v>
      </c>
      <c r="CE114" s="2" t="s">
        <v>1111</v>
      </c>
      <c r="CF114" s="2" t="s">
        <v>1112</v>
      </c>
      <c r="CG114" s="9" t="str">
        <f>HYPERLINK(".\links\KOG\AGAP004404-PA-KOG.txt","Predicted Rho GTPase-activating protein")</f>
        <v>Predicted Rho GTPase-activating protein</v>
      </c>
      <c r="CH114" s="13">
        <v>0.52</v>
      </c>
      <c r="CI114" s="2">
        <v>7.7</v>
      </c>
      <c r="CJ114" s="2" t="s">
        <v>1113</v>
      </c>
      <c r="CK114" s="2" t="s">
        <v>410</v>
      </c>
      <c r="CL114" s="9" t="str">
        <f>HYPERLINK(".\links\PFAM\AGAP004404-PA-PFAM.txt","MRP-S24, Mitochondrial ribosome subunit S24")</f>
        <v>MRP-S24, Mitochondrial ribosome subunit S24</v>
      </c>
      <c r="CM114" s="13">
        <v>9.0000000000000004E-73</v>
      </c>
      <c r="CN114" s="2">
        <v>100</v>
      </c>
      <c r="CO114" s="2" t="s">
        <v>1111</v>
      </c>
      <c r="CP114" s="9" t="str">
        <f>HYPERLINK(".\links\SMART\AGAP004404-PA-SMART.txt","eIF6, translation initiation factor 6")</f>
        <v>eIF6, translation initiation factor 6</v>
      </c>
      <c r="CQ114" s="13">
        <v>0.75</v>
      </c>
      <c r="CR114" s="2">
        <v>14.5</v>
      </c>
      <c r="CS114" s="2" t="s">
        <v>1114</v>
      </c>
      <c r="CT114" s="2" t="s">
        <v>1107</v>
      </c>
      <c r="CU114" s="2" t="s">
        <v>1107</v>
      </c>
      <c r="CV114" s="2" t="s">
        <v>1107</v>
      </c>
      <c r="CW114" s="2" t="str">
        <f>HYPERLINK(".\links\pep\AGAP004404-PA-pep.txt","AGAP004404-PA")</f>
        <v>AGAP004404-PA</v>
      </c>
      <c r="CX114" s="2" t="s">
        <v>88</v>
      </c>
      <c r="CY114" s="2">
        <v>160</v>
      </c>
      <c r="CZ114" s="2" t="s">
        <v>103</v>
      </c>
      <c r="DA114" s="2">
        <v>0</v>
      </c>
      <c r="DB114" s="2">
        <v>0</v>
      </c>
      <c r="DD114" s="2" t="str">
        <f>HYPERLINK("https://www.kegg.jp/kegg-bin/search_pathway_text?map=aga&amp;keyword=AGAP004404&amp;mode=1&amp;viewImage=true","AGAP004404")</f>
        <v>AGAP004404</v>
      </c>
      <c r="DE114" s="2" t="s">
        <v>1103</v>
      </c>
      <c r="DF114" s="2" t="s">
        <v>1104</v>
      </c>
      <c r="DG114" s="2" t="s">
        <v>89</v>
      </c>
      <c r="DH114" s="2" t="str">
        <f>HYPERLINK("https://vectorbase.org/vectorbase/app/record/gene/AGAP004404","AGAP004404-RA")</f>
        <v>AGAP004404-RA</v>
      </c>
      <c r="DI114" s="2" t="s">
        <v>140</v>
      </c>
      <c r="DJ114" s="2">
        <v>649</v>
      </c>
      <c r="DK114" s="2" t="str">
        <f>HYPERLINK(".\links\netoglyc\AGAP004404-PA-netoglyc.txt","0")</f>
        <v>0</v>
      </c>
      <c r="DL114" s="2">
        <v>12.5</v>
      </c>
      <c r="DM114" s="2">
        <v>3.8</v>
      </c>
      <c r="DN114" s="2">
        <v>5</v>
      </c>
      <c r="DO114" s="2" t="s">
        <v>94</v>
      </c>
      <c r="DP114" s="2" t="s">
        <v>89</v>
      </c>
      <c r="DQ114" s="2" t="str">
        <f>HYPERLINK(".\links\Sigp\AGAP004404-PA-SigP.txt","BL/SIG")</f>
        <v>BL/SIG</v>
      </c>
      <c r="DR114" s="2" t="s">
        <v>89</v>
      </c>
      <c r="DS114" s="2">
        <v>18.588999999999999</v>
      </c>
      <c r="DT114" s="2">
        <v>9.6300000000000008</v>
      </c>
      <c r="DU114" s="2" t="s">
        <v>89</v>
      </c>
      <c r="DV114" s="2" t="s">
        <v>89</v>
      </c>
      <c r="DW114" s="2" t="s">
        <v>1109</v>
      </c>
      <c r="DX114" s="2">
        <v>160</v>
      </c>
      <c r="DY114" s="12">
        <v>0</v>
      </c>
      <c r="DZ114" s="2" t="s">
        <v>89</v>
      </c>
      <c r="EA114" s="2" t="s">
        <v>89</v>
      </c>
      <c r="EB114" s="2" t="s">
        <v>89</v>
      </c>
      <c r="EC114" s="2" t="str">
        <f>HYPERLINK(".\links\gpi\AGAP004404-PA-gpi.txt","N")</f>
        <v>N</v>
      </c>
      <c r="ED114" s="2">
        <v>0.25</v>
      </c>
      <c r="EF114" s="2">
        <v>3</v>
      </c>
      <c r="EG114" s="2" t="s">
        <v>89</v>
      </c>
      <c r="EH114" s="2" t="s">
        <v>89</v>
      </c>
      <c r="EI114" s="2">
        <v>12.5</v>
      </c>
      <c r="EJ114" s="2">
        <v>5</v>
      </c>
      <c r="EK114" s="2">
        <v>3.75</v>
      </c>
      <c r="EL114" s="2">
        <v>8.75</v>
      </c>
      <c r="EM114" s="2" t="s">
        <v>89</v>
      </c>
      <c r="EN114" s="2">
        <v>1</v>
      </c>
      <c r="EO114" s="2">
        <v>1</v>
      </c>
      <c r="EP114" s="2" t="s">
        <v>89</v>
      </c>
      <c r="EQ114" s="2" t="s">
        <v>89</v>
      </c>
      <c r="ER114" s="2" t="s">
        <v>89</v>
      </c>
      <c r="ES114" s="2" t="s">
        <v>89</v>
      </c>
      <c r="ET114" s="2" t="str">
        <f>HYPERLINK(".\links\REFSEQ-INVERTEBRATE\AGAP004404-PA-REFSEQ-INVERTEBRATE.txt","AGAP004404-PB")</f>
        <v>AGAP004404-PB</v>
      </c>
      <c r="EU114" s="2" t="str">
        <f>HYPERLINK("http://www.ncbi.nlm.nih.gov/sutils/blink.cgi?pid=XP_003436804.1","1E-118")</f>
        <v>1E-118</v>
      </c>
      <c r="EV114" s="2" t="str">
        <f>HYPERLINK("http://www.ncbi.nlm.nih.gov/protein/XP_003436804.1","XP_003436804.1")</f>
        <v>XP_003436804.1</v>
      </c>
      <c r="EW114" s="2">
        <v>100</v>
      </c>
      <c r="EX114" s="2">
        <v>100</v>
      </c>
      <c r="EY114" s="2">
        <v>100</v>
      </c>
      <c r="EZ114" s="2" t="s">
        <v>95</v>
      </c>
    </row>
    <row r="115" spans="1:156" x14ac:dyDescent="0.25">
      <c r="A115" s="2" t="s">
        <v>2041</v>
      </c>
      <c r="B115" s="2">
        <v>-0.82456342961223905</v>
      </c>
      <c r="C115" s="2">
        <f t="shared" si="1"/>
        <v>0.5646530448177759</v>
      </c>
      <c r="D115" s="2">
        <v>4.7272375115146703</v>
      </c>
      <c r="E115" s="2">
        <v>14.716513074079201</v>
      </c>
      <c r="F115" s="2">
        <v>1.2494718742750601E-4</v>
      </c>
      <c r="G115" s="2">
        <v>1.0312501585586499E-2</v>
      </c>
      <c r="H115" s="2" t="s">
        <v>86</v>
      </c>
      <c r="I115" s="2" t="s">
        <v>87</v>
      </c>
      <c r="J115" s="2" t="str">
        <f>HYPERLINK("https://vectorbase.org/vectorbase/app/record/gene/AGAP008073","AGAP008073-RA")</f>
        <v>AGAP008073-RA</v>
      </c>
      <c r="K115" s="2" t="str">
        <f>HYPERLINK(".\links\pep\AGAP008073-PA-pep.txt","AGAP008073-PA")</f>
        <v>AGAP008073-PA</v>
      </c>
      <c r="L115" s="12" t="s">
        <v>88</v>
      </c>
      <c r="M115" s="2">
        <v>120</v>
      </c>
      <c r="N115" s="2">
        <v>0</v>
      </c>
      <c r="O115" s="2">
        <v>0</v>
      </c>
      <c r="P115" s="2" t="s">
        <v>89</v>
      </c>
      <c r="Q115" s="9" t="s">
        <v>2042</v>
      </c>
      <c r="R115" s="2" t="s">
        <v>91</v>
      </c>
      <c r="S115" s="2" t="str">
        <f>HYPERLINK(".\links\REFSEQ-INVERTEBRATE\AGAP008073-PA-REFSEQ-INVERTEBRATE.txt","REFSEQ-INVERTEBRATE")</f>
        <v>REFSEQ-INVERTEBRATE</v>
      </c>
      <c r="T115" s="2">
        <v>5.9999999999999996E-63</v>
      </c>
      <c r="U115" s="2">
        <v>100</v>
      </c>
      <c r="V115" s="2" t="s">
        <v>2042</v>
      </c>
      <c r="W115" s="10" t="s">
        <v>2043</v>
      </c>
      <c r="X115" s="2" t="s">
        <v>245</v>
      </c>
      <c r="Y115" s="2" t="str">
        <f>HYPERLINK(".\links\UNIPROTKB\AGAP008073-PA-UNIPROTKB.txt","UNIPROTKB")</f>
        <v>UNIPROTKB</v>
      </c>
      <c r="Z115" s="13">
        <v>8.9999999999999995E-9</v>
      </c>
      <c r="AA115" s="2">
        <v>79.599999999999994</v>
      </c>
      <c r="AB115" s="14" t="s">
        <v>89</v>
      </c>
      <c r="AC115" s="14" t="str">
        <f>HYPERLINK(".\links\Sigp\AGAP008073-PA-SigP.txt","CYT")</f>
        <v>CYT</v>
      </c>
      <c r="AD115" s="2" t="s">
        <v>89</v>
      </c>
      <c r="AE115" s="2">
        <v>13.683</v>
      </c>
      <c r="AF115" s="2">
        <v>9.56</v>
      </c>
      <c r="AG115" s="2" t="s">
        <v>89</v>
      </c>
      <c r="AH115" s="2" t="s">
        <v>89</v>
      </c>
      <c r="AI115" s="2" t="s">
        <v>93</v>
      </c>
      <c r="AJ115" s="14">
        <v>0</v>
      </c>
      <c r="AK115" s="2" t="s">
        <v>89</v>
      </c>
      <c r="AL115" s="2" t="s">
        <v>89</v>
      </c>
      <c r="AM115" s="2" t="s">
        <v>89</v>
      </c>
      <c r="AN115" s="14" t="str">
        <f>HYPERLINK(".\links\gpi\AGAP008073-PA-gpi.txt","N")</f>
        <v>N</v>
      </c>
      <c r="AO115" s="15" t="str">
        <f>HYPERLINK(".\links\netoglyc\AGAP008073-PA-netoglyc.txt","0")</f>
        <v>0</v>
      </c>
      <c r="AP115" s="14">
        <v>12.5</v>
      </c>
      <c r="AQ115" s="2">
        <v>3.3</v>
      </c>
      <c r="AR115" s="2">
        <v>3.3</v>
      </c>
      <c r="AS115" s="2" t="s">
        <v>94</v>
      </c>
      <c r="AT115" s="9" t="str">
        <f>HYPERLINK(".\links\NR-LIGHT\AGAP008073-PA-NR-LIGHT.txt","AGAP008073-PA")</f>
        <v>AGAP008073-PA</v>
      </c>
      <c r="AU115" s="2" t="str">
        <f>HYPERLINK("http://www.ncbi.nlm.nih.gov/sutils/blink.cgi?pid=XP_001689027.1","7E-063")</f>
        <v>7E-063</v>
      </c>
      <c r="AV115" s="2" t="str">
        <f>HYPERLINK("http://www.ncbi.nlm.nih.gov/protein/XP_001689027.1","XP_001689027.1")</f>
        <v>XP_001689027.1</v>
      </c>
      <c r="AW115" s="2">
        <v>100</v>
      </c>
      <c r="AX115" s="2">
        <v>100</v>
      </c>
      <c r="AY115" s="2">
        <v>100</v>
      </c>
      <c r="AZ115" s="2" t="s">
        <v>95</v>
      </c>
      <c r="BA115" s="9" t="str">
        <f>HYPERLINK(".\links\REFSEQ-INVERTEBRATE\AGAP008073-PA-REFSEQ-INVERTEBRATE.txt","AGAP008073-PA")</f>
        <v>AGAP008073-PA</v>
      </c>
      <c r="BB115" s="2" t="str">
        <f>HYPERLINK("http://www.ncbi.nlm.nih.gov/sutils/blink.cgi?pid=XP_001689027.1","6E-063")</f>
        <v>6E-063</v>
      </c>
      <c r="BC115" s="2" t="str">
        <f>HYPERLINK("http://www.ncbi.nlm.nih.gov/protein/XP_001689027.1","XP_001689027.1")</f>
        <v>XP_001689027.1</v>
      </c>
      <c r="BD115" s="2">
        <v>100</v>
      </c>
      <c r="BE115" s="2">
        <v>100</v>
      </c>
      <c r="BF115" s="2">
        <v>100</v>
      </c>
      <c r="BG115" s="2" t="s">
        <v>95</v>
      </c>
      <c r="BH115" s="9" t="str">
        <f>HYPERLINK(".\links\REFSEQ-PROTOZOA\AGAP008073-PA-REFSEQ-PROTOZOA.txt","hypothetical protein PTSG_04170")</f>
        <v>hypothetical protein PTSG_04170</v>
      </c>
      <c r="BI115" s="2" t="str">
        <f>HYPERLINK("http://www.ncbi.nlm.nih.gov/sutils/blink.cgi?pid=XP_004995069.1","0.031")</f>
        <v>0.031</v>
      </c>
      <c r="BJ115" s="2" t="str">
        <f>HYPERLINK("http://www.ncbi.nlm.nih.gov/protein/XP_004995069.1","XP_004995069.1")</f>
        <v>XP_004995069.1</v>
      </c>
      <c r="BK115" s="2">
        <v>30</v>
      </c>
      <c r="BL115" s="2">
        <v>52</v>
      </c>
      <c r="BM115" s="2">
        <v>66</v>
      </c>
      <c r="BN115" s="2" t="s">
        <v>182</v>
      </c>
      <c r="BO115" s="9" t="str">
        <f>HYPERLINK(".\links\SWISSP\AGAP008073-PA-SWISSP.txt","Coiled-coil-helix-coiled-coil-helix domain-containing protein 1")</f>
        <v>Coiled-coil-helix-coiled-coil-helix domain-containing protein 1</v>
      </c>
      <c r="BP115" s="2" t="str">
        <f>HYPERLINK("http://www.uniprot.org/uniprot/Q96BP2","5E-007")</f>
        <v>5E-007</v>
      </c>
      <c r="BQ115" s="2" t="str">
        <f>HYPERLINK("http://www.uniprot.org/uniprot/Q96BP2#expression","Q96BP2")</f>
        <v>Q96BP2</v>
      </c>
      <c r="BR115" s="2">
        <v>32</v>
      </c>
      <c r="BS115" s="2">
        <v>51</v>
      </c>
      <c r="BT115" s="2">
        <v>76</v>
      </c>
      <c r="BU115" s="2" t="s">
        <v>115</v>
      </c>
      <c r="BV115" s="9" t="str">
        <f>HYPERLINK(".\links\FLYBASE\AGAP008073-PA-FLYBASE.txt","FBpp0302052")</f>
        <v>FBpp0302052</v>
      </c>
      <c r="BW115" s="2" t="str">
        <f>HYPERLINK("http://flybase.org/reports/FBgn0040666#alliance_summary_container","7E-47")</f>
        <v>7E-47</v>
      </c>
      <c r="BX115" s="2">
        <v>120</v>
      </c>
      <c r="BY115" s="2">
        <v>56</v>
      </c>
      <c r="BZ115" s="2">
        <v>72</v>
      </c>
      <c r="CA115" s="2">
        <v>98</v>
      </c>
      <c r="CB115" s="9" t="str">
        <f>HYPERLINK(".\links\CDD\AGAP008073-PA-CDD.txt","CHCH, CHCH domain")</f>
        <v>CHCH, CHCH domain</v>
      </c>
      <c r="CC115" s="13">
        <v>6.0000000000000002E-5</v>
      </c>
      <c r="CD115" s="2">
        <v>97.1</v>
      </c>
      <c r="CE115" s="2" t="s">
        <v>2044</v>
      </c>
      <c r="CF115" s="2" t="s">
        <v>2045</v>
      </c>
      <c r="CG115" s="9" t="str">
        <f>HYPERLINK(".\links\KOG\AGAP008073-PA-KOG.txt","Uncharacterized conserved protein")</f>
        <v>Uncharacterized conserved protein</v>
      </c>
      <c r="CH115" s="13">
        <v>1.9999999999999999E-23</v>
      </c>
      <c r="CI115" s="2">
        <v>96.7</v>
      </c>
      <c r="CJ115" s="2" t="s">
        <v>2046</v>
      </c>
      <c r="CK115" s="2" t="s">
        <v>101</v>
      </c>
      <c r="CL115" s="9" t="str">
        <f>HYPERLINK(".\links\PFAM\AGAP008073-PA-PFAM.txt","CHCH, CHCH domain")</f>
        <v>CHCH, CHCH domain</v>
      </c>
      <c r="CM115" s="13">
        <v>1.0000000000000001E-5</v>
      </c>
      <c r="CN115" s="2">
        <v>97.1</v>
      </c>
      <c r="CO115" s="2" t="s">
        <v>2044</v>
      </c>
      <c r="CP115" s="9" t="str">
        <f>HYPERLINK(".\links\SMART\AGAP008073-PA-SMART.txt","NPCBM, This novel putative carbohydrate binding module (NPCBM) domain is found at the N-terminus of glycosyl hydrolase family 98 proteins")</f>
        <v>NPCBM, This novel putative carbohydrate binding module (NPCBM) domain is found at the N-terminus of glycosyl hydrolase family 98 proteins</v>
      </c>
      <c r="CQ115" s="13">
        <v>3.9</v>
      </c>
      <c r="CR115" s="2">
        <v>25.5</v>
      </c>
      <c r="CS115" s="2" t="s">
        <v>2047</v>
      </c>
      <c r="CT115" s="2" t="s">
        <v>2042</v>
      </c>
      <c r="CU115" s="2" t="s">
        <v>2042</v>
      </c>
      <c r="CV115" s="2" t="s">
        <v>2042</v>
      </c>
      <c r="CW115" s="2" t="str">
        <f>HYPERLINK(".\links\pep\AGAP008073-PA-pep.txt","AGAP008073-PA")</f>
        <v>AGAP008073-PA</v>
      </c>
      <c r="CX115" s="2" t="s">
        <v>88</v>
      </c>
      <c r="CY115" s="2">
        <v>120</v>
      </c>
      <c r="CZ115" s="2" t="s">
        <v>103</v>
      </c>
      <c r="DA115" s="2" t="s">
        <v>2048</v>
      </c>
      <c r="DB115" s="2">
        <v>0</v>
      </c>
      <c r="DC115" s="2">
        <v>0</v>
      </c>
      <c r="DD115" s="2" t="str">
        <f>HYPERLINK("https://www.kegg.jp/kegg-bin/search_pathway_text?map=aga&amp;keyword=AGAP008073&amp;mode=1&amp;viewImage=true","AGAP008073")</f>
        <v>AGAP008073</v>
      </c>
      <c r="DE115" s="2" t="s">
        <v>2041</v>
      </c>
      <c r="DF115" s="2" t="s">
        <v>86</v>
      </c>
      <c r="DG115" s="2" t="s">
        <v>87</v>
      </c>
      <c r="DH115" s="2" t="str">
        <f>HYPERLINK("https://vectorbase.org/vectorbase/app/record/gene/AGAP008073","AGAP008073-RA")</f>
        <v>AGAP008073-RA</v>
      </c>
      <c r="DI115" s="2" t="s">
        <v>158</v>
      </c>
      <c r="DJ115" s="2">
        <v>625</v>
      </c>
      <c r="DK115" s="2" t="str">
        <f>HYPERLINK(".\links\netoglyc\AGAP008073-PA-netoglyc.txt","0")</f>
        <v>0</v>
      </c>
      <c r="DL115" s="2">
        <v>12.5</v>
      </c>
      <c r="DM115" s="2">
        <v>3.3</v>
      </c>
      <c r="DN115" s="2">
        <v>3.3</v>
      </c>
      <c r="DO115" s="2" t="s">
        <v>94</v>
      </c>
      <c r="DP115" s="2" t="s">
        <v>89</v>
      </c>
      <c r="DQ115" s="2" t="str">
        <f>HYPERLINK(".\links\Sigp\AGAP008073-PA-SigP.txt","CYT")</f>
        <v>CYT</v>
      </c>
      <c r="DR115" s="2" t="s">
        <v>89</v>
      </c>
      <c r="DS115" s="2">
        <v>13.683</v>
      </c>
      <c r="DT115" s="2">
        <v>9.56</v>
      </c>
      <c r="DU115" s="2" t="s">
        <v>89</v>
      </c>
      <c r="DV115" s="2" t="s">
        <v>89</v>
      </c>
      <c r="DW115" s="2" t="s">
        <v>93</v>
      </c>
      <c r="DX115" s="2">
        <v>120</v>
      </c>
      <c r="DY115" s="12">
        <v>0</v>
      </c>
      <c r="DZ115" s="2" t="s">
        <v>89</v>
      </c>
      <c r="EA115" s="2" t="s">
        <v>89</v>
      </c>
      <c r="EB115" s="2" t="s">
        <v>89</v>
      </c>
      <c r="EC115" s="2" t="str">
        <f>HYPERLINK(".\links\gpi\AGAP008073-PA-gpi.txt","N")</f>
        <v>N</v>
      </c>
      <c r="ED115" s="2">
        <v>0.4</v>
      </c>
      <c r="EF115" s="2">
        <v>4</v>
      </c>
      <c r="EG115" s="2" t="s">
        <v>89</v>
      </c>
      <c r="EH115" s="2" t="s">
        <v>89</v>
      </c>
      <c r="EI115" s="2">
        <v>12.5</v>
      </c>
      <c r="EJ115" s="2">
        <v>3.3333333333333299</v>
      </c>
      <c r="EK115" s="2">
        <v>3.3333333333333299</v>
      </c>
      <c r="EL115" s="2">
        <v>6.6666666666666696</v>
      </c>
      <c r="EM115" s="2" t="s">
        <v>89</v>
      </c>
      <c r="EN115" s="2">
        <v>1</v>
      </c>
      <c r="EO115" s="2">
        <v>1</v>
      </c>
      <c r="EP115" s="2" t="s">
        <v>89</v>
      </c>
      <c r="EQ115" s="2" t="s">
        <v>89</v>
      </c>
      <c r="ER115" s="2" t="s">
        <v>89</v>
      </c>
      <c r="ES115" s="2" t="s">
        <v>89</v>
      </c>
      <c r="ET115" s="2" t="str">
        <f>HYPERLINK(".\links\REFSEQ-INVERTEBRATE\AGAP008073-PA-REFSEQ-INVERTEBRATE.txt","AGAP008073-PA")</f>
        <v>AGAP008073-PA</v>
      </c>
      <c r="EU115" s="2" t="str">
        <f>HYPERLINK("http://www.ncbi.nlm.nih.gov/sutils/blink.cgi?pid=XP_001689027.1","5E-84")</f>
        <v>5E-84</v>
      </c>
      <c r="EV115" s="2" t="str">
        <f>HYPERLINK("http://www.ncbi.nlm.nih.gov/protein/XP_001689027.1","XP_001689027.1")</f>
        <v>XP_001689027.1</v>
      </c>
      <c r="EW115" s="2">
        <v>100</v>
      </c>
      <c r="EX115" s="2">
        <v>100</v>
      </c>
      <c r="EY115" s="2">
        <v>100</v>
      </c>
      <c r="EZ115" s="2" t="s">
        <v>95</v>
      </c>
    </row>
    <row r="116" spans="1:156" x14ac:dyDescent="0.25">
      <c r="A116" s="2" t="s">
        <v>1513</v>
      </c>
      <c r="B116" s="2">
        <v>-0.82500330420465595</v>
      </c>
      <c r="C116" s="2">
        <f t="shared" si="1"/>
        <v>0.56448090957087815</v>
      </c>
      <c r="D116" s="2">
        <v>7.15869946443551</v>
      </c>
      <c r="E116" s="2">
        <v>11.151793505683001</v>
      </c>
      <c r="F116" s="2">
        <v>8.3950470302319004E-4</v>
      </c>
      <c r="G116" s="2">
        <v>3.6782743099127199E-2</v>
      </c>
      <c r="H116" s="2" t="s">
        <v>1514</v>
      </c>
      <c r="I116" s="2" t="s">
        <v>87</v>
      </c>
      <c r="J116" s="2" t="str">
        <f>HYPERLINK("https://vectorbase.org/vectorbase/app/record/gene/AGAP005621","AGAP005621-RA")</f>
        <v>AGAP005621-RA</v>
      </c>
      <c r="K116" s="2" t="str">
        <f>HYPERLINK(".\links\pep\AGAP005621-PA-pep.txt","AGAP005621-PA")</f>
        <v>AGAP005621-PA</v>
      </c>
      <c r="L116" s="12" t="s">
        <v>88</v>
      </c>
      <c r="M116" s="2">
        <v>123</v>
      </c>
      <c r="N116" s="2">
        <v>0</v>
      </c>
      <c r="O116" s="2">
        <v>0</v>
      </c>
      <c r="P116" s="2" t="s">
        <v>1515</v>
      </c>
      <c r="Q116" s="9" t="s">
        <v>1516</v>
      </c>
      <c r="R116" s="2" t="s">
        <v>91</v>
      </c>
      <c r="S116" s="2" t="str">
        <f>HYPERLINK(".\links\REFSEQ-INVERTEBRATE\AGAP005621-PA-REFSEQ-INVERTEBRATE.txt","REFSEQ-INVERTEBRATE")</f>
        <v>REFSEQ-INVERTEBRATE</v>
      </c>
      <c r="T116" s="2">
        <v>7.9999999999999998E-66</v>
      </c>
      <c r="U116" s="2">
        <v>100</v>
      </c>
      <c r="V116" s="2" t="s">
        <v>1516</v>
      </c>
      <c r="W116" s="10" t="s">
        <v>551</v>
      </c>
      <c r="X116" s="2" t="s">
        <v>145</v>
      </c>
      <c r="Y116" s="2" t="str">
        <f>HYPERLINK(".\links\KOG\AGAP005621-PA-KOG.txt","KOG")</f>
        <v>KOG</v>
      </c>
      <c r="Z116" s="13">
        <v>1.9999999999999999E-38</v>
      </c>
      <c r="AA116" s="2">
        <v>79.3</v>
      </c>
      <c r="AB116" s="14" t="s">
        <v>89</v>
      </c>
      <c r="AC116" s="14" t="str">
        <f>HYPERLINK(".\links\Sigp\AGAP005621-PA-SigP.txt","CYT")</f>
        <v>CYT</v>
      </c>
      <c r="AD116" s="2" t="s">
        <v>89</v>
      </c>
      <c r="AE116" s="2">
        <v>13.8</v>
      </c>
      <c r="AF116" s="2">
        <v>9.6300000000000008</v>
      </c>
      <c r="AG116" s="2" t="s">
        <v>89</v>
      </c>
      <c r="AH116" s="2" t="s">
        <v>89</v>
      </c>
      <c r="AI116" s="2" t="s">
        <v>93</v>
      </c>
      <c r="AJ116" s="14">
        <v>0</v>
      </c>
      <c r="AK116" s="2" t="s">
        <v>89</v>
      </c>
      <c r="AL116" s="2" t="s">
        <v>89</v>
      </c>
      <c r="AM116" s="2" t="s">
        <v>89</v>
      </c>
      <c r="AN116" s="14" t="str">
        <f>HYPERLINK(".\links\gpi\AGAP005621-PA-gpi.txt","N")</f>
        <v>N</v>
      </c>
      <c r="AO116" s="15" t="str">
        <f>HYPERLINK(".\links\netoglyc\AGAP005621-PA-netoglyc.txt","0")</f>
        <v>0</v>
      </c>
      <c r="AP116" s="14">
        <v>8.9</v>
      </c>
      <c r="AQ116" s="2">
        <v>4.0999999999999996</v>
      </c>
      <c r="AR116" s="2">
        <v>7.3</v>
      </c>
      <c r="AS116" s="2" t="s">
        <v>94</v>
      </c>
      <c r="AT116" s="9" t="str">
        <f>HYPERLINK(".\links\NR-LIGHT\AGAP005621-PA-NR-LIGHT.txt","AGAP005621-PA")</f>
        <v>AGAP005621-PA</v>
      </c>
      <c r="AU116" s="2" t="str">
        <f>HYPERLINK("http://www.ncbi.nlm.nih.gov/sutils/blink.cgi?pid=XP_315631.3","9E-066")</f>
        <v>9E-066</v>
      </c>
      <c r="AV116" s="2" t="str">
        <f>HYPERLINK("http://www.ncbi.nlm.nih.gov/protein/XP_315631.3","XP_315631.3")</f>
        <v>XP_315631.3</v>
      </c>
      <c r="AW116" s="2">
        <v>100</v>
      </c>
      <c r="AX116" s="2">
        <v>100</v>
      </c>
      <c r="AY116" s="2">
        <v>100</v>
      </c>
      <c r="AZ116" s="2" t="s">
        <v>95</v>
      </c>
      <c r="BA116" s="9" t="str">
        <f>HYPERLINK(".\links\REFSEQ-INVERTEBRATE\AGAP005621-PA-REFSEQ-INVERTEBRATE.txt","AGAP005621-PA")</f>
        <v>AGAP005621-PA</v>
      </c>
      <c r="BB116" s="2" t="str">
        <f>HYPERLINK("http://www.ncbi.nlm.nih.gov/sutils/blink.cgi?pid=XP_315631.3","8E-066")</f>
        <v>8E-066</v>
      </c>
      <c r="BC116" s="2" t="str">
        <f>HYPERLINK("http://www.ncbi.nlm.nih.gov/protein/XP_315631.3","XP_315631.3")</f>
        <v>XP_315631.3</v>
      </c>
      <c r="BD116" s="2">
        <v>100</v>
      </c>
      <c r="BE116" s="2">
        <v>100</v>
      </c>
      <c r="BF116" s="2">
        <v>100</v>
      </c>
      <c r="BG116" s="2" t="s">
        <v>95</v>
      </c>
      <c r="BH116" s="9" t="str">
        <f>HYPERLINK(".\links\REFSEQ-PROTOZOA\AGAP005621-PA-REFSEQ-PROTOZOA.txt","hypothetical protein")</f>
        <v>hypothetical protein</v>
      </c>
      <c r="BI116" s="2" t="str">
        <f>HYPERLINK("http://www.ncbi.nlm.nih.gov/sutils/blink.cgi?pid=XP_001745963.1","2E-020")</f>
        <v>2E-020</v>
      </c>
      <c r="BJ116" s="2" t="str">
        <f>HYPERLINK("http://www.ncbi.nlm.nih.gov/protein/XP_001745963.1","XP_001745963.1")</f>
        <v>XP_001745963.1</v>
      </c>
      <c r="BK116" s="2">
        <v>43</v>
      </c>
      <c r="BL116" s="2">
        <v>58</v>
      </c>
      <c r="BM116" s="2">
        <v>8</v>
      </c>
      <c r="BN116" s="2" t="s">
        <v>389</v>
      </c>
      <c r="BO116" s="9" t="str">
        <f>HYPERLINK(".\links\SWISSP\AGAP005621-PA-SWISSP.txt","NADH dehydrogenase [ubiquinone] 1 alpha subcomplex subunit 5")</f>
        <v>NADH dehydrogenase [ubiquinone] 1 alpha subcomplex subunit 5</v>
      </c>
      <c r="BP116" s="2" t="str">
        <f>HYPERLINK("http://www.uniprot.org/uniprot/P23935","3E-035")</f>
        <v>3E-035</v>
      </c>
      <c r="BQ116" s="2" t="str">
        <f>HYPERLINK("http://www.uniprot.org/uniprot/P23935#expression","P23935")</f>
        <v>P23935</v>
      </c>
      <c r="BR116" s="2">
        <v>55</v>
      </c>
      <c r="BS116" s="2">
        <v>77</v>
      </c>
      <c r="BT116" s="2">
        <v>99</v>
      </c>
      <c r="BU116" s="2" t="s">
        <v>183</v>
      </c>
      <c r="BV116" s="9" t="str">
        <f>HYPERLINK(".\links\FLYBASE\AGAP005621-PA-FLYBASE.txt","FBpp0076005")</f>
        <v>FBpp0076005</v>
      </c>
      <c r="BW116" s="2" t="str">
        <f>HYPERLINK("http://flybase.org/reports/FBgn0047038#alliance_summary_container","4E-59")</f>
        <v>4E-59</v>
      </c>
      <c r="BX116" s="2">
        <v>124</v>
      </c>
      <c r="BY116" s="2">
        <v>68</v>
      </c>
      <c r="BZ116" s="2">
        <v>80</v>
      </c>
      <c r="CA116" s="2">
        <v>99</v>
      </c>
      <c r="CB116" s="9" t="str">
        <f>HYPERLINK(".\links\CDD\AGAP005621-PA-CDD.txt","ETC_C1_NDUFA5, ETC complex I subunit conserved region")</f>
        <v>ETC_C1_NDUFA5, ETC complex I subunit conserved region</v>
      </c>
      <c r="CC116" s="13">
        <v>1.9999999999999999E-23</v>
      </c>
      <c r="CD116" s="2">
        <v>100</v>
      </c>
      <c r="CE116" s="2" t="s">
        <v>1517</v>
      </c>
      <c r="CF116" s="2" t="s">
        <v>1518</v>
      </c>
      <c r="CG116" s="9" t="str">
        <f>HYPERLINK(".\links\KOG\AGAP005621-PA-KOG.txt","NDUFA5/B13 subunit")</f>
        <v>NDUFA5/B13 subunit</v>
      </c>
      <c r="CH116" s="13">
        <v>3.9999999999999998E-29</v>
      </c>
      <c r="CI116" s="2">
        <v>80</v>
      </c>
      <c r="CJ116" s="2" t="s">
        <v>1519</v>
      </c>
      <c r="CK116" s="2" t="s">
        <v>155</v>
      </c>
      <c r="CL116" s="9" t="str">
        <f>HYPERLINK(".\links\PFAM\AGAP005621-PA-PFAM.txt","ETC_C1_NDUFA5, ETC complex I subunit conserved region")</f>
        <v>ETC_C1_NDUFA5, ETC complex I subunit conserved region</v>
      </c>
      <c r="CM116" s="13">
        <v>4.9999999999999998E-24</v>
      </c>
      <c r="CN116" s="2">
        <v>100</v>
      </c>
      <c r="CO116" s="2" t="s">
        <v>1517</v>
      </c>
      <c r="CP116" s="9" t="str">
        <f>HYPERLINK(".\links\SMART\AGAP005621-PA-SMART.txt","Citrate_ly_lig, Citrate lyase ligase C-terminal domain")</f>
        <v>Citrate_ly_lig, Citrate lyase ligase C-terminal domain</v>
      </c>
      <c r="CQ116" s="13">
        <v>0.11</v>
      </c>
      <c r="CR116" s="2">
        <v>59.3</v>
      </c>
      <c r="CS116" s="2" t="s">
        <v>1520</v>
      </c>
      <c r="CT116" s="2" t="s">
        <v>1516</v>
      </c>
      <c r="CU116" s="2" t="s">
        <v>1516</v>
      </c>
      <c r="CV116" s="2" t="s">
        <v>1516</v>
      </c>
      <c r="CW116" s="2" t="str">
        <f>HYPERLINK(".\links\pep\AGAP005621-PA-pep.txt","AGAP005621-PA")</f>
        <v>AGAP005621-PA</v>
      </c>
      <c r="CX116" s="2" t="s">
        <v>88</v>
      </c>
      <c r="CY116" s="2">
        <v>123</v>
      </c>
      <c r="CZ116" s="2" t="s">
        <v>103</v>
      </c>
      <c r="DA116" s="2" t="s">
        <v>1521</v>
      </c>
      <c r="DB116" s="2">
        <v>0</v>
      </c>
      <c r="DC116" s="2">
        <v>0</v>
      </c>
      <c r="DD116" s="2" t="str">
        <f>HYPERLINK("https://www.kegg.jp/kegg-bin/search_pathway_text?map=aga&amp;keyword=AGAP005621&amp;mode=1&amp;viewImage=true","AGAP005621")</f>
        <v>AGAP005621</v>
      </c>
      <c r="DE116" s="2" t="s">
        <v>1513</v>
      </c>
      <c r="DF116" s="2" t="s">
        <v>1514</v>
      </c>
      <c r="DG116" s="2" t="s">
        <v>87</v>
      </c>
      <c r="DH116" s="2" t="str">
        <f>HYPERLINK("https://vectorbase.org/vectorbase/app/record/gene/AGAP005621","AGAP005621-RA")</f>
        <v>AGAP005621-RA</v>
      </c>
      <c r="DI116" s="2" t="s">
        <v>140</v>
      </c>
      <c r="DJ116" s="2">
        <v>612</v>
      </c>
      <c r="DK116" s="2" t="str">
        <f>HYPERLINK(".\links\netoglyc\AGAP005621-PA-netoglyc.txt","0")</f>
        <v>0</v>
      </c>
      <c r="DL116" s="2">
        <v>8.9</v>
      </c>
      <c r="DM116" s="2">
        <v>4.0999999999999996</v>
      </c>
      <c r="DN116" s="2">
        <v>7.3</v>
      </c>
      <c r="DO116" s="2" t="s">
        <v>94</v>
      </c>
      <c r="DP116" s="2" t="s">
        <v>89</v>
      </c>
      <c r="DQ116" s="2" t="str">
        <f>HYPERLINK(".\links\Sigp\AGAP005621-PA-SigP.txt","CYT")</f>
        <v>CYT</v>
      </c>
      <c r="DR116" s="2" t="s">
        <v>89</v>
      </c>
      <c r="DS116" s="2">
        <v>13.8</v>
      </c>
      <c r="DT116" s="2">
        <v>9.6300000000000008</v>
      </c>
      <c r="DU116" s="2" t="s">
        <v>89</v>
      </c>
      <c r="DV116" s="2" t="s">
        <v>89</v>
      </c>
      <c r="DW116" s="2" t="s">
        <v>93</v>
      </c>
      <c r="DX116" s="2">
        <v>123</v>
      </c>
      <c r="DY116" s="12">
        <v>0</v>
      </c>
      <c r="DZ116" s="2" t="s">
        <v>89</v>
      </c>
      <c r="EA116" s="2" t="s">
        <v>89</v>
      </c>
      <c r="EB116" s="2" t="s">
        <v>89</v>
      </c>
      <c r="EC116" s="2" t="str">
        <f>HYPERLINK(".\links\gpi\AGAP005621-PA-gpi.txt","N")</f>
        <v>N</v>
      </c>
      <c r="ED116" s="2">
        <v>0.38</v>
      </c>
      <c r="EE116" s="2" t="s">
        <v>1522</v>
      </c>
      <c r="EF116" s="2">
        <v>1</v>
      </c>
      <c r="EG116" s="2" t="s">
        <v>89</v>
      </c>
      <c r="EH116" s="2" t="s">
        <v>89</v>
      </c>
      <c r="EI116" s="2">
        <v>8.9430894308943092</v>
      </c>
      <c r="EJ116" s="2">
        <v>7.3170731707317103</v>
      </c>
      <c r="EK116" s="2">
        <v>4.0650406504065</v>
      </c>
      <c r="EL116" s="2">
        <v>11.3821138211382</v>
      </c>
      <c r="EM116" s="2" t="s">
        <v>89</v>
      </c>
      <c r="EN116" s="2" t="s">
        <v>89</v>
      </c>
      <c r="EO116" s="2" t="s">
        <v>89</v>
      </c>
      <c r="EP116" s="2" t="s">
        <v>89</v>
      </c>
      <c r="EQ116" s="2" t="s">
        <v>300</v>
      </c>
      <c r="ER116" s="2" t="s">
        <v>89</v>
      </c>
      <c r="ES116" s="2" t="s">
        <v>89</v>
      </c>
      <c r="ET116" s="2" t="str">
        <f>HYPERLINK(".\links\REFSEQ-INVERTEBRATE\AGAP005621-PA-REFSEQ-INVERTEBRATE.txt","AGAP005621-PA")</f>
        <v>AGAP005621-PA</v>
      </c>
      <c r="EU116" s="2" t="str">
        <f>HYPERLINK("http://www.ncbi.nlm.nih.gov/sutils/blink.cgi?pid=XP_315631.3","1E-85")</f>
        <v>1E-85</v>
      </c>
      <c r="EV116" s="2" t="str">
        <f>HYPERLINK("http://www.ncbi.nlm.nih.gov/protein/XP_315631.3","XP_315631.3")</f>
        <v>XP_315631.3</v>
      </c>
      <c r="EW116" s="2">
        <v>100</v>
      </c>
      <c r="EX116" s="2">
        <v>100</v>
      </c>
      <c r="EY116" s="2">
        <v>100</v>
      </c>
      <c r="EZ116" s="2" t="s">
        <v>95</v>
      </c>
    </row>
    <row r="117" spans="1:156" x14ac:dyDescent="0.25">
      <c r="A117" s="2" t="s">
        <v>191</v>
      </c>
      <c r="B117" s="2">
        <v>-0.82526079528815599</v>
      </c>
      <c r="C117" s="2">
        <f t="shared" si="1"/>
        <v>0.56438017044944033</v>
      </c>
      <c r="D117" s="2">
        <v>6.70034536109186</v>
      </c>
      <c r="E117" s="2">
        <v>10.9343841887779</v>
      </c>
      <c r="F117" s="2">
        <v>9.43958552399639E-4</v>
      </c>
      <c r="G117" s="2">
        <v>3.98822488388847E-2</v>
      </c>
      <c r="H117" s="2" t="s">
        <v>192</v>
      </c>
      <c r="I117" s="2" t="s">
        <v>87</v>
      </c>
      <c r="J117" s="2" t="str">
        <f>HYPERLINK("https://vectorbase.org/vectorbase/app/record/gene/AGAP000479","AGAP000479-RA")</f>
        <v>AGAP000479-RA</v>
      </c>
      <c r="K117" s="2" t="str">
        <f>HYPERLINK(".\links\pep\AGAP000479-PA-pep.txt","AGAP000479-PA")</f>
        <v>AGAP000479-PA</v>
      </c>
      <c r="L117" s="12" t="s">
        <v>88</v>
      </c>
      <c r="M117" s="2">
        <v>421</v>
      </c>
      <c r="N117" s="2">
        <v>0</v>
      </c>
      <c r="O117" s="2">
        <v>0</v>
      </c>
      <c r="P117" s="2" t="s">
        <v>193</v>
      </c>
      <c r="Q117" s="9" t="s">
        <v>194</v>
      </c>
      <c r="R117" s="2" t="s">
        <v>195</v>
      </c>
      <c r="S117" s="2" t="str">
        <f>HYPERLINK(".\links\REFSEQ-INVERTEBRATE\AGAP000479-PA-REFSEQ-INVERTEBRATE.txt","REFSEQ-INVERTEBRATE")</f>
        <v>REFSEQ-INVERTEBRATE</v>
      </c>
      <c r="T117" s="2">
        <v>0</v>
      </c>
      <c r="U117" s="2">
        <v>100</v>
      </c>
      <c r="V117" s="2" t="s">
        <v>194</v>
      </c>
      <c r="W117" s="10" t="s">
        <v>196</v>
      </c>
      <c r="X117" s="2" t="s">
        <v>195</v>
      </c>
      <c r="Y117" s="2" t="str">
        <f>HYPERLINK(".\links\UNIPROTKB\AGAP000479-PA-UNIPROTKB.txt","UNIPROTKB")</f>
        <v>UNIPROTKB</v>
      </c>
      <c r="Z117" s="13">
        <v>9.9999999999999996E-82</v>
      </c>
      <c r="AA117" s="2">
        <v>100</v>
      </c>
      <c r="AB117" s="14" t="s">
        <v>89</v>
      </c>
      <c r="AC117" s="14" t="str">
        <f>HYPERLINK(".\links\Sigp\AGAP000479-PA-SigP.txt","CYT")</f>
        <v>CYT</v>
      </c>
      <c r="AD117" s="2" t="s">
        <v>89</v>
      </c>
      <c r="AE117" s="2">
        <v>46.213999999999999</v>
      </c>
      <c r="AF117" s="2">
        <v>8.65</v>
      </c>
      <c r="AG117" s="2" t="s">
        <v>89</v>
      </c>
      <c r="AH117" s="2" t="s">
        <v>89</v>
      </c>
      <c r="AI117" s="2" t="s">
        <v>197</v>
      </c>
      <c r="AJ117" s="14">
        <v>0</v>
      </c>
      <c r="AK117" s="2" t="s">
        <v>89</v>
      </c>
      <c r="AL117" s="2" t="s">
        <v>89</v>
      </c>
      <c r="AM117" s="2" t="s">
        <v>89</v>
      </c>
      <c r="AN117" s="14" t="str">
        <f>HYPERLINK(".\links\gpi\AGAP000479-PA-gpi.txt","N")</f>
        <v>N</v>
      </c>
      <c r="AO117" s="15" t="str">
        <f>HYPERLINK(".\links\netoglyc\AGAP000479-PA-netoglyc.txt","0")</f>
        <v>0</v>
      </c>
      <c r="AP117" s="14">
        <v>14</v>
      </c>
      <c r="AQ117" s="2">
        <v>6.7</v>
      </c>
      <c r="AR117" s="2">
        <v>5.7</v>
      </c>
      <c r="AS117" s="2" t="s">
        <v>94</v>
      </c>
      <c r="AT117" s="9" t="str">
        <f>HYPERLINK(".\links\NR-LIGHT\AGAP000479-PA-NR-LIGHT.txt","AGAP000479-PA")</f>
        <v>AGAP000479-PA</v>
      </c>
      <c r="AU117" s="2" t="str">
        <f>HYPERLINK("http://www.ncbi.nlm.nih.gov/sutils/blink.cgi?pid=XP_310613.2","0.0")</f>
        <v>0.0</v>
      </c>
      <c r="AV117" s="2" t="str">
        <f>HYPERLINK("http://www.ncbi.nlm.nih.gov/protein/XP_310613.2","XP_310613.2")</f>
        <v>XP_310613.2</v>
      </c>
      <c r="AW117" s="2">
        <v>100</v>
      </c>
      <c r="AX117" s="2">
        <v>100</v>
      </c>
      <c r="AY117" s="2">
        <v>100</v>
      </c>
      <c r="AZ117" s="2" t="s">
        <v>95</v>
      </c>
      <c r="BA117" s="9" t="str">
        <f>HYPERLINK(".\links\REFSEQ-INVERTEBRATE\AGAP000479-PA-REFSEQ-INVERTEBRATE.txt","AGAP000479-PA")</f>
        <v>AGAP000479-PA</v>
      </c>
      <c r="BB117" s="2" t="str">
        <f>HYPERLINK("http://www.ncbi.nlm.nih.gov/sutils/blink.cgi?pid=XP_310613.2","0.0")</f>
        <v>0.0</v>
      </c>
      <c r="BC117" s="2" t="str">
        <f>HYPERLINK("http://www.ncbi.nlm.nih.gov/protein/XP_310613.2","XP_310613.2")</f>
        <v>XP_310613.2</v>
      </c>
      <c r="BD117" s="2">
        <v>100</v>
      </c>
      <c r="BE117" s="2">
        <v>100</v>
      </c>
      <c r="BF117" s="2">
        <v>100</v>
      </c>
      <c r="BG117" s="2" t="s">
        <v>95</v>
      </c>
      <c r="BH117" s="9" t="str">
        <f>HYPERLINK(".\links\REFSEQ-PROTOZOA\AGAP000479-PA-REFSEQ-PROTOZOA.txt","hypothetical protein CAOG_07371")</f>
        <v>hypothetical protein CAOG_07371</v>
      </c>
      <c r="BI117" s="2" t="str">
        <f>HYPERLINK("http://www.ncbi.nlm.nih.gov/sutils/blink.cgi?pid=XP_004343230.1","1E-040")</f>
        <v>1E-040</v>
      </c>
      <c r="BJ117" s="2" t="str">
        <f>HYPERLINK("http://www.ncbi.nlm.nih.gov/protein/XP_004343230.1","XP_004343230.1")</f>
        <v>XP_004343230.1</v>
      </c>
      <c r="BK117" s="2">
        <v>33</v>
      </c>
      <c r="BL117" s="2">
        <v>48</v>
      </c>
      <c r="BM117" s="2">
        <v>77</v>
      </c>
      <c r="BN117" s="2" t="s">
        <v>150</v>
      </c>
      <c r="BO117" s="9" t="str">
        <f>HYPERLINK(".\links\SWISSP\AGAP000479-PA-SWISSP.txt","WD repeat-containing protein 18")</f>
        <v>WD repeat-containing protein 18</v>
      </c>
      <c r="BP117" s="2" t="str">
        <f>HYPERLINK("http://www.uniprot.org/uniprot/Q499N3","5E-068")</f>
        <v>5E-068</v>
      </c>
      <c r="BQ117" s="2" t="str">
        <f>HYPERLINK("http://www.uniprot.org/uniprot/Q499N3#expression","Q499N3")</f>
        <v>Q499N3</v>
      </c>
      <c r="BR117" s="2">
        <v>36</v>
      </c>
      <c r="BS117" s="2">
        <v>55</v>
      </c>
      <c r="BT117" s="2">
        <v>100</v>
      </c>
      <c r="BU117" s="2" t="s">
        <v>198</v>
      </c>
      <c r="BV117" s="9" t="str">
        <f>HYPERLINK(".\links\FLYBASE\AGAP000479-PA-FLYBASE.txt","FBpp0070299")</f>
        <v>FBpp0070299</v>
      </c>
      <c r="BW117" s="2" t="str">
        <f>HYPERLINK("http://flybase.org/reports/FBgn0023514#alliance_summary_container","2E-78")</f>
        <v>2E-78</v>
      </c>
      <c r="BX117" s="2">
        <v>506</v>
      </c>
      <c r="BY117" s="2">
        <v>34</v>
      </c>
      <c r="BZ117" s="2">
        <v>55</v>
      </c>
      <c r="CA117" s="2">
        <v>81</v>
      </c>
      <c r="CB117" s="9" t="str">
        <f>HYPERLINK(".\links\CDD\AGAP000479-PA-CDD.txt","WD40,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117" s="13">
        <v>4.0000000000000003E-17</v>
      </c>
      <c r="CD117" s="2">
        <v>87.5</v>
      </c>
      <c r="CE117" s="2" t="s">
        <v>199</v>
      </c>
      <c r="CF117" s="2" t="s">
        <v>200</v>
      </c>
      <c r="CG117" s="9" t="str">
        <f>HYPERLINK(".\links\KOG\AGAP000479-PA-KOG.txt","WD40 repeat protein")</f>
        <v>WD40 repeat protein</v>
      </c>
      <c r="CH117" s="13">
        <v>3.0000000000000002E-77</v>
      </c>
      <c r="CI117" s="2">
        <v>96.8</v>
      </c>
      <c r="CJ117" s="2" t="s">
        <v>201</v>
      </c>
      <c r="CK117" s="2" t="s">
        <v>187</v>
      </c>
      <c r="CL117" s="9" t="str">
        <f>HYPERLINK(".\links\PFAM\AGAP000479-PA-PFAM.txt","WD40, WD domain, G-beta repeat")</f>
        <v>WD40, WD domain, G-beta repeat</v>
      </c>
      <c r="CM117" s="13">
        <v>9.0000000000000002E-6</v>
      </c>
      <c r="CN117" s="2">
        <v>87.2</v>
      </c>
      <c r="CO117" s="2" t="s">
        <v>202</v>
      </c>
      <c r="CP117" s="9" t="str">
        <f>HYPERLINK(".\links\SMART\AGAP000479-PA-SMART.txt","WD40, WD40 repeats")</f>
        <v>WD40, WD40 repeats</v>
      </c>
      <c r="CQ117" s="13">
        <v>3.9999999999999998E-7</v>
      </c>
      <c r="CR117" s="2">
        <v>85</v>
      </c>
      <c r="CS117" s="2" t="s">
        <v>203</v>
      </c>
      <c r="CT117" s="2" t="s">
        <v>194</v>
      </c>
      <c r="CU117" s="2" t="s">
        <v>194</v>
      </c>
      <c r="CV117" s="2" t="s">
        <v>194</v>
      </c>
      <c r="CW117" s="2" t="str">
        <f>HYPERLINK(".\links\pep\AGAP000479-PA-pep.txt","AGAP000479-PA")</f>
        <v>AGAP000479-PA</v>
      </c>
      <c r="CX117" s="2" t="s">
        <v>88</v>
      </c>
      <c r="CY117" s="2">
        <v>421</v>
      </c>
      <c r="CZ117" s="2" t="s">
        <v>103</v>
      </c>
      <c r="DA117" s="2" t="s">
        <v>204</v>
      </c>
      <c r="DB117" s="2">
        <v>0</v>
      </c>
      <c r="DC117" s="2">
        <v>0</v>
      </c>
      <c r="DD117" s="2" t="str">
        <f>HYPERLINK("https://www.kegg.jp/kegg-bin/search_pathway_text?map=aga&amp;keyword=AGAP000479&amp;mode=1&amp;viewImage=true","AGAP000479")</f>
        <v>AGAP000479</v>
      </c>
      <c r="DE117" s="2" t="s">
        <v>191</v>
      </c>
      <c r="DF117" s="2" t="s">
        <v>192</v>
      </c>
      <c r="DG117" s="2" t="s">
        <v>87</v>
      </c>
      <c r="DH117" s="2" t="str">
        <f>HYPERLINK("https://vectorbase.org/vectorbase/app/record/gene/AGAP000479","AGAP000479-RA")</f>
        <v>AGAP000479-RA</v>
      </c>
      <c r="DI117" s="2" t="s">
        <v>140</v>
      </c>
      <c r="DJ117" s="2">
        <v>1373</v>
      </c>
      <c r="DK117" s="2" t="str">
        <f>HYPERLINK(".\links\netoglyc\AGAP000479-PA-netoglyc.txt","0")</f>
        <v>0</v>
      </c>
      <c r="DL117" s="2">
        <v>14</v>
      </c>
      <c r="DM117" s="2">
        <v>6.7</v>
      </c>
      <c r="DN117" s="2">
        <v>5.7</v>
      </c>
      <c r="DO117" s="2" t="s">
        <v>94</v>
      </c>
      <c r="DP117" s="2" t="s">
        <v>89</v>
      </c>
      <c r="DQ117" s="2" t="str">
        <f>HYPERLINK(".\links\Sigp\AGAP000479-PA-SigP.txt","CYT")</f>
        <v>CYT</v>
      </c>
      <c r="DR117" s="2" t="s">
        <v>89</v>
      </c>
      <c r="DS117" s="2">
        <v>46.213999999999999</v>
      </c>
      <c r="DT117" s="2">
        <v>8.65</v>
      </c>
      <c r="DU117" s="2" t="s">
        <v>89</v>
      </c>
      <c r="DV117" s="2" t="s">
        <v>89</v>
      </c>
      <c r="DW117" s="2" t="s">
        <v>197</v>
      </c>
      <c r="DX117" s="2">
        <v>421</v>
      </c>
      <c r="DY117" s="12">
        <v>0</v>
      </c>
      <c r="DZ117" s="2" t="s">
        <v>89</v>
      </c>
      <c r="EA117" s="2" t="s">
        <v>89</v>
      </c>
      <c r="EB117" s="2" t="s">
        <v>89</v>
      </c>
      <c r="EC117" s="2" t="str">
        <f>HYPERLINK(".\links\gpi\AGAP000479-PA-gpi.txt","Y-NoSP")</f>
        <v>Y-NoSP</v>
      </c>
      <c r="ED117" s="2">
        <v>0.23</v>
      </c>
      <c r="EF117" s="2">
        <v>10</v>
      </c>
      <c r="EG117" s="2" t="s">
        <v>89</v>
      </c>
      <c r="EH117" s="2" t="s">
        <v>89</v>
      </c>
      <c r="EI117" s="2">
        <v>14.0142517814727</v>
      </c>
      <c r="EJ117" s="2">
        <v>5.7007125890736301</v>
      </c>
      <c r="EK117" s="2">
        <v>6.6508313539192399</v>
      </c>
      <c r="EL117" s="2">
        <v>12.351543942992899</v>
      </c>
      <c r="EM117" s="2">
        <v>2</v>
      </c>
      <c r="EN117" s="2">
        <v>3</v>
      </c>
      <c r="EO117" s="2">
        <v>3</v>
      </c>
      <c r="EP117" s="2" t="s">
        <v>89</v>
      </c>
      <c r="EQ117" s="2" t="s">
        <v>89</v>
      </c>
      <c r="ER117" s="2" t="s">
        <v>89</v>
      </c>
      <c r="ES117" s="2" t="s">
        <v>89</v>
      </c>
      <c r="ET117" s="2" t="str">
        <f>HYPERLINK(".\links\REFSEQ-INVERTEBRATE\AGAP000479-PA-REFSEQ-INVERTEBRATE.txt","AGAP000479-PA")</f>
        <v>AGAP000479-PA</v>
      </c>
      <c r="EU117" s="2" t="str">
        <f>HYPERLINK("http://www.ncbi.nlm.nih.gov/sutils/blink.cgi?pid=XP_310613.2","0.0")</f>
        <v>0.0</v>
      </c>
      <c r="EV117" s="2" t="str">
        <f>HYPERLINK("http://www.ncbi.nlm.nih.gov/protein/XP_310613.2","XP_310613.2")</f>
        <v>XP_310613.2</v>
      </c>
      <c r="EW117" s="2">
        <v>100</v>
      </c>
      <c r="EX117" s="2">
        <v>100</v>
      </c>
      <c r="EY117" s="2">
        <v>100</v>
      </c>
      <c r="EZ117" s="2" t="s">
        <v>95</v>
      </c>
    </row>
    <row r="118" spans="1:156" x14ac:dyDescent="0.25">
      <c r="A118" s="2" t="s">
        <v>933</v>
      </c>
      <c r="B118" s="2">
        <v>-0.82843227912505601</v>
      </c>
      <c r="C118" s="2">
        <f t="shared" si="1"/>
        <v>0.56314085335146147</v>
      </c>
      <c r="D118" s="2">
        <v>6.4243957769191899</v>
      </c>
      <c r="E118" s="2">
        <v>12.265440737096901</v>
      </c>
      <c r="F118" s="2">
        <v>4.6142422650061399E-4</v>
      </c>
      <c r="G118" s="2">
        <v>2.54604392585813E-2</v>
      </c>
      <c r="H118" s="2" t="s">
        <v>934</v>
      </c>
      <c r="I118" s="2" t="s">
        <v>87</v>
      </c>
      <c r="J118" s="2" t="str">
        <f>HYPERLINK("https://vectorbase.org/vectorbase/app/record/gene/AGAP003701","AGAP003701-RA")</f>
        <v>AGAP003701-RA</v>
      </c>
      <c r="K118" s="2" t="str">
        <f>HYPERLINK(".\links\pep\AGAP003701-PA-pep.txt","AGAP003701-PA")</f>
        <v>AGAP003701-PA</v>
      </c>
      <c r="L118" s="12" t="s">
        <v>88</v>
      </c>
      <c r="M118" s="2">
        <v>162</v>
      </c>
      <c r="N118" s="2">
        <v>0</v>
      </c>
      <c r="O118" s="2">
        <v>1</v>
      </c>
      <c r="P118" s="2" t="s">
        <v>935</v>
      </c>
      <c r="Q118" s="9" t="s">
        <v>936</v>
      </c>
      <c r="R118" s="2" t="s">
        <v>195</v>
      </c>
      <c r="S118" s="2" t="str">
        <f>HYPERLINK(".\links\KOG\AGAP003701-PA-KOG.txt","KOG")</f>
        <v>KOG</v>
      </c>
      <c r="T118" s="2">
        <v>1E-35</v>
      </c>
      <c r="U118" s="2">
        <v>89.9</v>
      </c>
      <c r="V118" s="2" t="s">
        <v>937</v>
      </c>
      <c r="W118" s="10" t="s">
        <v>938</v>
      </c>
      <c r="X118" s="2" t="s">
        <v>195</v>
      </c>
      <c r="Y118" s="2" t="str">
        <f>HYPERLINK(".\links\KOG\AGAP003701-PA-KOG.txt","KOG")</f>
        <v>KOG</v>
      </c>
      <c r="Z118" s="13">
        <v>1.9999999999999999E-36</v>
      </c>
      <c r="AA118" s="2">
        <v>93</v>
      </c>
      <c r="AB118" s="14" t="str">
        <f>HYPERLINK(".\links\pep\AGAP003701-PA-sulf.txt","1")</f>
        <v>1</v>
      </c>
      <c r="AC118" s="14" t="str">
        <f>HYPERLINK(".\links\Sigp\AGAP003701-PA-SigP.txt","CYT")</f>
        <v>CYT</v>
      </c>
      <c r="AD118" s="2" t="s">
        <v>89</v>
      </c>
      <c r="AE118" s="2">
        <v>19.187999999999999</v>
      </c>
      <c r="AF118" s="2">
        <v>9.32</v>
      </c>
      <c r="AG118" s="2" t="s">
        <v>89</v>
      </c>
      <c r="AH118" s="2" t="s">
        <v>89</v>
      </c>
      <c r="AI118" s="2" t="s">
        <v>939</v>
      </c>
      <c r="AJ118" s="14">
        <v>0</v>
      </c>
      <c r="AK118" s="2" t="s">
        <v>89</v>
      </c>
      <c r="AL118" s="2" t="s">
        <v>89</v>
      </c>
      <c r="AM118" s="2" t="s">
        <v>89</v>
      </c>
      <c r="AN118" s="14" t="str">
        <f>HYPERLINK(".\links\gpi\AGAP003701-PA-gpi.txt","N")</f>
        <v>N</v>
      </c>
      <c r="AO118" s="15" t="str">
        <f>HYPERLINK(".\links\netoglyc\AGAP003701-PA-netoglyc.txt","0")</f>
        <v>0</v>
      </c>
      <c r="AP118" s="14">
        <v>7.4</v>
      </c>
      <c r="AQ118" s="2">
        <v>3.7</v>
      </c>
      <c r="AR118" s="2">
        <v>3.7</v>
      </c>
      <c r="AS118" s="2" t="s">
        <v>94</v>
      </c>
      <c r="AT118" s="9" t="str">
        <f>HYPERLINK(".\links\NR-LIGHT\AGAP003701-PA-NR-LIGHT.txt","AGAP003698-PA")</f>
        <v>AGAP003698-PA</v>
      </c>
      <c r="AU118" s="2" t="str">
        <f>HYPERLINK("http://www.ncbi.nlm.nih.gov/sutils/blink.cgi?pid=XP_313490.5","5E-089")</f>
        <v>5E-089</v>
      </c>
      <c r="AV118" s="2" t="str">
        <f>HYPERLINK("http://www.ncbi.nlm.nih.gov/protein/XP_313490.5","XP_313490.5")</f>
        <v>XP_313490.5</v>
      </c>
      <c r="AW118" s="2">
        <v>100</v>
      </c>
      <c r="AX118" s="2">
        <v>100</v>
      </c>
      <c r="AY118" s="2">
        <v>100</v>
      </c>
      <c r="AZ118" s="2" t="s">
        <v>95</v>
      </c>
      <c r="BA118" s="9" t="str">
        <f>HYPERLINK(".\links\REFSEQ-INVERTEBRATE\AGAP003701-PA-REFSEQ-INVERTEBRATE.txt","AGAP003701-PA")</f>
        <v>AGAP003701-PA</v>
      </c>
      <c r="BB118" s="2" t="str">
        <f>HYPERLINK("http://www.ncbi.nlm.nih.gov/sutils/blink.cgi?pid=XP_001230947.2","5E-089")</f>
        <v>5E-089</v>
      </c>
      <c r="BC118" s="2" t="str">
        <f>HYPERLINK("http://www.ncbi.nlm.nih.gov/protein/XP_001230947.2","XP_001230947.2")</f>
        <v>XP_001230947.2</v>
      </c>
      <c r="BD118" s="2">
        <v>100</v>
      </c>
      <c r="BE118" s="2">
        <v>100</v>
      </c>
      <c r="BF118" s="2">
        <v>100</v>
      </c>
      <c r="BG118" s="2" t="s">
        <v>95</v>
      </c>
      <c r="BH118" s="9" t="str">
        <f>HYPERLINK(".\links\REFSEQ-PROTOZOA\AGAP003701-PA-REFSEQ-PROTOZOA.txt","zinc finger protein")</f>
        <v>zinc finger protein</v>
      </c>
      <c r="BI118" s="2" t="str">
        <f>HYPERLINK("http://www.ncbi.nlm.nih.gov/sutils/blink.cgi?pid=XP_004998984.1","1E-023")</f>
        <v>1E-023</v>
      </c>
      <c r="BJ118" s="2" t="str">
        <f>HYPERLINK("http://www.ncbi.nlm.nih.gov/protein/XP_004998984.1","XP_004998984.1")</f>
        <v>XP_004998984.1</v>
      </c>
      <c r="BK118" s="2">
        <v>38</v>
      </c>
      <c r="BL118" s="2">
        <v>57</v>
      </c>
      <c r="BM118" s="2">
        <v>94</v>
      </c>
      <c r="BN118" s="2" t="s">
        <v>182</v>
      </c>
      <c r="BO118" s="9" t="str">
        <f>HYPERLINK(".\links\SWISSP\AGAP003701-PA-SWISSP.txt","Zinc finger protein 593 homolog")</f>
        <v>Zinc finger protein 593 homolog</v>
      </c>
      <c r="BP118" s="2" t="str">
        <f>HYPERLINK("http://www.uniprot.org/uniprot/Q9W3Y0","9E-051")</f>
        <v>9E-051</v>
      </c>
      <c r="BQ118" s="2" t="str">
        <f>HYPERLINK("http://www.uniprot.org/uniprot/Q9W3Y0#expression","Q9W3Y0")</f>
        <v>Q9W3Y0</v>
      </c>
      <c r="BR118" s="2">
        <v>62</v>
      </c>
      <c r="BS118" s="2">
        <v>79</v>
      </c>
      <c r="BT118" s="2">
        <v>95</v>
      </c>
      <c r="BU118" s="2" t="s">
        <v>151</v>
      </c>
      <c r="BV118" s="9" t="str">
        <f>HYPERLINK(".\links\FLYBASE\AGAP003701-PA-FLYBASE.txt","FBpp0070952")</f>
        <v>FBpp0070952</v>
      </c>
      <c r="BW118" s="2" t="str">
        <f>HYPERLINK("http://flybase.org/reports/FBgn0029885#alliance_summary_container","2E-51")</f>
        <v>2E-51</v>
      </c>
      <c r="BX118" s="2">
        <v>162</v>
      </c>
      <c r="BY118" s="2">
        <v>67</v>
      </c>
      <c r="BZ118" s="2">
        <v>83</v>
      </c>
      <c r="CA118" s="2">
        <v>85</v>
      </c>
      <c r="CB118" s="9" t="str">
        <f>HYPERLINK(".\links\CDD\AGAP003701-PA-CDD.txt","UFD2, U1-like Zn-finger-containing protein")</f>
        <v>UFD2, U1-like Zn-finger-containing protein</v>
      </c>
      <c r="CC118" s="13">
        <v>9.9999999999999998E-17</v>
      </c>
      <c r="CD118" s="2">
        <v>93.7</v>
      </c>
      <c r="CE118" s="2" t="s">
        <v>940</v>
      </c>
      <c r="CF118" s="2" t="s">
        <v>941</v>
      </c>
      <c r="CG118" s="9" t="str">
        <f>HYPERLINK(".\links\KOG\AGAP003701-PA-KOG.txt","probabl erole in RNA processing/splicing")</f>
        <v>probabl erole in RNA processing/splicing</v>
      </c>
      <c r="CH118" s="13">
        <v>1E-35</v>
      </c>
      <c r="CI118" s="2">
        <v>89.9</v>
      </c>
      <c r="CJ118" s="2" t="s">
        <v>942</v>
      </c>
      <c r="CK118" s="2" t="s">
        <v>692</v>
      </c>
      <c r="CL118" s="9" t="str">
        <f>HYPERLINK(".\links\PFAM\AGAP003701-PA-PFAM.txt","zf-C2H2_jaz, Zinc-finger double-stranded RNA-binding")</f>
        <v>zf-C2H2_jaz, Zinc-finger double-stranded RNA-binding</v>
      </c>
      <c r="CM118" s="13">
        <v>7.9999999999999996E-6</v>
      </c>
      <c r="CN118" s="2">
        <v>100</v>
      </c>
      <c r="CO118" s="2" t="s">
        <v>943</v>
      </c>
      <c r="CP118" s="9" t="str">
        <f>HYPERLINK(".\links\SMART\AGAP003701-PA-SMART.txt","ZnF_U1, U1-like zinc finger")</f>
        <v>ZnF_U1, U1-like zinc finger</v>
      </c>
      <c r="CQ118" s="13">
        <v>3.9999999999999998E-6</v>
      </c>
      <c r="CR118" s="2">
        <v>91.4</v>
      </c>
      <c r="CS118" s="2" t="s">
        <v>944</v>
      </c>
      <c r="CT118" s="2" t="s">
        <v>937</v>
      </c>
      <c r="CU118" s="2" t="s">
        <v>937</v>
      </c>
      <c r="CV118" s="2" t="s">
        <v>937</v>
      </c>
      <c r="CW118" s="2" t="str">
        <f>HYPERLINK(".\links\pep\AGAP003701-PA-pep.txt","AGAP003701-PA")</f>
        <v>AGAP003701-PA</v>
      </c>
      <c r="CX118" s="2" t="s">
        <v>88</v>
      </c>
      <c r="CY118" s="2">
        <v>162</v>
      </c>
      <c r="CZ118" s="2" t="s">
        <v>103</v>
      </c>
      <c r="DA118" s="2" t="s">
        <v>945</v>
      </c>
      <c r="DB118" s="2">
        <v>0</v>
      </c>
      <c r="DC118" s="2">
        <v>1</v>
      </c>
      <c r="DD118" s="2" t="str">
        <f>HYPERLINK("https://www.kegg.jp/kegg-bin/search_pathway_text?map=aga&amp;keyword=AGAP003701&amp;mode=1&amp;viewImage=true","AGAP003701")</f>
        <v>AGAP003701</v>
      </c>
      <c r="DE118" s="2" t="s">
        <v>933</v>
      </c>
      <c r="DF118" s="2" t="s">
        <v>934</v>
      </c>
      <c r="DG118" s="2" t="s">
        <v>87</v>
      </c>
      <c r="DH118" s="2" t="str">
        <f>HYPERLINK("https://vectorbase.org/vectorbase/app/record/gene/AGAP003701","AGAP003701-RA")</f>
        <v>AGAP003701-RA</v>
      </c>
      <c r="DI118" s="2" t="s">
        <v>140</v>
      </c>
      <c r="DJ118" s="2">
        <v>660</v>
      </c>
      <c r="DK118" s="2" t="str">
        <f>HYPERLINK(".\links\netoglyc\AGAP003701-PA-netoglyc.txt","0")</f>
        <v>0</v>
      </c>
      <c r="DL118" s="2">
        <v>7.4</v>
      </c>
      <c r="DM118" s="2">
        <v>3.7</v>
      </c>
      <c r="DN118" s="2">
        <v>3.7</v>
      </c>
      <c r="DO118" s="2" t="s">
        <v>94</v>
      </c>
      <c r="DP118" s="2" t="s">
        <v>89</v>
      </c>
      <c r="DQ118" s="2" t="str">
        <f>HYPERLINK(".\links\Sigp\AGAP003701-PA-SigP.txt","CYT")</f>
        <v>CYT</v>
      </c>
      <c r="DR118" s="2" t="s">
        <v>89</v>
      </c>
      <c r="DS118" s="2">
        <v>19.187999999999999</v>
      </c>
      <c r="DT118" s="2">
        <v>9.32</v>
      </c>
      <c r="DU118" s="2" t="s">
        <v>89</v>
      </c>
      <c r="DV118" s="2" t="s">
        <v>89</v>
      </c>
      <c r="DW118" s="2" t="s">
        <v>939</v>
      </c>
      <c r="DX118" s="2">
        <v>162</v>
      </c>
      <c r="DY118" s="12">
        <v>0</v>
      </c>
      <c r="DZ118" s="2" t="s">
        <v>89</v>
      </c>
      <c r="EA118" s="2" t="s">
        <v>89</v>
      </c>
      <c r="EB118" s="2" t="s">
        <v>89</v>
      </c>
      <c r="EC118" s="2" t="str">
        <f>HYPERLINK(".\links\gpi\AGAP003701-PA-gpi.txt","N")</f>
        <v>N</v>
      </c>
      <c r="ED118" s="2">
        <v>0.4</v>
      </c>
      <c r="EF118" s="2">
        <v>2</v>
      </c>
      <c r="EG118" s="2" t="str">
        <f>HYPERLINK(".\links\pep\AGAP003701-PA-sulf.txt","1")</f>
        <v>1</v>
      </c>
      <c r="EH118" s="2" t="s">
        <v>89</v>
      </c>
      <c r="EI118" s="2">
        <v>7.4074074074074101</v>
      </c>
      <c r="EJ118" s="2">
        <v>3.7037037037037002</v>
      </c>
      <c r="EK118" s="2">
        <v>3.7037037037037002</v>
      </c>
      <c r="EL118" s="2">
        <v>7.4074074074074101</v>
      </c>
      <c r="EM118" s="2" t="s">
        <v>89</v>
      </c>
      <c r="EN118" s="2" t="s">
        <v>89</v>
      </c>
      <c r="EO118" s="2">
        <v>1</v>
      </c>
      <c r="EP118" s="2" t="s">
        <v>89</v>
      </c>
      <c r="EQ118" s="2" t="s">
        <v>89</v>
      </c>
      <c r="ER118" s="2" t="s">
        <v>89</v>
      </c>
      <c r="ES118" s="2" t="s">
        <v>89</v>
      </c>
      <c r="ET118" s="2" t="str">
        <f>HYPERLINK(".\links\REFSEQ-INVERTEBRATE\AGAP003701-PA-REFSEQ-INVERTEBRATE.txt","AGAP003701-PA")</f>
        <v>AGAP003701-PA</v>
      </c>
      <c r="EU118" s="2" t="str">
        <f>HYPERLINK("http://www.ncbi.nlm.nih.gov/sutils/blink.cgi?pid=XP_001230947.2","1E-117")</f>
        <v>1E-117</v>
      </c>
      <c r="EV118" s="2" t="str">
        <f>HYPERLINK("http://www.ncbi.nlm.nih.gov/protein/XP_001230947.2","XP_001230947.2")</f>
        <v>XP_001230947.2</v>
      </c>
      <c r="EW118" s="2">
        <v>100</v>
      </c>
      <c r="EX118" s="2">
        <v>100</v>
      </c>
      <c r="EY118" s="2">
        <v>100</v>
      </c>
      <c r="EZ118" s="2" t="s">
        <v>95</v>
      </c>
    </row>
    <row r="119" spans="1:156" x14ac:dyDescent="0.25">
      <c r="A119" s="2" t="s">
        <v>2545</v>
      </c>
      <c r="B119" s="2">
        <v>-0.83007269730324595</v>
      </c>
      <c r="C119" s="2">
        <f t="shared" si="1"/>
        <v>0.56250089724898134</v>
      </c>
      <c r="D119" s="2">
        <v>5.1727473637213004</v>
      </c>
      <c r="E119" s="2">
        <v>19.196202168907099</v>
      </c>
      <c r="F119" s="2">
        <v>1.1794781491841699E-5</v>
      </c>
      <c r="G119" s="2">
        <v>1.90271270520664E-3</v>
      </c>
      <c r="H119" s="2" t="s">
        <v>2546</v>
      </c>
      <c r="I119" s="2" t="s">
        <v>87</v>
      </c>
      <c r="J119" s="2" t="str">
        <f>HYPERLINK("https://vectorbase.org/vectorbase/app/record/gene/AGAP010338","AGAP010338-RA")</f>
        <v>AGAP010338-RA</v>
      </c>
      <c r="K119" s="2" t="str">
        <f>HYPERLINK(".\links\pep\AGAP010338-PA-pep.txt","AGAP010338-PA")</f>
        <v>AGAP010338-PA</v>
      </c>
      <c r="L119" s="12" t="s">
        <v>88</v>
      </c>
      <c r="M119" s="2">
        <v>151</v>
      </c>
      <c r="N119" s="2">
        <v>0</v>
      </c>
      <c r="O119" s="2">
        <v>0</v>
      </c>
      <c r="P119" s="2" t="s">
        <v>2547</v>
      </c>
      <c r="Q119" s="9" t="s">
        <v>2548</v>
      </c>
      <c r="R119" s="2" t="s">
        <v>245</v>
      </c>
      <c r="S119" s="2" t="str">
        <f>HYPERLINK(".\links\KOG\AGAP010338-PA-KOG.txt","KOG")</f>
        <v>KOG</v>
      </c>
      <c r="T119" s="2">
        <v>9.0000000000000002E-35</v>
      </c>
      <c r="U119" s="2">
        <v>98.7</v>
      </c>
      <c r="V119" s="2" t="s">
        <v>2549</v>
      </c>
      <c r="W119" s="10" t="s">
        <v>2550</v>
      </c>
      <c r="X119" s="2" t="s">
        <v>245</v>
      </c>
      <c r="Y119" s="2" t="str">
        <f>HYPERLINK(".\links\REFSEQVERTEBRATE95\AGAP010338-PA-REFSEQVERTEBRATE95.txt","REFSEQVERTEBRATE95")</f>
        <v>REFSEQVERTEBRATE95</v>
      </c>
      <c r="Z119" s="13">
        <v>2.9999999999999999E-41</v>
      </c>
      <c r="AA119" s="2">
        <v>99.3</v>
      </c>
      <c r="AB119" s="14" t="s">
        <v>89</v>
      </c>
      <c r="AC119" s="14" t="str">
        <f>HYPERLINK(".\links\Sigp\AGAP010338-PA-SigP.txt","CYT")</f>
        <v>CYT</v>
      </c>
      <c r="AD119" s="2" t="s">
        <v>89</v>
      </c>
      <c r="AE119" s="2">
        <v>17.776</v>
      </c>
      <c r="AF119" s="2">
        <v>9.7100000000000009</v>
      </c>
      <c r="AG119" s="2" t="s">
        <v>89</v>
      </c>
      <c r="AH119" s="2" t="s">
        <v>89</v>
      </c>
      <c r="AI119" s="2" t="s">
        <v>93</v>
      </c>
      <c r="AJ119" s="14">
        <v>0</v>
      </c>
      <c r="AK119" s="2" t="s">
        <v>89</v>
      </c>
      <c r="AL119" s="2" t="s">
        <v>89</v>
      </c>
      <c r="AM119" s="2" t="s">
        <v>89</v>
      </c>
      <c r="AN119" s="14" t="str">
        <f>HYPERLINK(".\links\gpi\AGAP010338-PA-gpi.txt","N")</f>
        <v>N</v>
      </c>
      <c r="AO119" s="15" t="str">
        <f>HYPERLINK(".\links\netoglyc\AGAP010338-PA-netoglyc.txt","0")</f>
        <v>0</v>
      </c>
      <c r="AP119" s="14">
        <v>9.9</v>
      </c>
      <c r="AQ119" s="2">
        <v>4</v>
      </c>
      <c r="AR119" s="2">
        <v>7.9</v>
      </c>
      <c r="AS119" s="2" t="s">
        <v>94</v>
      </c>
      <c r="AT119" s="9" t="str">
        <f>HYPERLINK(".\links\NR-LIGHT\AGAP010338-PA-NR-LIGHT.txt","AGAP010338-PA")</f>
        <v>AGAP010338-PA</v>
      </c>
      <c r="AU119" s="2" t="str">
        <f>HYPERLINK("http://www.ncbi.nlm.nih.gov/sutils/blink.cgi?pid=XP_559130.1","1E-085")</f>
        <v>1E-085</v>
      </c>
      <c r="AV119" s="2" t="str">
        <f>HYPERLINK("http://www.ncbi.nlm.nih.gov/protein/XP_559130.1","XP_559130.1")</f>
        <v>XP_559130.1</v>
      </c>
      <c r="AW119" s="2">
        <v>100</v>
      </c>
      <c r="AX119" s="2">
        <v>100</v>
      </c>
      <c r="AY119" s="2">
        <v>100</v>
      </c>
      <c r="AZ119" s="2" t="s">
        <v>95</v>
      </c>
      <c r="BA119" s="9" t="str">
        <f>HYPERLINK(".\links\REFSEQ-INVERTEBRATE\AGAP010338-PA-REFSEQ-INVERTEBRATE.txt","AGAP010338-PA")</f>
        <v>AGAP010338-PA</v>
      </c>
      <c r="BB119" s="2" t="str">
        <f>HYPERLINK("http://www.ncbi.nlm.nih.gov/sutils/blink.cgi?pid=XP_559130.1","9E-086")</f>
        <v>9E-086</v>
      </c>
      <c r="BC119" s="2" t="str">
        <f>HYPERLINK("http://www.ncbi.nlm.nih.gov/protein/XP_559130.1","XP_559130.1")</f>
        <v>XP_559130.1</v>
      </c>
      <c r="BD119" s="2">
        <v>100</v>
      </c>
      <c r="BE119" s="2">
        <v>100</v>
      </c>
      <c r="BF119" s="2">
        <v>100</v>
      </c>
      <c r="BG119" s="2" t="s">
        <v>95</v>
      </c>
      <c r="BH119" s="9" t="str">
        <f>HYPERLINK(".\links\REFSEQ-PROTOZOA\AGAP010338-PA-REFSEQ-PROTOZOA.txt","hypothetical protein")</f>
        <v>hypothetical protein</v>
      </c>
      <c r="BI119" s="2" t="str">
        <f>HYPERLINK("http://www.ncbi.nlm.nih.gov/sutils/blink.cgi?pid=XP_001742856.1","2E-010")</f>
        <v>2E-010</v>
      </c>
      <c r="BJ119" s="2" t="str">
        <f>HYPERLINK("http://www.ncbi.nlm.nih.gov/protein/XP_001742856.1","XP_001742856.1")</f>
        <v>XP_001742856.1</v>
      </c>
      <c r="BK119" s="2">
        <v>44</v>
      </c>
      <c r="BL119" s="2">
        <v>58</v>
      </c>
      <c r="BM119" s="2">
        <v>66</v>
      </c>
      <c r="BN119" s="2" t="s">
        <v>389</v>
      </c>
      <c r="BO119" s="9" t="str">
        <f>HYPERLINK(".\links\SWISSP\AGAP010338-PA-SWISSP.txt","Probable 39S ribosomal protein L23, mitochondrial")</f>
        <v>Probable 39S ribosomal protein L23, mitochondrial</v>
      </c>
      <c r="BP119" s="2" t="str">
        <f>HYPERLINK("http://www.uniprot.org/uniprot/Q5TUE9","1E-086")</f>
        <v>1E-086</v>
      </c>
      <c r="BQ119" s="2" t="str">
        <f>HYPERLINK("http://www.uniprot.org/uniprot/Q5TUE9#expression","Q5TUE9")</f>
        <v>Q5TUE9</v>
      </c>
      <c r="BR119" s="2">
        <v>100</v>
      </c>
      <c r="BS119" s="2">
        <v>100</v>
      </c>
      <c r="BT119" s="2">
        <v>100</v>
      </c>
      <c r="BU119" s="2" t="s">
        <v>215</v>
      </c>
      <c r="BV119" s="9" t="str">
        <f>HYPERLINK(".\links\FLYBASE\AGAP010338-PA-FLYBASE.txt","FBpp0303833")</f>
        <v>FBpp0303833</v>
      </c>
      <c r="BW119" s="2" t="str">
        <f>HYPERLINK("http://flybase.org/reports/FBgn0035335#alliance_summary_container","1E-75")</f>
        <v>1E-75</v>
      </c>
      <c r="BX119" s="2">
        <v>150</v>
      </c>
      <c r="BY119" s="2">
        <v>66</v>
      </c>
      <c r="BZ119" s="2">
        <v>84</v>
      </c>
      <c r="CA119" s="2">
        <v>101</v>
      </c>
      <c r="CB119" s="9" t="str">
        <f>HYPERLINK(".\links\CDD\AGAP010338-PA-CDD.txt","Ribosomal_L23, Ribosomal protein L23")</f>
        <v>Ribosomal_L23, Ribosomal protein L23</v>
      </c>
      <c r="CC119" s="13">
        <v>6.0000000000000002E-6</v>
      </c>
      <c r="CD119" s="2">
        <v>74.099999999999994</v>
      </c>
      <c r="CE119" s="2" t="s">
        <v>2551</v>
      </c>
      <c r="CF119" s="2" t="s">
        <v>2552</v>
      </c>
      <c r="CG119" s="9" t="str">
        <f>HYPERLINK(".\links\KOG\AGAP010338-PA-KOG.txt","Predicted mitochondrial ribosomal protein L23")</f>
        <v>Predicted mitochondrial ribosomal protein L23</v>
      </c>
      <c r="CH119" s="13">
        <v>9.0000000000000002E-35</v>
      </c>
      <c r="CI119" s="2">
        <v>98.8</v>
      </c>
      <c r="CJ119" s="2" t="s">
        <v>2553</v>
      </c>
      <c r="CK119" s="2" t="s">
        <v>252</v>
      </c>
      <c r="CL119" s="9" t="str">
        <f>HYPERLINK(".\links\PFAM\AGAP010338-PA-PFAM.txt","Ribosomal_L23, Ribosomal protein L23")</f>
        <v>Ribosomal_L23, Ribosomal protein L23</v>
      </c>
      <c r="CM119" s="13">
        <v>9.9999999999999995E-7</v>
      </c>
      <c r="CN119" s="2">
        <v>74.099999999999994</v>
      </c>
      <c r="CO119" s="2" t="s">
        <v>2551</v>
      </c>
      <c r="CP119" s="9" t="str">
        <f>HYPERLINK(".\links\SMART\AGAP010338-PA-SMART.txt","Piwi, This domain is found in the protein Piwi and its relatives")</f>
        <v>Piwi, This domain is found in the protein Piwi and its relatives</v>
      </c>
      <c r="CQ119" s="13">
        <v>0.87</v>
      </c>
      <c r="CR119" s="2">
        <v>12.6</v>
      </c>
      <c r="CS119" s="2" t="s">
        <v>598</v>
      </c>
      <c r="CT119" s="2" t="s">
        <v>2549</v>
      </c>
      <c r="CU119" s="2" t="s">
        <v>2549</v>
      </c>
      <c r="CV119" s="2" t="s">
        <v>2549</v>
      </c>
      <c r="CW119" s="2" t="str">
        <f>HYPERLINK(".\links\pep\AGAP010338-PA-pep.txt","AGAP010338-PA")</f>
        <v>AGAP010338-PA</v>
      </c>
      <c r="CX119" s="2" t="s">
        <v>88</v>
      </c>
      <c r="CY119" s="2">
        <v>151</v>
      </c>
      <c r="CZ119" s="2" t="s">
        <v>103</v>
      </c>
      <c r="DA119" s="2" t="s">
        <v>2554</v>
      </c>
      <c r="DB119" s="2">
        <v>0</v>
      </c>
      <c r="DC119" s="2">
        <v>0</v>
      </c>
      <c r="DD119" s="2" t="str">
        <f>HYPERLINK("https://www.kegg.jp/kegg-bin/search_pathway_text?map=aga&amp;keyword=AGAP010338&amp;mode=1&amp;viewImage=true","AGAP010338")</f>
        <v>AGAP010338</v>
      </c>
      <c r="DE119" s="2" t="s">
        <v>2545</v>
      </c>
      <c r="DF119" s="2" t="s">
        <v>2546</v>
      </c>
      <c r="DG119" s="2" t="s">
        <v>87</v>
      </c>
      <c r="DH119" s="2" t="str">
        <f>HYPERLINK("https://vectorbase.org/vectorbase/app/record/gene/AGAP010338","AGAP010338-RA")</f>
        <v>AGAP010338-RA</v>
      </c>
      <c r="DI119" s="2" t="s">
        <v>158</v>
      </c>
      <c r="DJ119" s="2">
        <v>739</v>
      </c>
      <c r="DK119" s="2" t="str">
        <f>HYPERLINK(".\links\netoglyc\AGAP010338-PA-netoglyc.txt","0")</f>
        <v>0</v>
      </c>
      <c r="DL119" s="2">
        <v>9.9</v>
      </c>
      <c r="DM119" s="2">
        <v>4</v>
      </c>
      <c r="DN119" s="2">
        <v>7.9</v>
      </c>
      <c r="DO119" s="2" t="s">
        <v>94</v>
      </c>
      <c r="DP119" s="2" t="s">
        <v>89</v>
      </c>
      <c r="DQ119" s="2" t="str">
        <f>HYPERLINK(".\links\Sigp\AGAP010338-PA-SigP.txt","CYT")</f>
        <v>CYT</v>
      </c>
      <c r="DR119" s="2" t="s">
        <v>89</v>
      </c>
      <c r="DS119" s="2">
        <v>17.776</v>
      </c>
      <c r="DT119" s="2">
        <v>9.7100000000000009</v>
      </c>
      <c r="DU119" s="2" t="s">
        <v>89</v>
      </c>
      <c r="DV119" s="2" t="s">
        <v>89</v>
      </c>
      <c r="DW119" s="2" t="s">
        <v>93</v>
      </c>
      <c r="DX119" s="2">
        <v>151</v>
      </c>
      <c r="DY119" s="12">
        <v>0</v>
      </c>
      <c r="DZ119" s="2" t="s">
        <v>89</v>
      </c>
      <c r="EA119" s="2" t="s">
        <v>89</v>
      </c>
      <c r="EB119" s="2" t="s">
        <v>89</v>
      </c>
      <c r="EC119" s="2" t="str">
        <f>HYPERLINK(".\links\gpi\AGAP010338-PA-gpi.txt","N")</f>
        <v>N</v>
      </c>
      <c r="ED119" s="2">
        <v>0.37</v>
      </c>
      <c r="EF119" s="2">
        <v>1</v>
      </c>
      <c r="EG119" s="2" t="s">
        <v>89</v>
      </c>
      <c r="EH119" s="2" t="s">
        <v>89</v>
      </c>
      <c r="EI119" s="2">
        <v>9.9337748344370898</v>
      </c>
      <c r="EJ119" s="2">
        <v>7.9470198675496704</v>
      </c>
      <c r="EK119" s="2">
        <v>3.9735099337748299</v>
      </c>
      <c r="EL119" s="2">
        <v>11.9205298013245</v>
      </c>
      <c r="EM119" s="2" t="s">
        <v>89</v>
      </c>
      <c r="EN119" s="2" t="s">
        <v>89</v>
      </c>
      <c r="EO119" s="2">
        <v>2</v>
      </c>
      <c r="EP119" s="2" t="s">
        <v>89</v>
      </c>
      <c r="EQ119" s="2" t="s">
        <v>89</v>
      </c>
      <c r="ER119" s="2" t="s">
        <v>89</v>
      </c>
      <c r="ES119" s="2" t="s">
        <v>89</v>
      </c>
      <c r="ET119" s="2" t="str">
        <f>HYPERLINK(".\links\REFSEQ-INVERTEBRATE\AGAP010338-PA-REFSEQ-INVERTEBRATE.txt","AGAP010338-PA")</f>
        <v>AGAP010338-PA</v>
      </c>
      <c r="EU119" s="2" t="str">
        <f>HYPERLINK("http://www.ncbi.nlm.nih.gov/sutils/blink.cgi?pid=XP_559130.1","1E-110")</f>
        <v>1E-110</v>
      </c>
      <c r="EV119" s="2" t="str">
        <f>HYPERLINK("http://www.ncbi.nlm.nih.gov/protein/XP_559130.1","XP_559130.1")</f>
        <v>XP_559130.1</v>
      </c>
      <c r="EW119" s="2">
        <v>100</v>
      </c>
      <c r="EX119" s="2">
        <v>100</v>
      </c>
      <c r="EY119" s="2">
        <v>100</v>
      </c>
      <c r="EZ119" s="2" t="s">
        <v>95</v>
      </c>
    </row>
    <row r="120" spans="1:156" x14ac:dyDescent="0.25">
      <c r="A120" s="2" t="s">
        <v>2502</v>
      </c>
      <c r="B120" s="2">
        <v>-0.83078313774830603</v>
      </c>
      <c r="C120" s="2">
        <f t="shared" si="1"/>
        <v>0.56222396761563176</v>
      </c>
      <c r="D120" s="2">
        <v>4.6178715731230602</v>
      </c>
      <c r="E120" s="2">
        <v>11.736192066026801</v>
      </c>
      <c r="F120" s="2">
        <v>6.1296310545161403E-4</v>
      </c>
      <c r="G120" s="2">
        <v>3.03005469197818E-2</v>
      </c>
      <c r="H120" s="2" t="s">
        <v>86</v>
      </c>
      <c r="I120" s="2" t="s">
        <v>87</v>
      </c>
      <c r="J120" s="2" t="str">
        <f>HYPERLINK("https://vectorbase.org/vectorbase/app/record/gene/AGAP010226","AGAP010226-RC")</f>
        <v>AGAP010226-RC</v>
      </c>
      <c r="K120" s="2" t="str">
        <f>HYPERLINK(".\links\pep\AGAP010226-PC-pep.txt","AGAP010226-PC")</f>
        <v>AGAP010226-PC</v>
      </c>
      <c r="L120" s="12" t="s">
        <v>88</v>
      </c>
      <c r="M120" s="2">
        <v>61</v>
      </c>
      <c r="N120" s="2">
        <v>0</v>
      </c>
      <c r="O120" s="2">
        <v>0</v>
      </c>
      <c r="P120" s="2" t="s">
        <v>89</v>
      </c>
      <c r="Q120" s="9" t="s">
        <v>2491</v>
      </c>
      <c r="R120" s="2" t="s">
        <v>91</v>
      </c>
      <c r="S120" s="2" t="str">
        <f>HYPERLINK(".\links\REFSEQ-INVERTEBRATE\AGAP010226-PC-REFSEQ-INVERTEBRATE.txt","REFSEQ-INVERTEBRATE")</f>
        <v>REFSEQ-INVERTEBRATE</v>
      </c>
      <c r="T120" s="2">
        <v>2.9999999999999998E-25</v>
      </c>
      <c r="U120" s="2">
        <v>100</v>
      </c>
      <c r="V120" s="2" t="s">
        <v>2503</v>
      </c>
      <c r="W120" s="10" t="s">
        <v>2492</v>
      </c>
      <c r="X120" s="2" t="s">
        <v>91</v>
      </c>
      <c r="Y120" s="2" t="str">
        <f>HYPERLINK(".\links\ARTHORPODA\AGAP010226-PC-ARTHORPODA.txt","ARTHORPODA")</f>
        <v>ARTHORPODA</v>
      </c>
      <c r="Z120" s="13">
        <v>9.9999999999999994E-37</v>
      </c>
      <c r="AA120" s="2">
        <v>100</v>
      </c>
      <c r="AB120" s="14" t="s">
        <v>89</v>
      </c>
      <c r="AC120" s="14" t="str">
        <f>HYPERLINK(".\links\Sigp\AGAP010226-PC-SigP.txt","CYT")</f>
        <v>CYT</v>
      </c>
      <c r="AD120" s="2" t="s">
        <v>89</v>
      </c>
      <c r="AE120" s="2">
        <v>6.7770000000000001</v>
      </c>
      <c r="AF120" s="2">
        <v>10.74</v>
      </c>
      <c r="AG120" s="2" t="s">
        <v>89</v>
      </c>
      <c r="AH120" s="2" t="s">
        <v>89</v>
      </c>
      <c r="AI120" s="2" t="s">
        <v>2493</v>
      </c>
      <c r="AJ120" s="14">
        <v>0</v>
      </c>
      <c r="AK120" s="2" t="s">
        <v>89</v>
      </c>
      <c r="AL120" s="2" t="s">
        <v>89</v>
      </c>
      <c r="AM120" s="2" t="s">
        <v>89</v>
      </c>
      <c r="AN120" s="14" t="str">
        <f>HYPERLINK(".\links\gpi\AGAP010226-PC-gpi.txt","N")</f>
        <v>N</v>
      </c>
      <c r="AO120" s="15" t="str">
        <f>HYPERLINK(".\links\netoglyc\AGAP010226-PC-netoglyc.txt","0")</f>
        <v>0</v>
      </c>
      <c r="AP120" s="14">
        <v>21.3</v>
      </c>
      <c r="AQ120" s="2">
        <v>3.3</v>
      </c>
      <c r="AR120" s="2" t="s">
        <v>274</v>
      </c>
      <c r="AS120" s="2" t="s">
        <v>94</v>
      </c>
      <c r="AT120" s="9" t="str">
        <f>HYPERLINK(".\links\NR-LIGHT\AGAP010226-PC-NR-LIGHT.txt","AGAP010226-PA")</f>
        <v>AGAP010226-PA</v>
      </c>
      <c r="AU120" s="2" t="str">
        <f>HYPERLINK("http://www.ncbi.nlm.nih.gov/sutils/blink.cgi?pid=XP_001238835.1","3E-025")</f>
        <v>3E-025</v>
      </c>
      <c r="AV120" s="2" t="str">
        <f>HYPERLINK("http://www.ncbi.nlm.nih.gov/protein/XP_001238835.1","XP_001238835.1")</f>
        <v>XP_001238835.1</v>
      </c>
      <c r="AW120" s="2">
        <v>100</v>
      </c>
      <c r="AX120" s="2">
        <v>100</v>
      </c>
      <c r="AY120" s="2">
        <v>100</v>
      </c>
      <c r="AZ120" s="2" t="s">
        <v>95</v>
      </c>
      <c r="BA120" s="9" t="str">
        <f>HYPERLINK(".\links\REFSEQ-INVERTEBRATE\AGAP010226-PC-REFSEQ-INVERTEBRATE.txt","AGAP010226-PA")</f>
        <v>AGAP010226-PA</v>
      </c>
      <c r="BB120" s="2" t="str">
        <f>HYPERLINK("http://www.ncbi.nlm.nih.gov/sutils/blink.cgi?pid=XP_001238835.1","3E-025")</f>
        <v>3E-025</v>
      </c>
      <c r="BC120" s="2" t="str">
        <f>HYPERLINK("http://www.ncbi.nlm.nih.gov/protein/XP_001238835.1","XP_001238835.1")</f>
        <v>XP_001238835.1</v>
      </c>
      <c r="BD120" s="2">
        <v>100</v>
      </c>
      <c r="BE120" s="2">
        <v>100</v>
      </c>
      <c r="BF120" s="2">
        <v>100</v>
      </c>
      <c r="BG120" s="2" t="s">
        <v>95</v>
      </c>
      <c r="BH120" s="9" t="str">
        <f>HYPERLINK(".\links\REFSEQ-PROTOZOA\AGAP010226-PC-REFSEQ-PROTOZOA.txt","ATPase, AAA family protein")</f>
        <v>ATPase, AAA family protein</v>
      </c>
      <c r="BI120" s="2" t="str">
        <f>HYPERLINK("http://www.ncbi.nlm.nih.gov/sutils/blink.cgi?pid=XP_008856243.1","19")</f>
        <v>19</v>
      </c>
      <c r="BJ120" s="2" t="str">
        <f>HYPERLINK("http://www.ncbi.nlm.nih.gov/protein/XP_008856243.1","XP_008856243.1")</f>
        <v>XP_008856243.1</v>
      </c>
      <c r="BK120" s="2">
        <v>37</v>
      </c>
      <c r="BL120" s="2">
        <v>56</v>
      </c>
      <c r="BM120" s="2">
        <v>6</v>
      </c>
      <c r="BN120" s="2" t="s">
        <v>2494</v>
      </c>
      <c r="BO120" s="9" t="str">
        <f>HYPERLINK(".\links\SWISSP\AGAP010226-PC-SWISSP.txt","Enolase")</f>
        <v>Enolase</v>
      </c>
      <c r="BP120" s="2" t="str">
        <f>HYPERLINK("http://www.uniprot.org/uniprot/A8EWY0","9.9")</f>
        <v>9.9</v>
      </c>
      <c r="BQ120" s="2" t="str">
        <f>HYPERLINK("http://www.uniprot.org/uniprot/A8EWY0#expression","A8EWY0")</f>
        <v>A8EWY0</v>
      </c>
      <c r="BR120" s="2">
        <v>31</v>
      </c>
      <c r="BS120" s="2">
        <v>50</v>
      </c>
      <c r="BT120" s="2">
        <v>11</v>
      </c>
      <c r="BU120" s="2" t="s">
        <v>2495</v>
      </c>
      <c r="BV120" s="9" t="str">
        <f>HYPERLINK(".\links\FLYBASE\AGAP010226-PC-FLYBASE.txt","FBpp0298345")</f>
        <v>FBpp0298345</v>
      </c>
      <c r="BW120" s="2" t="str">
        <f>HYPERLINK("http://flybase.org/reports/FBgn0053199#alliance_summary_container","3E-09")</f>
        <v>3E-09</v>
      </c>
      <c r="BX120" s="2">
        <v>79</v>
      </c>
      <c r="BY120" s="2">
        <v>37</v>
      </c>
      <c r="BZ120" s="2">
        <v>55</v>
      </c>
      <c r="CA120" s="2">
        <v>94</v>
      </c>
      <c r="CB120" s="9" t="str">
        <f>HYPERLINK(".\links\CDD\AGAP010226-PC-CDD.txt","PRK09249, coproporphyrinogen III oxidase")</f>
        <v>PRK09249, coproporphyrinogen III oxidase</v>
      </c>
      <c r="CC120" s="13">
        <v>2.2999999999999998</v>
      </c>
      <c r="CD120" s="2">
        <v>4.5999999999999996</v>
      </c>
      <c r="CE120" s="2" t="s">
        <v>2496</v>
      </c>
      <c r="CF120" s="2" t="s">
        <v>2497</v>
      </c>
      <c r="CG120" s="9" t="str">
        <f>HYPERLINK(".\links\KOG\AGAP010226-PC-KOG.txt","Monocarboxylate transporter")</f>
        <v>Monocarboxylate transporter</v>
      </c>
      <c r="CH120" s="13">
        <v>2.6</v>
      </c>
      <c r="CI120" s="2">
        <v>6.3</v>
      </c>
      <c r="CJ120" s="2" t="s">
        <v>2498</v>
      </c>
      <c r="CK120" s="2" t="s">
        <v>1206</v>
      </c>
      <c r="CL120" s="9" t="str">
        <f>HYPERLINK(".\links\PFAM\AGAP010226-PC-PFAM.txt","LCAT, Lecithin:cholesterol acyltransferase")</f>
        <v>LCAT, Lecithin:cholesterol acyltransferase</v>
      </c>
      <c r="CM120" s="13">
        <v>2.2000000000000002</v>
      </c>
      <c r="CN120" s="2">
        <v>9.6999999999999993</v>
      </c>
      <c r="CO120" s="2" t="s">
        <v>2499</v>
      </c>
      <c r="CP120" s="9" t="str">
        <f>HYPERLINK(".\links\SMART\AGAP010226-PC-SMART.txt","Adenylsucc_synt, Adenylosuccinate synthetase")</f>
        <v>Adenylsucc_synt, Adenylosuccinate synthetase</v>
      </c>
      <c r="CQ120" s="13">
        <v>0.83</v>
      </c>
      <c r="CR120" s="2">
        <v>2.2000000000000002</v>
      </c>
      <c r="CS120" s="2" t="s">
        <v>2500</v>
      </c>
      <c r="CT120" s="2" t="s">
        <v>2503</v>
      </c>
      <c r="CU120" s="2" t="s">
        <v>2503</v>
      </c>
      <c r="CV120" s="2" t="s">
        <v>2503</v>
      </c>
      <c r="CW120" s="2" t="str">
        <f>HYPERLINK(".\links\pep\AGAP010226-PC-pep.txt","AGAP010226-PC")</f>
        <v>AGAP010226-PC</v>
      </c>
      <c r="CX120" s="2" t="s">
        <v>88</v>
      </c>
      <c r="CY120" s="2">
        <v>61</v>
      </c>
      <c r="CZ120" s="2" t="s">
        <v>103</v>
      </c>
      <c r="DA120" s="2" t="s">
        <v>2501</v>
      </c>
      <c r="DB120" s="2">
        <v>0</v>
      </c>
      <c r="DC120" s="2">
        <v>0</v>
      </c>
      <c r="DD120" s="2" t="str">
        <f>HYPERLINK("https://www.kegg.jp/kegg-bin/search_pathway_text?map=aga&amp;keyword=AGAP010226&amp;mode=1&amp;viewImage=true","AGAP010226")</f>
        <v>AGAP010226</v>
      </c>
      <c r="DE120" s="2" t="s">
        <v>2502</v>
      </c>
      <c r="DF120" s="2" t="s">
        <v>86</v>
      </c>
      <c r="DG120" s="2" t="s">
        <v>87</v>
      </c>
      <c r="DH120" s="2" t="str">
        <f>HYPERLINK("https://vectorbase.org/vectorbase/app/record/gene/AGAP010226","AGAP010226-RC")</f>
        <v>AGAP010226-RC</v>
      </c>
      <c r="DI120" s="2" t="s">
        <v>122</v>
      </c>
      <c r="DJ120" s="2">
        <v>672</v>
      </c>
      <c r="DK120" s="2" t="str">
        <f>HYPERLINK(".\links\netoglyc\AGAP010226-PC-netoglyc.txt","0")</f>
        <v>0</v>
      </c>
      <c r="DL120" s="2">
        <v>21.3</v>
      </c>
      <c r="DM120" s="2">
        <v>3.3</v>
      </c>
      <c r="DN120" s="2" t="s">
        <v>274</v>
      </c>
      <c r="DO120" s="2" t="s">
        <v>94</v>
      </c>
      <c r="DP120" s="2" t="s">
        <v>89</v>
      </c>
      <c r="DQ120" s="2" t="str">
        <f>HYPERLINK(".\links\Sigp\AGAP010226-PC-SigP.txt","CYT")</f>
        <v>CYT</v>
      </c>
      <c r="DR120" s="2" t="s">
        <v>89</v>
      </c>
      <c r="DS120" s="2">
        <v>6.7770000000000001</v>
      </c>
      <c r="DT120" s="2">
        <v>10.74</v>
      </c>
      <c r="DU120" s="2" t="s">
        <v>89</v>
      </c>
      <c r="DV120" s="2" t="s">
        <v>89</v>
      </c>
      <c r="DW120" s="2" t="s">
        <v>2493</v>
      </c>
      <c r="DX120" s="2">
        <v>61</v>
      </c>
      <c r="DY120" s="12">
        <v>0</v>
      </c>
      <c r="DZ120" s="2" t="s">
        <v>89</v>
      </c>
      <c r="EA120" s="2" t="s">
        <v>89</v>
      </c>
      <c r="EB120" s="2" t="s">
        <v>89</v>
      </c>
      <c r="EC120" s="2" t="str">
        <f>HYPERLINK(".\links\gpi\AGAP010226-PC-gpi.txt","Y-NoSP")</f>
        <v>Y-NoSP</v>
      </c>
      <c r="ED120" s="2">
        <v>0.55000000000000004</v>
      </c>
      <c r="EF120" s="2">
        <v>1</v>
      </c>
      <c r="EG120" s="2" t="s">
        <v>89</v>
      </c>
      <c r="EH120" s="2" t="s">
        <v>89</v>
      </c>
      <c r="EI120" s="2">
        <v>21.311475409836099</v>
      </c>
      <c r="EJ120" s="2">
        <v>0</v>
      </c>
      <c r="EK120" s="2">
        <v>3.27868852459016</v>
      </c>
      <c r="EL120" s="2">
        <v>3.27868852459016</v>
      </c>
      <c r="EM120" s="2" t="s">
        <v>89</v>
      </c>
      <c r="EN120" s="2" t="s">
        <v>89</v>
      </c>
      <c r="EO120" s="2" t="s">
        <v>89</v>
      </c>
      <c r="EP120" s="2" t="s">
        <v>89</v>
      </c>
      <c r="EQ120" s="2" t="s">
        <v>89</v>
      </c>
      <c r="ER120" s="2" t="s">
        <v>89</v>
      </c>
      <c r="ES120" s="2" t="s">
        <v>89</v>
      </c>
      <c r="ET120" s="2" t="str">
        <f>HYPERLINK(".\links\REFSEQ-INVERTEBRATE\AGAP010226-PC-REFSEQ-INVERTEBRATE.txt","AGAP010226-PA")</f>
        <v>AGAP010226-PA</v>
      </c>
      <c r="EU120" s="2" t="str">
        <f>HYPERLINK("http://www.ncbi.nlm.nih.gov/sutils/blink.cgi?pid=XP_001238835.1","2E-36")</f>
        <v>2E-36</v>
      </c>
      <c r="EV120" s="2" t="str">
        <f>HYPERLINK("http://www.ncbi.nlm.nih.gov/protein/XP_001238835.1","XP_001238835.1")</f>
        <v>XP_001238835.1</v>
      </c>
      <c r="EW120" s="2">
        <v>100</v>
      </c>
      <c r="EX120" s="2">
        <v>100</v>
      </c>
      <c r="EY120" s="2">
        <v>100</v>
      </c>
      <c r="EZ120" s="2" t="s">
        <v>95</v>
      </c>
    </row>
    <row r="121" spans="1:156" x14ac:dyDescent="0.25">
      <c r="A121" s="2" t="s">
        <v>765</v>
      </c>
      <c r="B121" s="2">
        <v>-0.83251603716862999</v>
      </c>
      <c r="C121" s="2">
        <f t="shared" si="1"/>
        <v>0.56154905527081644</v>
      </c>
      <c r="D121" s="2">
        <v>6.66818294926387</v>
      </c>
      <c r="E121" s="2">
        <v>14.581055205865299</v>
      </c>
      <c r="F121" s="2">
        <v>1.3425753622327801E-4</v>
      </c>
      <c r="G121" s="2">
        <v>1.0829090819464E-2</v>
      </c>
      <c r="H121" s="2" t="s">
        <v>766</v>
      </c>
      <c r="I121" s="2" t="s">
        <v>87</v>
      </c>
      <c r="J121" s="2" t="str">
        <f>HYPERLINK("https://vectorbase.org/vectorbase/app/record/gene/AGAP003367","AGAP003367-RA")</f>
        <v>AGAP003367-RA</v>
      </c>
      <c r="K121" s="2" t="str">
        <f>HYPERLINK(".\links\pep\AGAP003367-PA-pep.txt","AGAP003367-PA")</f>
        <v>AGAP003367-PA</v>
      </c>
      <c r="L121" s="12" t="s">
        <v>88</v>
      </c>
      <c r="M121" s="2">
        <v>97</v>
      </c>
      <c r="N121" s="2">
        <v>0</v>
      </c>
      <c r="O121" s="2">
        <v>0</v>
      </c>
      <c r="P121" s="2" t="s">
        <v>767</v>
      </c>
      <c r="Q121" s="9" t="s">
        <v>768</v>
      </c>
      <c r="R121" s="2" t="s">
        <v>145</v>
      </c>
      <c r="S121" s="2" t="str">
        <f>HYPERLINK(".\links\SMART\AGAP003367-PA-SMART.txt","SMART")</f>
        <v>SMART</v>
      </c>
      <c r="T121" s="2">
        <v>9.9999999999999991E-22</v>
      </c>
      <c r="U121" s="2">
        <v>100</v>
      </c>
      <c r="V121" s="2" t="s">
        <v>769</v>
      </c>
      <c r="W121" s="10" t="s">
        <v>770</v>
      </c>
      <c r="X121" s="2" t="s">
        <v>145</v>
      </c>
      <c r="Y121" s="2" t="str">
        <f>HYPERLINK(".\links\KOG\AGAP003367-PA-KOG.txt","KOG")</f>
        <v>KOG</v>
      </c>
      <c r="Z121" s="13">
        <v>8.0000000000000001E-35</v>
      </c>
      <c r="AA121" s="2">
        <v>97.9</v>
      </c>
      <c r="AB121" s="14" t="s">
        <v>89</v>
      </c>
      <c r="AC121" s="14" t="str">
        <f>HYPERLINK(".\links\Sigp\AGAP003367-PA-SigP.txt","CYT")</f>
        <v>CYT</v>
      </c>
      <c r="AD121" s="2" t="s">
        <v>89</v>
      </c>
      <c r="AE121" s="2">
        <v>11.305999999999999</v>
      </c>
      <c r="AF121" s="2">
        <v>9.75</v>
      </c>
      <c r="AG121" s="2" t="s">
        <v>89</v>
      </c>
      <c r="AH121" s="2" t="s">
        <v>89</v>
      </c>
      <c r="AI121" s="2" t="s">
        <v>93</v>
      </c>
      <c r="AJ121" s="14">
        <v>0</v>
      </c>
      <c r="AK121" s="2" t="s">
        <v>89</v>
      </c>
      <c r="AL121" s="2" t="s">
        <v>89</v>
      </c>
      <c r="AM121" s="2" t="s">
        <v>89</v>
      </c>
      <c r="AN121" s="14" t="str">
        <f>HYPERLINK(".\links\gpi\AGAP003367-PA-gpi.txt","N")</f>
        <v>N</v>
      </c>
      <c r="AO121" s="15" t="str">
        <f>HYPERLINK(".\links\netoglyc\AGAP003367-PA-netoglyc.txt","0")</f>
        <v>0</v>
      </c>
      <c r="AP121" s="14">
        <v>12.4</v>
      </c>
      <c r="AQ121" s="2">
        <v>5.2</v>
      </c>
      <c r="AR121" s="2">
        <v>4.0999999999999996</v>
      </c>
      <c r="AS121" s="2" t="s">
        <v>94</v>
      </c>
      <c r="AT121" s="9" t="str">
        <f>HYPERLINK(".\links\NR-LIGHT\AGAP003367-PA-NR-LIGHT.txt","AGAP003367-PA")</f>
        <v>AGAP003367-PA</v>
      </c>
      <c r="AU121" s="2" t="str">
        <f>HYPERLINK("http://www.ncbi.nlm.nih.gov/sutils/blink.cgi?pid=XP_314269.3","1E-048")</f>
        <v>1E-048</v>
      </c>
      <c r="AV121" s="2" t="str">
        <f>HYPERLINK("http://www.ncbi.nlm.nih.gov/protein/XP_314269.3","XP_314269.3")</f>
        <v>XP_314269.3</v>
      </c>
      <c r="AW121" s="2">
        <v>100</v>
      </c>
      <c r="AX121" s="2">
        <v>100</v>
      </c>
      <c r="AY121" s="2">
        <v>100</v>
      </c>
      <c r="AZ121" s="2" t="s">
        <v>95</v>
      </c>
      <c r="BA121" s="9" t="str">
        <f>HYPERLINK(".\links\REFSEQ-INVERTEBRATE\AGAP003367-PA-REFSEQ-INVERTEBRATE.txt","AGAP003367-PA")</f>
        <v>AGAP003367-PA</v>
      </c>
      <c r="BB121" s="2" t="str">
        <f>HYPERLINK("http://www.ncbi.nlm.nih.gov/sutils/blink.cgi?pid=XP_314269.3","1E-048")</f>
        <v>1E-048</v>
      </c>
      <c r="BC121" s="2" t="str">
        <f>HYPERLINK("http://www.ncbi.nlm.nih.gov/protein/XP_314269.3","XP_314269.3")</f>
        <v>XP_314269.3</v>
      </c>
      <c r="BD121" s="2">
        <v>100</v>
      </c>
      <c r="BE121" s="2">
        <v>100</v>
      </c>
      <c r="BF121" s="2">
        <v>100</v>
      </c>
      <c r="BG121" s="2" t="s">
        <v>95</v>
      </c>
      <c r="BH121" s="9" t="str">
        <f>HYPERLINK(".\links\REFSEQ-PROTOZOA\AGAP003367-PA-REFSEQ-PROTOZOA.txt","hypothetical protein CAOG_07722")</f>
        <v>hypothetical protein CAOG_07722</v>
      </c>
      <c r="BI121" s="2" t="str">
        <f>HYPERLINK("http://www.ncbi.nlm.nih.gov/sutils/blink.cgi?pid=XP_004343596.1","7E-018")</f>
        <v>7E-018</v>
      </c>
      <c r="BJ121" s="2" t="str">
        <f>HYPERLINK("http://www.ncbi.nlm.nih.gov/protein/XP_004343596.1","XP_004343596.1")</f>
        <v>XP_004343596.1</v>
      </c>
      <c r="BK121" s="2">
        <v>48</v>
      </c>
      <c r="BL121" s="2">
        <v>70</v>
      </c>
      <c r="BM121" s="2">
        <v>83</v>
      </c>
      <c r="BN121" s="2" t="s">
        <v>150</v>
      </c>
      <c r="BO121" s="9" t="str">
        <f>HYPERLINK(".\links\SWISSP\AGAP003367-PA-SWISSP.txt","NADH dehydrogenase [ubiquinone] 1 alpha subcomplex subunit 2")</f>
        <v>NADH dehydrogenase [ubiquinone] 1 alpha subcomplex subunit 2</v>
      </c>
      <c r="BP121" s="2" t="str">
        <f>HYPERLINK("http://www.uniprot.org/uniprot/Q02370","3E-022")</f>
        <v>3E-022</v>
      </c>
      <c r="BQ121" s="2" t="str">
        <f>HYPERLINK("http://www.uniprot.org/uniprot/Q02370#expression","Q02370")</f>
        <v>Q02370</v>
      </c>
      <c r="BR121" s="2">
        <v>51</v>
      </c>
      <c r="BS121" s="2">
        <v>75</v>
      </c>
      <c r="BT121" s="2">
        <v>89</v>
      </c>
      <c r="BU121" s="2" t="s">
        <v>183</v>
      </c>
      <c r="BV121" s="9" t="str">
        <f>HYPERLINK(".\links\FLYBASE\AGAP003367-PA-FLYBASE.txt","FBpp0077130")</f>
        <v>FBpp0077130</v>
      </c>
      <c r="BW121" s="2" t="str">
        <f>HYPERLINK("http://flybase.org/reports/FBgn0040705#alliance_summary_container","6E-33")</f>
        <v>6E-33</v>
      </c>
      <c r="BX121" s="2">
        <v>95</v>
      </c>
      <c r="BY121" s="2">
        <v>55</v>
      </c>
      <c r="BZ121" s="2">
        <v>71</v>
      </c>
      <c r="CA121" s="2">
        <v>100</v>
      </c>
      <c r="CB121" s="9" t="str">
        <f>HYPERLINK(".\links\CDD\AGAP003367-PA-CDD.txt","L51_S25_CI-B8, Mitochondrial ribosomal protein L51 / S25 / CI-B8 domain")</f>
        <v>L51_S25_CI-B8, Mitochondrial ribosomal protein L51 / S25 / CI-B8 domain</v>
      </c>
      <c r="CC121" s="13">
        <v>9.9999999999999998E-20</v>
      </c>
      <c r="CD121" s="2">
        <v>100</v>
      </c>
      <c r="CE121" s="2" t="s">
        <v>771</v>
      </c>
      <c r="CF121" s="2" t="s">
        <v>772</v>
      </c>
      <c r="CG121" s="9" t="str">
        <f>HYPERLINK(".\links\KOG\AGAP003367-PA-KOG.txt","NADH:ubiquinone oxidoreductase NDUFA2/B8 subunit")</f>
        <v>NADH:ubiquinone oxidoreductase NDUFA2/B8 subunit</v>
      </c>
      <c r="CH121" s="13">
        <v>2.0000000000000002E-30</v>
      </c>
      <c r="CI121" s="2">
        <v>97.9</v>
      </c>
      <c r="CJ121" s="2" t="s">
        <v>773</v>
      </c>
      <c r="CK121" s="2" t="s">
        <v>155</v>
      </c>
      <c r="CL121" s="9" t="str">
        <f>HYPERLINK(".\links\PFAM\AGAP003367-PA-PFAM.txt","L51_S25_CI-B8, Mitochondrial ribosomal protein L51 / S25 / CI-B8 domain")</f>
        <v>L51_S25_CI-B8, Mitochondrial ribosomal protein L51 / S25 / CI-B8 domain</v>
      </c>
      <c r="CM121" s="13">
        <v>8.9999999999999995E-15</v>
      </c>
      <c r="CN121" s="2">
        <v>100</v>
      </c>
      <c r="CO121" s="2" t="s">
        <v>774</v>
      </c>
      <c r="CP121" s="9" t="str">
        <f>HYPERLINK(".\links\SMART\AGAP003367-PA-SMART.txt","L51_S25_CI-B8, Mitochondrial ribosomal protein L51 / S25 / CI-B8 domain")</f>
        <v>L51_S25_CI-B8, Mitochondrial ribosomal protein L51 / S25 / CI-B8 domain</v>
      </c>
      <c r="CQ121" s="13">
        <v>9.9999999999999991E-22</v>
      </c>
      <c r="CR121" s="2">
        <v>100</v>
      </c>
      <c r="CS121" s="2" t="s">
        <v>771</v>
      </c>
      <c r="CT121" s="2" t="s">
        <v>769</v>
      </c>
      <c r="CU121" s="2" t="s">
        <v>769</v>
      </c>
      <c r="CV121" s="2" t="s">
        <v>769</v>
      </c>
      <c r="CW121" s="2" t="str">
        <f>HYPERLINK(".\links\pep\AGAP003367-PA-pep.txt","AGAP003367-PA")</f>
        <v>AGAP003367-PA</v>
      </c>
      <c r="CX121" s="2" t="s">
        <v>88</v>
      </c>
      <c r="CY121" s="2">
        <v>97</v>
      </c>
      <c r="CZ121" s="2" t="s">
        <v>103</v>
      </c>
      <c r="DA121" s="2" t="s">
        <v>775</v>
      </c>
      <c r="DB121" s="2">
        <v>0</v>
      </c>
      <c r="DC121" s="2">
        <v>0</v>
      </c>
      <c r="DD121" s="2" t="str">
        <f>HYPERLINK("https://www.kegg.jp/kegg-bin/search_pathway_text?map=aga&amp;keyword=AGAP003367&amp;mode=1&amp;viewImage=true","AGAP003367")</f>
        <v>AGAP003367</v>
      </c>
      <c r="DE121" s="2" t="s">
        <v>765</v>
      </c>
      <c r="DF121" s="2" t="s">
        <v>766</v>
      </c>
      <c r="DG121" s="2" t="s">
        <v>87</v>
      </c>
      <c r="DH121" s="2" t="str">
        <f>HYPERLINK("https://vectorbase.org/vectorbase/app/record/gene/AGAP003367","AGAP003367-RA")</f>
        <v>AGAP003367-RA</v>
      </c>
      <c r="DI121" s="2" t="s">
        <v>158</v>
      </c>
      <c r="DJ121" s="2">
        <v>527</v>
      </c>
      <c r="DK121" s="2" t="str">
        <f>HYPERLINK(".\links\netoglyc\AGAP003367-PA-netoglyc.txt","0")</f>
        <v>0</v>
      </c>
      <c r="DL121" s="2">
        <v>12.4</v>
      </c>
      <c r="DM121" s="2">
        <v>5.2</v>
      </c>
      <c r="DN121" s="2">
        <v>4.0999999999999996</v>
      </c>
      <c r="DO121" s="2" t="s">
        <v>94</v>
      </c>
      <c r="DP121" s="2" t="s">
        <v>89</v>
      </c>
      <c r="DQ121" s="2" t="str">
        <f>HYPERLINK(".\links\Sigp\AGAP003367-PA-SigP.txt","CYT")</f>
        <v>CYT</v>
      </c>
      <c r="DR121" s="2" t="s">
        <v>89</v>
      </c>
      <c r="DS121" s="2">
        <v>11.305999999999999</v>
      </c>
      <c r="DT121" s="2">
        <v>9.75</v>
      </c>
      <c r="DU121" s="2" t="s">
        <v>89</v>
      </c>
      <c r="DV121" s="2" t="s">
        <v>89</v>
      </c>
      <c r="DW121" s="2" t="s">
        <v>93</v>
      </c>
      <c r="DX121" s="2">
        <v>97</v>
      </c>
      <c r="DY121" s="12">
        <v>0</v>
      </c>
      <c r="DZ121" s="2" t="s">
        <v>89</v>
      </c>
      <c r="EA121" s="2" t="s">
        <v>89</v>
      </c>
      <c r="EB121" s="2" t="s">
        <v>89</v>
      </c>
      <c r="EC121" s="2" t="str">
        <f>HYPERLINK(".\links\gpi\AGAP003367-PA-gpi.txt","Y-NoSP")</f>
        <v>Y-NoSP</v>
      </c>
      <c r="ED121" s="2">
        <v>0.31</v>
      </c>
      <c r="EF121" s="2">
        <v>2</v>
      </c>
      <c r="EG121" s="2" t="s">
        <v>89</v>
      </c>
      <c r="EH121" s="2" t="s">
        <v>89</v>
      </c>
      <c r="EI121" s="2">
        <v>12.3711340206186</v>
      </c>
      <c r="EJ121" s="2">
        <v>4.1237113402061896</v>
      </c>
      <c r="EK121" s="2">
        <v>5.1546391752577296</v>
      </c>
      <c r="EL121" s="2">
        <v>9.2783505154639201</v>
      </c>
      <c r="EM121" s="2" t="s">
        <v>89</v>
      </c>
      <c r="EN121" s="2">
        <v>1</v>
      </c>
      <c r="EO121" s="2">
        <v>1</v>
      </c>
      <c r="EP121" s="2" t="s">
        <v>89</v>
      </c>
      <c r="EQ121" s="2" t="s">
        <v>89</v>
      </c>
      <c r="ER121" s="2" t="s">
        <v>89</v>
      </c>
      <c r="ES121" s="2" t="s">
        <v>89</v>
      </c>
      <c r="ET121" s="2" t="str">
        <f>HYPERLINK(".\links\REFSEQ-INVERTEBRATE\AGAP003367-PA-REFSEQ-INVERTEBRATE.txt","AGAP003367-PA")</f>
        <v>AGAP003367-PA</v>
      </c>
      <c r="EU121" s="2" t="str">
        <f>HYPERLINK("http://www.ncbi.nlm.nih.gov/sutils/blink.cgi?pid=XP_314269.3","1E-66")</f>
        <v>1E-66</v>
      </c>
      <c r="EV121" s="2" t="str">
        <f>HYPERLINK("http://www.ncbi.nlm.nih.gov/protein/XP_314269.3","XP_314269.3")</f>
        <v>XP_314269.3</v>
      </c>
      <c r="EW121" s="2">
        <v>100</v>
      </c>
      <c r="EX121" s="2">
        <v>100</v>
      </c>
      <c r="EY121" s="2">
        <v>100</v>
      </c>
      <c r="EZ121" s="2" t="s">
        <v>95</v>
      </c>
    </row>
    <row r="122" spans="1:156" x14ac:dyDescent="0.25">
      <c r="A122" s="2" t="s">
        <v>106</v>
      </c>
      <c r="B122" s="2">
        <v>-0.83255133624357402</v>
      </c>
      <c r="C122" s="2">
        <f t="shared" si="1"/>
        <v>0.56153531576307025</v>
      </c>
      <c r="D122" s="2">
        <v>8.2706681363740202</v>
      </c>
      <c r="E122" s="2">
        <v>12.434940096027599</v>
      </c>
      <c r="F122" s="2">
        <v>4.2137583380024498E-4</v>
      </c>
      <c r="G122" s="2">
        <v>2.3640642392899099E-2</v>
      </c>
      <c r="H122" s="2" t="s">
        <v>107</v>
      </c>
      <c r="I122" s="2" t="s">
        <v>87</v>
      </c>
      <c r="J122" s="2" t="str">
        <f>HYPERLINK("https://vectorbase.org/vectorbase/app/record/gene/AGAP000165","AGAP000165-RA")</f>
        <v>AGAP000165-RA</v>
      </c>
      <c r="K122" s="2" t="str">
        <f>HYPERLINK(".\links\pep\AGAP000165-PA-pep.txt","AGAP000165-PA")</f>
        <v>AGAP000165-PA</v>
      </c>
      <c r="L122" s="12" t="s">
        <v>88</v>
      </c>
      <c r="M122" s="2">
        <v>151</v>
      </c>
      <c r="N122" s="2">
        <v>0</v>
      </c>
      <c r="O122" s="2">
        <v>1</v>
      </c>
      <c r="P122" s="2" t="s">
        <v>108</v>
      </c>
      <c r="Q122" s="9" t="s">
        <v>109</v>
      </c>
      <c r="R122" s="2" t="s">
        <v>110</v>
      </c>
      <c r="S122" s="2" t="str">
        <f>HYPERLINK(".\links\REFSEQ-INVERTEBRATE\AGAP000165-PA-REFSEQ-INVERTEBRATE.txt","REFSEQ-INVERTEBRATE")</f>
        <v>REFSEQ-INVERTEBRATE</v>
      </c>
      <c r="T122" s="2">
        <v>1E-52</v>
      </c>
      <c r="U122" s="2">
        <v>99.3</v>
      </c>
      <c r="V122" s="2" t="s">
        <v>111</v>
      </c>
      <c r="W122" s="10" t="s">
        <v>112</v>
      </c>
      <c r="X122" s="2" t="s">
        <v>110</v>
      </c>
      <c r="Y122" s="2" t="str">
        <f>HYPERLINK(".\links\REFSEQ-INVERTEBRATE\AGAP000165-PA-REFSEQ-INVERTEBRATE.txt","REFSEQ-INVERTEBRATE")</f>
        <v>REFSEQ-INVERTEBRATE</v>
      </c>
      <c r="Z122" s="13">
        <v>1E-97</v>
      </c>
      <c r="AA122" s="2">
        <v>100</v>
      </c>
      <c r="AB122" s="14" t="s">
        <v>89</v>
      </c>
      <c r="AC122" s="14" t="str">
        <f>HYPERLINK(".\links\Sigp\AGAP000165-PA-SigP.txt","CYT")</f>
        <v>CYT</v>
      </c>
      <c r="AD122" s="2" t="s">
        <v>89</v>
      </c>
      <c r="AE122" s="2">
        <v>17.294</v>
      </c>
      <c r="AF122" s="2">
        <v>9.98</v>
      </c>
      <c r="AG122" s="2" t="s">
        <v>89</v>
      </c>
      <c r="AH122" s="2" t="s">
        <v>89</v>
      </c>
      <c r="AI122" s="2" t="s">
        <v>113</v>
      </c>
      <c r="AJ122" s="14" t="str">
        <f>HYPERLINK(".\links\tmhmm\AGAP000165-PA-tmhmm.txt","4")</f>
        <v>4</v>
      </c>
      <c r="AK122" s="2">
        <v>53</v>
      </c>
      <c r="AL122" s="2">
        <v>13.9</v>
      </c>
      <c r="AM122" s="2">
        <v>33.1</v>
      </c>
      <c r="AN122" s="14" t="str">
        <f>HYPERLINK(".\links\gpi\AGAP000165-PA-gpi.txt","N")</f>
        <v>N</v>
      </c>
      <c r="AO122" s="15" t="str">
        <f>HYPERLINK(".\links\netoglyc\AGAP000165-PA-netoglyc.txt","0")</f>
        <v>0</v>
      </c>
      <c r="AP122" s="14">
        <v>7.9</v>
      </c>
      <c r="AQ122" s="2">
        <v>2.6</v>
      </c>
      <c r="AR122" s="2">
        <v>6</v>
      </c>
      <c r="AS122" s="2" t="s">
        <v>94</v>
      </c>
      <c r="AT122" s="9" t="str">
        <f>HYPERLINK(".\links\NR-LIGHT\AGAP000165-PA-NR-LIGHT.txt","AGAP000165-PA")</f>
        <v>AGAP000165-PA</v>
      </c>
      <c r="AU122" s="2" t="str">
        <f>HYPERLINK("http://www.ncbi.nlm.nih.gov/sutils/blink.cgi?pid=XP_566239.1","3E-080")</f>
        <v>3E-080</v>
      </c>
      <c r="AV122" s="2" t="str">
        <f>HYPERLINK("http://www.ncbi.nlm.nih.gov/protein/XP_566239.1","XP_566239.1")</f>
        <v>XP_566239.1</v>
      </c>
      <c r="AW122" s="2">
        <v>100</v>
      </c>
      <c r="AX122" s="2">
        <v>100</v>
      </c>
      <c r="AY122" s="2">
        <v>100</v>
      </c>
      <c r="AZ122" s="2" t="s">
        <v>95</v>
      </c>
      <c r="BA122" s="9" t="str">
        <f>HYPERLINK(".\links\REFSEQ-INVERTEBRATE\AGAP000165-PA-REFSEQ-INVERTEBRATE.txt","AGAP000165-PA")</f>
        <v>AGAP000165-PA</v>
      </c>
      <c r="BB122" s="2" t="str">
        <f>HYPERLINK("http://www.ncbi.nlm.nih.gov/sutils/blink.cgi?pid=XP_566239.1","2E-080")</f>
        <v>2E-080</v>
      </c>
      <c r="BC122" s="2" t="str">
        <f>HYPERLINK("http://www.ncbi.nlm.nih.gov/protein/XP_566239.1","XP_566239.1")</f>
        <v>XP_566239.1</v>
      </c>
      <c r="BD122" s="2">
        <v>100</v>
      </c>
      <c r="BE122" s="2">
        <v>100</v>
      </c>
      <c r="BF122" s="2">
        <v>100</v>
      </c>
      <c r="BG122" s="2" t="s">
        <v>95</v>
      </c>
      <c r="BH122" s="9" t="str">
        <f>HYPERLINK(".\links\REFSEQ-PROTOZOA\AGAP000165-PA-REFSEQ-PROTOZOA.txt","MAPEG domain containing protein")</f>
        <v>MAPEG domain containing protein</v>
      </c>
      <c r="BI122" s="2" t="str">
        <f>HYPERLINK("http://www.ncbi.nlm.nih.gov/sutils/blink.cgi?pid=XP_004336920.1","9E-014")</f>
        <v>9E-014</v>
      </c>
      <c r="BJ122" s="2" t="str">
        <f>HYPERLINK("http://www.ncbi.nlm.nih.gov/protein/XP_004336920.1","XP_004336920.1")</f>
        <v>XP_004336920.1</v>
      </c>
      <c r="BK122" s="2">
        <v>35</v>
      </c>
      <c r="BL122" s="2">
        <v>48</v>
      </c>
      <c r="BM122" s="2">
        <v>84</v>
      </c>
      <c r="BN122" s="2" t="s">
        <v>114</v>
      </c>
      <c r="BO122" s="9" t="str">
        <f>HYPERLINK(".\links\SWISSP\AGAP000165-PA-SWISSP.txt","Microsomal glutathione S-transferase 1")</f>
        <v>Microsomal glutathione S-transferase 1</v>
      </c>
      <c r="BP122" s="2" t="str">
        <f>HYPERLINK("http://www.uniprot.org/uniprot/P10620","5E-027")</f>
        <v>5E-027</v>
      </c>
      <c r="BQ122" s="2" t="str">
        <f>HYPERLINK("http://www.uniprot.org/uniprot/P10620#expression","P10620")</f>
        <v>P10620</v>
      </c>
      <c r="BR122" s="2">
        <v>45</v>
      </c>
      <c r="BS122" s="2">
        <v>58</v>
      </c>
      <c r="BT122" s="2">
        <v>100</v>
      </c>
      <c r="BU122" s="2" t="s">
        <v>115</v>
      </c>
      <c r="BV122" s="9" t="str">
        <f>HYPERLINK(".\links\FLYBASE\AGAP000165-PA-FLYBASE.txt","FBpp0076936")</f>
        <v>FBpp0076936</v>
      </c>
      <c r="BW122" s="2" t="str">
        <f>HYPERLINK("http://flybase.org/reports/FBgn0025814#alliance_summary_container","9E-64")</f>
        <v>9E-64</v>
      </c>
      <c r="BX122" s="2">
        <v>152</v>
      </c>
      <c r="BY122" s="2">
        <v>65</v>
      </c>
      <c r="BZ122" s="2">
        <v>81</v>
      </c>
      <c r="CA122" s="2">
        <v>93</v>
      </c>
      <c r="CB122" s="9" t="str">
        <f>HYPERLINK(".\links\CDD\AGAP000165-PA-CDD.txt","MAPEG, MAPEG family")</f>
        <v>MAPEG, MAPEG family</v>
      </c>
      <c r="CC122" s="13">
        <v>1.9999999999999998E-21</v>
      </c>
      <c r="CD122" s="2">
        <v>104.7</v>
      </c>
      <c r="CE122" s="2" t="s">
        <v>116</v>
      </c>
      <c r="CF122" s="2" t="s">
        <v>117</v>
      </c>
      <c r="CG122" s="9" t="str">
        <f>HYPERLINK(".\links\KOG\AGAP000165-PA-KOG.txt","Cdc16 subunit")</f>
        <v>Cdc16 subunit</v>
      </c>
      <c r="CH122" s="13">
        <v>2.2999999999999998</v>
      </c>
      <c r="CI122" s="2">
        <v>11.1</v>
      </c>
      <c r="CJ122" s="2" t="s">
        <v>118</v>
      </c>
      <c r="CK122" s="2" t="s">
        <v>119</v>
      </c>
      <c r="CL122" s="9" t="str">
        <f>HYPERLINK(".\links\PFAM\AGAP000165-PA-PFAM.txt","MAPEG, MAPEG family")</f>
        <v>MAPEG, MAPEG family</v>
      </c>
      <c r="CM122" s="13">
        <v>4.0000000000000002E-22</v>
      </c>
      <c r="CN122" s="2">
        <v>104.7</v>
      </c>
      <c r="CO122" s="2" t="s">
        <v>116</v>
      </c>
      <c r="CP122" s="9" t="str">
        <f>HYPERLINK(".\links\SMART\AGAP000165-PA-SMART.txt","BOP1NT, BOP1NT (NUC169) domain")</f>
        <v>BOP1NT, BOP1NT (NUC169) domain</v>
      </c>
      <c r="CQ122" s="13">
        <v>1.1000000000000001</v>
      </c>
      <c r="CR122" s="2">
        <v>10.199999999999999</v>
      </c>
      <c r="CS122" s="2" t="s">
        <v>120</v>
      </c>
      <c r="CT122" s="2" t="s">
        <v>111</v>
      </c>
      <c r="CU122" s="2" t="s">
        <v>111</v>
      </c>
      <c r="CV122" s="2" t="s">
        <v>111</v>
      </c>
      <c r="CW122" s="2" t="str">
        <f>HYPERLINK(".\links\pep\AGAP000165-PA-pep.txt","AGAP000165-PA")</f>
        <v>AGAP000165-PA</v>
      </c>
      <c r="CX122" s="2" t="s">
        <v>88</v>
      </c>
      <c r="CY122" s="2">
        <v>151</v>
      </c>
      <c r="CZ122" s="2" t="s">
        <v>103</v>
      </c>
      <c r="DA122" s="2" t="s">
        <v>121</v>
      </c>
      <c r="DB122" s="2">
        <v>0</v>
      </c>
      <c r="DC122" s="2">
        <v>1</v>
      </c>
      <c r="DD122" s="2" t="str">
        <f>HYPERLINK("https://www.kegg.jp/kegg-bin/search_pathway_text?map=aga&amp;keyword=AGAP000165&amp;mode=1&amp;viewImage=true","AGAP000165")</f>
        <v>AGAP000165</v>
      </c>
      <c r="DE122" s="2" t="s">
        <v>106</v>
      </c>
      <c r="DF122" s="2" t="s">
        <v>107</v>
      </c>
      <c r="DG122" s="2" t="s">
        <v>87</v>
      </c>
      <c r="DH122" s="2" t="str">
        <f>HYPERLINK("https://vectorbase.org/vectorbase/app/record/gene/AGAP000165","AGAP000165-RA")</f>
        <v>AGAP000165-RA</v>
      </c>
      <c r="DI122" s="2" t="s">
        <v>122</v>
      </c>
      <c r="DJ122" s="2">
        <v>690</v>
      </c>
      <c r="DK122" s="2" t="str">
        <f>HYPERLINK(".\links\netoglyc\AGAP000165-PA-netoglyc.txt","0")</f>
        <v>0</v>
      </c>
      <c r="DL122" s="2">
        <v>7.9</v>
      </c>
      <c r="DM122" s="2">
        <v>2.6</v>
      </c>
      <c r="DN122" s="2">
        <v>6</v>
      </c>
      <c r="DO122" s="2" t="s">
        <v>94</v>
      </c>
      <c r="DP122" s="2" t="s">
        <v>123</v>
      </c>
      <c r="DQ122" s="2" t="str">
        <f>HYPERLINK(".\links\Sigp\AGAP000165-PA-SigP.txt","CYT")</f>
        <v>CYT</v>
      </c>
      <c r="DR122" s="2" t="s">
        <v>89</v>
      </c>
      <c r="DS122" s="2">
        <v>17.294</v>
      </c>
      <c r="DT122" s="2">
        <v>9.98</v>
      </c>
      <c r="DU122" s="2" t="s">
        <v>89</v>
      </c>
      <c r="DV122" s="2" t="s">
        <v>89</v>
      </c>
      <c r="DW122" s="2" t="s">
        <v>113</v>
      </c>
      <c r="DX122" s="2">
        <v>151</v>
      </c>
      <c r="DY122" s="12" t="str">
        <f>HYPERLINK(".\links\tmhmm\AGAP000165-PA-tmhmm.txt","4")</f>
        <v>4</v>
      </c>
      <c r="DZ122" s="2">
        <v>53</v>
      </c>
      <c r="EA122" s="2">
        <v>13.9</v>
      </c>
      <c r="EB122" s="2">
        <v>33.1</v>
      </c>
      <c r="EC122" s="2" t="str">
        <f>HYPERLINK(".\links\gpi\AGAP000165-PA-gpi.txt","N")</f>
        <v>N</v>
      </c>
      <c r="ED122" s="2">
        <v>0.4</v>
      </c>
      <c r="EF122" s="2">
        <v>0</v>
      </c>
      <c r="EG122" s="2" t="s">
        <v>89</v>
      </c>
      <c r="EH122" s="2" t="s">
        <v>89</v>
      </c>
      <c r="EI122" s="2">
        <v>7.9470198675496704</v>
      </c>
      <c r="EJ122" s="2">
        <v>5.9602649006622501</v>
      </c>
      <c r="EK122" s="2">
        <v>2.64900662251656</v>
      </c>
      <c r="EL122" s="2">
        <v>8.6092715231788102</v>
      </c>
      <c r="EM122" s="2" t="s">
        <v>89</v>
      </c>
      <c r="EN122" s="2">
        <v>1</v>
      </c>
      <c r="EO122" s="2">
        <v>1</v>
      </c>
      <c r="EP122" s="2" t="s">
        <v>89</v>
      </c>
      <c r="EQ122" s="2" t="s">
        <v>89</v>
      </c>
      <c r="ER122" s="2" t="s">
        <v>89</v>
      </c>
      <c r="ES122" s="2" t="s">
        <v>89</v>
      </c>
      <c r="ET122" s="2" t="str">
        <f>HYPERLINK(".\links\REFSEQ-INVERTEBRATE\AGAP000165-PA-REFSEQ-INVERTEBRATE.txt","AGAP000165-PA")</f>
        <v>AGAP000165-PA</v>
      </c>
      <c r="EU122" s="2" t="str">
        <f>HYPERLINK("http://www.ncbi.nlm.nih.gov/sutils/blink.cgi?pid=XP_566239.1","1E-107")</f>
        <v>1E-107</v>
      </c>
      <c r="EV122" s="2" t="str">
        <f>HYPERLINK("http://www.ncbi.nlm.nih.gov/protein/XP_566239.1","XP_566239.1")</f>
        <v>XP_566239.1</v>
      </c>
      <c r="EW122" s="2">
        <v>100</v>
      </c>
      <c r="EX122" s="2">
        <v>100</v>
      </c>
      <c r="EY122" s="2">
        <v>100</v>
      </c>
      <c r="EZ122" s="2" t="s">
        <v>95</v>
      </c>
    </row>
    <row r="123" spans="1:156" x14ac:dyDescent="0.25">
      <c r="A123" s="2" t="s">
        <v>1567</v>
      </c>
      <c r="B123" s="2">
        <v>-0.835273368452913</v>
      </c>
      <c r="C123" s="2">
        <f t="shared" si="1"/>
        <v>0.56047682723988146</v>
      </c>
      <c r="D123" s="2">
        <v>5.0027318715522497</v>
      </c>
      <c r="E123" s="2">
        <v>17.5756010588759</v>
      </c>
      <c r="F123" s="2">
        <v>2.7610829248880499E-5</v>
      </c>
      <c r="G123" s="2">
        <v>3.6292901112695199E-3</v>
      </c>
      <c r="H123" s="2" t="s">
        <v>1568</v>
      </c>
      <c r="I123" s="2" t="s">
        <v>87</v>
      </c>
      <c r="J123" s="2" t="str">
        <f>HYPERLINK("https://vectorbase.org/vectorbase/app/record/gene/AGAP005927","AGAP005927-RA")</f>
        <v>AGAP005927-RA</v>
      </c>
      <c r="K123" s="2" t="str">
        <f>HYPERLINK(".\links\pep\AGAP005927-PA-pep.txt","AGAP005927-PA")</f>
        <v>AGAP005927-PA</v>
      </c>
      <c r="L123" s="12" t="s">
        <v>88</v>
      </c>
      <c r="M123" s="2">
        <v>136</v>
      </c>
      <c r="N123" s="2">
        <v>0</v>
      </c>
      <c r="O123" s="2">
        <v>0</v>
      </c>
      <c r="P123" s="2" t="s">
        <v>1569</v>
      </c>
      <c r="Q123" s="9" t="s">
        <v>1570</v>
      </c>
      <c r="R123" s="2" t="s">
        <v>145</v>
      </c>
      <c r="S123" s="2" t="str">
        <f>HYPERLINK(".\links\NR-LIGHT\AGAP005927-PA-NR-LIGHT.txt","NR-LIGHT")</f>
        <v>NR-LIGHT</v>
      </c>
      <c r="T123" s="2">
        <v>3.0000000000000003E-39</v>
      </c>
      <c r="U123" s="2">
        <v>100</v>
      </c>
      <c r="V123" s="2" t="s">
        <v>1571</v>
      </c>
      <c r="W123" s="10" t="s">
        <v>1572</v>
      </c>
      <c r="X123" s="2" t="s">
        <v>245</v>
      </c>
      <c r="Y123" s="2" t="str">
        <f>HYPERLINK(".\links\ARTHORPODA\AGAP005927-PA-ARTHORPODA.txt","ARTHORPODA")</f>
        <v>ARTHORPODA</v>
      </c>
      <c r="Z123" s="13">
        <v>9.9999999999999994E-99</v>
      </c>
      <c r="AA123" s="2">
        <v>100</v>
      </c>
      <c r="AB123" s="14" t="s">
        <v>89</v>
      </c>
      <c r="AC123" s="14" t="str">
        <f>HYPERLINK(".\links\Sigp\AGAP005927-PA-SigP.txt","BL/SIG")</f>
        <v>BL/SIG</v>
      </c>
      <c r="AD123" s="2" t="s">
        <v>89</v>
      </c>
      <c r="AE123" s="2">
        <v>15.683999999999999</v>
      </c>
      <c r="AF123" s="2">
        <v>10.61</v>
      </c>
      <c r="AG123" s="2" t="s">
        <v>89</v>
      </c>
      <c r="AH123" s="2" t="s">
        <v>89</v>
      </c>
      <c r="AI123" s="2" t="s">
        <v>1573</v>
      </c>
      <c r="AJ123" s="14">
        <v>0</v>
      </c>
      <c r="AK123" s="2" t="s">
        <v>89</v>
      </c>
      <c r="AL123" s="2" t="s">
        <v>89</v>
      </c>
      <c r="AM123" s="2" t="s">
        <v>89</v>
      </c>
      <c r="AN123" s="14" t="str">
        <f>HYPERLINK(".\links\gpi\AGAP005927-PA-gpi.txt","N")</f>
        <v>N</v>
      </c>
      <c r="AO123" s="15" t="str">
        <f>HYPERLINK(".\links\netoglyc\AGAP005927-PA-netoglyc.txt","3")</f>
        <v>3</v>
      </c>
      <c r="AP123" s="14">
        <v>16.2</v>
      </c>
      <c r="AQ123" s="2">
        <v>4.4000000000000004</v>
      </c>
      <c r="AR123" s="2">
        <v>6.6</v>
      </c>
      <c r="AS123" s="2" t="s">
        <v>94</v>
      </c>
      <c r="AT123" s="9" t="str">
        <f>HYPERLINK(".\links\NR-LIGHT\AGAP005927-PA-NR-LIGHT.txt","AGAP005927-PA")</f>
        <v>AGAP005927-PA</v>
      </c>
      <c r="AU123" s="2" t="str">
        <f>HYPERLINK("http://www.ncbi.nlm.nih.gov/sutils/blink.cgi?pid=XP_315957.4","4E-076")</f>
        <v>4E-076</v>
      </c>
      <c r="AV123" s="2" t="str">
        <f>HYPERLINK("http://www.ncbi.nlm.nih.gov/protein/XP_315957.4","XP_315957.4")</f>
        <v>XP_315957.4</v>
      </c>
      <c r="AW123" s="2">
        <v>100</v>
      </c>
      <c r="AX123" s="2">
        <v>100</v>
      </c>
      <c r="AY123" s="2">
        <v>100</v>
      </c>
      <c r="AZ123" s="2" t="s">
        <v>95</v>
      </c>
      <c r="BA123" s="9" t="str">
        <f>HYPERLINK(".\links\REFSEQ-INVERTEBRATE\AGAP005927-PA-REFSEQ-INVERTEBRATE.txt","AGAP005927-PA")</f>
        <v>AGAP005927-PA</v>
      </c>
      <c r="BB123" s="2" t="str">
        <f>HYPERLINK("http://www.ncbi.nlm.nih.gov/sutils/blink.cgi?pid=XP_315957.4","4E-076")</f>
        <v>4E-076</v>
      </c>
      <c r="BC123" s="2" t="str">
        <f>HYPERLINK("http://www.ncbi.nlm.nih.gov/protein/XP_315957.4","XP_315957.4")</f>
        <v>XP_315957.4</v>
      </c>
      <c r="BD123" s="2">
        <v>100</v>
      </c>
      <c r="BE123" s="2">
        <v>100</v>
      </c>
      <c r="BF123" s="2">
        <v>100</v>
      </c>
      <c r="BG123" s="2" t="s">
        <v>95</v>
      </c>
      <c r="BH123" s="9" t="str">
        <f>HYPERLINK(".\links\REFSEQ-PROTOZOA\AGAP005927-PA-REFSEQ-PROTOZOA.txt","mitochondrial ribosomal l36 protein, partial")</f>
        <v>mitochondrial ribosomal l36 protein, partial</v>
      </c>
      <c r="BI123" s="2" t="str">
        <f>HYPERLINK("http://www.ncbi.nlm.nih.gov/sutils/blink.cgi?pid=XP_005856072.1","1E-004")</f>
        <v>1E-004</v>
      </c>
      <c r="BJ123" s="2" t="str">
        <f>HYPERLINK("http://www.ncbi.nlm.nih.gov/protein/XP_005856072.1","XP_005856072.1")</f>
        <v>XP_005856072.1</v>
      </c>
      <c r="BK123" s="2">
        <v>55</v>
      </c>
      <c r="BL123" s="2">
        <v>70</v>
      </c>
      <c r="BM123" s="2">
        <v>27</v>
      </c>
      <c r="BN123" s="2" t="s">
        <v>1574</v>
      </c>
      <c r="BO123" s="9" t="str">
        <f>HYPERLINK(".\links\SWISSP\AGAP005927-PA-SWISSP.txt","54S ribosomal protein c83.06c, mitochondrial")</f>
        <v>54S ribosomal protein c83.06c, mitochondrial</v>
      </c>
      <c r="BP123" s="2" t="str">
        <f>HYPERLINK("http://www.uniprot.org/uniprot/O94690","2E-010")</f>
        <v>2E-010</v>
      </c>
      <c r="BQ123" s="2" t="str">
        <f>HYPERLINK("http://www.uniprot.org/uniprot/O94690#expression","O94690")</f>
        <v>O94690</v>
      </c>
      <c r="BR123" s="2">
        <v>49</v>
      </c>
      <c r="BS123" s="2">
        <v>63</v>
      </c>
      <c r="BT123" s="2">
        <v>71</v>
      </c>
      <c r="BU123" s="2" t="s">
        <v>1575</v>
      </c>
      <c r="BV123" s="9" t="str">
        <f>HYPERLINK(".\links\FLYBASE\AGAP005927-PA-FLYBASE.txt","FBpp0076458")</f>
        <v>FBpp0076458</v>
      </c>
      <c r="BW123" s="2" t="str">
        <f>HYPERLINK("http://flybase.org/reports/FBgn0042112#alliance_summary_container","1E-38")</f>
        <v>1E-38</v>
      </c>
      <c r="BX123" s="2">
        <v>128</v>
      </c>
      <c r="BY123" s="2">
        <v>54</v>
      </c>
      <c r="BZ123" s="2">
        <v>64</v>
      </c>
      <c r="CA123" s="2">
        <v>95</v>
      </c>
      <c r="CB123" s="9" t="str">
        <f>HYPERLINK(".\links\CDD\AGAP005927-PA-CDD.txt","Ribosomal_L36, Ribosomal protein L36")</f>
        <v>Ribosomal_L36, Ribosomal protein L36</v>
      </c>
      <c r="CC123" s="13">
        <v>9.9999999999999998E-13</v>
      </c>
      <c r="CD123" s="2">
        <v>94.7</v>
      </c>
      <c r="CE123" s="2" t="s">
        <v>1576</v>
      </c>
      <c r="CF123" s="2" t="s">
        <v>1577</v>
      </c>
      <c r="CG123" s="9" t="str">
        <f>HYPERLINK(".\links\KOG\AGAP005927-PA-KOG.txt","Mitochondrial/chloroplast ribosomal protein L36")</f>
        <v>Mitochondrial/chloroplast ribosomal protein L36</v>
      </c>
      <c r="CH123" s="13">
        <v>2.0000000000000001E-13</v>
      </c>
      <c r="CI123" s="2">
        <v>100</v>
      </c>
      <c r="CJ123" s="2" t="s">
        <v>1578</v>
      </c>
      <c r="CK123" s="2" t="s">
        <v>252</v>
      </c>
      <c r="CL123" s="9" t="str">
        <f>HYPERLINK(".\links\PFAM\AGAP005927-PA-PFAM.txt","Ribosomal_L36, Ribosomal protein L36")</f>
        <v>Ribosomal_L36, Ribosomal protein L36</v>
      </c>
      <c r="CM123" s="13">
        <v>2.0000000000000001E-13</v>
      </c>
      <c r="CN123" s="2">
        <v>94.7</v>
      </c>
      <c r="CO123" s="2" t="s">
        <v>1576</v>
      </c>
      <c r="CP123" s="9" t="str">
        <f>HYPERLINK(".\links\SMART\AGAP005927-PA-SMART.txt","Tubulin, Tubulin/FtsZ family, GTPase domain")</f>
        <v>Tubulin, Tubulin/FtsZ family, GTPase domain</v>
      </c>
      <c r="CQ123" s="13">
        <v>0.25</v>
      </c>
      <c r="CR123" s="2">
        <v>9.9</v>
      </c>
      <c r="CS123" s="2" t="s">
        <v>1579</v>
      </c>
      <c r="CT123" s="2" t="s">
        <v>1571</v>
      </c>
      <c r="CU123" s="2" t="s">
        <v>1571</v>
      </c>
      <c r="CV123" s="2" t="s">
        <v>1571</v>
      </c>
      <c r="CW123" s="2" t="str">
        <f>HYPERLINK(".\links\pep\AGAP005927-PA-pep.txt","AGAP005927-PA")</f>
        <v>AGAP005927-PA</v>
      </c>
      <c r="CX123" s="2" t="s">
        <v>88</v>
      </c>
      <c r="CY123" s="2">
        <v>136</v>
      </c>
      <c r="CZ123" s="2" t="s">
        <v>103</v>
      </c>
      <c r="DA123" s="2" t="s">
        <v>1580</v>
      </c>
      <c r="DB123" s="2">
        <v>0</v>
      </c>
      <c r="DC123" s="2">
        <v>0</v>
      </c>
      <c r="DD123" s="2" t="str">
        <f>HYPERLINK("https://www.kegg.jp/kegg-bin/search_pathway_text?map=aga&amp;keyword=AGAP005927&amp;mode=1&amp;viewImage=true","AGAP005927")</f>
        <v>AGAP005927</v>
      </c>
      <c r="DE123" s="2" t="s">
        <v>1567</v>
      </c>
      <c r="DF123" s="2" t="s">
        <v>1568</v>
      </c>
      <c r="DG123" s="2" t="s">
        <v>87</v>
      </c>
      <c r="DH123" s="2" t="str">
        <f>HYPERLINK("https://vectorbase.org/vectorbase/app/record/gene/AGAP005927","AGAP005927-RA")</f>
        <v>AGAP005927-RA</v>
      </c>
      <c r="DI123" s="2" t="s">
        <v>122</v>
      </c>
      <c r="DJ123" s="2">
        <v>670</v>
      </c>
      <c r="DK123" s="2" t="str">
        <f>HYPERLINK(".\links\netoglyc\AGAP005927-PA-netoglyc.txt","3")</f>
        <v>3</v>
      </c>
      <c r="DL123" s="2">
        <v>16.2</v>
      </c>
      <c r="DM123" s="2">
        <v>4.4000000000000004</v>
      </c>
      <c r="DN123" s="2">
        <v>6.6</v>
      </c>
      <c r="DO123" s="2" t="s">
        <v>94</v>
      </c>
      <c r="DP123" s="2" t="s">
        <v>1581</v>
      </c>
      <c r="DQ123" s="2" t="str">
        <f>HYPERLINK(".\links\Sigp\AGAP005927-PA-SigP.txt","BL/SIG")</f>
        <v>BL/SIG</v>
      </c>
      <c r="DR123" s="2" t="s">
        <v>89</v>
      </c>
      <c r="DS123" s="2">
        <v>15.683999999999999</v>
      </c>
      <c r="DT123" s="2">
        <v>10.61</v>
      </c>
      <c r="DU123" s="2" t="s">
        <v>89</v>
      </c>
      <c r="DV123" s="2" t="s">
        <v>89</v>
      </c>
      <c r="DW123" s="2" t="s">
        <v>1573</v>
      </c>
      <c r="DX123" s="2">
        <v>136</v>
      </c>
      <c r="DY123" s="12">
        <v>0</v>
      </c>
      <c r="DZ123" s="2" t="s">
        <v>89</v>
      </c>
      <c r="EA123" s="2" t="s">
        <v>89</v>
      </c>
      <c r="EB123" s="2" t="s">
        <v>89</v>
      </c>
      <c r="EC123" s="2" t="str">
        <f>HYPERLINK(".\links\gpi\AGAP005927-PA-gpi.txt","N")</f>
        <v>N</v>
      </c>
      <c r="ED123" s="2">
        <v>0.37</v>
      </c>
      <c r="EF123" s="2">
        <v>5</v>
      </c>
      <c r="EG123" s="2" t="s">
        <v>89</v>
      </c>
      <c r="EH123" s="2" t="s">
        <v>89</v>
      </c>
      <c r="EI123" s="2">
        <v>16.176470588235301</v>
      </c>
      <c r="EJ123" s="2">
        <v>6.6176470588235299</v>
      </c>
      <c r="EK123" s="2">
        <v>4.4117647058823497</v>
      </c>
      <c r="EL123" s="2">
        <v>11.0294117647059</v>
      </c>
      <c r="EM123" s="2" t="s">
        <v>89</v>
      </c>
      <c r="EN123" s="2">
        <v>1</v>
      </c>
      <c r="EO123" s="2">
        <v>1</v>
      </c>
      <c r="EP123" s="2" t="s">
        <v>89</v>
      </c>
      <c r="EQ123" s="2" t="s">
        <v>89</v>
      </c>
      <c r="ER123" s="2" t="s">
        <v>89</v>
      </c>
      <c r="ES123" s="2" t="s">
        <v>89</v>
      </c>
      <c r="ET123" s="2" t="str">
        <f>HYPERLINK(".\links\REFSEQ-INVERTEBRATE\AGAP005927-PA-REFSEQ-INVERTEBRATE.txt","AGAP005927-PA")</f>
        <v>AGAP005927-PA</v>
      </c>
      <c r="EU123" s="2" t="str">
        <f>HYPERLINK("http://www.ncbi.nlm.nih.gov/sutils/blink.cgi?pid=XP_315957.4","1E-98")</f>
        <v>1E-98</v>
      </c>
      <c r="EV123" s="2" t="str">
        <f>HYPERLINK("http://www.ncbi.nlm.nih.gov/protein/XP_315957.4","XP_315957.4")</f>
        <v>XP_315957.4</v>
      </c>
      <c r="EW123" s="2">
        <v>100</v>
      </c>
      <c r="EX123" s="2">
        <v>100</v>
      </c>
      <c r="EY123" s="2">
        <v>100</v>
      </c>
      <c r="EZ123" s="2" t="s">
        <v>95</v>
      </c>
    </row>
    <row r="124" spans="1:156" x14ac:dyDescent="0.25">
      <c r="A124" s="2" t="s">
        <v>1390</v>
      </c>
      <c r="B124" s="2">
        <v>-0.84542387196333901</v>
      </c>
      <c r="C124" s="2">
        <f t="shared" si="1"/>
        <v>0.55654726835547463</v>
      </c>
      <c r="D124" s="2">
        <v>5.7161851611022403</v>
      </c>
      <c r="E124" s="2">
        <v>14.0295916757073</v>
      </c>
      <c r="F124" s="2">
        <v>1.7995622152681401E-4</v>
      </c>
      <c r="G124" s="2">
        <v>1.30339720448707E-2</v>
      </c>
      <c r="H124" s="2" t="s">
        <v>1391</v>
      </c>
      <c r="I124" s="2" t="s">
        <v>87</v>
      </c>
      <c r="J124" s="2" t="str">
        <f>HYPERLINK("https://vectorbase.org/vectorbase/app/record/gene/AGAP004929","AGAP004929-RA")</f>
        <v>AGAP004929-RA</v>
      </c>
      <c r="K124" s="2" t="str">
        <f>HYPERLINK(".\links\pep\AGAP004929-PA-pep.txt","AGAP004929-PA")</f>
        <v>AGAP004929-PA</v>
      </c>
      <c r="L124" s="12" t="s">
        <v>88</v>
      </c>
      <c r="M124" s="2">
        <v>180</v>
      </c>
      <c r="N124" s="2">
        <v>0</v>
      </c>
      <c r="O124" s="2">
        <v>0</v>
      </c>
      <c r="P124" s="2" t="s">
        <v>1392</v>
      </c>
      <c r="Q124" s="9" t="s">
        <v>1393</v>
      </c>
      <c r="R124" s="2" t="s">
        <v>245</v>
      </c>
      <c r="S124" s="2" t="str">
        <f>HYPERLINK(".\links\REFSEQ-INVERTEBRATE\AGAP004929-PA-REFSEQ-INVERTEBRATE.txt","REFSEQ-INVERTEBRATE")</f>
        <v>REFSEQ-INVERTEBRATE</v>
      </c>
      <c r="T124" s="2">
        <v>7.0000000000000002E-59</v>
      </c>
      <c r="U124" s="2">
        <v>99.4</v>
      </c>
      <c r="V124" s="2" t="s">
        <v>1394</v>
      </c>
      <c r="W124" s="10" t="s">
        <v>1395</v>
      </c>
      <c r="X124" s="2" t="s">
        <v>245</v>
      </c>
      <c r="Y124" s="2" t="str">
        <f>HYPERLINK(".\links\REFSEQ-INVERTEBRATE\AGAP004929-PA-REFSEQ-INVERTEBRATE.txt","REFSEQ-INVERTEBRATE")</f>
        <v>REFSEQ-INVERTEBRATE</v>
      </c>
      <c r="Z124" s="13">
        <v>0</v>
      </c>
      <c r="AA124" s="2">
        <v>100</v>
      </c>
      <c r="AB124" s="14" t="s">
        <v>89</v>
      </c>
      <c r="AC124" s="14" t="str">
        <f>HYPERLINK(".\links\Sigp\AGAP004929-PA-SigP.txt","CYT")</f>
        <v>CYT</v>
      </c>
      <c r="AD124" s="2" t="s">
        <v>89</v>
      </c>
      <c r="AE124" s="2">
        <v>20.524999999999999</v>
      </c>
      <c r="AF124" s="2">
        <v>6.65</v>
      </c>
      <c r="AG124" s="2" t="s">
        <v>89</v>
      </c>
      <c r="AH124" s="2" t="s">
        <v>89</v>
      </c>
      <c r="AI124" s="2" t="s">
        <v>501</v>
      </c>
      <c r="AJ124" s="14">
        <v>0</v>
      </c>
      <c r="AK124" s="2" t="s">
        <v>89</v>
      </c>
      <c r="AL124" s="2" t="s">
        <v>89</v>
      </c>
      <c r="AM124" s="2" t="s">
        <v>89</v>
      </c>
      <c r="AN124" s="14" t="str">
        <f>HYPERLINK(".\links\gpi\AGAP004929-PA-gpi.txt","N")</f>
        <v>N</v>
      </c>
      <c r="AO124" s="15" t="str">
        <f>HYPERLINK(".\links\netoglyc\AGAP004929-PA-netoglyc.txt","1")</f>
        <v>1</v>
      </c>
      <c r="AP124" s="14">
        <v>17.2</v>
      </c>
      <c r="AQ124" s="2">
        <v>3.3</v>
      </c>
      <c r="AR124" s="2">
        <v>2.2000000000000002</v>
      </c>
      <c r="AS124" s="2" t="s">
        <v>94</v>
      </c>
      <c r="AT124" s="9" t="str">
        <f>HYPERLINK(".\links\NR-LIGHT\AGAP004929-PA-NR-LIGHT.txt","AGAP004929-PA")</f>
        <v>AGAP004929-PA</v>
      </c>
      <c r="AU124" s="2" t="str">
        <f>HYPERLINK("http://www.ncbi.nlm.nih.gov/sutils/blink.cgi?pid=XP_315016.4","4E-098")</f>
        <v>4E-098</v>
      </c>
      <c r="AV124" s="2" t="str">
        <f>HYPERLINK("http://www.ncbi.nlm.nih.gov/protein/XP_315016.4","XP_315016.4")</f>
        <v>XP_315016.4</v>
      </c>
      <c r="AW124" s="2">
        <v>100</v>
      </c>
      <c r="AX124" s="2">
        <v>100</v>
      </c>
      <c r="AY124" s="2">
        <v>100</v>
      </c>
      <c r="AZ124" s="2" t="s">
        <v>95</v>
      </c>
      <c r="BA124" s="9" t="str">
        <f>HYPERLINK(".\links\REFSEQ-INVERTEBRATE\AGAP004929-PA-REFSEQ-INVERTEBRATE.txt","AGAP004929-PA")</f>
        <v>AGAP004929-PA</v>
      </c>
      <c r="BB124" s="2" t="str">
        <f>HYPERLINK("http://www.ncbi.nlm.nih.gov/sutils/blink.cgi?pid=XP_315016.4","3E-098")</f>
        <v>3E-098</v>
      </c>
      <c r="BC124" s="2" t="str">
        <f>HYPERLINK("http://www.ncbi.nlm.nih.gov/protein/XP_315016.4","XP_315016.4")</f>
        <v>XP_315016.4</v>
      </c>
      <c r="BD124" s="2">
        <v>100</v>
      </c>
      <c r="BE124" s="2">
        <v>100</v>
      </c>
      <c r="BF124" s="2">
        <v>100</v>
      </c>
      <c r="BG124" s="2" t="s">
        <v>95</v>
      </c>
      <c r="BH124" s="9" t="str">
        <f>HYPERLINK(".\links\REFSEQ-PROTOZOA\AGAP004929-PA-REFSEQ-PROTOZOA.txt","tRNA binding domain containing protein")</f>
        <v>tRNA binding domain containing protein</v>
      </c>
      <c r="BI124" s="2" t="str">
        <f>HYPERLINK("http://www.ncbi.nlm.nih.gov/sutils/blink.cgi?pid=XP_001612148.1","3E-007")</f>
        <v>3E-007</v>
      </c>
      <c r="BJ124" s="2" t="str">
        <f>HYPERLINK("http://www.ncbi.nlm.nih.gov/protein/XP_001612148.1","XP_001612148.1")</f>
        <v>XP_001612148.1</v>
      </c>
      <c r="BK124" s="2">
        <v>28</v>
      </c>
      <c r="BL124" s="2">
        <v>50</v>
      </c>
      <c r="BM124" s="2">
        <v>35</v>
      </c>
      <c r="BN124" s="2" t="s">
        <v>1396</v>
      </c>
      <c r="BO124" s="9" t="str">
        <f>HYPERLINK(".\links\SWISSP\AGAP004929-PA-SWISSP.txt","Eukaryotic translation elongation factor 1 epsilon-1")</f>
        <v>Eukaryotic translation elongation factor 1 epsilon-1</v>
      </c>
      <c r="BP124" s="2" t="str">
        <f>HYPERLINK("http://www.uniprot.org/uniprot/Q9D1M4","1E-016")</f>
        <v>1E-016</v>
      </c>
      <c r="BQ124" s="2" t="str">
        <f>HYPERLINK("http://www.uniprot.org/uniprot/Q9D1M4#expression","Q9D1M4")</f>
        <v>Q9D1M4</v>
      </c>
      <c r="BR124" s="2">
        <v>30</v>
      </c>
      <c r="BS124" s="2">
        <v>55</v>
      </c>
      <c r="BT124" s="2">
        <v>82</v>
      </c>
      <c r="BU124" s="2" t="s">
        <v>566</v>
      </c>
      <c r="BV124" s="9" t="str">
        <f>HYPERLINK(".\links\FLYBASE\AGAP004929-PA-FLYBASE.txt","FBpp0071969")</f>
        <v>FBpp0071969</v>
      </c>
      <c r="BW124" s="2" t="str">
        <f>HYPERLINK("http://flybase.org/reports/FBgn0050185#alliance_summary_container","2E-55")</f>
        <v>2E-55</v>
      </c>
      <c r="BX124" s="2">
        <v>179</v>
      </c>
      <c r="BY124" s="2">
        <v>45</v>
      </c>
      <c r="BZ124" s="2">
        <v>69</v>
      </c>
      <c r="CA124" s="2">
        <v>100</v>
      </c>
      <c r="CB124" s="9" t="str">
        <f>HYPERLINK(".\links\CDD\AGAP004929-PA-CDD.txt","GST_C_AIMP3, Glutathione S-transferase C-terminal-like, alpha helical domain of Aminoacyl tRNA synthetase complex-Interacting Multifunctional Protein 3")</f>
        <v>GST_C_AIMP3, Glutathione S-transferase C-terminal-like, alpha helical domain of Aminoacyl tRNA synthetase complex-Interacting Multifunctional Protein 3</v>
      </c>
      <c r="CC124" s="13">
        <v>4E-35</v>
      </c>
      <c r="CD124" s="2">
        <v>101</v>
      </c>
      <c r="CE124" s="2" t="s">
        <v>1397</v>
      </c>
      <c r="CF124" s="2" t="s">
        <v>1398</v>
      </c>
      <c r="CG124" s="9" t="str">
        <f>HYPERLINK(".\links\KOG\AGAP004929-PA-KOG.txt","Glutamyl-tRNA synthetase")</f>
        <v>Glutamyl-tRNA synthetase</v>
      </c>
      <c r="CH124" s="13">
        <v>5.9999999999999997E-7</v>
      </c>
      <c r="CI124" s="2">
        <v>11.1</v>
      </c>
      <c r="CJ124" s="2" t="s">
        <v>1399</v>
      </c>
      <c r="CK124" s="2" t="s">
        <v>252</v>
      </c>
      <c r="CL124" s="9" t="str">
        <f>HYPERLINK(".\links\PFAM\AGAP004929-PA-PFAM.txt","GST_C_3, Glutathione S-transferase, C-terminal domain")</f>
        <v>GST_C_3, Glutathione S-transferase, C-terminal domain</v>
      </c>
      <c r="CM124" s="13">
        <v>0.1</v>
      </c>
      <c r="CN124" s="2">
        <v>44.7</v>
      </c>
      <c r="CO124" s="2" t="s">
        <v>1400</v>
      </c>
      <c r="CP124" s="9" t="str">
        <f>HYPERLINK(".\links\SMART\AGAP004929-PA-SMART.txt","LytTR, LytTr DNA-binding domain")</f>
        <v>LytTR, LytTr DNA-binding domain</v>
      </c>
      <c r="CQ124" s="13">
        <v>2.4</v>
      </c>
      <c r="CR124" s="2">
        <v>16.7</v>
      </c>
      <c r="CS124" s="2" t="s">
        <v>1401</v>
      </c>
      <c r="CT124" s="2" t="s">
        <v>1394</v>
      </c>
      <c r="CU124" s="2" t="s">
        <v>1394</v>
      </c>
      <c r="CV124" s="2" t="s">
        <v>1394</v>
      </c>
      <c r="CW124" s="2" t="str">
        <f>HYPERLINK(".\links\pep\AGAP004929-PA-pep.txt","AGAP004929-PA")</f>
        <v>AGAP004929-PA</v>
      </c>
      <c r="CX124" s="2" t="s">
        <v>88</v>
      </c>
      <c r="CY124" s="2">
        <v>180</v>
      </c>
      <c r="CZ124" s="2" t="s">
        <v>103</v>
      </c>
      <c r="DA124" s="2" t="s">
        <v>1402</v>
      </c>
      <c r="DB124" s="2">
        <v>0</v>
      </c>
      <c r="DC124" s="2">
        <v>0</v>
      </c>
      <c r="DD124" s="2" t="str">
        <f>HYPERLINK("https://www.kegg.jp/kegg-bin/search_pathway_text?map=aga&amp;keyword=AGAP004929&amp;mode=1&amp;viewImage=true","AGAP004929")</f>
        <v>AGAP004929</v>
      </c>
      <c r="DE124" s="2" t="s">
        <v>1390</v>
      </c>
      <c r="DF124" s="2" t="s">
        <v>1391</v>
      </c>
      <c r="DG124" s="2" t="s">
        <v>87</v>
      </c>
      <c r="DH124" s="2" t="str">
        <f>HYPERLINK("https://vectorbase.org/vectorbase/app/record/gene/AGAP004929","AGAP004929-RA")</f>
        <v>AGAP004929-RA</v>
      </c>
      <c r="DI124" s="2" t="s">
        <v>140</v>
      </c>
      <c r="DJ124" s="2">
        <v>838</v>
      </c>
      <c r="DK124" s="2" t="str">
        <f>HYPERLINK(".\links\netoglyc\AGAP004929-PA-netoglyc.txt","1")</f>
        <v>1</v>
      </c>
      <c r="DL124" s="2">
        <v>17.2</v>
      </c>
      <c r="DM124" s="2">
        <v>3.3</v>
      </c>
      <c r="DN124" s="2">
        <v>2.2000000000000002</v>
      </c>
      <c r="DO124" s="2" t="s">
        <v>94</v>
      </c>
      <c r="DP124" s="2" t="s">
        <v>89</v>
      </c>
      <c r="DQ124" s="2" t="str">
        <f>HYPERLINK(".\links\Sigp\AGAP004929-PA-SigP.txt","CYT")</f>
        <v>CYT</v>
      </c>
      <c r="DR124" s="2" t="s">
        <v>89</v>
      </c>
      <c r="DS124" s="2">
        <v>20.524999999999999</v>
      </c>
      <c r="DT124" s="2">
        <v>6.65</v>
      </c>
      <c r="DU124" s="2" t="s">
        <v>89</v>
      </c>
      <c r="DV124" s="2" t="s">
        <v>89</v>
      </c>
      <c r="DW124" s="2" t="s">
        <v>501</v>
      </c>
      <c r="DX124" s="2">
        <v>180</v>
      </c>
      <c r="DY124" s="12">
        <v>0</v>
      </c>
      <c r="DZ124" s="2" t="s">
        <v>89</v>
      </c>
      <c r="EA124" s="2" t="s">
        <v>89</v>
      </c>
      <c r="EB124" s="2" t="s">
        <v>89</v>
      </c>
      <c r="EC124" s="2" t="str">
        <f>HYPERLINK(".\links\gpi\AGAP004929-PA-gpi.txt","Y-NoSP")</f>
        <v>Y-NoSP</v>
      </c>
      <c r="ED124" s="2">
        <v>0.3</v>
      </c>
      <c r="EF124" s="2">
        <v>2</v>
      </c>
      <c r="EG124" s="2" t="s">
        <v>89</v>
      </c>
      <c r="EH124" s="2" t="s">
        <v>89</v>
      </c>
      <c r="EI124" s="2">
        <v>17.2222222222222</v>
      </c>
      <c r="EJ124" s="2">
        <v>2.2222222222222201</v>
      </c>
      <c r="EK124" s="2">
        <v>3.3333333333333299</v>
      </c>
      <c r="EL124" s="2">
        <v>5.5555555555555598</v>
      </c>
      <c r="EM124" s="2" t="s">
        <v>89</v>
      </c>
      <c r="EN124" s="2" t="s">
        <v>89</v>
      </c>
      <c r="EO124" s="2" t="s">
        <v>89</v>
      </c>
      <c r="EP124" s="2" t="s">
        <v>89</v>
      </c>
      <c r="EQ124" s="2" t="s">
        <v>89</v>
      </c>
      <c r="ER124" s="2" t="s">
        <v>89</v>
      </c>
      <c r="ES124" s="2" t="s">
        <v>89</v>
      </c>
      <c r="ET124" s="2" t="str">
        <f>HYPERLINK(".\links\REFSEQ-INVERTEBRATE\AGAP004929-PA-REFSEQ-INVERTEBRATE.txt","AGAP004929-PA")</f>
        <v>AGAP004929-PA</v>
      </c>
      <c r="EU124" s="2" t="str">
        <f>HYPERLINK("http://www.ncbi.nlm.nih.gov/sutils/blink.cgi?pid=XP_315016.4","1E-132")</f>
        <v>1E-132</v>
      </c>
      <c r="EV124" s="2" t="str">
        <f>HYPERLINK("http://www.ncbi.nlm.nih.gov/protein/XP_315016.4","XP_315016.4")</f>
        <v>XP_315016.4</v>
      </c>
      <c r="EW124" s="2">
        <v>100</v>
      </c>
      <c r="EX124" s="2">
        <v>100</v>
      </c>
      <c r="EY124" s="2">
        <v>100</v>
      </c>
      <c r="EZ124" s="2" t="s">
        <v>95</v>
      </c>
    </row>
    <row r="125" spans="1:156" x14ac:dyDescent="0.25">
      <c r="A125" s="2" t="s">
        <v>656</v>
      </c>
      <c r="B125" s="2">
        <v>-0.84606284392916598</v>
      </c>
      <c r="C125" s="2">
        <f t="shared" si="1"/>
        <v>0.55630082724923324</v>
      </c>
      <c r="D125" s="2">
        <v>6.72489583415725</v>
      </c>
      <c r="E125" s="2">
        <v>13.0845564625871</v>
      </c>
      <c r="F125" s="2">
        <v>2.9774032503716499E-4</v>
      </c>
      <c r="G125" s="2">
        <v>1.8647301415709999E-2</v>
      </c>
      <c r="H125" s="2" t="s">
        <v>657</v>
      </c>
      <c r="I125" s="2" t="s">
        <v>89</v>
      </c>
      <c r="J125" s="2" t="str">
        <f>HYPERLINK("https://vectorbase.org/vectorbase/app/record/gene/AGAP002788","AGAP002788-RA")</f>
        <v>AGAP002788-RA</v>
      </c>
      <c r="K125" s="2" t="str">
        <f>HYPERLINK(".\links\pep\AGAP002788-PA-pep.txt","AGAP002788-PA")</f>
        <v>AGAP002788-PA</v>
      </c>
      <c r="L125" s="12" t="s">
        <v>88</v>
      </c>
      <c r="M125" s="2">
        <v>233</v>
      </c>
      <c r="N125" s="2">
        <v>0</v>
      </c>
      <c r="O125" s="2">
        <v>0</v>
      </c>
      <c r="P125" s="2" t="s">
        <v>658</v>
      </c>
      <c r="Q125" s="9" t="s">
        <v>659</v>
      </c>
      <c r="R125" s="2" t="s">
        <v>660</v>
      </c>
      <c r="S125" s="2" t="str">
        <f>HYPERLINK(".\links\PFAM\AGAP002788-PA-PFAM.txt","PFAM")</f>
        <v>PFAM</v>
      </c>
      <c r="T125" s="2">
        <v>6.0000000000000001E-23</v>
      </c>
      <c r="U125" s="2">
        <v>83</v>
      </c>
      <c r="V125" s="2" t="s">
        <v>661</v>
      </c>
      <c r="W125" s="10" t="s">
        <v>662</v>
      </c>
      <c r="X125" s="2" t="s">
        <v>663</v>
      </c>
      <c r="Y125" s="2" t="str">
        <f>HYPERLINK(".\links\UNIPROTKB\AGAP002788-PA-UNIPROTKB.txt","UNIPROTKB")</f>
        <v>UNIPROTKB</v>
      </c>
      <c r="Z125" s="2">
        <v>4.9999999999999999E-13</v>
      </c>
      <c r="AA125" s="2">
        <v>58.2</v>
      </c>
      <c r="AB125" s="14" t="str">
        <f>HYPERLINK(".\links\pep\AGAP002788-PA-sulf.txt","1")</f>
        <v>1</v>
      </c>
      <c r="AC125" s="14" t="str">
        <f>HYPERLINK(".\links\Sigp\AGAP002788-PA-SigP.txt","SIG")</f>
        <v>SIG</v>
      </c>
      <c r="AD125" s="2" t="s">
        <v>404</v>
      </c>
      <c r="AE125" s="2">
        <v>25.483000000000001</v>
      </c>
      <c r="AF125" s="2">
        <v>8.77</v>
      </c>
      <c r="AG125" s="2">
        <v>23.077000000000002</v>
      </c>
      <c r="AH125" s="2">
        <v>8.2899999999999991</v>
      </c>
      <c r="AI125" s="2" t="s">
        <v>664</v>
      </c>
      <c r="AJ125" s="14" t="str">
        <f>HYPERLINK(".\links\tmhmm\AGAP002788-PA-tmhmm.txt","1")</f>
        <v>1</v>
      </c>
      <c r="AK125" s="2">
        <v>8.1999999999999993</v>
      </c>
      <c r="AL125" s="2">
        <v>37.299999999999997</v>
      </c>
      <c r="AM125" s="2">
        <v>54.5</v>
      </c>
      <c r="AN125" s="14" t="str">
        <f>HYPERLINK(".\links\gpi\AGAP002788-PA-gpi.txt","N")</f>
        <v>N</v>
      </c>
      <c r="AO125" s="15" t="str">
        <f>HYPERLINK(".\links\netoglyc\AGAP002788-PA-netoglyc.txt","0")</f>
        <v>0</v>
      </c>
      <c r="AP125" s="14">
        <v>10.3</v>
      </c>
      <c r="AQ125" s="2">
        <v>9</v>
      </c>
      <c r="AR125" s="2">
        <v>5.2</v>
      </c>
      <c r="AS125" s="2" t="s">
        <v>94</v>
      </c>
      <c r="AT125" s="9" t="str">
        <f>HYPERLINK(".\links\NR-LIGHT\AGAP002788-PA-NR-LIGHT.txt","AGAP002788-PA")</f>
        <v>AGAP002788-PA</v>
      </c>
      <c r="AU125" s="2" t="str">
        <f>HYPERLINK("http://www.ncbi.nlm.nih.gov/sutils/blink.cgi?pid=XP_312131.3","1E-129")</f>
        <v>1E-129</v>
      </c>
      <c r="AV125" s="2" t="str">
        <f>HYPERLINK("http://www.ncbi.nlm.nih.gov/protein/XP_312131.3","XP_312131.3")</f>
        <v>XP_312131.3</v>
      </c>
      <c r="AW125" s="2">
        <v>100</v>
      </c>
      <c r="AX125" s="2">
        <v>100</v>
      </c>
      <c r="AY125" s="2">
        <v>100</v>
      </c>
      <c r="AZ125" s="2" t="s">
        <v>95</v>
      </c>
      <c r="BA125" s="9" t="str">
        <f>HYPERLINK(".\links\REFSEQ-INVERTEBRATE\AGAP002788-PA-REFSEQ-INVERTEBRATE.txt","AGAP002788-PA")</f>
        <v>AGAP002788-PA</v>
      </c>
      <c r="BB125" s="2" t="str">
        <f>HYPERLINK("http://www.ncbi.nlm.nih.gov/sutils/blink.cgi?pid=XP_312131.3","1E-129")</f>
        <v>1E-129</v>
      </c>
      <c r="BC125" s="2" t="str">
        <f>HYPERLINK("http://www.ncbi.nlm.nih.gov/protein/XP_312131.3","XP_312131.3")</f>
        <v>XP_312131.3</v>
      </c>
      <c r="BD125" s="2">
        <v>100</v>
      </c>
      <c r="BE125" s="2">
        <v>100</v>
      </c>
      <c r="BF125" s="2">
        <v>100</v>
      </c>
      <c r="BG125" s="2" t="s">
        <v>95</v>
      </c>
      <c r="BH125" s="9" t="str">
        <f>HYPERLINK(".\links\REFSEQ-PROTOZOA\AGAP002788-PA-REFSEQ-PROTOZOA.txt","hypothetical protein (macronuclear)")</f>
        <v>hypothetical protein (macronuclear)</v>
      </c>
      <c r="BI125" s="2" t="str">
        <f>HYPERLINK("http://www.ncbi.nlm.nih.gov/sutils/blink.cgi?pid=XP_001441740.1","0.67")</f>
        <v>0.67</v>
      </c>
      <c r="BJ125" s="2" t="str">
        <f>HYPERLINK("http://www.ncbi.nlm.nih.gov/protein/XP_001441740.1","XP_001441740.1")</f>
        <v>XP_001441740.1</v>
      </c>
      <c r="BK125" s="2">
        <v>27</v>
      </c>
      <c r="BL125" s="2">
        <v>47</v>
      </c>
      <c r="BM125" s="2">
        <v>7</v>
      </c>
      <c r="BN125" s="2" t="s">
        <v>665</v>
      </c>
      <c r="BO125" s="9" t="str">
        <f>HYPERLINK(".\links\SWISSP\AGAP002788-PA-SWISSP.txt","MICOS complex subunit MIC27")</f>
        <v>MICOS complex subunit MIC27</v>
      </c>
      <c r="BP125" s="2" t="str">
        <f>HYPERLINK("http://www.uniprot.org/uniprot/Q21154","2E-010")</f>
        <v>2E-010</v>
      </c>
      <c r="BQ125" s="2" t="str">
        <f>HYPERLINK("http://www.uniprot.org/uniprot/Q21154#expression","Q21154")</f>
        <v>Q21154</v>
      </c>
      <c r="BR125" s="2">
        <v>30</v>
      </c>
      <c r="BS125" s="2">
        <v>47</v>
      </c>
      <c r="BT125" s="2">
        <v>71</v>
      </c>
      <c r="BU125" s="2" t="s">
        <v>666</v>
      </c>
      <c r="BV125" s="9" t="str">
        <f>HYPERLINK(".\links\FLYBASE\AGAP002788-PA-FLYBASE.txt","FBpp0312504")</f>
        <v>FBpp0312504</v>
      </c>
      <c r="BW125" s="2" t="str">
        <f>HYPERLINK("http://flybase.org/reports/FBgn0038400#alliance_summary_container","2E-46")</f>
        <v>2E-46</v>
      </c>
      <c r="BX125" s="2">
        <v>226</v>
      </c>
      <c r="BY125" s="2">
        <v>39</v>
      </c>
      <c r="BZ125" s="2">
        <v>56</v>
      </c>
      <c r="CA125" s="2">
        <v>103</v>
      </c>
      <c r="CB125" s="9" t="str">
        <f>HYPERLINK(".\links\CDD\AGAP002788-PA-CDD.txt","ApoO, Apolipoprotein O")</f>
        <v>ApoO, Apolipoprotein O</v>
      </c>
      <c r="CC125" s="13">
        <v>2.9999999999999999E-22</v>
      </c>
      <c r="CD125" s="2">
        <v>83.1</v>
      </c>
      <c r="CE125" s="2" t="s">
        <v>667</v>
      </c>
      <c r="CF125" s="2" t="s">
        <v>668</v>
      </c>
      <c r="CG125" s="9" t="str">
        <f>HYPERLINK(".\links\KOG\AGAP002788-PA-KOG.txt","Uncharacterized conserved protein")</f>
        <v>Uncharacterized conserved protein</v>
      </c>
      <c r="CH125" s="13">
        <v>2.9999999999999999E-21</v>
      </c>
      <c r="CI125" s="2">
        <v>90.4</v>
      </c>
      <c r="CJ125" s="2" t="s">
        <v>669</v>
      </c>
      <c r="CK125" s="2" t="s">
        <v>101</v>
      </c>
      <c r="CL125" s="9" t="str">
        <f>HYPERLINK(".\links\PFAM\AGAP002788-PA-PFAM.txt","ApoO, Apolipoprotein O")</f>
        <v>ApoO, Apolipoprotein O</v>
      </c>
      <c r="CM125" s="13">
        <v>6.0000000000000001E-23</v>
      </c>
      <c r="CN125" s="2">
        <v>83.1</v>
      </c>
      <c r="CO125" s="2" t="s">
        <v>667</v>
      </c>
      <c r="CP125" s="9" t="str">
        <f>HYPERLINK(".\links\SMART\AGAP002788-PA-SMART.txt","PGRP, Animal peptidoglycan recognition proteins homologous to Bacteriophage T3 lysozyme")</f>
        <v>PGRP, Animal peptidoglycan recognition proteins homologous to Bacteriophage T3 lysozyme</v>
      </c>
      <c r="CQ125" s="13">
        <v>0.24</v>
      </c>
      <c r="CR125" s="2">
        <v>23.2</v>
      </c>
      <c r="CS125" s="2" t="s">
        <v>670</v>
      </c>
      <c r="CT125" s="2" t="s">
        <v>661</v>
      </c>
      <c r="CU125" s="2" t="s">
        <v>661</v>
      </c>
      <c r="CV125" s="2" t="s">
        <v>661</v>
      </c>
      <c r="CW125" s="2" t="str">
        <f>HYPERLINK(".\links\pep\AGAP002788-PA-pep.txt","AGAP002788-PA")</f>
        <v>AGAP002788-PA</v>
      </c>
      <c r="CX125" s="2" t="s">
        <v>88</v>
      </c>
      <c r="CY125" s="2">
        <v>233</v>
      </c>
      <c r="CZ125" s="2" t="s">
        <v>103</v>
      </c>
      <c r="DA125" s="2">
        <v>0</v>
      </c>
      <c r="DB125" s="2">
        <v>0</v>
      </c>
      <c r="DD125" s="2" t="str">
        <f>HYPERLINK("https://www.kegg.jp/kegg-bin/search_pathway_text?map=aga&amp;keyword=AGAP002788&amp;mode=1&amp;viewImage=true","AGAP002788")</f>
        <v>AGAP002788</v>
      </c>
      <c r="DE125" s="2" t="s">
        <v>656</v>
      </c>
      <c r="DF125" s="2" t="s">
        <v>657</v>
      </c>
      <c r="DG125" s="2" t="s">
        <v>89</v>
      </c>
      <c r="DH125" s="2" t="str">
        <f>HYPERLINK("https://vectorbase.org/vectorbase/app/record/gene/AGAP002788","AGAP002788-RA")</f>
        <v>AGAP002788-RA</v>
      </c>
      <c r="DI125" s="2" t="s">
        <v>158</v>
      </c>
      <c r="DJ125" s="2">
        <v>996</v>
      </c>
      <c r="DK125" s="2" t="str">
        <f>HYPERLINK(".\links\netoglyc\AGAP002788-PA-netoglyc.txt","0")</f>
        <v>0</v>
      </c>
      <c r="DL125" s="2">
        <v>10.3</v>
      </c>
      <c r="DM125" s="2">
        <v>9</v>
      </c>
      <c r="DN125" s="2">
        <v>5.2</v>
      </c>
      <c r="DO125" s="2" t="s">
        <v>94</v>
      </c>
      <c r="DP125" s="2" t="s">
        <v>89</v>
      </c>
      <c r="DQ125" s="2" t="str">
        <f>HYPERLINK(".\links\Sigp\AGAP002788-PA-SigP.txt","SIG")</f>
        <v>SIG</v>
      </c>
      <c r="DR125" s="2" t="s">
        <v>404</v>
      </c>
      <c r="DS125" s="2">
        <v>25.483000000000001</v>
      </c>
      <c r="DT125" s="2">
        <v>8.77</v>
      </c>
      <c r="DU125" s="2">
        <v>23.077000000000002</v>
      </c>
      <c r="DV125" s="2">
        <v>8.2899999999999991</v>
      </c>
      <c r="DW125" s="2" t="s">
        <v>664</v>
      </c>
      <c r="DX125" s="2">
        <v>233</v>
      </c>
      <c r="DY125" s="12" t="str">
        <f>HYPERLINK(".\links\tmhmm\AGAP002788-PA-tmhmm.txt","1")</f>
        <v>1</v>
      </c>
      <c r="DZ125" s="2">
        <v>8.1999999999999993</v>
      </c>
      <c r="EA125" s="2">
        <v>37.299999999999997</v>
      </c>
      <c r="EB125" s="2">
        <v>54.5</v>
      </c>
      <c r="EC125" s="2" t="str">
        <f>HYPERLINK(".\links\gpi\AGAP002788-PA-gpi.txt","Y-NoSP")</f>
        <v>Y-NoSP</v>
      </c>
      <c r="ED125" s="2">
        <v>0.21</v>
      </c>
      <c r="EF125" s="2">
        <v>4</v>
      </c>
      <c r="EG125" s="2" t="str">
        <f>HYPERLINK(".\links\pep\AGAP002788-PA-sulf.txt","1")</f>
        <v>1</v>
      </c>
      <c r="EH125" s="2" t="s">
        <v>89</v>
      </c>
      <c r="EI125" s="2">
        <v>10.300429184549399</v>
      </c>
      <c r="EJ125" s="2">
        <v>5.15021459227468</v>
      </c>
      <c r="EK125" s="2">
        <v>9.0128755364806903</v>
      </c>
      <c r="EL125" s="2">
        <v>14.1630901287554</v>
      </c>
      <c r="EM125" s="2" t="s">
        <v>89</v>
      </c>
      <c r="EN125" s="2" t="s">
        <v>89</v>
      </c>
      <c r="EO125" s="2">
        <v>1</v>
      </c>
      <c r="EP125" s="2" t="s">
        <v>89</v>
      </c>
      <c r="EQ125" s="2" t="s">
        <v>89</v>
      </c>
      <c r="ER125" s="2" t="s">
        <v>89</v>
      </c>
      <c r="ES125" s="2" t="s">
        <v>89</v>
      </c>
      <c r="ET125" s="2" t="str">
        <f>HYPERLINK(".\links\REFSEQ-INVERTEBRATE\AGAP002788-PA-REFSEQ-INVERTEBRATE.txt","AGAP002788-PA")</f>
        <v>AGAP002788-PA</v>
      </c>
      <c r="EU125" s="2" t="str">
        <f>HYPERLINK("http://www.ncbi.nlm.nih.gov/sutils/blink.cgi?pid=XP_312131.3","1E-173")</f>
        <v>1E-173</v>
      </c>
      <c r="EV125" s="2" t="str">
        <f>HYPERLINK("http://www.ncbi.nlm.nih.gov/protein/XP_312131.3","XP_312131.3")</f>
        <v>XP_312131.3</v>
      </c>
      <c r="EW125" s="2">
        <v>100</v>
      </c>
      <c r="EX125" s="2">
        <v>100</v>
      </c>
      <c r="EY125" s="2">
        <v>100</v>
      </c>
      <c r="EZ125" s="2" t="s">
        <v>95</v>
      </c>
    </row>
    <row r="126" spans="1:156" x14ac:dyDescent="0.25">
      <c r="A126" s="2" t="s">
        <v>2774</v>
      </c>
      <c r="B126" s="2">
        <v>-0.84632785745775696</v>
      </c>
      <c r="C126" s="2">
        <f t="shared" si="1"/>
        <v>0.55619864785502027</v>
      </c>
      <c r="D126" s="2">
        <v>6.1098229971612099</v>
      </c>
      <c r="E126" s="2">
        <v>12.5635117540868</v>
      </c>
      <c r="F126" s="2">
        <v>3.9335187346390202E-4</v>
      </c>
      <c r="G126" s="2">
        <v>2.2744723335808702E-2</v>
      </c>
      <c r="H126" s="2" t="s">
        <v>86</v>
      </c>
      <c r="I126" s="2" t="s">
        <v>87</v>
      </c>
      <c r="J126" s="2" t="str">
        <f>HYPERLINK("https://vectorbase.org/vectorbase/app/record/gene/AGAP012034","AGAP012034-RA")</f>
        <v>AGAP012034-RA</v>
      </c>
      <c r="K126" s="2" t="str">
        <f>HYPERLINK(".\links\pep\AGAP012034-PA-pep.txt","AGAP012034-PA")</f>
        <v>AGAP012034-PA</v>
      </c>
      <c r="L126" s="12" t="s">
        <v>88</v>
      </c>
      <c r="M126" s="2">
        <v>435</v>
      </c>
      <c r="N126" s="2">
        <v>0</v>
      </c>
      <c r="O126" s="2">
        <v>1</v>
      </c>
      <c r="P126" s="2" t="s">
        <v>89</v>
      </c>
      <c r="Q126" s="9" t="s">
        <v>2775</v>
      </c>
      <c r="R126" s="2" t="s">
        <v>303</v>
      </c>
      <c r="S126" s="2" t="str">
        <f>HYPERLINK(".\links\CDD\AGAP012034-PA-CDD.txt","CDD")</f>
        <v>CDD</v>
      </c>
      <c r="T126" s="2">
        <v>1.9999999999999999E-44</v>
      </c>
      <c r="U126" s="2">
        <v>100.4</v>
      </c>
      <c r="V126" s="2" t="s">
        <v>2776</v>
      </c>
      <c r="W126" s="10" t="s">
        <v>2777</v>
      </c>
      <c r="X126" s="2" t="s">
        <v>1643</v>
      </c>
      <c r="Y126" s="2" t="str">
        <f>HYPERLINK(".\links\MEROPS\AGAP012034-PA-MEROPS.txt","MEROPS")</f>
        <v>MEROPS</v>
      </c>
      <c r="Z126" s="2">
        <v>0</v>
      </c>
      <c r="AA126" s="2">
        <v>100.4</v>
      </c>
      <c r="AB126" s="14" t="s">
        <v>89</v>
      </c>
      <c r="AC126" s="14" t="str">
        <f>HYPERLINK(".\links\Sigp\AGAP012034-PA-SigP.txt","SIG")</f>
        <v>SIG</v>
      </c>
      <c r="AD126" s="2" t="s">
        <v>2206</v>
      </c>
      <c r="AE126" s="2">
        <v>48.752000000000002</v>
      </c>
      <c r="AF126" s="2">
        <v>8.92</v>
      </c>
      <c r="AG126" s="2">
        <v>45.222000000000001</v>
      </c>
      <c r="AH126" s="2">
        <v>8.77</v>
      </c>
      <c r="AI126" s="2" t="s">
        <v>2778</v>
      </c>
      <c r="AJ126" s="14">
        <v>0</v>
      </c>
      <c r="AK126" s="2" t="s">
        <v>89</v>
      </c>
      <c r="AL126" s="2" t="s">
        <v>89</v>
      </c>
      <c r="AM126" s="2" t="s">
        <v>89</v>
      </c>
      <c r="AN126" s="14" t="str">
        <f>HYPERLINK(".\links\gpi\AGAP012034-PA-gpi.txt","N")</f>
        <v>N</v>
      </c>
      <c r="AO126" s="15" t="str">
        <f>HYPERLINK(".\links\netoglyc\AGAP012034-PA-netoglyc.txt","18")</f>
        <v>18</v>
      </c>
      <c r="AP126" s="14">
        <v>16.600000000000001</v>
      </c>
      <c r="AQ126" s="2">
        <v>6</v>
      </c>
      <c r="AR126" s="2">
        <v>3.4</v>
      </c>
      <c r="AS126" s="2" t="s">
        <v>94</v>
      </c>
      <c r="AT126" s="9" t="str">
        <f>HYPERLINK(".\links\NR-LIGHT\AGAP012034-PA-NR-LIGHT.txt","AGAP012036-PA")</f>
        <v>AGAP012036-PA</v>
      </c>
      <c r="AU126" s="2" t="str">
        <f>HYPERLINK("http://www.ncbi.nlm.nih.gov/sutils/blink.cgi?pid=XP_552175.3","1E-144")</f>
        <v>1E-144</v>
      </c>
      <c r="AV126" s="2" t="str">
        <f>HYPERLINK("http://www.ncbi.nlm.nih.gov/protein/XP_552175.3","XP_552175.3")</f>
        <v>XP_552175.3</v>
      </c>
      <c r="AW126" s="2">
        <v>63</v>
      </c>
      <c r="AX126" s="2">
        <v>71</v>
      </c>
      <c r="AY126" s="2">
        <v>116</v>
      </c>
      <c r="AZ126" s="2" t="s">
        <v>95</v>
      </c>
      <c r="BA126" s="9" t="str">
        <f>HYPERLINK(".\links\REFSEQ-INVERTEBRATE\AGAP012034-PA-REFSEQ-INVERTEBRATE.txt","AGAP012036-PA")</f>
        <v>AGAP012036-PA</v>
      </c>
      <c r="BB126" s="2" t="str">
        <f>HYPERLINK("http://www.ncbi.nlm.nih.gov/sutils/blink.cgi?pid=XP_552175.3","1E-144")</f>
        <v>1E-144</v>
      </c>
      <c r="BC126" s="2" t="str">
        <f>HYPERLINK("http://www.ncbi.nlm.nih.gov/protein/XP_552175.3","XP_552175.3")</f>
        <v>XP_552175.3</v>
      </c>
      <c r="BD126" s="2">
        <v>63</v>
      </c>
      <c r="BE126" s="2">
        <v>71</v>
      </c>
      <c r="BF126" s="2">
        <v>116</v>
      </c>
      <c r="BG126" s="2" t="s">
        <v>95</v>
      </c>
      <c r="BH126" s="9" t="str">
        <f>HYPERLINK(".\links\REFSEQ-PROTOZOA\AGAP012034-PA-REFSEQ-PROTOZOA.txt","transmembrane protease, serine 2")</f>
        <v>transmembrane protease, serine 2</v>
      </c>
      <c r="BI126" s="2" t="str">
        <f>HYPERLINK("http://www.ncbi.nlm.nih.gov/sutils/blink.cgi?pid=XP_005853973.1","1E-015")</f>
        <v>1E-015</v>
      </c>
      <c r="BJ126" s="2" t="str">
        <f>HYPERLINK("http://www.ncbi.nlm.nih.gov/protein/XP_005853973.1","XP_005853973.1")</f>
        <v>XP_005853973.1</v>
      </c>
      <c r="BK126" s="2">
        <v>28</v>
      </c>
      <c r="BL126" s="2">
        <v>48</v>
      </c>
      <c r="BM126" s="2">
        <v>40</v>
      </c>
      <c r="BN126" s="2" t="s">
        <v>1574</v>
      </c>
      <c r="BO126" s="9" t="str">
        <f>HYPERLINK(".\links\SWISSP\AGAP012034-PA-SWISSP.txt","Phenoloxidase-activating factor 1")</f>
        <v>Phenoloxidase-activating factor 1</v>
      </c>
      <c r="BP126" s="2" t="str">
        <f>HYPERLINK("http://www.uniprot.org/uniprot/O97366","8E-031")</f>
        <v>8E-031</v>
      </c>
      <c r="BQ126" s="2" t="str">
        <f>HYPERLINK("http://www.uniprot.org/uniprot/O97366#expression","O97366")</f>
        <v>O97366</v>
      </c>
      <c r="BR126" s="2">
        <v>27</v>
      </c>
      <c r="BS126" s="2">
        <v>44</v>
      </c>
      <c r="BT126" s="2">
        <v>118</v>
      </c>
      <c r="BU126" s="2" t="s">
        <v>2779</v>
      </c>
      <c r="BV126" s="9" t="str">
        <f>HYPERLINK(".\links\FLYBASE\AGAP012034-PA-FLYBASE.txt","FBpp0078543")</f>
        <v>FBpp0078543</v>
      </c>
      <c r="BW126" s="2" t="str">
        <f>HYPERLINK("http://flybase.org/reports/FBgn0027930#alliance_summary_container","2E-35")</f>
        <v>2E-35</v>
      </c>
      <c r="BX126" s="2">
        <v>390</v>
      </c>
      <c r="BY126" s="2">
        <v>28</v>
      </c>
      <c r="BZ126" s="2">
        <v>44</v>
      </c>
      <c r="CA126" s="2">
        <v>111</v>
      </c>
      <c r="CB126" s="9" t="str">
        <f>HYPERLINK(".\links\CDD\AGAP012034-PA-CDD.txt","Tryp_SPc, Trypsin-like serine protease")</f>
        <v>Tryp_SPc, Trypsin-like serine protease</v>
      </c>
      <c r="CC126" s="13">
        <v>1.9999999999999999E-44</v>
      </c>
      <c r="CD126" s="2">
        <v>100.4</v>
      </c>
      <c r="CE126" s="2" t="s">
        <v>758</v>
      </c>
      <c r="CF126" s="2" t="s">
        <v>2780</v>
      </c>
      <c r="CG126" s="9" t="str">
        <f>HYPERLINK(".\links\KOG\AGAP012034-PA-KOG.txt","Trypsin")</f>
        <v>Trypsin</v>
      </c>
      <c r="CH126" s="13">
        <v>9.9999999999999993E-40</v>
      </c>
      <c r="CI126" s="2">
        <v>94.5</v>
      </c>
      <c r="CJ126" s="2" t="s">
        <v>760</v>
      </c>
      <c r="CK126" s="2" t="s">
        <v>393</v>
      </c>
      <c r="CL126" s="9" t="str">
        <f>HYPERLINK(".\links\PFAM\AGAP012034-PA-PFAM.txt","Trypsin, Trypsin")</f>
        <v>Trypsin, Trypsin</v>
      </c>
      <c r="CM126" s="13">
        <v>2.0000000000000002E-31</v>
      </c>
      <c r="CN126" s="2">
        <v>100.5</v>
      </c>
      <c r="CO126" s="2" t="s">
        <v>761</v>
      </c>
      <c r="CP126" s="9" t="str">
        <f>HYPERLINK(".\links\SMART\AGAP012034-PA-SMART.txt","Tryp_SPc, Trypsin-like serine protease")</f>
        <v>Tryp_SPc, Trypsin-like serine protease</v>
      </c>
      <c r="CQ126" s="13">
        <v>1.9999999999999999E-44</v>
      </c>
      <c r="CR126" s="2">
        <v>102.2</v>
      </c>
      <c r="CS126" s="2" t="s">
        <v>762</v>
      </c>
      <c r="CT126" s="2" t="s">
        <v>2776</v>
      </c>
      <c r="CU126" s="2" t="s">
        <v>2776</v>
      </c>
      <c r="CV126" s="2" t="s">
        <v>2776</v>
      </c>
      <c r="CW126" s="2" t="str">
        <f>HYPERLINK(".\links\pep\AGAP012034-PA-pep.txt","AGAP012034-PA")</f>
        <v>AGAP012034-PA</v>
      </c>
      <c r="CX126" s="2" t="s">
        <v>88</v>
      </c>
      <c r="CY126" s="2">
        <v>435</v>
      </c>
      <c r="CZ126" s="2" t="s">
        <v>103</v>
      </c>
      <c r="DA126" s="2" t="s">
        <v>2781</v>
      </c>
      <c r="DB126" s="2">
        <v>0</v>
      </c>
      <c r="DC126" s="2">
        <v>1</v>
      </c>
      <c r="DD126" s="2" t="str">
        <f>HYPERLINK("https://www.kegg.jp/kegg-bin/search_pathway_text?map=aga&amp;keyword=AGAP012034&amp;mode=1&amp;viewImage=true","AGAP012034")</f>
        <v>AGAP012034</v>
      </c>
      <c r="DE126" s="2" t="s">
        <v>2774</v>
      </c>
      <c r="DF126" s="2" t="s">
        <v>86</v>
      </c>
      <c r="DG126" s="2" t="s">
        <v>87</v>
      </c>
      <c r="DH126" s="2" t="str">
        <f>HYPERLINK("https://vectorbase.org/vectorbase/app/record/gene/AGAP012034","AGAP012034-RA")</f>
        <v>AGAP012034-RA</v>
      </c>
      <c r="DI126" s="2" t="s">
        <v>105</v>
      </c>
      <c r="DJ126" s="2">
        <v>1443</v>
      </c>
      <c r="DK126" s="2" t="str">
        <f>HYPERLINK(".\links\netoglyc\AGAP012034-PA-netoglyc.txt","18")</f>
        <v>18</v>
      </c>
      <c r="DL126" s="2">
        <v>16.600000000000001</v>
      </c>
      <c r="DM126" s="2">
        <v>6</v>
      </c>
      <c r="DN126" s="2">
        <v>3.4</v>
      </c>
      <c r="DO126" s="2" t="s">
        <v>94</v>
      </c>
      <c r="DP126" s="2" t="s">
        <v>89</v>
      </c>
      <c r="DQ126" s="2" t="str">
        <f>HYPERLINK(".\links\Sigp\AGAP012034-PA-SigP.txt","SIG")</f>
        <v>SIG</v>
      </c>
      <c r="DR126" s="2" t="s">
        <v>2206</v>
      </c>
      <c r="DS126" s="2">
        <v>48.752000000000002</v>
      </c>
      <c r="DT126" s="2">
        <v>8.92</v>
      </c>
      <c r="DU126" s="2">
        <v>45.222000000000001</v>
      </c>
      <c r="DV126" s="2">
        <v>8.77</v>
      </c>
      <c r="DW126" s="2" t="s">
        <v>2778</v>
      </c>
      <c r="DX126" s="2">
        <v>435</v>
      </c>
      <c r="DY126" s="12">
        <v>0</v>
      </c>
      <c r="DZ126" s="2" t="s">
        <v>89</v>
      </c>
      <c r="EA126" s="2" t="s">
        <v>89</v>
      </c>
      <c r="EB126" s="2" t="s">
        <v>89</v>
      </c>
      <c r="EC126" s="2" t="str">
        <f>HYPERLINK(".\links\gpi\AGAP012034-PA-gpi.txt","Y-NoSP")</f>
        <v>Y-NoSP</v>
      </c>
      <c r="ED126" s="2">
        <v>0.23</v>
      </c>
      <c r="EF126" s="2">
        <v>16</v>
      </c>
      <c r="EG126" s="2" t="s">
        <v>89</v>
      </c>
      <c r="EH126" s="2" t="s">
        <v>89</v>
      </c>
      <c r="EI126" s="2">
        <v>16.551724137931</v>
      </c>
      <c r="EJ126" s="2">
        <v>3.4482758620689702</v>
      </c>
      <c r="EK126" s="2">
        <v>5.9770114942528698</v>
      </c>
      <c r="EL126" s="2">
        <v>9.4252873563218404</v>
      </c>
      <c r="EM126" s="2" t="s">
        <v>89</v>
      </c>
      <c r="EN126" s="2">
        <v>1</v>
      </c>
      <c r="EO126" s="2">
        <v>1</v>
      </c>
      <c r="EP126" s="2" t="s">
        <v>89</v>
      </c>
      <c r="EQ126" s="2" t="s">
        <v>89</v>
      </c>
      <c r="ER126" s="2" t="s">
        <v>89</v>
      </c>
      <c r="ES126" s="2" t="s">
        <v>89</v>
      </c>
      <c r="ET126" s="2" t="str">
        <f>HYPERLINK(".\links\REFSEQ-INVERTEBRATE\AGAP012034-PA-REFSEQ-INVERTEBRATE.txt","AGAP012036-PA")</f>
        <v>AGAP012036-PA</v>
      </c>
      <c r="EU126" s="2" t="str">
        <f>HYPERLINK("http://www.ncbi.nlm.nih.gov/sutils/blink.cgi?pid=XP_552175.3","0.0")</f>
        <v>0.0</v>
      </c>
      <c r="EV126" s="2" t="str">
        <f>HYPERLINK("http://www.ncbi.nlm.nih.gov/protein/XP_552175.3","XP_552175.3")</f>
        <v>XP_552175.3</v>
      </c>
      <c r="EW126" s="2">
        <v>64</v>
      </c>
      <c r="EX126" s="2">
        <v>71</v>
      </c>
      <c r="EY126" s="2">
        <v>116</v>
      </c>
      <c r="EZ126" s="2" t="s">
        <v>95</v>
      </c>
    </row>
    <row r="127" spans="1:156" x14ac:dyDescent="0.25">
      <c r="A127" s="2" t="s">
        <v>1210</v>
      </c>
      <c r="B127" s="2">
        <v>-0.84726856299685804</v>
      </c>
      <c r="C127" s="2">
        <f t="shared" si="1"/>
        <v>0.55583609818978785</v>
      </c>
      <c r="D127" s="2">
        <v>6.0192303737687602</v>
      </c>
      <c r="E127" s="2">
        <v>16.6636532430838</v>
      </c>
      <c r="F127" s="2">
        <v>4.4627929543003501E-5</v>
      </c>
      <c r="G127" s="2">
        <v>5.0766686888233901E-3</v>
      </c>
      <c r="H127" s="2" t="s">
        <v>465</v>
      </c>
      <c r="I127" s="2" t="s">
        <v>466</v>
      </c>
      <c r="J127" s="8" t="s">
        <v>1211</v>
      </c>
      <c r="Q127" s="9"/>
      <c r="W127" s="10"/>
      <c r="AB127" s="9"/>
      <c r="AC127" s="9"/>
      <c r="AJ127" s="9"/>
      <c r="AN127" s="9"/>
      <c r="AO127" s="11"/>
      <c r="AP127" s="9"/>
      <c r="AT127" s="9"/>
      <c r="BA127" s="9"/>
      <c r="BH127" s="9"/>
      <c r="BO127" s="9"/>
      <c r="BV127" s="9"/>
      <c r="CB127" s="9"/>
      <c r="CG127" s="9"/>
      <c r="CL127" s="9"/>
      <c r="CP127" s="9"/>
      <c r="DE127" s="2" t="s">
        <v>1210</v>
      </c>
      <c r="DF127" s="2" t="s">
        <v>465</v>
      </c>
      <c r="DG127" s="2" t="s">
        <v>466</v>
      </c>
      <c r="DH127" s="8" t="s">
        <v>1211</v>
      </c>
      <c r="DI127" s="2" t="s">
        <v>140</v>
      </c>
      <c r="DJ127" s="2">
        <v>950</v>
      </c>
      <c r="DQ127" s="2" t="s">
        <v>1212</v>
      </c>
      <c r="DS127" s="2">
        <v>25419</v>
      </c>
      <c r="DT127" s="2">
        <v>5.36</v>
      </c>
      <c r="DX127" s="2">
        <v>217</v>
      </c>
      <c r="DY127" s="12"/>
    </row>
    <row r="128" spans="1:156" x14ac:dyDescent="0.25">
      <c r="A128" s="2" t="s">
        <v>2940</v>
      </c>
      <c r="B128" s="2">
        <v>-0.84972760113171497</v>
      </c>
      <c r="C128" s="2">
        <f t="shared" si="1"/>
        <v>0.55488949622078321</v>
      </c>
      <c r="D128" s="2">
        <v>4.8367671419040903</v>
      </c>
      <c r="E128" s="2">
        <v>10.7614867370045</v>
      </c>
      <c r="F128" s="2">
        <v>1.03634099931631E-3</v>
      </c>
      <c r="G128" s="2">
        <v>4.1988035584383403E-2</v>
      </c>
      <c r="H128" s="2" t="s">
        <v>2941</v>
      </c>
      <c r="I128" s="2" t="s">
        <v>466</v>
      </c>
      <c r="J128" s="8" t="s">
        <v>2942</v>
      </c>
      <c r="Q128" s="9"/>
      <c r="W128" s="10"/>
      <c r="AB128" s="9"/>
      <c r="AC128" s="9"/>
      <c r="AJ128" s="9"/>
      <c r="AN128" s="9"/>
      <c r="AO128" s="11"/>
      <c r="AP128" s="9"/>
      <c r="AT128" s="9"/>
      <c r="BA128" s="9"/>
      <c r="BH128" s="9"/>
      <c r="BO128" s="9"/>
      <c r="BV128" s="9"/>
      <c r="CB128" s="9"/>
      <c r="CG128" s="9"/>
      <c r="CL128" s="9"/>
      <c r="CP128" s="9"/>
      <c r="DE128" s="2" t="s">
        <v>2940</v>
      </c>
      <c r="DF128" s="2" t="s">
        <v>2941</v>
      </c>
      <c r="DG128" s="2" t="s">
        <v>466</v>
      </c>
      <c r="DH128" s="8" t="s">
        <v>2942</v>
      </c>
      <c r="DI128" s="2" t="s">
        <v>140</v>
      </c>
      <c r="DJ128" s="2">
        <v>545</v>
      </c>
      <c r="DQ128" s="2" t="s">
        <v>468</v>
      </c>
      <c r="DS128" s="2">
        <v>15387</v>
      </c>
      <c r="DT128" s="2">
        <v>11.48</v>
      </c>
      <c r="DX128" s="2">
        <v>137</v>
      </c>
      <c r="DY128" s="12"/>
    </row>
    <row r="129" spans="1:156" x14ac:dyDescent="0.25">
      <c r="A129" s="2" t="s">
        <v>946</v>
      </c>
      <c r="B129" s="2">
        <v>-0.85143352196833</v>
      </c>
      <c r="C129" s="2">
        <f t="shared" si="1"/>
        <v>0.55423375256519614</v>
      </c>
      <c r="D129" s="2">
        <v>5.61763273990233</v>
      </c>
      <c r="E129" s="2">
        <v>16.7608400341046</v>
      </c>
      <c r="F129" s="2">
        <v>4.2399340743551903E-5</v>
      </c>
      <c r="G129" s="2">
        <v>5.0458718121086698E-3</v>
      </c>
      <c r="H129" s="2" t="s">
        <v>947</v>
      </c>
      <c r="I129" s="2" t="s">
        <v>87</v>
      </c>
      <c r="J129" s="2" t="str">
        <f>HYPERLINK("https://vectorbase.org/vectorbase/app/record/gene/AGAP003770","AGAP003770-RA")</f>
        <v>AGAP003770-RA</v>
      </c>
      <c r="K129" s="2" t="str">
        <f>HYPERLINK(".\links\pep\AGAP003770-PA-pep.txt","AGAP003770-PA")</f>
        <v>AGAP003770-PA</v>
      </c>
      <c r="L129" s="12" t="s">
        <v>88</v>
      </c>
      <c r="M129" s="2">
        <v>163</v>
      </c>
      <c r="N129" s="2">
        <v>0</v>
      </c>
      <c r="O129" s="2">
        <v>0</v>
      </c>
      <c r="P129" s="2" t="s">
        <v>948</v>
      </c>
      <c r="Q129" s="9" t="s">
        <v>949</v>
      </c>
      <c r="R129" s="2" t="s">
        <v>245</v>
      </c>
      <c r="S129" s="2" t="str">
        <f>HYPERLINK(".\links\NR-LIGHT\AGAP003770-PA-NR-LIGHT.txt","NR-LIGHT")</f>
        <v>NR-LIGHT</v>
      </c>
      <c r="T129" s="2">
        <v>3.9999999999999998E-81</v>
      </c>
      <c r="U129" s="2">
        <v>100</v>
      </c>
      <c r="V129" s="2" t="s">
        <v>950</v>
      </c>
      <c r="W129" s="10" t="s">
        <v>951</v>
      </c>
      <c r="X129" s="2" t="s">
        <v>245</v>
      </c>
      <c r="Y129" s="2" t="str">
        <f>HYPERLINK(".\links\ARTHORPODA\AGAP003770-PA-ARTHORPODA.txt","ARTHORPODA")</f>
        <v>ARTHORPODA</v>
      </c>
      <c r="Z129" s="13">
        <v>0</v>
      </c>
      <c r="AA129" s="2">
        <v>100</v>
      </c>
      <c r="AB129" s="14" t="s">
        <v>89</v>
      </c>
      <c r="AC129" s="14" t="str">
        <f>HYPERLINK(".\links\Sigp\AGAP003770-PA-SigP.txt","CYT")</f>
        <v>CYT</v>
      </c>
      <c r="AD129" s="2" t="s">
        <v>89</v>
      </c>
      <c r="AE129" s="2">
        <v>19.335000000000001</v>
      </c>
      <c r="AF129" s="2">
        <v>10.24</v>
      </c>
      <c r="AG129" s="2" t="s">
        <v>89</v>
      </c>
      <c r="AH129" s="2" t="s">
        <v>89</v>
      </c>
      <c r="AI129" s="2" t="s">
        <v>373</v>
      </c>
      <c r="AJ129" s="14">
        <v>0</v>
      </c>
      <c r="AK129" s="2" t="s">
        <v>89</v>
      </c>
      <c r="AL129" s="2" t="s">
        <v>89</v>
      </c>
      <c r="AM129" s="2" t="s">
        <v>89</v>
      </c>
      <c r="AN129" s="14" t="str">
        <f>HYPERLINK(".\links\gpi\AGAP003770-PA-gpi.txt","N")</f>
        <v>N</v>
      </c>
      <c r="AO129" s="15" t="str">
        <f>HYPERLINK(".\links\netoglyc\AGAP003770-PA-netoglyc.txt","0")</f>
        <v>0</v>
      </c>
      <c r="AP129" s="14">
        <v>8.6</v>
      </c>
      <c r="AQ129" s="2">
        <v>6.1</v>
      </c>
      <c r="AR129" s="2">
        <v>6.1</v>
      </c>
      <c r="AS129" s="2" t="s">
        <v>94</v>
      </c>
      <c r="AT129" s="9" t="str">
        <f>HYPERLINK(".\links\NR-LIGHT\AGAP003770-PA-NR-LIGHT.txt","AGAP003770-PA")</f>
        <v>AGAP003770-PA</v>
      </c>
      <c r="AU129" s="2" t="str">
        <f>HYPERLINK("http://www.ncbi.nlm.nih.gov/sutils/blink.cgi?pid=XP_310309.5","6E-093")</f>
        <v>6E-093</v>
      </c>
      <c r="AV129" s="2" t="str">
        <f>HYPERLINK("http://www.ncbi.nlm.nih.gov/protein/XP_310309.5","XP_310309.5")</f>
        <v>XP_310309.5</v>
      </c>
      <c r="AW129" s="2">
        <v>100</v>
      </c>
      <c r="AX129" s="2">
        <v>100</v>
      </c>
      <c r="AY129" s="2">
        <v>100</v>
      </c>
      <c r="AZ129" s="2" t="s">
        <v>95</v>
      </c>
      <c r="BA129" s="9" t="str">
        <f>HYPERLINK(".\links\REFSEQ-INVERTEBRATE\AGAP003770-PA-REFSEQ-INVERTEBRATE.txt","AGAP003770-PA")</f>
        <v>AGAP003770-PA</v>
      </c>
      <c r="BB129" s="2" t="str">
        <f>HYPERLINK("http://www.ncbi.nlm.nih.gov/sutils/blink.cgi?pid=XP_310309.5","5E-093")</f>
        <v>5E-093</v>
      </c>
      <c r="BC129" s="2" t="str">
        <f>HYPERLINK("http://www.ncbi.nlm.nih.gov/protein/XP_310309.5","XP_310309.5")</f>
        <v>XP_310309.5</v>
      </c>
      <c r="BD129" s="2">
        <v>100</v>
      </c>
      <c r="BE129" s="2">
        <v>100</v>
      </c>
      <c r="BF129" s="2">
        <v>100</v>
      </c>
      <c r="BG129" s="2" t="s">
        <v>95</v>
      </c>
      <c r="BH129" s="9" t="str">
        <f>HYPERLINK(".\links\REFSEQ-PROTOZOA\AGAP003770-PA-REFSEQ-PROTOZOA.txt","conserved Plasmodium protein, unknown function")</f>
        <v>conserved Plasmodium protein, unknown function</v>
      </c>
      <c r="BI129" s="2" t="str">
        <f>HYPERLINK("http://www.ncbi.nlm.nih.gov/sutils/blink.cgi?pid=XP_678180.2","2.4")</f>
        <v>2.4</v>
      </c>
      <c r="BJ129" s="2" t="str">
        <f>HYPERLINK("http://www.ncbi.nlm.nih.gov/protein/XP_678180.2","XP_678180.2")</f>
        <v>XP_678180.2</v>
      </c>
      <c r="BK129" s="2">
        <v>25</v>
      </c>
      <c r="BL129" s="2">
        <v>45</v>
      </c>
      <c r="BM129" s="2">
        <v>3</v>
      </c>
      <c r="BN129" s="2" t="s">
        <v>952</v>
      </c>
      <c r="BO129" s="9" t="str">
        <f>HYPERLINK(".\links\SWISSP\AGAP003770-PA-SWISSP.txt","39S ribosomal protein L51, mitochondrial")</f>
        <v>39S ribosomal protein L51, mitochondrial</v>
      </c>
      <c r="BP129" s="2" t="str">
        <f>HYPERLINK("http://www.uniprot.org/uniprot/Q29PG4","3E-063")</f>
        <v>3E-063</v>
      </c>
      <c r="BQ129" s="2" t="str">
        <f>HYPERLINK("http://www.uniprot.org/uniprot/Q29PG4#expression","Q29PG4")</f>
        <v>Q29PG4</v>
      </c>
      <c r="BR129" s="2">
        <v>77</v>
      </c>
      <c r="BS129" s="2">
        <v>89</v>
      </c>
      <c r="BT129" s="2">
        <v>81</v>
      </c>
      <c r="BU129" s="2" t="s">
        <v>953</v>
      </c>
      <c r="BV129" s="9" t="str">
        <f>HYPERLINK(".\links\FLYBASE\AGAP003770-PA-FLYBASE.txt","FBpp0079304")</f>
        <v>FBpp0079304</v>
      </c>
      <c r="BW129" s="2" t="str">
        <f>HYPERLINK("http://flybase.org/reports/FBgn0032053#alliance_summary_container","2E-81")</f>
        <v>2E-81</v>
      </c>
      <c r="BX129" s="2">
        <v>174</v>
      </c>
      <c r="BY129" s="2">
        <v>69</v>
      </c>
      <c r="BZ129" s="2">
        <v>82</v>
      </c>
      <c r="CA129" s="2">
        <v>93</v>
      </c>
      <c r="CB129" s="9" t="str">
        <f>HYPERLINK(".\links\CDD\AGAP003770-PA-CDD.txt","MRP-L51, Mitochondrial ribosomal subunit")</f>
        <v>MRP-L51, Mitochondrial ribosomal subunit</v>
      </c>
      <c r="CC129" s="13">
        <v>1.9999999999999999E-40</v>
      </c>
      <c r="CD129" s="2">
        <v>101.1</v>
      </c>
      <c r="CE129" s="2" t="s">
        <v>954</v>
      </c>
      <c r="CF129" s="2" t="s">
        <v>955</v>
      </c>
      <c r="CG129" s="9" t="str">
        <f>HYPERLINK(".\links\KOG\AGAP003770-PA-KOG.txt","Uncharacterized conserved protein")</f>
        <v>Uncharacterized conserved protein</v>
      </c>
      <c r="CH129" s="13">
        <v>1.9999999999999999E-47</v>
      </c>
      <c r="CI129" s="2">
        <v>79.8</v>
      </c>
      <c r="CJ129" s="2" t="s">
        <v>956</v>
      </c>
      <c r="CK129" s="2" t="s">
        <v>101</v>
      </c>
      <c r="CL129" s="9" t="str">
        <f>HYPERLINK(".\links\PFAM\AGAP003770-PA-PFAM.txt","MRP-L51, Mitochondrial ribosomal subunit")</f>
        <v>MRP-L51, Mitochondrial ribosomal subunit</v>
      </c>
      <c r="CM129" s="13">
        <v>4E-41</v>
      </c>
      <c r="CN129" s="2">
        <v>101.1</v>
      </c>
      <c r="CO129" s="2" t="s">
        <v>954</v>
      </c>
      <c r="CP129" s="9" t="str">
        <f>HYPERLINK(".\links\SMART\AGAP003770-PA-SMART.txt","PepX_N, X-Prolyl dipeptidyl aminopeptidase PepX, N-terminal")</f>
        <v>PepX_N, X-Prolyl dipeptidyl aminopeptidase PepX, N-terminal</v>
      </c>
      <c r="CQ129" s="13">
        <v>0.32</v>
      </c>
      <c r="CR129" s="2">
        <v>61.5</v>
      </c>
      <c r="CS129" s="2" t="s">
        <v>957</v>
      </c>
      <c r="CT129" s="2" t="s">
        <v>950</v>
      </c>
      <c r="CU129" s="2" t="s">
        <v>950</v>
      </c>
      <c r="CV129" s="2" t="s">
        <v>950</v>
      </c>
      <c r="CW129" s="2" t="str">
        <f>HYPERLINK(".\links\pep\AGAP003770-PA-pep.txt","AGAP003770-PA")</f>
        <v>AGAP003770-PA</v>
      </c>
      <c r="CX129" s="2" t="s">
        <v>88</v>
      </c>
      <c r="CY129" s="2">
        <v>163</v>
      </c>
      <c r="CZ129" s="2" t="s">
        <v>103</v>
      </c>
      <c r="DA129" s="2" t="s">
        <v>958</v>
      </c>
      <c r="DB129" s="2">
        <v>0</v>
      </c>
      <c r="DC129" s="2">
        <v>0</v>
      </c>
      <c r="DD129" s="2" t="str">
        <f>HYPERLINK("https://www.kegg.jp/kegg-bin/search_pathway_text?map=aga&amp;keyword=AGAP003770&amp;mode=1&amp;viewImage=true","AGAP003770")</f>
        <v>AGAP003770</v>
      </c>
      <c r="DE129" s="2" t="s">
        <v>946</v>
      </c>
      <c r="DF129" s="2" t="s">
        <v>947</v>
      </c>
      <c r="DG129" s="2" t="s">
        <v>87</v>
      </c>
      <c r="DH129" s="2" t="str">
        <f>HYPERLINK("https://vectorbase.org/vectorbase/app/record/gene/AGAP003770","AGAP003770-RA")</f>
        <v>AGAP003770-RA</v>
      </c>
      <c r="DI129" s="2" t="s">
        <v>122</v>
      </c>
      <c r="DJ129" s="2">
        <v>840</v>
      </c>
      <c r="DK129" s="2" t="str">
        <f>HYPERLINK(".\links\netoglyc\AGAP003770-PA-netoglyc.txt","0")</f>
        <v>0</v>
      </c>
      <c r="DL129" s="2">
        <v>8.6</v>
      </c>
      <c r="DM129" s="2">
        <v>6.1</v>
      </c>
      <c r="DN129" s="2">
        <v>6.1</v>
      </c>
      <c r="DO129" s="2" t="s">
        <v>94</v>
      </c>
      <c r="DP129" s="2" t="s">
        <v>89</v>
      </c>
      <c r="DQ129" s="2" t="str">
        <f>HYPERLINK(".\links\Sigp\AGAP003770-PA-SigP.txt","CYT")</f>
        <v>CYT</v>
      </c>
      <c r="DR129" s="2" t="s">
        <v>89</v>
      </c>
      <c r="DS129" s="2">
        <v>19.335000000000001</v>
      </c>
      <c r="DT129" s="2">
        <v>10.24</v>
      </c>
      <c r="DU129" s="2" t="s">
        <v>89</v>
      </c>
      <c r="DV129" s="2" t="s">
        <v>89</v>
      </c>
      <c r="DW129" s="2" t="s">
        <v>373</v>
      </c>
      <c r="DX129" s="2">
        <v>163</v>
      </c>
      <c r="DY129" s="12">
        <v>0</v>
      </c>
      <c r="DZ129" s="2" t="s">
        <v>89</v>
      </c>
      <c r="EA129" s="2" t="s">
        <v>89</v>
      </c>
      <c r="EB129" s="2" t="s">
        <v>89</v>
      </c>
      <c r="EC129" s="2" t="str">
        <f>HYPERLINK(".\links\gpi\AGAP003770-PA-gpi.txt","N")</f>
        <v>N</v>
      </c>
      <c r="ED129" s="2">
        <v>0.34</v>
      </c>
      <c r="EF129" s="2">
        <v>2</v>
      </c>
      <c r="EG129" s="2" t="s">
        <v>89</v>
      </c>
      <c r="EH129" s="2" t="s">
        <v>89</v>
      </c>
      <c r="EI129" s="2">
        <v>8.5889570552147205</v>
      </c>
      <c r="EJ129" s="2">
        <v>6.1349693251533699</v>
      </c>
      <c r="EK129" s="2">
        <v>6.1349693251533699</v>
      </c>
      <c r="EL129" s="2">
        <v>12.269938650306701</v>
      </c>
      <c r="EM129" s="2" t="s">
        <v>89</v>
      </c>
      <c r="EN129" s="2" t="s">
        <v>89</v>
      </c>
      <c r="EO129" s="2" t="s">
        <v>89</v>
      </c>
      <c r="EP129" s="2" t="s">
        <v>89</v>
      </c>
      <c r="EQ129" s="2" t="s">
        <v>89</v>
      </c>
      <c r="ER129" s="2" t="s">
        <v>89</v>
      </c>
      <c r="ES129" s="2" t="s">
        <v>89</v>
      </c>
      <c r="ET129" s="2" t="str">
        <f>HYPERLINK(".\links\REFSEQ-INVERTEBRATE\AGAP003770-PA-REFSEQ-INVERTEBRATE.txt","AGAP003770-PA")</f>
        <v>AGAP003770-PA</v>
      </c>
      <c r="EU129" s="2" t="str">
        <f>HYPERLINK("http://www.ncbi.nlm.nih.gov/sutils/blink.cgi?pid=XP_310309.5","1E-119")</f>
        <v>1E-119</v>
      </c>
      <c r="EV129" s="2" t="str">
        <f>HYPERLINK("http://www.ncbi.nlm.nih.gov/protein/XP_310309.5","XP_310309.5")</f>
        <v>XP_310309.5</v>
      </c>
      <c r="EW129" s="2">
        <v>100</v>
      </c>
      <c r="EX129" s="2">
        <v>100</v>
      </c>
      <c r="EY129" s="2">
        <v>100</v>
      </c>
      <c r="EZ129" s="2" t="s">
        <v>95</v>
      </c>
    </row>
    <row r="130" spans="1:156" x14ac:dyDescent="0.25">
      <c r="A130" s="2" t="s">
        <v>1196</v>
      </c>
      <c r="B130" s="2">
        <v>-0.85278850863418298</v>
      </c>
      <c r="C130" s="2">
        <f t="shared" si="1"/>
        <v>0.55371345771995806</v>
      </c>
      <c r="D130" s="2">
        <v>4.1600690169327699</v>
      </c>
      <c r="E130" s="2">
        <v>12.238874288674801</v>
      </c>
      <c r="F130" s="2">
        <v>4.6804058238530201E-4</v>
      </c>
      <c r="G130" s="2">
        <v>2.54604392585813E-2</v>
      </c>
      <c r="H130" s="2" t="s">
        <v>86</v>
      </c>
      <c r="I130" s="2" t="s">
        <v>87</v>
      </c>
      <c r="J130" s="2" t="str">
        <f>HYPERLINK("https://vectorbase.org/vectorbase/app/record/gene/AGAP004627","AGAP004627-RA")</f>
        <v>AGAP004627-RA</v>
      </c>
      <c r="K130" s="2" t="str">
        <f>HYPERLINK(".\links\pep\AGAP004627-PA-pep.txt","AGAP004627-PA")</f>
        <v>AGAP004627-PA</v>
      </c>
      <c r="L130" s="12" t="s">
        <v>88</v>
      </c>
      <c r="M130" s="2">
        <v>123</v>
      </c>
      <c r="N130" s="2">
        <v>0</v>
      </c>
      <c r="O130" s="2">
        <v>0</v>
      </c>
      <c r="P130" s="2" t="s">
        <v>89</v>
      </c>
      <c r="Q130" s="9" t="s">
        <v>1197</v>
      </c>
      <c r="R130" s="2" t="s">
        <v>700</v>
      </c>
      <c r="S130" s="2" t="str">
        <f>HYPERLINK(".\links\REFSEQ-INVERTEBRATE\AGAP004627-PA-REFSEQ-INVERTEBRATE.txt","REFSEQ-INVERTEBRATE")</f>
        <v>REFSEQ-INVERTEBRATE</v>
      </c>
      <c r="T130" s="2">
        <v>1.9999999999999999E-67</v>
      </c>
      <c r="V130" s="2" t="s">
        <v>1198</v>
      </c>
      <c r="W130" s="10" t="s">
        <v>1199</v>
      </c>
      <c r="X130" s="2" t="s">
        <v>1010</v>
      </c>
      <c r="Y130" s="2" t="str">
        <f>HYPERLINK(".\links\REFSEQ-INVERTEBRATE\AGAP004627-PA-REFSEQ-INVERTEBRATE.txt","REFSEQ-INVERTEBRATE")</f>
        <v>REFSEQ-INVERTEBRATE</v>
      </c>
      <c r="Z130" s="13">
        <v>5.9999999999999999E-89</v>
      </c>
      <c r="AB130" s="14" t="s">
        <v>89</v>
      </c>
      <c r="AC130" s="14" t="str">
        <f>HYPERLINK(".\links\Sigp\AGAP004627-PA-SigP.txt","BL/ANC")</f>
        <v>BL/ANC</v>
      </c>
      <c r="AD130" s="2" t="s">
        <v>89</v>
      </c>
      <c r="AE130" s="2">
        <v>14.422000000000001</v>
      </c>
      <c r="AF130" s="2">
        <v>9.8800000000000008</v>
      </c>
      <c r="AG130" s="2" t="s">
        <v>89</v>
      </c>
      <c r="AH130" s="2" t="s">
        <v>89</v>
      </c>
      <c r="AI130" s="2" t="s">
        <v>1200</v>
      </c>
      <c r="AJ130" s="14" t="str">
        <f>HYPERLINK(".\links\tmhmm\AGAP004627-PA-tmhmm.txt","1")</f>
        <v>1</v>
      </c>
      <c r="AK130" s="2">
        <v>17.899999999999999</v>
      </c>
      <c r="AL130" s="2">
        <v>55.3</v>
      </c>
      <c r="AM130" s="2">
        <v>26.8</v>
      </c>
      <c r="AN130" s="14" t="str">
        <f>HYPERLINK(".\links\gpi\AGAP004627-PA-gpi.txt","N")</f>
        <v>N</v>
      </c>
      <c r="AO130" s="15" t="str">
        <f>HYPERLINK(".\links\netoglyc\AGAP004627-PA-netoglyc.txt","5")</f>
        <v>5</v>
      </c>
      <c r="AP130" s="14">
        <v>13.8</v>
      </c>
      <c r="AQ130" s="2">
        <v>4.0999999999999996</v>
      </c>
      <c r="AR130" s="2">
        <v>3.3</v>
      </c>
      <c r="AS130" s="2" t="s">
        <v>94</v>
      </c>
      <c r="AT130" s="9" t="str">
        <f>HYPERLINK(".\links\NR-LIGHT\AGAP004627-PA-NR-LIGHT.txt","AGAP004627-PA")</f>
        <v>AGAP004627-PA</v>
      </c>
      <c r="AU130" s="2" t="str">
        <f>HYPERLINK("http://www.ncbi.nlm.nih.gov/sutils/blink.cgi?pid=XP_315191.3","3E-067")</f>
        <v>3E-067</v>
      </c>
      <c r="AV130" s="2" t="str">
        <f>HYPERLINK("http://www.ncbi.nlm.nih.gov/protein/XP_315191.3","XP_315191.3")</f>
        <v>XP_315191.3</v>
      </c>
      <c r="AW130" s="2">
        <v>100</v>
      </c>
      <c r="AX130" s="2">
        <v>100</v>
      </c>
      <c r="AY130" s="2">
        <v>100</v>
      </c>
      <c r="AZ130" s="2" t="s">
        <v>95</v>
      </c>
      <c r="BA130" s="9" t="str">
        <f>HYPERLINK(".\links\REFSEQ-INVERTEBRATE\AGAP004627-PA-REFSEQ-INVERTEBRATE.txt","AGAP004627-PA")</f>
        <v>AGAP004627-PA</v>
      </c>
      <c r="BB130" s="2" t="str">
        <f>HYPERLINK("http://www.ncbi.nlm.nih.gov/sutils/blink.cgi?pid=XP_315191.3","2E-067")</f>
        <v>2E-067</v>
      </c>
      <c r="BC130" s="2" t="str">
        <f>HYPERLINK("http://www.ncbi.nlm.nih.gov/protein/XP_315191.3","XP_315191.3")</f>
        <v>XP_315191.3</v>
      </c>
      <c r="BD130" s="2">
        <v>100</v>
      </c>
      <c r="BE130" s="2">
        <v>100</v>
      </c>
      <c r="BF130" s="2">
        <v>100</v>
      </c>
      <c r="BG130" s="2" t="s">
        <v>95</v>
      </c>
      <c r="BH130" s="9" t="str">
        <f>HYPERLINK(".\links\REFSEQ-PROTOZOA\AGAP004627-PA-REFSEQ-PROTOZOA.txt","hypothetical protein PHYSODRAFT_553859")</f>
        <v>hypothetical protein PHYSODRAFT_553859</v>
      </c>
      <c r="BI130" s="2" t="str">
        <f>HYPERLINK("http://www.ncbi.nlm.nih.gov/sutils/blink.cgi?pid=XP_009514506.1","1.3")</f>
        <v>1.3</v>
      </c>
      <c r="BJ130" s="2" t="str">
        <f>HYPERLINK("http://www.ncbi.nlm.nih.gov/protein/XP_009514506.1","XP_009514506.1")</f>
        <v>XP_009514506.1</v>
      </c>
      <c r="BK130" s="2">
        <v>29</v>
      </c>
      <c r="BL130" s="2">
        <v>50</v>
      </c>
      <c r="BM130" s="2">
        <v>7</v>
      </c>
      <c r="BN130" s="2" t="s">
        <v>1201</v>
      </c>
      <c r="BO130" s="9" t="str">
        <f>HYPERLINK(".\links\SWISSP\AGAP004627-PA-SWISSP.txt","Photosystem II CP43 reaction center protein")</f>
        <v>Photosystem II CP43 reaction center protein</v>
      </c>
      <c r="BP130" s="2" t="str">
        <f>HYPERLINK("http://www.uniprot.org/uniprot/P10804","0.91")</f>
        <v>0.91</v>
      </c>
      <c r="BQ130" s="2" t="str">
        <f>HYPERLINK("http://www.uniprot.org/uniprot/P10804#expression","P10804")</f>
        <v>P10804</v>
      </c>
      <c r="BR130" s="2">
        <v>28</v>
      </c>
      <c r="BS130" s="2">
        <v>43</v>
      </c>
      <c r="BT130" s="2">
        <v>19</v>
      </c>
      <c r="BU130" s="2" t="s">
        <v>1202</v>
      </c>
      <c r="BV130" s="9" t="str">
        <f>HYPERLINK(".\links\FLYBASE\AGAP004627-PA-FLYBASE.txt","FBpp0070155")</f>
        <v>FBpp0070155</v>
      </c>
      <c r="BW130" s="2" t="str">
        <f>HYPERLINK("http://flybase.org/reports/FBgn0029529#alliance_summary_container","4E-40")</f>
        <v>4E-40</v>
      </c>
      <c r="BX130" s="2">
        <v>114</v>
      </c>
      <c r="BY130" s="2">
        <v>54</v>
      </c>
      <c r="BZ130" s="2">
        <v>67</v>
      </c>
      <c r="CA130" s="2">
        <v>101</v>
      </c>
      <c r="CB130" s="9" t="str">
        <f>HYPERLINK(".\links\CDD\AGAP004627-PA-CDD.txt","Exonuc_V_gamma, Exodeoxyribonuclease V, gamma subunit")</f>
        <v>Exonuc_V_gamma, Exodeoxyribonuclease V, gamma subunit</v>
      </c>
      <c r="CC130" s="13">
        <v>0.95</v>
      </c>
      <c r="CD130" s="2">
        <v>4.7</v>
      </c>
      <c r="CE130" s="2" t="s">
        <v>1203</v>
      </c>
      <c r="CF130" s="2" t="s">
        <v>1204</v>
      </c>
      <c r="CG130" s="9" t="str">
        <f>HYPERLINK(".\links\KOG\AGAP004627-PA-KOG.txt","Hydroxypyruvate isomerase")</f>
        <v>Hydroxypyruvate isomerase</v>
      </c>
      <c r="CH130" s="13">
        <v>0.18</v>
      </c>
      <c r="CI130" s="2">
        <v>16.3</v>
      </c>
      <c r="CJ130" s="2" t="s">
        <v>1205</v>
      </c>
      <c r="CK130" s="2" t="s">
        <v>1206</v>
      </c>
      <c r="CL130" s="9" t="str">
        <f>HYPERLINK(".\links\PFAM\AGAP004627-PA-PFAM.txt","Exonuc_V_gamma, Exodeoxyribonuclease V, gamma subunit")</f>
        <v>Exonuc_V_gamma, Exodeoxyribonuclease V, gamma subunit</v>
      </c>
      <c r="CM130" s="13">
        <v>0.24</v>
      </c>
      <c r="CN130" s="2">
        <v>4.7</v>
      </c>
      <c r="CO130" s="2" t="s">
        <v>1203</v>
      </c>
      <c r="CP130" s="9" t="str">
        <f>HYPERLINK(".\links\SMART\AGAP004627-PA-SMART.txt","CLECT, C-type lectin (CTL) or carbohydrate-recognition domain (CRD)")</f>
        <v>CLECT, C-type lectin (CTL) or carbohydrate-recognition domain (CRD)</v>
      </c>
      <c r="CQ130" s="13">
        <v>0.23</v>
      </c>
      <c r="CR130" s="2">
        <v>16.100000000000001</v>
      </c>
      <c r="CS130" s="2" t="s">
        <v>1207</v>
      </c>
      <c r="CT130" s="2" t="s">
        <v>1198</v>
      </c>
      <c r="CU130" s="2" t="s">
        <v>1198</v>
      </c>
      <c r="CV130" s="2" t="s">
        <v>1198</v>
      </c>
      <c r="CW130" s="2" t="str">
        <f>HYPERLINK(".\links\pep\AGAP004627-PA-pep.txt","AGAP004627-PA")</f>
        <v>AGAP004627-PA</v>
      </c>
      <c r="CX130" s="2" t="s">
        <v>88</v>
      </c>
      <c r="CY130" s="2">
        <v>123</v>
      </c>
      <c r="CZ130" s="2" t="s">
        <v>103</v>
      </c>
      <c r="DA130" s="2" t="s">
        <v>1208</v>
      </c>
      <c r="DB130" s="2">
        <v>0</v>
      </c>
      <c r="DC130" s="2">
        <v>0</v>
      </c>
      <c r="DD130" s="2" t="str">
        <f>HYPERLINK("https://www.kegg.jp/kegg-bin/search_pathway_text?map=aga&amp;keyword=AGAP004627&amp;mode=1&amp;viewImage=true","AGAP004627")</f>
        <v>AGAP004627</v>
      </c>
      <c r="DE130" s="2" t="s">
        <v>1196</v>
      </c>
      <c r="DF130" s="2" t="s">
        <v>86</v>
      </c>
      <c r="DG130" s="2" t="s">
        <v>87</v>
      </c>
      <c r="DH130" s="2" t="str">
        <f>HYPERLINK("https://vectorbase.org/vectorbase/app/record/gene/AGAP004627","AGAP004627-RA")</f>
        <v>AGAP004627-RA</v>
      </c>
      <c r="DI130" s="2" t="s">
        <v>158</v>
      </c>
      <c r="DJ130" s="2">
        <v>517</v>
      </c>
      <c r="DK130" s="2" t="str">
        <f>HYPERLINK(".\links\netoglyc\AGAP004627-PA-netoglyc.txt","5")</f>
        <v>5</v>
      </c>
      <c r="DL130" s="2">
        <v>13.8</v>
      </c>
      <c r="DM130" s="2">
        <v>4.0999999999999996</v>
      </c>
      <c r="DN130" s="2">
        <v>3.3</v>
      </c>
      <c r="DO130" s="2" t="s">
        <v>94</v>
      </c>
      <c r="DP130" s="2" t="s">
        <v>89</v>
      </c>
      <c r="DQ130" s="2" t="str">
        <f>HYPERLINK(".\links\Sigp\AGAP004627-PA-SigP.txt","BL/ANC")</f>
        <v>BL/ANC</v>
      </c>
      <c r="DR130" s="2" t="s">
        <v>89</v>
      </c>
      <c r="DS130" s="2">
        <v>14.422000000000001</v>
      </c>
      <c r="DT130" s="2">
        <v>9.8800000000000008</v>
      </c>
      <c r="DU130" s="2" t="s">
        <v>89</v>
      </c>
      <c r="DV130" s="2" t="s">
        <v>89</v>
      </c>
      <c r="DW130" s="2" t="s">
        <v>1200</v>
      </c>
      <c r="DX130" s="2">
        <v>123</v>
      </c>
      <c r="DY130" s="12" t="str">
        <f>HYPERLINK(".\links\tmhmm\AGAP004627-PA-tmhmm.txt","1")</f>
        <v>1</v>
      </c>
      <c r="DZ130" s="2">
        <v>17.899999999999999</v>
      </c>
      <c r="EA130" s="2">
        <v>55.3</v>
      </c>
      <c r="EB130" s="2">
        <v>26.8</v>
      </c>
      <c r="EC130" s="2" t="str">
        <f>HYPERLINK(".\links\gpi\AGAP004627-PA-gpi.txt","Y-NoSP")</f>
        <v>Y-NoSP</v>
      </c>
      <c r="ED130" s="2">
        <v>0.26</v>
      </c>
      <c r="EE130" s="2" t="s">
        <v>1209</v>
      </c>
      <c r="EF130" s="2">
        <v>1</v>
      </c>
      <c r="EG130" s="2" t="s">
        <v>89</v>
      </c>
      <c r="EH130" s="2" t="s">
        <v>89</v>
      </c>
      <c r="EI130" s="2">
        <v>13.821138211382101</v>
      </c>
      <c r="EJ130" s="2">
        <v>3.2520325203252001</v>
      </c>
      <c r="EK130" s="2">
        <v>4.0650406504065</v>
      </c>
      <c r="EL130" s="2">
        <v>7.3170731707317103</v>
      </c>
      <c r="EM130" s="2" t="s">
        <v>89</v>
      </c>
      <c r="EN130" s="2" t="s">
        <v>89</v>
      </c>
      <c r="EO130" s="2" t="s">
        <v>89</v>
      </c>
      <c r="EP130" s="2" t="s">
        <v>89</v>
      </c>
      <c r="EQ130" s="2" t="s">
        <v>89</v>
      </c>
      <c r="ER130" s="2" t="s">
        <v>89</v>
      </c>
      <c r="ES130" s="2" t="s">
        <v>89</v>
      </c>
      <c r="ET130" s="2" t="str">
        <f>HYPERLINK(".\links\REFSEQ-INVERTEBRATE\AGAP004627-PA-REFSEQ-INVERTEBRATE.txt","AGAP004627-PA")</f>
        <v>AGAP004627-PA</v>
      </c>
      <c r="EU130" s="2" t="str">
        <f>HYPERLINK("http://www.ncbi.nlm.nih.gov/sutils/blink.cgi?pid=XP_315191.3","8E-89")</f>
        <v>8E-89</v>
      </c>
      <c r="EV130" s="2" t="str">
        <f>HYPERLINK("http://www.ncbi.nlm.nih.gov/protein/XP_315191.3","XP_315191.3")</f>
        <v>XP_315191.3</v>
      </c>
      <c r="EW130" s="2">
        <v>100</v>
      </c>
      <c r="EX130" s="2">
        <v>100</v>
      </c>
      <c r="EY130" s="2">
        <v>100</v>
      </c>
      <c r="EZ130" s="2" t="s">
        <v>95</v>
      </c>
    </row>
    <row r="131" spans="1:156" x14ac:dyDescent="0.25">
      <c r="A131" s="2" t="s">
        <v>1844</v>
      </c>
      <c r="B131" s="2">
        <v>-0.85519247052192104</v>
      </c>
      <c r="C131" s="2">
        <f t="shared" ref="C131:C194" si="2">2^B131</f>
        <v>0.55279157359579623</v>
      </c>
      <c r="D131" s="2">
        <v>7.64308756680001</v>
      </c>
      <c r="E131" s="2">
        <v>12.6487765620302</v>
      </c>
      <c r="F131" s="2">
        <v>3.7581153159200098E-4</v>
      </c>
      <c r="G131" s="2">
        <v>2.1864838124918198E-2</v>
      </c>
      <c r="H131" s="2" t="s">
        <v>1845</v>
      </c>
      <c r="I131" s="2" t="s">
        <v>87</v>
      </c>
      <c r="J131" s="2" t="str">
        <f>HYPERLINK("https://vectorbase.org/vectorbase/app/record/gene/AGAP007380","AGAP007380-RA")</f>
        <v>AGAP007380-RA</v>
      </c>
      <c r="K131" s="2" t="str">
        <f>HYPERLINK(".\links\pep\AGAP007380-PA-pep.txt","AGAP007380-PA")</f>
        <v>AGAP007380-PA</v>
      </c>
      <c r="L131" s="12" t="s">
        <v>88</v>
      </c>
      <c r="M131" s="2">
        <v>155</v>
      </c>
      <c r="N131" s="2">
        <v>0</v>
      </c>
      <c r="O131" s="2">
        <v>2</v>
      </c>
      <c r="P131" s="2" t="s">
        <v>1846</v>
      </c>
      <c r="Q131" s="9" t="s">
        <v>1847</v>
      </c>
      <c r="R131" s="2" t="s">
        <v>663</v>
      </c>
      <c r="S131" s="2" t="str">
        <f>HYPERLINK(".\links\NR-LIGHT\AGAP007380-PA-NR-LIGHT.txt","NR-LIGHT")</f>
        <v>NR-LIGHT</v>
      </c>
      <c r="T131" s="2">
        <v>9.9999999999999997E-65</v>
      </c>
      <c r="U131" s="2">
        <v>101.9</v>
      </c>
      <c r="V131" s="2" t="s">
        <v>1848</v>
      </c>
      <c r="W131" s="10" t="s">
        <v>1849</v>
      </c>
      <c r="X131" s="2" t="s">
        <v>663</v>
      </c>
      <c r="Y131" s="2" t="str">
        <f>HYPERLINK(".\links\REFSEQ-INVERTEBRATE\AGAP007380-PA-REFSEQ-INVERTEBRATE.txt","REFSEQ-INVERTEBRATE")</f>
        <v>REFSEQ-INVERTEBRATE</v>
      </c>
      <c r="Z131" s="13">
        <v>9.9999999999999999E-93</v>
      </c>
      <c r="AA131" s="2">
        <v>100</v>
      </c>
      <c r="AB131" s="14" t="s">
        <v>89</v>
      </c>
      <c r="AC131" s="14" t="str">
        <f>HYPERLINK(".\links\Sigp\AGAP007380-PA-SigP.txt","CYT")</f>
        <v>CYT</v>
      </c>
      <c r="AD131" s="2" t="s">
        <v>89</v>
      </c>
      <c r="AE131" s="2">
        <v>17.026</v>
      </c>
      <c r="AF131" s="2">
        <v>5.84</v>
      </c>
      <c r="AG131" s="2" t="s">
        <v>89</v>
      </c>
      <c r="AH131" s="2" t="s">
        <v>89</v>
      </c>
      <c r="AI131" s="2" t="s">
        <v>1850</v>
      </c>
      <c r="AJ131" s="14" t="str">
        <f>HYPERLINK(".\links\tmhmm\AGAP007380-PA-tmhmm.txt","1")</f>
        <v>1</v>
      </c>
      <c r="AK131" s="2">
        <v>14.2</v>
      </c>
      <c r="AL131" s="2">
        <v>34.200000000000003</v>
      </c>
      <c r="AM131" s="2">
        <v>51.6</v>
      </c>
      <c r="AN131" s="14" t="str">
        <f>HYPERLINK(".\links\gpi\AGAP007380-PA-gpi.txt","N")</f>
        <v>N</v>
      </c>
      <c r="AO131" s="15" t="str">
        <f>HYPERLINK(".\links\netoglyc\AGAP007380-PA-netoglyc.txt","2")</f>
        <v>2</v>
      </c>
      <c r="AP131" s="14">
        <v>16.8</v>
      </c>
      <c r="AQ131" s="2">
        <v>4.5</v>
      </c>
      <c r="AR131" s="2">
        <v>3.9</v>
      </c>
      <c r="AS131" s="2" t="s">
        <v>94</v>
      </c>
      <c r="AT131" s="9" t="str">
        <f>HYPERLINK(".\links\NR-LIGHT\AGAP007380-PA-NR-LIGHT.txt","AGAP007380-PA")</f>
        <v>AGAP007380-PA</v>
      </c>
      <c r="AU131" s="2" t="str">
        <f>HYPERLINK("http://www.ncbi.nlm.nih.gov/sutils/blink.cgi?pid=XP_001687945.1","1E-081")</f>
        <v>1E-081</v>
      </c>
      <c r="AV131" s="2" t="str">
        <f>HYPERLINK("http://www.ncbi.nlm.nih.gov/protein/XP_001687945.1","XP_001687945.1")</f>
        <v>XP_001687945.1</v>
      </c>
      <c r="AW131" s="2">
        <v>100</v>
      </c>
      <c r="AX131" s="2">
        <v>100</v>
      </c>
      <c r="AY131" s="2">
        <v>100</v>
      </c>
      <c r="AZ131" s="2" t="s">
        <v>95</v>
      </c>
      <c r="BA131" s="9" t="str">
        <f>HYPERLINK(".\links\REFSEQ-INVERTEBRATE\AGAP007380-PA-REFSEQ-INVERTEBRATE.txt","AGAP007380-PA")</f>
        <v>AGAP007380-PA</v>
      </c>
      <c r="BB131" s="2" t="str">
        <f>HYPERLINK("http://www.ncbi.nlm.nih.gov/sutils/blink.cgi?pid=XP_001687945.1","1E-081")</f>
        <v>1E-081</v>
      </c>
      <c r="BC131" s="2" t="str">
        <f>HYPERLINK("http://www.ncbi.nlm.nih.gov/protein/XP_001687945.1","XP_001687945.1")</f>
        <v>XP_001687945.1</v>
      </c>
      <c r="BD131" s="2">
        <v>100</v>
      </c>
      <c r="BE131" s="2">
        <v>100</v>
      </c>
      <c r="BF131" s="2">
        <v>100</v>
      </c>
      <c r="BG131" s="2" t="s">
        <v>95</v>
      </c>
      <c r="BH131" s="9" t="str">
        <f>HYPERLINK(".\links\REFSEQ-PROTOZOA\AGAP007380-PA-REFSEQ-PROTOZOA.txt","hypothetical protein, conserved")</f>
        <v>hypothetical protein, conserved</v>
      </c>
      <c r="BI131" s="2" t="str">
        <f>HYPERLINK("http://www.ncbi.nlm.nih.gov/sutils/blink.cgi?pid=XP_013440555.1","0.25")</f>
        <v>0.25</v>
      </c>
      <c r="BJ131" s="2" t="str">
        <f>HYPERLINK("http://www.ncbi.nlm.nih.gov/protein/XP_013440555.1","XP_013440555.1")</f>
        <v>XP_013440555.1</v>
      </c>
      <c r="BK131" s="2">
        <v>32</v>
      </c>
      <c r="BL131" s="2">
        <v>45</v>
      </c>
      <c r="BM131" s="2">
        <v>62</v>
      </c>
      <c r="BN131" s="2" t="s">
        <v>1014</v>
      </c>
      <c r="BO131" s="9" t="str">
        <f>HYPERLINK(".\links\SWISSP\AGAP007380-PA-SWISSP.txt","NADH dehydrogenase [ubiquinone] 1 beta subcomplex subunit 11, mitochondrial")</f>
        <v>NADH dehydrogenase [ubiquinone] 1 beta subcomplex subunit 11, mitochondrial</v>
      </c>
      <c r="BP131" s="2" t="str">
        <f>HYPERLINK("http://www.uniprot.org/uniprot/Q8HXG5","5E-012")</f>
        <v>5E-012</v>
      </c>
      <c r="BQ131" s="2" t="str">
        <f>HYPERLINK("http://www.uniprot.org/uniprot/Q8HXG5#expression","Q8HXG5")</f>
        <v>Q8HXG5</v>
      </c>
      <c r="BR131" s="2">
        <v>43</v>
      </c>
      <c r="BS131" s="2">
        <v>64</v>
      </c>
      <c r="BT131" s="2">
        <v>56</v>
      </c>
      <c r="BU131" s="2" t="s">
        <v>183</v>
      </c>
      <c r="BV131" s="9" t="str">
        <f>HYPERLINK(".\links\FLYBASE\AGAP007380-PA-FLYBASE.txt","FBpp0083126")</f>
        <v>FBpp0083126</v>
      </c>
      <c r="BW131" s="2" t="str">
        <f>HYPERLINK("http://flybase.org/reports/FBgn0027785#alliance_summary_container","6E-47")</f>
        <v>6E-47</v>
      </c>
      <c r="BX131" s="2">
        <v>150</v>
      </c>
      <c r="BY131" s="2">
        <v>49</v>
      </c>
      <c r="BZ131" s="2">
        <v>66</v>
      </c>
      <c r="CA131" s="2">
        <v>105</v>
      </c>
      <c r="CB131" s="9" t="str">
        <f>HYPERLINK(".\links\CDD\AGAP007380-PA-CDD.txt","ESSS, ESSS subunit of NADH:ubiquinone oxidoreductase (complex I)")</f>
        <v>ESSS, ESSS subunit of NADH:ubiquinone oxidoreductase (complex I)</v>
      </c>
      <c r="CC131" s="13">
        <v>4.9999999999999999E-29</v>
      </c>
      <c r="CD131" s="2">
        <v>110.5</v>
      </c>
      <c r="CE131" s="2" t="s">
        <v>1851</v>
      </c>
      <c r="CF131" s="2" t="s">
        <v>1852</v>
      </c>
      <c r="CG131" s="9" t="str">
        <f>HYPERLINK(".\links\KOG\AGAP007380-PA-KOG.txt","Uncharacterized conserved protein")</f>
        <v>Uncharacterized conserved protein</v>
      </c>
      <c r="CH131" s="13">
        <v>7.0000000000000003E-27</v>
      </c>
      <c r="CI131" s="2">
        <v>105.3</v>
      </c>
      <c r="CJ131" s="2" t="s">
        <v>1853</v>
      </c>
      <c r="CK131" s="2" t="s">
        <v>101</v>
      </c>
      <c r="CL131" s="9" t="str">
        <f>HYPERLINK(".\links\PFAM\AGAP007380-PA-PFAM.txt","ESSS, ESSS subunit of NADH:ubiquinone oxidoreductase (complex I)")</f>
        <v>ESSS, ESSS subunit of NADH:ubiquinone oxidoreductase (complex I)</v>
      </c>
      <c r="CM131" s="13">
        <v>9.9999999999999994E-30</v>
      </c>
      <c r="CN131" s="2">
        <v>110.5</v>
      </c>
      <c r="CO131" s="2" t="s">
        <v>1851</v>
      </c>
      <c r="CP131" s="9" t="str">
        <f>HYPERLINK(".\links\SMART\AGAP007380-PA-SMART.txt","PKS_PP, Phosphopantetheine attachment site")</f>
        <v>PKS_PP, Phosphopantetheine attachment site</v>
      </c>
      <c r="CQ131" s="13">
        <v>0.73</v>
      </c>
      <c r="CR131" s="2">
        <v>41.9</v>
      </c>
      <c r="CS131" s="2" t="s">
        <v>1854</v>
      </c>
      <c r="CT131" s="2" t="s">
        <v>1848</v>
      </c>
      <c r="CU131" s="2" t="s">
        <v>1848</v>
      </c>
      <c r="CV131" s="2" t="s">
        <v>1848</v>
      </c>
      <c r="CW131" s="2" t="str">
        <f>HYPERLINK(".\links\pep\AGAP007380-PA-pep.txt","AGAP007380-PA")</f>
        <v>AGAP007380-PA</v>
      </c>
      <c r="CX131" s="2" t="s">
        <v>88</v>
      </c>
      <c r="CY131" s="2">
        <v>155</v>
      </c>
      <c r="CZ131" s="2" t="s">
        <v>103</v>
      </c>
      <c r="DA131" s="2" t="s">
        <v>1855</v>
      </c>
      <c r="DB131" s="2">
        <v>0</v>
      </c>
      <c r="DC131" s="2">
        <v>2</v>
      </c>
      <c r="DD131" s="2" t="str">
        <f>HYPERLINK("https://www.kegg.jp/kegg-bin/search_pathway_text?map=aga&amp;keyword=AGAP007380&amp;mode=1&amp;viewImage=true","AGAP007380")</f>
        <v>AGAP007380</v>
      </c>
      <c r="DE131" s="2" t="s">
        <v>1844</v>
      </c>
      <c r="DF131" s="2" t="s">
        <v>1845</v>
      </c>
      <c r="DG131" s="2" t="s">
        <v>87</v>
      </c>
      <c r="DH131" s="2" t="str">
        <f>HYPERLINK("https://vectorbase.org/vectorbase/app/record/gene/AGAP007380","AGAP007380-RA")</f>
        <v>AGAP007380-RA</v>
      </c>
      <c r="DI131" s="2" t="s">
        <v>140</v>
      </c>
      <c r="DJ131" s="2">
        <v>907</v>
      </c>
      <c r="DK131" s="2" t="str">
        <f>HYPERLINK(".\links\netoglyc\AGAP007380-PA-netoglyc.txt","2")</f>
        <v>2</v>
      </c>
      <c r="DL131" s="2">
        <v>16.8</v>
      </c>
      <c r="DM131" s="2">
        <v>4.5</v>
      </c>
      <c r="DN131" s="2">
        <v>3.9</v>
      </c>
      <c r="DO131" s="2" t="s">
        <v>94</v>
      </c>
      <c r="DP131" s="2" t="s">
        <v>89</v>
      </c>
      <c r="DQ131" s="2" t="str">
        <f>HYPERLINK(".\links\Sigp\AGAP007380-PA-SigP.txt","CYT")</f>
        <v>CYT</v>
      </c>
      <c r="DR131" s="2" t="s">
        <v>89</v>
      </c>
      <c r="DS131" s="2">
        <v>17.026</v>
      </c>
      <c r="DT131" s="2">
        <v>5.84</v>
      </c>
      <c r="DU131" s="2" t="s">
        <v>89</v>
      </c>
      <c r="DV131" s="2" t="s">
        <v>89</v>
      </c>
      <c r="DW131" s="2" t="s">
        <v>1850</v>
      </c>
      <c r="DX131" s="2">
        <v>155</v>
      </c>
      <c r="DY131" s="12" t="str">
        <f>HYPERLINK(".\links\tmhmm\AGAP007380-PA-tmhmm.txt","1")</f>
        <v>1</v>
      </c>
      <c r="DZ131" s="2">
        <v>14.2</v>
      </c>
      <c r="EA131" s="2">
        <v>34.200000000000003</v>
      </c>
      <c r="EB131" s="2">
        <v>51.6</v>
      </c>
      <c r="EC131" s="2" t="str">
        <f>HYPERLINK(".\links\gpi\AGAP007380-PA-gpi.txt","N")</f>
        <v>N</v>
      </c>
      <c r="ED131" s="2">
        <v>0.33</v>
      </c>
      <c r="EF131" s="2">
        <v>1</v>
      </c>
      <c r="EG131" s="2" t="s">
        <v>89</v>
      </c>
      <c r="EH131" s="2" t="s">
        <v>89</v>
      </c>
      <c r="EI131" s="2">
        <v>16.7741935483871</v>
      </c>
      <c r="EJ131" s="2">
        <v>3.87096774193548</v>
      </c>
      <c r="EK131" s="2">
        <v>4.5161290322580596</v>
      </c>
      <c r="EL131" s="2">
        <v>8.3870967741935498</v>
      </c>
      <c r="EM131" s="2" t="s">
        <v>89</v>
      </c>
      <c r="EN131" s="2" t="s">
        <v>89</v>
      </c>
      <c r="EO131" s="2" t="s">
        <v>89</v>
      </c>
      <c r="EP131" s="2" t="s">
        <v>89</v>
      </c>
      <c r="EQ131" s="2" t="s">
        <v>89</v>
      </c>
      <c r="ER131" s="2" t="s">
        <v>89</v>
      </c>
      <c r="ES131" s="2" t="s">
        <v>89</v>
      </c>
      <c r="ET131" s="2" t="str">
        <f>HYPERLINK(".\links\REFSEQ-INVERTEBRATE\AGAP007380-PA-REFSEQ-INVERTEBRATE.txt","AGAP007380-PA")</f>
        <v>AGAP007380-PA</v>
      </c>
      <c r="EU131" s="2" t="str">
        <f>HYPERLINK("http://www.ncbi.nlm.nih.gov/sutils/blink.cgi?pid=XP_001687945.1","1E-110")</f>
        <v>1E-110</v>
      </c>
      <c r="EV131" s="2" t="str">
        <f>HYPERLINK("http://www.ncbi.nlm.nih.gov/protein/XP_001687945.1","XP_001687945.1")</f>
        <v>XP_001687945.1</v>
      </c>
      <c r="EW131" s="2">
        <v>100</v>
      </c>
      <c r="EX131" s="2">
        <v>100</v>
      </c>
      <c r="EY131" s="2">
        <v>100</v>
      </c>
      <c r="EZ131" s="2" t="s">
        <v>95</v>
      </c>
    </row>
    <row r="132" spans="1:156" x14ac:dyDescent="0.25">
      <c r="A132" s="2" t="s">
        <v>495</v>
      </c>
      <c r="B132" s="2">
        <v>-0.85527996149875396</v>
      </c>
      <c r="C132" s="2">
        <f t="shared" si="2"/>
        <v>0.55275805105159026</v>
      </c>
      <c r="D132" s="2">
        <v>7.5244276014748301</v>
      </c>
      <c r="E132" s="2">
        <v>11.999423808514599</v>
      </c>
      <c r="F132" s="2">
        <v>5.3217001319206397E-4</v>
      </c>
      <c r="G132" s="2">
        <v>2.7774579070862299E-2</v>
      </c>
      <c r="H132" s="2" t="s">
        <v>496</v>
      </c>
      <c r="I132" s="2" t="s">
        <v>87</v>
      </c>
      <c r="J132" s="2" t="str">
        <f>HYPERLINK("https://vectorbase.org/vectorbase/app/record/gene/AGAP001621","AGAP001621-RA")</f>
        <v>AGAP001621-RA</v>
      </c>
      <c r="K132" s="2" t="str">
        <f>HYPERLINK(".\links\pep\AGAP001621-PA-pep.txt","AGAP001621-PA")</f>
        <v>AGAP001621-PA</v>
      </c>
      <c r="L132" s="12" t="s">
        <v>88</v>
      </c>
      <c r="M132" s="2">
        <v>260</v>
      </c>
      <c r="N132" s="2">
        <v>0</v>
      </c>
      <c r="O132" s="2">
        <v>1</v>
      </c>
      <c r="P132" s="2" t="s">
        <v>497</v>
      </c>
      <c r="Q132" s="9" t="s">
        <v>498</v>
      </c>
      <c r="R132" s="2" t="s">
        <v>209</v>
      </c>
      <c r="S132" s="2" t="str">
        <f>HYPERLINK(".\links\REFSEQ-INVERTEBRATE\AGAP001621-PA-REFSEQ-INVERTEBRATE.txt","REFSEQ-INVERTEBRATE")</f>
        <v>REFSEQ-INVERTEBRATE</v>
      </c>
      <c r="T132" s="2">
        <v>0</v>
      </c>
      <c r="U132" s="2">
        <v>99.2</v>
      </c>
      <c r="V132" s="2" t="s">
        <v>499</v>
      </c>
      <c r="W132" s="10" t="s">
        <v>500</v>
      </c>
      <c r="X132" s="2" t="s">
        <v>209</v>
      </c>
      <c r="Y132" s="2" t="str">
        <f>HYPERLINK(".\links\ARTHORPODA\AGAP001621-PA-ARTHORPODA.txt","ARTHORPODA")</f>
        <v>ARTHORPODA</v>
      </c>
      <c r="Z132" s="2">
        <v>0</v>
      </c>
      <c r="AA132" s="2">
        <v>100</v>
      </c>
      <c r="AB132" s="14" t="s">
        <v>89</v>
      </c>
      <c r="AC132" s="14" t="str">
        <f>HYPERLINK(".\links\Sigp\AGAP001621-PA-SigP.txt","CYT")</f>
        <v>CYT</v>
      </c>
      <c r="AD132" s="2" t="s">
        <v>89</v>
      </c>
      <c r="AE132" s="2">
        <v>29.074999999999999</v>
      </c>
      <c r="AF132" s="2">
        <v>6.61</v>
      </c>
      <c r="AG132" s="2" t="s">
        <v>89</v>
      </c>
      <c r="AH132" s="2" t="s">
        <v>89</v>
      </c>
      <c r="AI132" s="2" t="s">
        <v>501</v>
      </c>
      <c r="AJ132" s="14">
        <v>0</v>
      </c>
      <c r="AK132" s="2" t="s">
        <v>89</v>
      </c>
      <c r="AL132" s="2" t="s">
        <v>89</v>
      </c>
      <c r="AM132" s="2" t="s">
        <v>89</v>
      </c>
      <c r="AN132" s="14" t="str">
        <f>HYPERLINK(".\links\gpi\AGAP001621-PA-gpi.txt","N")</f>
        <v>N</v>
      </c>
      <c r="AO132" s="15" t="str">
        <f>HYPERLINK(".\links\netoglyc\AGAP001621-PA-netoglyc.txt","1")</f>
        <v>1</v>
      </c>
      <c r="AP132" s="14">
        <v>9.1999999999999993</v>
      </c>
      <c r="AQ132" s="2">
        <v>6.5</v>
      </c>
      <c r="AR132" s="2">
        <v>3.8</v>
      </c>
      <c r="AS132" s="2" t="s">
        <v>94</v>
      </c>
      <c r="AT132" s="9" t="str">
        <f>HYPERLINK(".\links\NR-LIGHT\AGAP001621-PA-NR-LIGHT.txt","AGAP001621-PA")</f>
        <v>AGAP001621-PA</v>
      </c>
      <c r="AU132" s="2" t="str">
        <f>HYPERLINK("http://www.ncbi.nlm.nih.gov/sutils/blink.cgi?pid=XP_321478.5","1E-147")</f>
        <v>1E-147</v>
      </c>
      <c r="AV132" s="2" t="str">
        <f>HYPERLINK("http://www.ncbi.nlm.nih.gov/protein/XP_321478.5","XP_321478.5")</f>
        <v>XP_321478.5</v>
      </c>
      <c r="AW132" s="2">
        <v>100</v>
      </c>
      <c r="AX132" s="2">
        <v>100</v>
      </c>
      <c r="AY132" s="2">
        <v>100</v>
      </c>
      <c r="AZ132" s="2" t="s">
        <v>95</v>
      </c>
      <c r="BA132" s="9" t="str">
        <f>HYPERLINK(".\links\REFSEQ-INVERTEBRATE\AGAP001621-PA-REFSEQ-INVERTEBRATE.txt","AGAP001621-PB")</f>
        <v>AGAP001621-PB</v>
      </c>
      <c r="BB132" s="2" t="str">
        <f>HYPERLINK("http://www.ncbi.nlm.nih.gov/sutils/blink.cgi?pid=XP_003435889.1","1E-147")</f>
        <v>1E-147</v>
      </c>
      <c r="BC132" s="2" t="str">
        <f>HYPERLINK("http://www.ncbi.nlm.nih.gov/protein/XP_003435889.1","XP_003435889.1")</f>
        <v>XP_003435889.1</v>
      </c>
      <c r="BD132" s="2">
        <v>100</v>
      </c>
      <c r="BE132" s="2">
        <v>100</v>
      </c>
      <c r="BF132" s="2">
        <v>100</v>
      </c>
      <c r="BG132" s="2" t="s">
        <v>95</v>
      </c>
      <c r="BH132" s="9" t="str">
        <f>HYPERLINK(".\links\REFSEQ-PROTOZOA\AGAP001621-PA-REFSEQ-PROTOZOA.txt","hypothetical protein SARC_00284")</f>
        <v>hypothetical protein SARC_00284</v>
      </c>
      <c r="BI132" s="2" t="str">
        <f>HYPERLINK("http://www.ncbi.nlm.nih.gov/sutils/blink.cgi?pid=XP_014161484.1","1E-054")</f>
        <v>1E-054</v>
      </c>
      <c r="BJ132" s="2" t="str">
        <f>HYPERLINK("http://www.ncbi.nlm.nih.gov/protein/XP_014161484.1","XP_014161484.1")</f>
        <v>XP_014161484.1</v>
      </c>
      <c r="BK132" s="2">
        <v>48</v>
      </c>
      <c r="BL132" s="2">
        <v>61</v>
      </c>
      <c r="BM132" s="2">
        <v>83</v>
      </c>
      <c r="BN132" s="2" t="s">
        <v>168</v>
      </c>
      <c r="BO132" s="9" t="str">
        <f>HYPERLINK(".\links\SWISSP\AGAP001621-PA-SWISSP.txt","Pyridoxal phosphate homeostasis protein")</f>
        <v>Pyridoxal phosphate homeostasis protein</v>
      </c>
      <c r="BP132" s="2" t="str">
        <f>HYPERLINK("http://www.uniprot.org/uniprot/O94903","7E-065")</f>
        <v>7E-065</v>
      </c>
      <c r="BQ132" s="2" t="str">
        <f>HYPERLINK("http://www.uniprot.org/uniprot/O94903#expression","O94903")</f>
        <v>O94903</v>
      </c>
      <c r="BR132" s="2">
        <v>46</v>
      </c>
      <c r="BS132" s="2">
        <v>68</v>
      </c>
      <c r="BT132" s="2">
        <v>92</v>
      </c>
      <c r="BU132" s="2" t="s">
        <v>115</v>
      </c>
      <c r="BV132" s="9" t="str">
        <f>HYPERLINK(".\links\FLYBASE\AGAP001621-PA-FLYBASE.txt","FBpp0308325")</f>
        <v>FBpp0308325</v>
      </c>
      <c r="BW132" s="2" t="str">
        <f>HYPERLINK("http://flybase.org/reports/FBgn0039751#alliance_summary_container","1E-101")</f>
        <v>1E-101</v>
      </c>
      <c r="BX132" s="2">
        <v>254</v>
      </c>
      <c r="BY132" s="2">
        <v>55</v>
      </c>
      <c r="BZ132" s="2">
        <v>71</v>
      </c>
      <c r="CA132" s="2">
        <v>101</v>
      </c>
      <c r="CB132" s="9" t="str">
        <f>HYPERLINK(".\links\CDD\AGAP001621-PA-CDD.txt","PLPDE_III_YBL036c_euk, Pyridoxal 5-phosphate (PLP)-binding TIM barrel domain of Type III PLP-Dependent Enzymes, Eukaryotic YBL036c-like proteins")</f>
        <v>PLPDE_III_YBL036c_euk, Pyridoxal 5-phosphate (PLP)-binding TIM barrel domain of Type III PLP-Dependent Enzymes, Eukaryotic YBL036c-like proteins</v>
      </c>
      <c r="CC132" s="13">
        <v>1E-100</v>
      </c>
      <c r="CD132" s="2">
        <v>104.4</v>
      </c>
      <c r="CE132" s="2" t="s">
        <v>502</v>
      </c>
      <c r="CF132" s="2" t="s">
        <v>503</v>
      </c>
      <c r="CG132" s="9" t="str">
        <f>HYPERLINK(".\links\KOG\AGAP001621-PA-KOG.txt","Proline synthetase co-transcribed protein")</f>
        <v>Proline synthetase co-transcribed protein</v>
      </c>
      <c r="CH132" s="13">
        <v>2.9999999999999999E-82</v>
      </c>
      <c r="CI132" s="2">
        <v>104.9</v>
      </c>
      <c r="CJ132" s="2" t="s">
        <v>504</v>
      </c>
      <c r="CK132" s="2" t="s">
        <v>187</v>
      </c>
      <c r="CL132" s="9" t="str">
        <f>HYPERLINK(".\links\PFAM\AGAP001621-PA-PFAM.txt","Ala_racemase_N, Alanine racemase, N-terminal domain")</f>
        <v>Ala_racemase_N, Alanine racemase, N-terminal domain</v>
      </c>
      <c r="CM132" s="13">
        <v>2.0000000000000001E-13</v>
      </c>
      <c r="CN132" s="2">
        <v>106.8</v>
      </c>
      <c r="CO132" s="2" t="s">
        <v>505</v>
      </c>
      <c r="CP132" s="9" t="str">
        <f>HYPERLINK(".\links\SMART\AGAP001621-PA-SMART.txt","SATase_N, Serine acetyltransferase, N-terminal")</f>
        <v>SATase_N, Serine acetyltransferase, N-terminal</v>
      </c>
      <c r="CQ132" s="13">
        <v>7.3999999999999996E-2</v>
      </c>
      <c r="CR132" s="2">
        <v>26.7</v>
      </c>
      <c r="CS132" s="2" t="s">
        <v>506</v>
      </c>
      <c r="CT132" s="2" t="s">
        <v>499</v>
      </c>
      <c r="CU132" s="2" t="s">
        <v>499</v>
      </c>
      <c r="CV132" s="2" t="s">
        <v>499</v>
      </c>
      <c r="CW132" s="2" t="str">
        <f>HYPERLINK(".\links\pep\AGAP001621-PA-pep.txt","AGAP001621-PA")</f>
        <v>AGAP001621-PA</v>
      </c>
      <c r="CX132" s="2" t="s">
        <v>88</v>
      </c>
      <c r="CY132" s="2">
        <v>260</v>
      </c>
      <c r="CZ132" s="2" t="s">
        <v>103</v>
      </c>
      <c r="DA132" s="2" t="s">
        <v>507</v>
      </c>
      <c r="DB132" s="2">
        <v>0</v>
      </c>
      <c r="DC132" s="2">
        <v>1</v>
      </c>
      <c r="DD132" s="2" t="str">
        <f>HYPERLINK("https://www.kegg.jp/kegg-bin/search_pathway_text?map=aga&amp;keyword=AGAP001621&amp;mode=1&amp;viewImage=true","AGAP001621")</f>
        <v>AGAP001621</v>
      </c>
      <c r="DE132" s="2" t="s">
        <v>495</v>
      </c>
      <c r="DF132" s="2" t="s">
        <v>496</v>
      </c>
      <c r="DG132" s="2" t="s">
        <v>87</v>
      </c>
      <c r="DH132" s="2" t="str">
        <f>HYPERLINK("https://vectorbase.org/vectorbase/app/record/gene/AGAP001621","AGAP001621-RA")</f>
        <v>AGAP001621-RA</v>
      </c>
      <c r="DI132" s="2" t="s">
        <v>158</v>
      </c>
      <c r="DJ132" s="2">
        <v>1246</v>
      </c>
      <c r="DK132" s="2" t="str">
        <f>HYPERLINK(".\links\netoglyc\AGAP001621-PA-netoglyc.txt","1")</f>
        <v>1</v>
      </c>
      <c r="DL132" s="2">
        <v>9.1999999999999993</v>
      </c>
      <c r="DM132" s="2">
        <v>6.5</v>
      </c>
      <c r="DN132" s="2">
        <v>3.8</v>
      </c>
      <c r="DO132" s="2" t="s">
        <v>94</v>
      </c>
      <c r="DP132" s="2" t="s">
        <v>89</v>
      </c>
      <c r="DQ132" s="2" t="str">
        <f>HYPERLINK(".\links\Sigp\AGAP001621-PA-SigP.txt","CYT")</f>
        <v>CYT</v>
      </c>
      <c r="DR132" s="2" t="s">
        <v>89</v>
      </c>
      <c r="DS132" s="2">
        <v>29.074999999999999</v>
      </c>
      <c r="DT132" s="2">
        <v>6.61</v>
      </c>
      <c r="DU132" s="2" t="s">
        <v>89</v>
      </c>
      <c r="DV132" s="2" t="s">
        <v>89</v>
      </c>
      <c r="DW132" s="2" t="s">
        <v>501</v>
      </c>
      <c r="DX132" s="2">
        <v>260</v>
      </c>
      <c r="DY132" s="12">
        <v>0</v>
      </c>
      <c r="DZ132" s="2" t="s">
        <v>89</v>
      </c>
      <c r="EA132" s="2" t="s">
        <v>89</v>
      </c>
      <c r="EB132" s="2" t="s">
        <v>89</v>
      </c>
      <c r="EC132" s="2" t="str">
        <f>HYPERLINK(".\links\gpi\AGAP001621-PA-gpi.txt","Y-NoSP")</f>
        <v>Y-NoSP</v>
      </c>
      <c r="ED132" s="2">
        <v>0.22</v>
      </c>
      <c r="EF132" s="2">
        <v>5</v>
      </c>
      <c r="EG132" s="2" t="s">
        <v>89</v>
      </c>
      <c r="EH132" s="2" t="s">
        <v>89</v>
      </c>
      <c r="EI132" s="2">
        <v>9.2307692307692299</v>
      </c>
      <c r="EJ132" s="2">
        <v>3.8461538461538498</v>
      </c>
      <c r="EK132" s="2">
        <v>6.5384615384615401</v>
      </c>
      <c r="EL132" s="2">
        <v>10.384615384615399</v>
      </c>
      <c r="EM132" s="2" t="s">
        <v>89</v>
      </c>
      <c r="EN132" s="2" t="s">
        <v>89</v>
      </c>
      <c r="EO132" s="2" t="s">
        <v>89</v>
      </c>
      <c r="EP132" s="2" t="s">
        <v>89</v>
      </c>
      <c r="EQ132" s="2" t="s">
        <v>89</v>
      </c>
      <c r="ER132" s="2" t="s">
        <v>89</v>
      </c>
      <c r="ES132" s="2" t="s">
        <v>89</v>
      </c>
      <c r="ET132" s="2" t="str">
        <f>HYPERLINK(".\links\REFSEQ-INVERTEBRATE\AGAP001621-PA-REFSEQ-INVERTEBRATE.txt","AGAP001621-PB")</f>
        <v>AGAP001621-PB</v>
      </c>
      <c r="EU132" s="2" t="str">
        <f>HYPERLINK("http://www.ncbi.nlm.nih.gov/sutils/blink.cgi?pid=XP_003435889.1","0.0")</f>
        <v>0.0</v>
      </c>
      <c r="EV132" s="2" t="str">
        <f>HYPERLINK("http://www.ncbi.nlm.nih.gov/protein/XP_003435889.1","XP_003435889.1")</f>
        <v>XP_003435889.1</v>
      </c>
      <c r="EW132" s="2">
        <v>100</v>
      </c>
      <c r="EX132" s="2">
        <v>100</v>
      </c>
      <c r="EY132" s="2">
        <v>100</v>
      </c>
      <c r="EZ132" s="2" t="s">
        <v>95</v>
      </c>
    </row>
    <row r="133" spans="1:156" x14ac:dyDescent="0.25">
      <c r="A133" s="2" t="s">
        <v>996</v>
      </c>
      <c r="B133" s="2">
        <v>-0.85637169349568398</v>
      </c>
      <c r="C133" s="2">
        <f t="shared" si="2"/>
        <v>0.5523399201496545</v>
      </c>
      <c r="D133" s="2">
        <v>5.5792294271871601</v>
      </c>
      <c r="E133" s="2">
        <v>15.2858285538318</v>
      </c>
      <c r="F133" s="2">
        <v>9.2407173985980094E-5</v>
      </c>
      <c r="G133" s="2">
        <v>8.5552972298150506E-3</v>
      </c>
      <c r="H133" s="2" t="s">
        <v>997</v>
      </c>
      <c r="I133" s="2" t="s">
        <v>89</v>
      </c>
      <c r="J133" s="2" t="str">
        <f>HYPERLINK("https://vectorbase.org/vectorbase/app/record/gene/AGAP003861","AGAP003861-RA")</f>
        <v>AGAP003861-RA</v>
      </c>
      <c r="K133" s="2" t="str">
        <f>HYPERLINK(".\links\pep\AGAP003861-PA-pep.txt","AGAP003861-PA")</f>
        <v>AGAP003861-PA</v>
      </c>
      <c r="L133" s="12" t="s">
        <v>88</v>
      </c>
      <c r="M133" s="2">
        <v>232</v>
      </c>
      <c r="N133" s="2">
        <v>0</v>
      </c>
      <c r="O133" s="2">
        <v>1</v>
      </c>
      <c r="P133" s="2" t="s">
        <v>998</v>
      </c>
      <c r="Q133" s="9" t="s">
        <v>998</v>
      </c>
      <c r="R133" s="2" t="s">
        <v>245</v>
      </c>
      <c r="S133" s="2" t="str">
        <f>HYPERLINK(".\links\KOG\AGAP003861-PA-KOG.txt","KOG")</f>
        <v>KOG</v>
      </c>
      <c r="T133" s="2">
        <v>7.9999999999999996E-44</v>
      </c>
      <c r="U133" s="2">
        <v>79</v>
      </c>
      <c r="V133" s="2" t="s">
        <v>999</v>
      </c>
      <c r="W133" s="10" t="s">
        <v>1000</v>
      </c>
      <c r="X133" s="2" t="s">
        <v>145</v>
      </c>
      <c r="Y133" s="2" t="str">
        <f>HYPERLINK(".\links\REFSEQVERTEBRATE95\AGAP003861-PA-REFSEQVERTEBRATE95.txt","REFSEQVERTEBRATE95")</f>
        <v>REFSEQVERTEBRATE95</v>
      </c>
      <c r="Z133" s="13">
        <v>2.0000000000000001E-54</v>
      </c>
      <c r="AA133" s="2">
        <v>76.2</v>
      </c>
      <c r="AB133" s="14" t="str">
        <f>HYPERLINK(".\links\pep\AGAP003861-PA-sulf.txt","1")</f>
        <v>1</v>
      </c>
      <c r="AC133" s="14" t="str">
        <f>HYPERLINK(".\links\Sigp\AGAP003861-PA-SigP.txt","CYT")</f>
        <v>CYT</v>
      </c>
      <c r="AD133" s="2" t="s">
        <v>89</v>
      </c>
      <c r="AE133" s="2">
        <v>26.806999999999999</v>
      </c>
      <c r="AF133" s="2">
        <v>9.16</v>
      </c>
      <c r="AG133" s="2" t="s">
        <v>89</v>
      </c>
      <c r="AH133" s="2" t="s">
        <v>89</v>
      </c>
      <c r="AI133" s="2" t="s">
        <v>1001</v>
      </c>
      <c r="AJ133" s="14">
        <v>0</v>
      </c>
      <c r="AK133" s="2" t="s">
        <v>89</v>
      </c>
      <c r="AL133" s="2" t="s">
        <v>89</v>
      </c>
      <c r="AM133" s="2" t="s">
        <v>89</v>
      </c>
      <c r="AN133" s="14" t="str">
        <f>HYPERLINK(".\links\gpi\AGAP003861-PA-gpi.txt","N")</f>
        <v>N</v>
      </c>
      <c r="AO133" s="15" t="str">
        <f>HYPERLINK(".\links\netoglyc\AGAP003861-PA-netoglyc.txt","0")</f>
        <v>0</v>
      </c>
      <c r="AP133" s="14">
        <v>11.2</v>
      </c>
      <c r="AQ133" s="2">
        <v>3.9</v>
      </c>
      <c r="AR133" s="2">
        <v>5.2</v>
      </c>
      <c r="AS133" s="2" t="s">
        <v>94</v>
      </c>
      <c r="AT133" s="9" t="str">
        <f>HYPERLINK(".\links\NR-LIGHT\AGAP003861-PA-NR-LIGHT.txt","AGAP003861-PA")</f>
        <v>AGAP003861-PA</v>
      </c>
      <c r="AU133" s="2" t="str">
        <f>HYPERLINK("http://www.ncbi.nlm.nih.gov/sutils/blink.cgi?pid=XP_310421.4","1E-131")</f>
        <v>1E-131</v>
      </c>
      <c r="AV133" s="2" t="str">
        <f>HYPERLINK("http://www.ncbi.nlm.nih.gov/protein/XP_310421.4","XP_310421.4")</f>
        <v>XP_310421.4</v>
      </c>
      <c r="AW133" s="2">
        <v>100</v>
      </c>
      <c r="AX133" s="2">
        <v>100</v>
      </c>
      <c r="AY133" s="2">
        <v>100</v>
      </c>
      <c r="AZ133" s="2" t="s">
        <v>95</v>
      </c>
      <c r="BA133" s="9" t="str">
        <f>HYPERLINK(".\links\REFSEQ-INVERTEBRATE\AGAP003861-PA-REFSEQ-INVERTEBRATE.txt","AGAP003861-PA")</f>
        <v>AGAP003861-PA</v>
      </c>
      <c r="BB133" s="2" t="str">
        <f>HYPERLINK("http://www.ncbi.nlm.nih.gov/sutils/blink.cgi?pid=XP_310421.4","1E-131")</f>
        <v>1E-131</v>
      </c>
      <c r="BC133" s="2" t="str">
        <f>HYPERLINK("http://www.ncbi.nlm.nih.gov/protein/XP_310421.4","XP_310421.4")</f>
        <v>XP_310421.4</v>
      </c>
      <c r="BD133" s="2">
        <v>100</v>
      </c>
      <c r="BE133" s="2">
        <v>100</v>
      </c>
      <c r="BF133" s="2">
        <v>100</v>
      </c>
      <c r="BG133" s="2" t="s">
        <v>95</v>
      </c>
      <c r="BH133" s="9" t="str">
        <f>HYPERLINK(".\links\REFSEQ-PROTOZOA\AGAP003861-PA-REFSEQ-PROTOZOA.txt","hypothetical protein PTSG_12149")</f>
        <v>hypothetical protein PTSG_12149</v>
      </c>
      <c r="BI133" s="2" t="str">
        <f>HYPERLINK("http://www.ncbi.nlm.nih.gov/sutils/blink.cgi?pid=XP_004995175.1","8E-026")</f>
        <v>8E-026</v>
      </c>
      <c r="BJ133" s="2" t="str">
        <f>HYPERLINK("http://www.ncbi.nlm.nih.gov/protein/XP_004995175.1","XP_004995175.1")</f>
        <v>XP_004995175.1</v>
      </c>
      <c r="BK133" s="2">
        <v>41</v>
      </c>
      <c r="BL133" s="2">
        <v>57</v>
      </c>
      <c r="BM133" s="2">
        <v>79</v>
      </c>
      <c r="BN133" s="2" t="s">
        <v>182</v>
      </c>
      <c r="BO133" s="9" t="str">
        <f>HYPERLINK(".\links\SWISSP\AGAP003861-PA-SWISSP.txt","Peptide deformylase, mitochondrial")</f>
        <v>Peptide deformylase, mitochondrial</v>
      </c>
      <c r="BP133" s="2" t="str">
        <f>HYPERLINK("http://www.uniprot.org/uniprot/Q9HBH1","3E-038")</f>
        <v>3E-038</v>
      </c>
      <c r="BQ133" s="2" t="str">
        <f>HYPERLINK("http://www.uniprot.org/uniprot/Q9HBH1#expression","Q9HBH1")</f>
        <v>Q9HBH1</v>
      </c>
      <c r="BR133" s="2">
        <v>42</v>
      </c>
      <c r="BS133" s="2">
        <v>59</v>
      </c>
      <c r="BT133" s="2">
        <v>75</v>
      </c>
      <c r="BU133" s="2" t="s">
        <v>115</v>
      </c>
      <c r="BV133" s="9" t="str">
        <f>HYPERLINK(".\links\FLYBASE\AGAP003861-PA-FLYBASE.txt","FBpp0081795")</f>
        <v>FBpp0081795</v>
      </c>
      <c r="BW133" s="2" t="str">
        <f>HYPERLINK("http://flybase.org/reports/FBgn0051278#alliance_summary_container","6E-85")</f>
        <v>6E-85</v>
      </c>
      <c r="BX133" s="2">
        <v>238</v>
      </c>
      <c r="BY133" s="2">
        <v>49</v>
      </c>
      <c r="BZ133" s="2">
        <v>66</v>
      </c>
      <c r="CA133" s="2">
        <v>97</v>
      </c>
      <c r="CB133" s="9" t="str">
        <f>HYPERLINK(".\links\CDD\AGAP003861-PA-CDD.txt","Pep_deformylase, Polypeptide or peptide deformylase")</f>
        <v>Pep_deformylase, Polypeptide or peptide deformylase</v>
      </c>
      <c r="CC133" s="13">
        <v>1.0000000000000001E-43</v>
      </c>
      <c r="CD133" s="2">
        <v>112.1</v>
      </c>
      <c r="CE133" s="2" t="s">
        <v>1002</v>
      </c>
      <c r="CF133" s="2" t="s">
        <v>1003</v>
      </c>
      <c r="CG133" s="9" t="str">
        <f>HYPERLINK(".\links\KOG\AGAP003861-PA-KOG.txt","Peptide deformylase")</f>
        <v>Peptide deformylase</v>
      </c>
      <c r="CH133" s="13">
        <v>7.9999999999999996E-44</v>
      </c>
      <c r="CI133" s="2">
        <v>79</v>
      </c>
      <c r="CJ133" s="2" t="s">
        <v>1004</v>
      </c>
      <c r="CK133" s="2" t="s">
        <v>252</v>
      </c>
      <c r="CL133" s="9" t="str">
        <f>HYPERLINK(".\links\PFAM\AGAP003861-PA-PFAM.txt","Pep_deformylase, Polypeptide deformylase")</f>
        <v>Pep_deformylase, Polypeptide deformylase</v>
      </c>
      <c r="CM133" s="13">
        <v>8E-41</v>
      </c>
      <c r="CN133" s="2">
        <v>108.5</v>
      </c>
      <c r="CO133" s="2" t="s">
        <v>1005</v>
      </c>
      <c r="CP133" s="9" t="str">
        <f>HYPERLINK(".\links\SMART\AGAP003861-PA-SMART.txt","NTR, Tissue inhibitor of metalloproteinase family")</f>
        <v>NTR, Tissue inhibitor of metalloproteinase family</v>
      </c>
      <c r="CQ133" s="13">
        <v>0.26</v>
      </c>
      <c r="CR133" s="2">
        <v>15.1</v>
      </c>
      <c r="CS133" s="2" t="s">
        <v>1006</v>
      </c>
      <c r="CT133" s="2" t="s">
        <v>999</v>
      </c>
      <c r="CU133" s="2" t="s">
        <v>999</v>
      </c>
      <c r="CV133" s="2" t="s">
        <v>999</v>
      </c>
      <c r="CW133" s="2" t="str">
        <f>HYPERLINK(".\links\pep\AGAP003861-PA-pep.txt","AGAP003861-PA")</f>
        <v>AGAP003861-PA</v>
      </c>
      <c r="CX133" s="2" t="s">
        <v>88</v>
      </c>
      <c r="CY133" s="2">
        <v>232</v>
      </c>
      <c r="CZ133" s="2" t="s">
        <v>103</v>
      </c>
      <c r="DA133" s="2">
        <v>0</v>
      </c>
      <c r="DB133" s="2">
        <v>1</v>
      </c>
      <c r="DD133" s="2" t="str">
        <f>HYPERLINK("https://www.kegg.jp/kegg-bin/search_pathway_text?map=aga&amp;keyword=AGAP003861&amp;mode=1&amp;viewImage=true","AGAP003861")</f>
        <v>AGAP003861</v>
      </c>
      <c r="DE133" s="2" t="s">
        <v>996</v>
      </c>
      <c r="DF133" s="2" t="s">
        <v>997</v>
      </c>
      <c r="DG133" s="2" t="s">
        <v>89</v>
      </c>
      <c r="DH133" s="2" t="str">
        <f>HYPERLINK("https://vectorbase.org/vectorbase/app/record/gene/AGAP003861","AGAP003861-RA")</f>
        <v>AGAP003861-RA</v>
      </c>
      <c r="DI133" s="2" t="s">
        <v>158</v>
      </c>
      <c r="DJ133" s="2">
        <v>1258</v>
      </c>
      <c r="DK133" s="2" t="str">
        <f>HYPERLINK(".\links\netoglyc\AGAP003861-PA-netoglyc.txt","0")</f>
        <v>0</v>
      </c>
      <c r="DL133" s="2">
        <v>11.2</v>
      </c>
      <c r="DM133" s="2">
        <v>3.9</v>
      </c>
      <c r="DN133" s="2">
        <v>5.2</v>
      </c>
      <c r="DO133" s="2" t="s">
        <v>94</v>
      </c>
      <c r="DP133" s="2" t="s">
        <v>1007</v>
      </c>
      <c r="DQ133" s="2" t="str">
        <f>HYPERLINK(".\links\Sigp\AGAP003861-PA-SigP.txt","CYT")</f>
        <v>CYT</v>
      </c>
      <c r="DR133" s="2" t="s">
        <v>89</v>
      </c>
      <c r="DS133" s="2">
        <v>26.806999999999999</v>
      </c>
      <c r="DT133" s="2">
        <v>9.16</v>
      </c>
      <c r="DU133" s="2" t="s">
        <v>89</v>
      </c>
      <c r="DV133" s="2" t="s">
        <v>89</v>
      </c>
      <c r="DW133" s="2" t="s">
        <v>1001</v>
      </c>
      <c r="DX133" s="2">
        <v>232</v>
      </c>
      <c r="DY133" s="12">
        <v>0</v>
      </c>
      <c r="DZ133" s="2" t="s">
        <v>89</v>
      </c>
      <c r="EA133" s="2" t="s">
        <v>89</v>
      </c>
      <c r="EB133" s="2" t="s">
        <v>89</v>
      </c>
      <c r="EC133" s="2" t="str">
        <f>HYPERLINK(".\links\gpi\AGAP003861-PA-gpi.txt","N")</f>
        <v>N</v>
      </c>
      <c r="ED133" s="2">
        <v>0.18</v>
      </c>
      <c r="EF133" s="2">
        <v>5</v>
      </c>
      <c r="EG133" s="2" t="str">
        <f>HYPERLINK(".\links\pep\AGAP003861-PA-sulf.txt","1")</f>
        <v>1</v>
      </c>
      <c r="EH133" s="2" t="s">
        <v>89</v>
      </c>
      <c r="EI133" s="2">
        <v>11.2068965517241</v>
      </c>
      <c r="EJ133" s="2">
        <v>5.1724137931034502</v>
      </c>
      <c r="EK133" s="2">
        <v>3.8793103448275899</v>
      </c>
      <c r="EL133" s="2">
        <v>9.0517241379310303</v>
      </c>
      <c r="EM133" s="2" t="s">
        <v>89</v>
      </c>
      <c r="EN133" s="2" t="s">
        <v>89</v>
      </c>
      <c r="EO133" s="2" t="s">
        <v>89</v>
      </c>
      <c r="EP133" s="2" t="s">
        <v>89</v>
      </c>
      <c r="EQ133" s="2" t="s">
        <v>89</v>
      </c>
      <c r="ER133" s="2" t="s">
        <v>89</v>
      </c>
      <c r="ES133" s="2" t="s">
        <v>89</v>
      </c>
      <c r="ET133" s="2" t="str">
        <f>HYPERLINK(".\links\REFSEQ-INVERTEBRATE\AGAP003861-PA-REFSEQ-INVERTEBRATE.txt","AGAP003861-PA")</f>
        <v>AGAP003861-PA</v>
      </c>
      <c r="EU133" s="2" t="str">
        <f>HYPERLINK("http://www.ncbi.nlm.nih.gov/sutils/blink.cgi?pid=XP_310421.4","1E-175")</f>
        <v>1E-175</v>
      </c>
      <c r="EV133" s="2" t="str">
        <f>HYPERLINK("http://www.ncbi.nlm.nih.gov/protein/XP_310421.4","XP_310421.4")</f>
        <v>XP_310421.4</v>
      </c>
      <c r="EW133" s="2">
        <v>100</v>
      </c>
      <c r="EX133" s="2">
        <v>100</v>
      </c>
      <c r="EY133" s="2">
        <v>100</v>
      </c>
      <c r="EZ133" s="2" t="s">
        <v>95</v>
      </c>
    </row>
    <row r="134" spans="1:156" x14ac:dyDescent="0.25">
      <c r="A134" s="2" t="s">
        <v>2306</v>
      </c>
      <c r="B134" s="2">
        <v>-0.85662722045190498</v>
      </c>
      <c r="C134" s="2">
        <f t="shared" si="2"/>
        <v>0.55224209958721338</v>
      </c>
      <c r="D134" s="2">
        <v>7.0383174103943897</v>
      </c>
      <c r="E134" s="2">
        <v>16.609865053267601</v>
      </c>
      <c r="F134" s="2">
        <v>4.5911592728600903E-5</v>
      </c>
      <c r="G134" s="2">
        <v>5.1131407241213197E-3</v>
      </c>
      <c r="H134" s="2" t="s">
        <v>2307</v>
      </c>
      <c r="I134" s="2" t="s">
        <v>87</v>
      </c>
      <c r="J134" s="2" t="str">
        <f>HYPERLINK("https://vectorbase.org/vectorbase/app/record/gene/AGAP009619","AGAP009619-RA")</f>
        <v>AGAP009619-RA</v>
      </c>
      <c r="K134" s="2" t="str">
        <f>HYPERLINK(".\links\pep\AGAP009619-PA-pep.txt","AGAP009619-PA")</f>
        <v>AGAP009619-PA</v>
      </c>
      <c r="L134" s="12" t="s">
        <v>88</v>
      </c>
      <c r="M134" s="2">
        <v>389</v>
      </c>
      <c r="N134" s="2">
        <v>0</v>
      </c>
      <c r="O134" s="2">
        <v>3</v>
      </c>
      <c r="P134" s="2" t="s">
        <v>2308</v>
      </c>
      <c r="Q134" s="9" t="s">
        <v>2308</v>
      </c>
      <c r="R134" s="2" t="s">
        <v>148</v>
      </c>
      <c r="S134" s="2" t="str">
        <f>HYPERLINK(".\links\KOG\AGAP009619-PA-KOG.txt","KOG")</f>
        <v>KOG</v>
      </c>
      <c r="T134" s="2">
        <v>0</v>
      </c>
      <c r="U134" s="2">
        <v>113.7</v>
      </c>
      <c r="V134" s="2" t="s">
        <v>2309</v>
      </c>
      <c r="W134" s="10" t="s">
        <v>2310</v>
      </c>
      <c r="X134" s="2" t="s">
        <v>212</v>
      </c>
      <c r="Y134" s="2" t="str">
        <f>HYPERLINK(".\links\REFSEQVERTEBRATE95\AGAP009619-PA-REFSEQVERTEBRATE95.txt","REFSEQVERTEBRATE95")</f>
        <v>REFSEQVERTEBRATE95</v>
      </c>
      <c r="Z134" s="2">
        <v>0</v>
      </c>
      <c r="AA134" s="2">
        <v>106</v>
      </c>
      <c r="AB134" s="14" t="str">
        <f>HYPERLINK(".\links\pep\AGAP009619-PA-sulf.txt","1")</f>
        <v>1</v>
      </c>
      <c r="AC134" s="14" t="str">
        <f>HYPERLINK(".\links\Sigp\AGAP009619-PA-SigP.txt","CYT")</f>
        <v>CYT</v>
      </c>
      <c r="AD134" s="2" t="s">
        <v>89</v>
      </c>
      <c r="AE134" s="2">
        <v>44.713000000000001</v>
      </c>
      <c r="AF134" s="2">
        <v>5.31</v>
      </c>
      <c r="AG134" s="2" t="s">
        <v>89</v>
      </c>
      <c r="AH134" s="2" t="s">
        <v>89</v>
      </c>
      <c r="AI134" s="2" t="s">
        <v>93</v>
      </c>
      <c r="AJ134" s="14">
        <v>0</v>
      </c>
      <c r="AK134" s="2" t="s">
        <v>89</v>
      </c>
      <c r="AL134" s="2" t="s">
        <v>89</v>
      </c>
      <c r="AM134" s="2" t="s">
        <v>89</v>
      </c>
      <c r="AN134" s="14" t="str">
        <f>HYPERLINK(".\links\gpi\AGAP009619-PA-gpi.txt","N")</f>
        <v>N</v>
      </c>
      <c r="AO134" s="15" t="str">
        <f>HYPERLINK(".\links\netoglyc\AGAP009619-PA-netoglyc.txt","0")</f>
        <v>0</v>
      </c>
      <c r="AP134" s="14">
        <v>14.9</v>
      </c>
      <c r="AQ134" s="2">
        <v>4.5999999999999996</v>
      </c>
      <c r="AR134" s="2">
        <v>3.9</v>
      </c>
      <c r="AS134" s="2" t="s">
        <v>94</v>
      </c>
      <c r="AT134" s="9" t="str">
        <f>HYPERLINK(".\links\NR-LIGHT\AGAP009619-PA-NR-LIGHT.txt","AGAP009619-PA-like protein")</f>
        <v>AGAP009619-PA-like protein</v>
      </c>
      <c r="AU134" s="2" t="str">
        <f>HYPERLINK("http://www.ncbi.nlm.nih.gov/sutils/blink.cgi?pid=KFB39536.1","0.0")</f>
        <v>0.0</v>
      </c>
      <c r="AV134" s="2" t="str">
        <f>HYPERLINK("http://www.ncbi.nlm.nih.gov/protein/KFB39536.1","KFB39536.1")</f>
        <v>KFB39536.1</v>
      </c>
      <c r="AW134" s="2">
        <v>88</v>
      </c>
      <c r="AX134" s="2">
        <v>92</v>
      </c>
      <c r="AY134" s="2">
        <v>105</v>
      </c>
      <c r="AZ134" s="2" t="s">
        <v>1982</v>
      </c>
      <c r="BA134" s="9" t="str">
        <f>HYPERLINK(".\links\REFSEQ-INVERTEBRATE\AGAP009619-PA-REFSEQ-INVERTEBRATE.txt","AGAP009619-PA, partial")</f>
        <v>AGAP009619-PA, partial</v>
      </c>
      <c r="BB134" s="2" t="str">
        <f>HYPERLINK("http://www.ncbi.nlm.nih.gov/sutils/blink.cgi?pid=XP_318648.4","0.0")</f>
        <v>0.0</v>
      </c>
      <c r="BC134" s="2" t="str">
        <f>HYPERLINK("http://www.ncbi.nlm.nih.gov/protein/XP_318648.4","XP_318648.4")</f>
        <v>XP_318648.4</v>
      </c>
      <c r="BD134" s="2">
        <v>88</v>
      </c>
      <c r="BE134" s="2">
        <v>88</v>
      </c>
      <c r="BF134" s="2">
        <v>113</v>
      </c>
      <c r="BG134" s="2" t="s">
        <v>95</v>
      </c>
      <c r="BH134" s="9" t="str">
        <f>HYPERLINK(".\links\REFSEQ-PROTOZOA\AGAP009619-PA-REFSEQ-PROTOZOA.txt","adenosylmethionine decarboxylase")</f>
        <v>adenosylmethionine decarboxylase</v>
      </c>
      <c r="BI134" s="2" t="str">
        <f>HYPERLINK("http://www.ncbi.nlm.nih.gov/sutils/blink.cgi?pid=XP_014152617.1","6E-064")</f>
        <v>6E-064</v>
      </c>
      <c r="BJ134" s="2" t="str">
        <f>HYPERLINK("http://www.ncbi.nlm.nih.gov/protein/XP_014152617.1","XP_014152617.1")</f>
        <v>XP_014152617.1</v>
      </c>
      <c r="BK134" s="2">
        <v>39</v>
      </c>
      <c r="BL134" s="2">
        <v>55</v>
      </c>
      <c r="BM134" s="2">
        <v>104</v>
      </c>
      <c r="BN134" s="2" t="s">
        <v>168</v>
      </c>
      <c r="BO134" s="9" t="str">
        <f>HYPERLINK(".\links\SWISSP\AGAP009619-PA-SWISSP.txt","S-adenosylmethionine decarboxylase proenzyme")</f>
        <v>S-adenosylmethionine decarboxylase proenzyme</v>
      </c>
      <c r="BP134" s="2" t="str">
        <f>HYPERLINK("http://www.uniprot.org/uniprot/P91931","1E-105")</f>
        <v>1E-105</v>
      </c>
      <c r="BQ134" s="2" t="str">
        <f>HYPERLINK("http://www.uniprot.org/uniprot/P91931#expression","P91931")</f>
        <v>P91931</v>
      </c>
      <c r="BR134" s="2">
        <v>55</v>
      </c>
      <c r="BS134" s="2">
        <v>67</v>
      </c>
      <c r="BT134" s="2">
        <v>106</v>
      </c>
      <c r="BU134" s="2" t="s">
        <v>151</v>
      </c>
      <c r="BV134" s="9" t="str">
        <f>HYPERLINK(".\links\FLYBASE\AGAP009619-PA-FLYBASE.txt","FBpp0079584")</f>
        <v>FBpp0079584</v>
      </c>
      <c r="BW134" s="2" t="str">
        <f>HYPERLINK("http://flybase.org/reports/FBgn0019932#alliance_summary_container","1E-137")</f>
        <v>1E-137</v>
      </c>
      <c r="BX134" s="2">
        <v>347</v>
      </c>
      <c r="BY134" s="2">
        <v>55</v>
      </c>
      <c r="BZ134" s="2">
        <v>67</v>
      </c>
      <c r="CA134" s="2">
        <v>106</v>
      </c>
      <c r="CB134" s="9" t="str">
        <f>HYPERLINK(".\links\CDD\AGAP009619-PA-CDD.txt","SAM_decarbox, Adenosylmethionine decarboxylase")</f>
        <v>SAM_decarbox, Adenosylmethionine decarboxylase</v>
      </c>
      <c r="CC134" s="13">
        <v>1E-139</v>
      </c>
      <c r="CD134" s="2">
        <v>113.8</v>
      </c>
      <c r="CE134" s="2" t="s">
        <v>2311</v>
      </c>
      <c r="CF134" s="2" t="s">
        <v>2312</v>
      </c>
      <c r="CG134" s="9" t="str">
        <f>HYPERLINK(".\links\KOG\AGAP009619-PA-KOG.txt","S-adenosylmethionine decarboxylase")</f>
        <v>S-adenosylmethionine decarboxylase</v>
      </c>
      <c r="CH134" s="13">
        <v>9.9999999999999996E-104</v>
      </c>
      <c r="CI134" s="2">
        <v>113.8</v>
      </c>
      <c r="CJ134" s="2" t="s">
        <v>2313</v>
      </c>
      <c r="CK134" s="2" t="s">
        <v>410</v>
      </c>
      <c r="CL134" s="9" t="str">
        <f>HYPERLINK(".\links\PFAM\AGAP009619-PA-PFAM.txt","SAM_decarbox, Adenosylmethionine decarboxylase")</f>
        <v>SAM_decarbox, Adenosylmethionine decarboxylase</v>
      </c>
      <c r="CM134" s="13">
        <v>9.9999999999999998E-141</v>
      </c>
      <c r="CN134" s="2">
        <v>113.8</v>
      </c>
      <c r="CO134" s="2" t="s">
        <v>2311</v>
      </c>
      <c r="CP134" s="9" t="str">
        <f>HYPERLINK(".\links\SMART\AGAP009619-PA-SMART.txt","Amelogenin, Amelogenins, cell adhesion proteins, play a role in the biomineralisation of teeth")</f>
        <v>Amelogenin, Amelogenins, cell adhesion proteins, play a role in the biomineralisation of teeth</v>
      </c>
      <c r="CQ134" s="13">
        <v>0.12</v>
      </c>
      <c r="CR134" s="2">
        <v>27.3</v>
      </c>
      <c r="CS134" s="2" t="s">
        <v>1530</v>
      </c>
      <c r="CT134" s="2" t="s">
        <v>2309</v>
      </c>
      <c r="CU134" s="2" t="s">
        <v>2309</v>
      </c>
      <c r="CV134" s="2" t="s">
        <v>2309</v>
      </c>
      <c r="CW134" s="2" t="str">
        <f>HYPERLINK(".\links\pep\AGAP009619-PA-pep.txt","AGAP009619-PA")</f>
        <v>AGAP009619-PA</v>
      </c>
      <c r="CX134" s="2" t="s">
        <v>88</v>
      </c>
      <c r="CY134" s="2">
        <v>389</v>
      </c>
      <c r="CZ134" s="2" t="s">
        <v>103</v>
      </c>
      <c r="DA134" s="2" t="s">
        <v>2314</v>
      </c>
      <c r="DB134" s="2">
        <v>0</v>
      </c>
      <c r="DC134" s="2">
        <v>3</v>
      </c>
      <c r="DD134" s="2" t="str">
        <f>HYPERLINK("https://www.kegg.jp/kegg-bin/search_pathway_text?map=aga&amp;keyword=AGAP009619&amp;mode=1&amp;viewImage=true","AGAP009619")</f>
        <v>AGAP009619</v>
      </c>
      <c r="DE134" s="2" t="s">
        <v>2306</v>
      </c>
      <c r="DF134" s="2" t="s">
        <v>2307</v>
      </c>
      <c r="DG134" s="2" t="s">
        <v>87</v>
      </c>
      <c r="DH134" s="2" t="str">
        <f>HYPERLINK("https://vectorbase.org/vectorbase/app/record/gene/AGAP009619","AGAP009619-RA")</f>
        <v>AGAP009619-RA</v>
      </c>
      <c r="DI134" s="2" t="s">
        <v>140</v>
      </c>
      <c r="DJ134" s="2">
        <v>4964</v>
      </c>
      <c r="DK134" s="2" t="str">
        <f>HYPERLINK(".\links\netoglyc\AGAP009619-PA-netoglyc.txt","0")</f>
        <v>0</v>
      </c>
      <c r="DL134" s="2">
        <v>14.9</v>
      </c>
      <c r="DM134" s="2">
        <v>4.5999999999999996</v>
      </c>
      <c r="DN134" s="2">
        <v>3.9</v>
      </c>
      <c r="DO134" s="2" t="s">
        <v>94</v>
      </c>
      <c r="DP134" s="2" t="s">
        <v>89</v>
      </c>
      <c r="DQ134" s="2" t="str">
        <f>HYPERLINK(".\links\Sigp\AGAP009619-PA-SigP.txt","CYT")</f>
        <v>CYT</v>
      </c>
      <c r="DR134" s="2" t="s">
        <v>89</v>
      </c>
      <c r="DS134" s="2">
        <v>44.713000000000001</v>
      </c>
      <c r="DT134" s="2">
        <v>5.31</v>
      </c>
      <c r="DU134" s="2" t="s">
        <v>89</v>
      </c>
      <c r="DV134" s="2" t="s">
        <v>89</v>
      </c>
      <c r="DW134" s="2" t="s">
        <v>93</v>
      </c>
      <c r="DX134" s="2">
        <v>389</v>
      </c>
      <c r="DY134" s="12">
        <v>0</v>
      </c>
      <c r="DZ134" s="2" t="s">
        <v>89</v>
      </c>
      <c r="EA134" s="2" t="s">
        <v>89</v>
      </c>
      <c r="EB134" s="2" t="s">
        <v>89</v>
      </c>
      <c r="EC134" s="2" t="str">
        <f>HYPERLINK(".\links\gpi\AGAP009619-PA-gpi.txt","N")</f>
        <v>N</v>
      </c>
      <c r="ED134" s="2">
        <v>0.2</v>
      </c>
      <c r="EF134" s="2">
        <v>9</v>
      </c>
      <c r="EG134" s="2" t="str">
        <f>HYPERLINK(".\links\pep\AGAP009619-PA-sulf.txt","1")</f>
        <v>1</v>
      </c>
      <c r="EH134" s="2" t="s">
        <v>89</v>
      </c>
      <c r="EI134" s="2">
        <v>14.9100257069409</v>
      </c>
      <c r="EJ134" s="2">
        <v>3.8560411311054001</v>
      </c>
      <c r="EK134" s="2">
        <v>4.6272493573264804</v>
      </c>
      <c r="EL134" s="2">
        <v>8.48329048843188</v>
      </c>
      <c r="EM134" s="2">
        <v>1</v>
      </c>
      <c r="EN134" s="2" t="s">
        <v>89</v>
      </c>
      <c r="EO134" s="2">
        <v>2</v>
      </c>
      <c r="EP134" s="2" t="s">
        <v>89</v>
      </c>
      <c r="EQ134" s="2" t="s">
        <v>89</v>
      </c>
      <c r="ER134" s="2" t="s">
        <v>89</v>
      </c>
      <c r="ES134" s="2" t="s">
        <v>89</v>
      </c>
      <c r="ET134" s="2" t="str">
        <f>HYPERLINK(".\links\REFSEQ-INVERTEBRATE\AGAP009619-PA-REFSEQ-INVERTEBRATE.txt","S-adenosylmethionine decarboxylase proenzyme isoform X2")</f>
        <v>S-adenosylmethionine decarboxylase proenzyme isoform X2</v>
      </c>
      <c r="EU134" s="2" t="str">
        <f>HYPERLINK("http://www.ncbi.nlm.nih.gov/sutils/blink.cgi?pid=XP_035910880.1","0.0")</f>
        <v>0.0</v>
      </c>
      <c r="EV134" s="2" t="str">
        <f>HYPERLINK("http://www.ncbi.nlm.nih.gov/protein/XP_035910880.1","XP_035910880.1")</f>
        <v>XP_035910880.1</v>
      </c>
      <c r="EW134" s="2">
        <v>86</v>
      </c>
      <c r="EX134" s="2">
        <v>91</v>
      </c>
      <c r="EY134" s="2">
        <v>102</v>
      </c>
      <c r="EZ134" s="2" t="s">
        <v>600</v>
      </c>
    </row>
    <row r="135" spans="1:156" x14ac:dyDescent="0.25">
      <c r="A135" s="2" t="s">
        <v>984</v>
      </c>
      <c r="B135" s="2">
        <v>-0.85795365762587406</v>
      </c>
      <c r="C135" s="2">
        <f t="shared" si="2"/>
        <v>0.55173459260234881</v>
      </c>
      <c r="D135" s="2">
        <v>5.4782110418169898</v>
      </c>
      <c r="E135" s="2">
        <v>17.0634928443733</v>
      </c>
      <c r="F135" s="2">
        <v>3.6150599921149302E-5</v>
      </c>
      <c r="G135" s="2">
        <v>4.5281816160055999E-3</v>
      </c>
      <c r="H135" s="2" t="s">
        <v>985</v>
      </c>
      <c r="I135" s="2" t="s">
        <v>87</v>
      </c>
      <c r="J135" s="2" t="str">
        <f>HYPERLINK("https://vectorbase.org/vectorbase/app/record/gene/AGAP003851","AGAP003851-RA")</f>
        <v>AGAP003851-RA</v>
      </c>
      <c r="K135" s="2" t="str">
        <f>HYPERLINK(".\links\pep\AGAP003851-PA-pep.txt","AGAP003851-PA")</f>
        <v>AGAP003851-PA</v>
      </c>
      <c r="L135" s="12" t="s">
        <v>88</v>
      </c>
      <c r="M135" s="2">
        <v>69</v>
      </c>
      <c r="N135" s="2">
        <v>0</v>
      </c>
      <c r="O135" s="2">
        <v>0</v>
      </c>
      <c r="P135" s="2" t="s">
        <v>986</v>
      </c>
      <c r="Q135" s="9" t="s">
        <v>987</v>
      </c>
      <c r="R135" s="2" t="s">
        <v>333</v>
      </c>
      <c r="S135" s="2" t="str">
        <f>HYPERLINK(".\links\NR-LIGHT\AGAP003851-PA-NR-LIGHT.txt","NR-LIGHT")</f>
        <v>NR-LIGHT</v>
      </c>
      <c r="T135" s="2">
        <v>4.0000000000000002E-33</v>
      </c>
      <c r="U135" s="2">
        <v>100</v>
      </c>
      <c r="V135" s="2" t="s">
        <v>988</v>
      </c>
      <c r="W135" s="10" t="s">
        <v>989</v>
      </c>
      <c r="X135" s="2" t="s">
        <v>333</v>
      </c>
      <c r="Y135" s="2" t="str">
        <f>HYPERLINK(".\links\ARTHORPODA\AGAP003851-PA-ARTHORPODA.txt","ARTHORPODA")</f>
        <v>ARTHORPODA</v>
      </c>
      <c r="Z135" s="13">
        <v>3.0000000000000002E-40</v>
      </c>
      <c r="AA135" s="2">
        <v>100</v>
      </c>
      <c r="AB135" s="14" t="s">
        <v>89</v>
      </c>
      <c r="AC135" s="14" t="str">
        <f>HYPERLINK(".\links\Sigp\AGAP003851-PA-SigP.txt","CYT")</f>
        <v>CYT</v>
      </c>
      <c r="AD135" s="2" t="s">
        <v>89</v>
      </c>
      <c r="AE135" s="2">
        <v>8.5120000000000005</v>
      </c>
      <c r="AF135" s="2">
        <v>3.96</v>
      </c>
      <c r="AG135" s="2" t="s">
        <v>89</v>
      </c>
      <c r="AH135" s="2" t="s">
        <v>89</v>
      </c>
      <c r="AI135" s="2" t="s">
        <v>273</v>
      </c>
      <c r="AJ135" s="14">
        <v>0</v>
      </c>
      <c r="AK135" s="2" t="s">
        <v>89</v>
      </c>
      <c r="AL135" s="2" t="s">
        <v>89</v>
      </c>
      <c r="AM135" s="2" t="s">
        <v>89</v>
      </c>
      <c r="AN135" s="14" t="str">
        <f>HYPERLINK(".\links\gpi\AGAP003851-PA-gpi.txt","N")</f>
        <v>N</v>
      </c>
      <c r="AO135" s="15" t="str">
        <f>HYPERLINK(".\links\netoglyc\AGAP003851-PA-netoglyc.txt","0")</f>
        <v>0</v>
      </c>
      <c r="AP135" s="14">
        <v>2.9</v>
      </c>
      <c r="AQ135" s="2">
        <v>2.9</v>
      </c>
      <c r="AR135" s="2">
        <v>2.9</v>
      </c>
      <c r="AS135" s="2" t="s">
        <v>94</v>
      </c>
      <c r="AT135" s="9" t="str">
        <f>HYPERLINK(".\links\NR-LIGHT\AGAP003851-PA-NR-LIGHT.txt","AGAP003851-PA")</f>
        <v>AGAP003851-PA</v>
      </c>
      <c r="AU135" s="2" t="str">
        <f>HYPERLINK("http://www.ncbi.nlm.nih.gov/sutils/blink.cgi?pid=XP_310410.3","3E-035")</f>
        <v>3E-035</v>
      </c>
      <c r="AV135" s="2" t="str">
        <f>HYPERLINK("http://www.ncbi.nlm.nih.gov/protein/XP_310410.3","XP_310410.3")</f>
        <v>XP_310410.3</v>
      </c>
      <c r="AW135" s="2">
        <v>100</v>
      </c>
      <c r="AX135" s="2">
        <v>100</v>
      </c>
      <c r="AY135" s="2">
        <v>100</v>
      </c>
      <c r="AZ135" s="2" t="s">
        <v>95</v>
      </c>
      <c r="BA135" s="9" t="str">
        <f>HYPERLINK(".\links\REFSEQ-INVERTEBRATE\AGAP003851-PA-REFSEQ-INVERTEBRATE.txt","AGAP003851-PA")</f>
        <v>AGAP003851-PA</v>
      </c>
      <c r="BB135" s="2" t="str">
        <f>HYPERLINK("http://www.ncbi.nlm.nih.gov/sutils/blink.cgi?pid=XP_310410.3","2E-035")</f>
        <v>2E-035</v>
      </c>
      <c r="BC135" s="2" t="str">
        <f>HYPERLINK("http://www.ncbi.nlm.nih.gov/protein/XP_310410.3","XP_310410.3")</f>
        <v>XP_310410.3</v>
      </c>
      <c r="BD135" s="2">
        <v>100</v>
      </c>
      <c r="BE135" s="2">
        <v>100</v>
      </c>
      <c r="BF135" s="2">
        <v>100</v>
      </c>
      <c r="BG135" s="2" t="s">
        <v>95</v>
      </c>
      <c r="BH135" s="9" t="str">
        <f>HYPERLINK(".\links\REFSEQ-PROTOZOA\AGAP003851-PA-REFSEQ-PROTOZOA.txt","hypothetical protein CAOG_07348")</f>
        <v>hypothetical protein CAOG_07348</v>
      </c>
      <c r="BI135" s="2" t="str">
        <f>HYPERLINK("http://www.ncbi.nlm.nih.gov/sutils/blink.cgi?pid=XP_004343207.1","8E-016")</f>
        <v>8E-016</v>
      </c>
      <c r="BJ135" s="2" t="str">
        <f>HYPERLINK("http://www.ncbi.nlm.nih.gov/protein/XP_004343207.1","XP_004343207.1")</f>
        <v>XP_004343207.1</v>
      </c>
      <c r="BK135" s="2">
        <v>55</v>
      </c>
      <c r="BL135" s="2">
        <v>74</v>
      </c>
      <c r="BM135" s="2">
        <v>85</v>
      </c>
      <c r="BN135" s="2" t="s">
        <v>150</v>
      </c>
      <c r="BO135" s="9" t="str">
        <f>HYPERLINK(".\links\SWISSP\AGAP003851-PA-SWISSP.txt","26S proteasome complex subunit SEM1")</f>
        <v>26S proteasome complex subunit SEM1</v>
      </c>
      <c r="BP135" s="2" t="str">
        <f>HYPERLINK("http://www.uniprot.org/uniprot/P60897","2E-022")</f>
        <v>2E-022</v>
      </c>
      <c r="BQ135" s="2" t="str">
        <f>HYPERLINK("http://www.uniprot.org/uniprot/P60897#expression","P60897")</f>
        <v>P60897</v>
      </c>
      <c r="BR135" s="2">
        <v>76</v>
      </c>
      <c r="BS135" s="2">
        <v>85</v>
      </c>
      <c r="BT135" s="2">
        <v>90</v>
      </c>
      <c r="BU135" s="2" t="s">
        <v>566</v>
      </c>
      <c r="BV135" s="9" t="str">
        <f>HYPERLINK(".\links\FLYBASE\AGAP003851-PA-FLYBASE.txt","FBpp0079031")</f>
        <v>FBpp0079031</v>
      </c>
      <c r="BW135" s="2" t="str">
        <f>HYPERLINK("http://flybase.org/reports/FBgn0266666#alliance_summary_container","4E-13")</f>
        <v>4E-13</v>
      </c>
      <c r="BX135" s="2">
        <v>79</v>
      </c>
      <c r="BY135" s="2">
        <v>78</v>
      </c>
      <c r="BZ135" s="2">
        <v>87</v>
      </c>
      <c r="CA135" s="2">
        <v>72</v>
      </c>
      <c r="CB135" s="9" t="str">
        <f>HYPERLINK(".\links\CDD\AGAP003851-PA-CDD.txt","DSS1_SEM1, DSS1/SEM1 family")</f>
        <v>DSS1_SEM1, DSS1/SEM1 family</v>
      </c>
      <c r="CC135" s="13">
        <v>1E-8</v>
      </c>
      <c r="CD135" s="2">
        <v>98.2</v>
      </c>
      <c r="CE135" s="2" t="s">
        <v>990</v>
      </c>
      <c r="CF135" s="2" t="s">
        <v>991</v>
      </c>
      <c r="CG135" s="9" t="str">
        <f>HYPERLINK(".\links\KOG\AGAP003851-PA-KOG.txt","Uncharacterized conserved protein")</f>
        <v>Uncharacterized conserved protein</v>
      </c>
      <c r="CH135" s="13">
        <v>3.0000000000000001E-5</v>
      </c>
      <c r="CI135" s="2">
        <v>82.9</v>
      </c>
      <c r="CJ135" s="2" t="s">
        <v>992</v>
      </c>
      <c r="CK135" s="2" t="s">
        <v>101</v>
      </c>
      <c r="CL135" s="9" t="str">
        <f>HYPERLINK(".\links\PFAM\AGAP003851-PA-PFAM.txt","DSS1_SEM1, DSS1/SEM1 family")</f>
        <v>DSS1_SEM1, DSS1/SEM1 family</v>
      </c>
      <c r="CM135" s="13">
        <v>3E-9</v>
      </c>
      <c r="CN135" s="2">
        <v>98.2</v>
      </c>
      <c r="CO135" s="2" t="s">
        <v>990</v>
      </c>
      <c r="CP135" s="9" t="str">
        <f>HYPERLINK(".\links\SMART\AGAP003851-PA-SMART.txt","DnaG_DnaB_bind, DNA primase DnaG DnaB-binding")</f>
        <v>DnaG_DnaB_bind, DNA primase DnaG DnaB-binding</v>
      </c>
      <c r="CQ135" s="13">
        <v>1.1000000000000001</v>
      </c>
      <c r="CR135" s="2">
        <v>39.200000000000003</v>
      </c>
      <c r="CS135" s="2" t="s">
        <v>993</v>
      </c>
      <c r="CT135" s="2" t="s">
        <v>988</v>
      </c>
      <c r="CU135" s="2" t="s">
        <v>988</v>
      </c>
      <c r="CV135" s="2" t="s">
        <v>988</v>
      </c>
      <c r="CW135" s="2" t="str">
        <f>HYPERLINK(".\links\pep\AGAP003851-PA-pep.txt","AGAP003851-PA")</f>
        <v>AGAP003851-PA</v>
      </c>
      <c r="CX135" s="2" t="s">
        <v>88</v>
      </c>
      <c r="CY135" s="2">
        <v>69</v>
      </c>
      <c r="CZ135" s="2" t="s">
        <v>103</v>
      </c>
      <c r="DA135" s="2" t="s">
        <v>994</v>
      </c>
      <c r="DB135" s="2">
        <v>0</v>
      </c>
      <c r="DC135" s="2">
        <v>0</v>
      </c>
      <c r="DD135" s="2" t="str">
        <f>HYPERLINK("https://www.kegg.jp/kegg-bin/search_pathway_text?map=aga&amp;keyword=AGAP003851&amp;mode=1&amp;viewImage=true","AGAP003851")</f>
        <v>AGAP003851</v>
      </c>
      <c r="DE135" s="2" t="s">
        <v>984</v>
      </c>
      <c r="DF135" s="2" t="s">
        <v>985</v>
      </c>
      <c r="DG135" s="2" t="s">
        <v>87</v>
      </c>
      <c r="DH135" s="2" t="str">
        <f>HYPERLINK("https://vectorbase.org/vectorbase/app/record/gene/AGAP003851","AGAP003851-RA")</f>
        <v>AGAP003851-RA</v>
      </c>
      <c r="DI135" s="2" t="s">
        <v>140</v>
      </c>
      <c r="DJ135" s="2">
        <v>367</v>
      </c>
      <c r="DK135" s="2" t="str">
        <f>HYPERLINK(".\links\netoglyc\AGAP003851-PA-netoglyc.txt","0")</f>
        <v>0</v>
      </c>
      <c r="DL135" s="2">
        <v>2.9</v>
      </c>
      <c r="DM135" s="2">
        <v>2.9</v>
      </c>
      <c r="DN135" s="2">
        <v>2.9</v>
      </c>
      <c r="DO135" s="2" t="s">
        <v>94</v>
      </c>
      <c r="DP135" s="2" t="s">
        <v>89</v>
      </c>
      <c r="DQ135" s="2" t="str">
        <f>HYPERLINK(".\links\Sigp\AGAP003851-PA-SigP.txt","CYT")</f>
        <v>CYT</v>
      </c>
      <c r="DR135" s="2" t="s">
        <v>89</v>
      </c>
      <c r="DS135" s="2">
        <v>8.5120000000000005</v>
      </c>
      <c r="DT135" s="2">
        <v>3.96</v>
      </c>
      <c r="DU135" s="2" t="s">
        <v>89</v>
      </c>
      <c r="DV135" s="2" t="s">
        <v>89</v>
      </c>
      <c r="DW135" s="2" t="s">
        <v>273</v>
      </c>
      <c r="DX135" s="2">
        <v>69</v>
      </c>
      <c r="DY135" s="12">
        <v>0</v>
      </c>
      <c r="DZ135" s="2" t="s">
        <v>89</v>
      </c>
      <c r="EA135" s="2" t="s">
        <v>89</v>
      </c>
      <c r="EB135" s="2" t="s">
        <v>89</v>
      </c>
      <c r="EC135" s="2" t="str">
        <f>HYPERLINK(".\links\gpi\AGAP003851-PA-gpi.txt","N")</f>
        <v>N</v>
      </c>
      <c r="ED135" s="2">
        <v>0.81</v>
      </c>
      <c r="EE135" s="2" t="s">
        <v>995</v>
      </c>
      <c r="EF135" s="2">
        <v>0</v>
      </c>
      <c r="EG135" s="2" t="s">
        <v>89</v>
      </c>
      <c r="EH135" s="2" t="s">
        <v>89</v>
      </c>
      <c r="EI135" s="2">
        <v>2.8985507246376798</v>
      </c>
      <c r="EJ135" s="2">
        <v>2.8985507246376798</v>
      </c>
      <c r="EK135" s="2">
        <v>2.8985507246376798</v>
      </c>
      <c r="EL135" s="2">
        <v>5.7971014492753596</v>
      </c>
      <c r="EM135" s="2" t="s">
        <v>89</v>
      </c>
      <c r="EN135" s="2" t="s">
        <v>89</v>
      </c>
      <c r="EO135" s="2" t="s">
        <v>89</v>
      </c>
      <c r="EP135" s="2" t="s">
        <v>89</v>
      </c>
      <c r="EQ135" s="2" t="s">
        <v>89</v>
      </c>
      <c r="ER135" s="2" t="s">
        <v>89</v>
      </c>
      <c r="ES135" s="2" t="s">
        <v>89</v>
      </c>
      <c r="ET135" s="2" t="str">
        <f>HYPERLINK(".\links\REFSEQ-INVERTEBRATE\AGAP003851-PA-REFSEQ-INVERTEBRATE.txt","AGAP003851-PA")</f>
        <v>AGAP003851-PA</v>
      </c>
      <c r="EU135" s="2" t="str">
        <f>HYPERLINK("http://www.ncbi.nlm.nih.gov/sutils/blink.cgi?pid=XP_310410.3","5E-40")</f>
        <v>5E-40</v>
      </c>
      <c r="EV135" s="2" t="str">
        <f>HYPERLINK("http://www.ncbi.nlm.nih.gov/protein/XP_310410.3","XP_310410.3")</f>
        <v>XP_310410.3</v>
      </c>
      <c r="EW135" s="2">
        <v>100</v>
      </c>
      <c r="EX135" s="2">
        <v>100</v>
      </c>
      <c r="EY135" s="2">
        <v>100</v>
      </c>
      <c r="EZ135" s="2" t="s">
        <v>95</v>
      </c>
    </row>
    <row r="136" spans="1:156" x14ac:dyDescent="0.25">
      <c r="A136" s="2" t="s">
        <v>1582</v>
      </c>
      <c r="B136" s="2">
        <v>-0.85824109450152797</v>
      </c>
      <c r="C136" s="2">
        <f t="shared" si="2"/>
        <v>0.55162467812580873</v>
      </c>
      <c r="D136" s="2">
        <v>4.5257658446736801</v>
      </c>
      <c r="E136" s="2">
        <v>11.240585411286199</v>
      </c>
      <c r="F136" s="2">
        <v>8.0027910590501901E-4</v>
      </c>
      <c r="G136" s="2">
        <v>3.5868348419931202E-2</v>
      </c>
      <c r="H136" s="2" t="s">
        <v>86</v>
      </c>
      <c r="I136" s="2" t="s">
        <v>87</v>
      </c>
      <c r="J136" s="2" t="str">
        <f>HYPERLINK("https://vectorbase.org/vectorbase/app/record/gene/AGAP005935","AGAP005935-RA")</f>
        <v>AGAP005935-RA</v>
      </c>
      <c r="K136" s="2" t="str">
        <f>HYPERLINK(".\links\pep\AGAP005935-PA-pep.txt","AGAP005935-PA")</f>
        <v>AGAP005935-PA</v>
      </c>
      <c r="L136" s="12" t="s">
        <v>88</v>
      </c>
      <c r="M136" s="2">
        <v>80</v>
      </c>
      <c r="N136" s="2">
        <v>0</v>
      </c>
      <c r="O136" s="2">
        <v>0</v>
      </c>
      <c r="P136" s="2" t="s">
        <v>89</v>
      </c>
      <c r="Q136" s="9" t="s">
        <v>1583</v>
      </c>
      <c r="R136" s="2" t="s">
        <v>1584</v>
      </c>
      <c r="S136" s="2" t="str">
        <f>HYPERLINK(".\links\NR-LIGHT\AGAP005935-PA-NR-LIGHT.txt","NR-LIGHT")</f>
        <v>NR-LIGHT</v>
      </c>
      <c r="T136" s="2">
        <v>3.0000000000000002E-36</v>
      </c>
      <c r="U136" s="2">
        <v>100</v>
      </c>
      <c r="V136" s="2" t="s">
        <v>1585</v>
      </c>
      <c r="W136" s="10" t="s">
        <v>1586</v>
      </c>
      <c r="X136" s="2" t="s">
        <v>1587</v>
      </c>
      <c r="Y136" s="2" t="str">
        <f>HYPERLINK(".\links\UNIPROTKB\AGAP005935-PA-UNIPROTKB.txt","UNIPROTKB")</f>
        <v>UNIPROTKB</v>
      </c>
      <c r="Z136" s="13">
        <v>2E-35</v>
      </c>
      <c r="AA136" s="2">
        <v>102.5</v>
      </c>
      <c r="AB136" s="14" t="s">
        <v>89</v>
      </c>
      <c r="AC136" s="14" t="str">
        <f>HYPERLINK(".\links\Sigp\AGAP005935-PA-SigP.txt","ANC")</f>
        <v>ANC</v>
      </c>
      <c r="AD136" s="2" t="s">
        <v>89</v>
      </c>
      <c r="AE136" s="2">
        <v>9.0670000000000002</v>
      </c>
      <c r="AF136" s="2">
        <v>8.16</v>
      </c>
      <c r="AG136" s="2">
        <v>4.2</v>
      </c>
      <c r="AH136" s="2">
        <v>8.43</v>
      </c>
      <c r="AI136" s="2" t="s">
        <v>1588</v>
      </c>
      <c r="AJ136" s="14" t="str">
        <f>HYPERLINK(".\links\tmhmm\AGAP005935-PA-tmhmm.txt","2")</f>
        <v>2</v>
      </c>
      <c r="AK136" s="2">
        <v>55</v>
      </c>
      <c r="AL136" s="2">
        <v>20</v>
      </c>
      <c r="AM136" s="2">
        <v>25</v>
      </c>
      <c r="AN136" s="14" t="str">
        <f>HYPERLINK(".\links\gpi\AGAP005935-PA-gpi.txt","Y")</f>
        <v>Y</v>
      </c>
      <c r="AO136" s="15" t="str">
        <f>HYPERLINK(".\links\netoglyc\AGAP005935-PA-netoglyc.txt","0")</f>
        <v>0</v>
      </c>
      <c r="AP136" s="14">
        <v>13.8</v>
      </c>
      <c r="AQ136" s="2">
        <v>5</v>
      </c>
      <c r="AR136" s="2">
        <v>6.3</v>
      </c>
      <c r="AS136" s="2" t="s">
        <v>94</v>
      </c>
      <c r="AT136" s="9" t="str">
        <f>HYPERLINK(".\links\NR-LIGHT\AGAP005935-PA-NR-LIGHT.txt","AGAP005935-PA")</f>
        <v>AGAP005935-PA</v>
      </c>
      <c r="AU136" s="2" t="str">
        <f>HYPERLINK("http://www.ncbi.nlm.nih.gov/sutils/blink.cgi?pid=XP_315965.2","8E-038")</f>
        <v>8E-038</v>
      </c>
      <c r="AV136" s="2" t="str">
        <f>HYPERLINK("http://www.ncbi.nlm.nih.gov/protein/XP_315965.2","XP_315965.2")</f>
        <v>XP_315965.2</v>
      </c>
      <c r="AW136" s="2">
        <v>100</v>
      </c>
      <c r="AX136" s="2">
        <v>100</v>
      </c>
      <c r="AY136" s="2">
        <v>100</v>
      </c>
      <c r="AZ136" s="2" t="s">
        <v>95</v>
      </c>
      <c r="BA136" s="9" t="str">
        <f>HYPERLINK(".\links\REFSEQ-INVERTEBRATE\AGAP005935-PA-REFSEQ-INVERTEBRATE.txt","AGAP005935-PA")</f>
        <v>AGAP005935-PA</v>
      </c>
      <c r="BB136" s="2" t="str">
        <f>HYPERLINK("http://www.ncbi.nlm.nih.gov/sutils/blink.cgi?pid=XP_315965.2","7E-038")</f>
        <v>7E-038</v>
      </c>
      <c r="BC136" s="2" t="str">
        <f>HYPERLINK("http://www.ncbi.nlm.nih.gov/protein/XP_315965.2","XP_315965.2")</f>
        <v>XP_315965.2</v>
      </c>
      <c r="BD136" s="2">
        <v>100</v>
      </c>
      <c r="BE136" s="2">
        <v>100</v>
      </c>
      <c r="BF136" s="2">
        <v>100</v>
      </c>
      <c r="BG136" s="2" t="s">
        <v>95</v>
      </c>
      <c r="BH136" s="9" t="str">
        <f>HYPERLINK(".\links\REFSEQ-PROTOZOA\AGAP005935-PA-REFSEQ-PROTOZOA.txt","hypothetical protein ACA1_192040")</f>
        <v>hypothetical protein ACA1_192040</v>
      </c>
      <c r="BI136" s="2" t="str">
        <f>HYPERLINK("http://www.ncbi.nlm.nih.gov/sutils/blink.cgi?pid=XP_004336487.1","4E-012")</f>
        <v>4E-012</v>
      </c>
      <c r="BJ136" s="2" t="str">
        <f>HYPERLINK("http://www.ncbi.nlm.nih.gov/protein/XP_004336487.1","XP_004336487.1")</f>
        <v>XP_004336487.1</v>
      </c>
      <c r="BK136" s="2">
        <v>50</v>
      </c>
      <c r="BL136" s="2">
        <v>66</v>
      </c>
      <c r="BM136" s="2">
        <v>100</v>
      </c>
      <c r="BN136" s="2" t="s">
        <v>114</v>
      </c>
      <c r="BO136" s="9" t="str">
        <f>HYPERLINK(".\links\SWISSP\AGAP005935-PA-SWISSP.txt","Transmembrane protein 258 homolog")</f>
        <v>Transmembrane protein 258 homolog</v>
      </c>
      <c r="BP136" s="2" t="str">
        <f>HYPERLINK("http://www.uniprot.org/uniprot/Q9VVA8","3E-027")</f>
        <v>3E-027</v>
      </c>
      <c r="BQ136" s="2" t="str">
        <f>HYPERLINK("http://www.uniprot.org/uniprot/Q9VVA8#expression","Q9VVA8")</f>
        <v>Q9VVA8</v>
      </c>
      <c r="BR136" s="2">
        <v>75</v>
      </c>
      <c r="BS136" s="2">
        <v>87</v>
      </c>
      <c r="BT136" s="2">
        <v>103</v>
      </c>
      <c r="BU136" s="2" t="s">
        <v>151</v>
      </c>
      <c r="BV136" s="9" t="str">
        <f>HYPERLINK(".\links\FLYBASE\AGAP005935-PA-FLYBASE.txt","FBpp0293796")</f>
        <v>FBpp0293796</v>
      </c>
      <c r="BW136" s="2" t="str">
        <f>HYPERLINK("http://flybase.org/reports/FBgn0036667#alliance_summary_container","2E-36")</f>
        <v>2E-36</v>
      </c>
      <c r="BX136" s="2">
        <v>78</v>
      </c>
      <c r="BY136" s="2">
        <v>75</v>
      </c>
      <c r="BZ136" s="2">
        <v>87</v>
      </c>
      <c r="CA136" s="2">
        <v>103</v>
      </c>
      <c r="CB136" s="9" t="str">
        <f>HYPERLINK(".\links\CDD\AGAP005935-PA-CDD.txt","UPF0197, Uncharacterized protein family (UPF0197)")</f>
        <v>UPF0197, Uncharacterized protein family (UPF0197)</v>
      </c>
      <c r="CC136" s="13">
        <v>1.0000000000000001E-18</v>
      </c>
      <c r="CD136" s="2">
        <v>104.1</v>
      </c>
      <c r="CE136" s="2" t="s">
        <v>1589</v>
      </c>
      <c r="CF136" s="2" t="s">
        <v>1590</v>
      </c>
      <c r="CG136" s="9" t="str">
        <f>HYPERLINK(".\links\KOG\AGAP005935-PA-KOG.txt","Predicted membrane protein")</f>
        <v>Predicted membrane protein</v>
      </c>
      <c r="CH136" s="13">
        <v>2.9999999999999998E-18</v>
      </c>
      <c r="CI136" s="2">
        <v>101.3</v>
      </c>
      <c r="CJ136" s="2" t="s">
        <v>1591</v>
      </c>
      <c r="CK136" s="2" t="s">
        <v>101</v>
      </c>
      <c r="CL136" s="9" t="str">
        <f>HYPERLINK(".\links\PFAM\AGAP005935-PA-PFAM.txt","UPF0197, Uncharacterized protein family (UPF0197)")</f>
        <v>UPF0197, Uncharacterized protein family (UPF0197)</v>
      </c>
      <c r="CM136" s="13">
        <v>2.9999999999999999E-19</v>
      </c>
      <c r="CN136" s="2">
        <v>104.1</v>
      </c>
      <c r="CO136" s="2" t="s">
        <v>1589</v>
      </c>
      <c r="CP136" s="9" t="str">
        <f>HYPERLINK(".\links\SMART\AGAP005935-PA-SMART.txt","AMPKBI, 5'-AMP-activated protein kinase beta subunit, interation domain")</f>
        <v>AMPKBI, 5'-AMP-activated protein kinase beta subunit, interation domain</v>
      </c>
      <c r="CQ136" s="13">
        <v>1.8</v>
      </c>
      <c r="CR136" s="2">
        <v>19</v>
      </c>
      <c r="CS136" s="2" t="s">
        <v>1592</v>
      </c>
      <c r="CT136" s="2" t="s">
        <v>1585</v>
      </c>
      <c r="CU136" s="2" t="s">
        <v>1585</v>
      </c>
      <c r="CV136" s="2" t="s">
        <v>1585</v>
      </c>
      <c r="CW136" s="2" t="str">
        <f>HYPERLINK(".\links\pep\AGAP005935-PA-pep.txt","AGAP005935-PA")</f>
        <v>AGAP005935-PA</v>
      </c>
      <c r="CX136" s="2" t="s">
        <v>88</v>
      </c>
      <c r="CY136" s="2">
        <v>80</v>
      </c>
      <c r="CZ136" s="2" t="s">
        <v>103</v>
      </c>
      <c r="DA136" s="2" t="s">
        <v>1593</v>
      </c>
      <c r="DB136" s="2">
        <v>0</v>
      </c>
      <c r="DC136" s="2">
        <v>0</v>
      </c>
      <c r="DD136" s="2" t="str">
        <f>HYPERLINK("https://www.kegg.jp/kegg-bin/search_pathway_text?map=aga&amp;keyword=AGAP005935&amp;mode=1&amp;viewImage=true","AGAP005935")</f>
        <v>AGAP005935</v>
      </c>
      <c r="DE136" s="2" t="s">
        <v>1582</v>
      </c>
      <c r="DF136" s="2" t="s">
        <v>86</v>
      </c>
      <c r="DG136" s="2" t="s">
        <v>87</v>
      </c>
      <c r="DH136" s="2" t="str">
        <f>HYPERLINK("https://vectorbase.org/vectorbase/app/record/gene/AGAP005935","AGAP005935-RA")</f>
        <v>AGAP005935-RA</v>
      </c>
      <c r="DI136" s="2" t="s">
        <v>158</v>
      </c>
      <c r="DJ136" s="2">
        <v>727</v>
      </c>
      <c r="DK136" s="2" t="str">
        <f>HYPERLINK(".\links\netoglyc\AGAP005935-PA-netoglyc.txt","0")</f>
        <v>0</v>
      </c>
      <c r="DL136" s="2">
        <v>13.8</v>
      </c>
      <c r="DM136" s="2">
        <v>5</v>
      </c>
      <c r="DN136" s="2">
        <v>6.3</v>
      </c>
      <c r="DO136" s="2" t="s">
        <v>94</v>
      </c>
      <c r="DP136" s="2" t="s">
        <v>89</v>
      </c>
      <c r="DQ136" s="2" t="str">
        <f>HYPERLINK(".\links\Sigp\AGAP005935-PA-SigP.txt","ANC")</f>
        <v>ANC</v>
      </c>
      <c r="DR136" s="2" t="s">
        <v>89</v>
      </c>
      <c r="DS136" s="2">
        <v>9.0670000000000002</v>
      </c>
      <c r="DT136" s="2">
        <v>8.16</v>
      </c>
      <c r="DU136" s="2">
        <v>4.2</v>
      </c>
      <c r="DV136" s="2">
        <v>8.43</v>
      </c>
      <c r="DW136" s="2" t="s">
        <v>1588</v>
      </c>
      <c r="DX136" s="2">
        <v>80</v>
      </c>
      <c r="DY136" s="12" t="str">
        <f>HYPERLINK(".\links\tmhmm\AGAP005935-PA-tmhmm.txt","2")</f>
        <v>2</v>
      </c>
      <c r="DZ136" s="2">
        <v>55</v>
      </c>
      <c r="EA136" s="2">
        <v>20</v>
      </c>
      <c r="EB136" s="2">
        <v>25</v>
      </c>
      <c r="EC136" s="2" t="str">
        <f>HYPERLINK(".\links\gpi\AGAP005935-PA-gpi.txt","")</f>
        <v/>
      </c>
      <c r="ED136" s="2">
        <v>0.62</v>
      </c>
      <c r="EE136" s="2" t="s">
        <v>1594</v>
      </c>
      <c r="EF136" s="2">
        <v>0</v>
      </c>
      <c r="EG136" s="2" t="s">
        <v>89</v>
      </c>
      <c r="EH136" s="2" t="s">
        <v>89</v>
      </c>
      <c r="EI136" s="2">
        <v>13.75</v>
      </c>
      <c r="EJ136" s="2">
        <v>6.25</v>
      </c>
      <c r="EK136" s="2">
        <v>5</v>
      </c>
      <c r="EL136" s="2">
        <v>11.25</v>
      </c>
      <c r="EM136" s="2" t="s">
        <v>89</v>
      </c>
      <c r="EN136" s="2" t="s">
        <v>89</v>
      </c>
      <c r="EO136" s="2" t="s">
        <v>89</v>
      </c>
      <c r="EP136" s="2" t="s">
        <v>89</v>
      </c>
      <c r="EQ136" s="2" t="s">
        <v>89</v>
      </c>
      <c r="ER136" s="2" t="s">
        <v>89</v>
      </c>
      <c r="ES136" s="2" t="s">
        <v>89</v>
      </c>
      <c r="ET136" s="2" t="str">
        <f>HYPERLINK(".\links\REFSEQ-INVERTEBRATE\AGAP005935-PA-REFSEQ-INVERTEBRATE.txt","AGAP005935-PA")</f>
        <v>AGAP005935-PA</v>
      </c>
      <c r="EU136" s="2" t="str">
        <f>HYPERLINK("http://www.ncbi.nlm.nih.gov/sutils/blink.cgi?pid=XP_315965.2","8E-49")</f>
        <v>8E-49</v>
      </c>
      <c r="EV136" s="2" t="str">
        <f>HYPERLINK("http://www.ncbi.nlm.nih.gov/protein/XP_315965.2","XP_315965.2")</f>
        <v>XP_315965.2</v>
      </c>
      <c r="EW136" s="2">
        <v>100</v>
      </c>
      <c r="EX136" s="2">
        <v>100</v>
      </c>
      <c r="EY136" s="2">
        <v>100</v>
      </c>
      <c r="EZ136" s="2" t="s">
        <v>95</v>
      </c>
    </row>
    <row r="137" spans="1:156" x14ac:dyDescent="0.25">
      <c r="A137" s="2" t="s">
        <v>314</v>
      </c>
      <c r="B137" s="2">
        <v>-0.858329415260633</v>
      </c>
      <c r="C137" s="2">
        <f t="shared" si="2"/>
        <v>0.55159090909100672</v>
      </c>
      <c r="D137" s="2">
        <v>11.3345150287539</v>
      </c>
      <c r="E137" s="2">
        <v>10.9424065114044</v>
      </c>
      <c r="F137" s="2">
        <v>9.39880137898153E-4</v>
      </c>
      <c r="G137" s="2">
        <v>3.9868142741839203E-2</v>
      </c>
      <c r="H137" s="2" t="s">
        <v>315</v>
      </c>
      <c r="I137" s="2" t="s">
        <v>87</v>
      </c>
      <c r="J137" s="2" t="str">
        <f>HYPERLINK("https://vectorbase.org/vectorbase/app/record/gene/AGAP000952","AGAP000952-RA")</f>
        <v>AGAP000952-RA</v>
      </c>
      <c r="K137" s="2" t="str">
        <f>HYPERLINK(".\links\pep\AGAP000952-PA-pep.txt","AGAP000952-PA")</f>
        <v>AGAP000952-PA</v>
      </c>
      <c r="L137" s="12" t="s">
        <v>88</v>
      </c>
      <c r="M137" s="2">
        <v>91</v>
      </c>
      <c r="N137" s="2">
        <v>0</v>
      </c>
      <c r="O137" s="2">
        <v>0</v>
      </c>
      <c r="P137" s="2" t="s">
        <v>316</v>
      </c>
      <c r="Q137" s="9" t="s">
        <v>317</v>
      </c>
      <c r="R137" s="2" t="s">
        <v>245</v>
      </c>
      <c r="S137" s="2" t="str">
        <f>HYPERLINK(".\links\NR-LIGHT\AGAP000952-PA-NR-LIGHT.txt","NR-LIGHT")</f>
        <v>NR-LIGHT</v>
      </c>
      <c r="T137" s="2">
        <v>5.0000000000000001E-47</v>
      </c>
      <c r="U137" s="2">
        <v>100</v>
      </c>
      <c r="V137" s="2" t="s">
        <v>318</v>
      </c>
      <c r="W137" s="10" t="s">
        <v>319</v>
      </c>
      <c r="X137" s="2" t="s">
        <v>245</v>
      </c>
      <c r="Y137" s="2" t="str">
        <f>HYPERLINK(".\links\KOG\AGAP000952-PA-KOG.txt","KOG")</f>
        <v>KOG</v>
      </c>
      <c r="Z137" s="13">
        <v>4.9999999999999999E-49</v>
      </c>
      <c r="AA137" s="2">
        <v>88</v>
      </c>
      <c r="AB137" s="14" t="s">
        <v>89</v>
      </c>
      <c r="AC137" s="14" t="str">
        <f>HYPERLINK(".\links\Sigp\AGAP000952-PA-SigP.txt","CYT")</f>
        <v>CYT</v>
      </c>
      <c r="AD137" s="2" t="s">
        <v>89</v>
      </c>
      <c r="AE137" s="2">
        <v>10.673999999999999</v>
      </c>
      <c r="AF137" s="2">
        <v>11.76</v>
      </c>
      <c r="AG137" s="2" t="s">
        <v>89</v>
      </c>
      <c r="AH137" s="2" t="s">
        <v>89</v>
      </c>
      <c r="AI137" s="2" t="s">
        <v>93</v>
      </c>
      <c r="AJ137" s="14">
        <v>0</v>
      </c>
      <c r="AK137" s="2" t="s">
        <v>89</v>
      </c>
      <c r="AL137" s="2" t="s">
        <v>89</v>
      </c>
      <c r="AM137" s="2" t="s">
        <v>89</v>
      </c>
      <c r="AN137" s="14" t="str">
        <f>HYPERLINK(".\links\gpi\AGAP000952-PA-gpi.txt","N")</f>
        <v>N</v>
      </c>
      <c r="AO137" s="15" t="str">
        <f>HYPERLINK(".\links\netoglyc\AGAP000952-PA-netoglyc.txt","0")</f>
        <v>0</v>
      </c>
      <c r="AP137" s="14">
        <v>17.600000000000001</v>
      </c>
      <c r="AQ137" s="2">
        <v>8.8000000000000007</v>
      </c>
      <c r="AR137" s="2">
        <v>2.2000000000000002</v>
      </c>
      <c r="AS137" s="2" t="s">
        <v>94</v>
      </c>
      <c r="AT137" s="9" t="str">
        <f>HYPERLINK(".\links\NR-LIGHT\AGAP000952-PA-NR-LIGHT.txt","AGAP000952-PA")</f>
        <v>AGAP000952-PA</v>
      </c>
      <c r="AU137" s="2" t="str">
        <f>HYPERLINK("http://www.ncbi.nlm.nih.gov/sutils/blink.cgi?pid=XP_309142.3","1E-048")</f>
        <v>1E-048</v>
      </c>
      <c r="AV137" s="2" t="str">
        <f>HYPERLINK("http://www.ncbi.nlm.nih.gov/protein/XP_309142.3","XP_309142.3")</f>
        <v>XP_309142.3</v>
      </c>
      <c r="AW137" s="2">
        <v>100</v>
      </c>
      <c r="AX137" s="2">
        <v>100</v>
      </c>
      <c r="AY137" s="2">
        <v>100</v>
      </c>
      <c r="AZ137" s="2" t="s">
        <v>95</v>
      </c>
      <c r="BA137" s="9" t="str">
        <f>HYPERLINK(".\links\REFSEQ-INVERTEBRATE\AGAP000952-PA-REFSEQ-INVERTEBRATE.txt","AGAP000952-PA")</f>
        <v>AGAP000952-PA</v>
      </c>
      <c r="BB137" s="2" t="str">
        <f>HYPERLINK("http://www.ncbi.nlm.nih.gov/sutils/blink.cgi?pid=XP_309142.3","1E-048")</f>
        <v>1E-048</v>
      </c>
      <c r="BC137" s="2" t="str">
        <f>HYPERLINK("http://www.ncbi.nlm.nih.gov/protein/XP_309142.3","XP_309142.3")</f>
        <v>XP_309142.3</v>
      </c>
      <c r="BD137" s="2">
        <v>100</v>
      </c>
      <c r="BE137" s="2">
        <v>100</v>
      </c>
      <c r="BF137" s="2">
        <v>100</v>
      </c>
      <c r="BG137" s="2" t="s">
        <v>95</v>
      </c>
      <c r="BH137" s="9" t="str">
        <f>HYPERLINK(".\links\REFSEQ-PROTOZOA\AGAP000952-PA-REFSEQ-PROTOZOA.txt","60S ribosomal protein L37")</f>
        <v>60S ribosomal protein L37</v>
      </c>
      <c r="BI137" s="2" t="str">
        <f>HYPERLINK("http://www.ncbi.nlm.nih.gov/sutils/blink.cgi?pid=XP_009828152.1","1E-037")</f>
        <v>1E-037</v>
      </c>
      <c r="BJ137" s="2" t="str">
        <f>HYPERLINK("http://www.ncbi.nlm.nih.gov/protein/XP_009828152.1","XP_009828152.1")</f>
        <v>XP_009828152.1</v>
      </c>
      <c r="BK137" s="2">
        <v>77</v>
      </c>
      <c r="BL137" s="2">
        <v>86</v>
      </c>
      <c r="BM137" s="2">
        <v>98</v>
      </c>
      <c r="BN137" s="2" t="s">
        <v>320</v>
      </c>
      <c r="BO137" s="9" t="str">
        <f>HYPERLINK(".\links\SWISSP\AGAP000952-PA-SWISSP.txt","Probable 60S ribosomal protein L37-A")</f>
        <v>Probable 60S ribosomal protein L37-A</v>
      </c>
      <c r="BP137" s="2" t="str">
        <f>HYPERLINK("http://www.uniprot.org/uniprot/Q9VXX8","7E-043")</f>
        <v>7E-043</v>
      </c>
      <c r="BQ137" s="2" t="str">
        <f>HYPERLINK("http://www.uniprot.org/uniprot/Q9VXX8#expression","Q9VXX8")</f>
        <v>Q9VXX8</v>
      </c>
      <c r="BR137" s="2">
        <v>85</v>
      </c>
      <c r="BS137" s="2">
        <v>94</v>
      </c>
      <c r="BT137" s="2">
        <v>98</v>
      </c>
      <c r="BU137" s="2" t="s">
        <v>151</v>
      </c>
      <c r="BV137" s="9" t="str">
        <f>HYPERLINK(".\links\FLYBASE\AGAP000952-PA-FLYBASE.txt","FBpp0303429")</f>
        <v>FBpp0303429</v>
      </c>
      <c r="BW137" s="2" t="str">
        <f>HYPERLINK("http://flybase.org/reports/FBgn0030616#alliance_summary_container","6E-54")</f>
        <v>6E-54</v>
      </c>
      <c r="BX137" s="2">
        <v>93</v>
      </c>
      <c r="BY137" s="2">
        <v>85</v>
      </c>
      <c r="BZ137" s="2">
        <v>94</v>
      </c>
      <c r="CA137" s="2">
        <v>98</v>
      </c>
      <c r="CB137" s="9" t="str">
        <f>HYPERLINK(".\links\CDD\AGAP000952-PA-CDD.txt","PTZ00073, 60S ribosomal protein L37")</f>
        <v>PTZ00073, 60S ribosomal protein L37</v>
      </c>
      <c r="CC137" s="13">
        <v>5.0000000000000002E-28</v>
      </c>
      <c r="CD137" s="2">
        <v>100</v>
      </c>
      <c r="CE137" s="2" t="s">
        <v>321</v>
      </c>
      <c r="CF137" s="2" t="s">
        <v>322</v>
      </c>
      <c r="CG137" s="9" t="str">
        <f>HYPERLINK(".\links\KOG\AGAP000952-PA-KOG.txt","60S ribosomal protein L37")</f>
        <v>60S ribosomal protein L37</v>
      </c>
      <c r="CH137" s="13">
        <v>1.9999999999999999E-29</v>
      </c>
      <c r="CI137" s="2">
        <v>98.9</v>
      </c>
      <c r="CJ137" s="2" t="s">
        <v>323</v>
      </c>
      <c r="CK137" s="2" t="s">
        <v>252</v>
      </c>
      <c r="CL137" s="9" t="str">
        <f>HYPERLINK(".\links\PFAM\AGAP000952-PA-PFAM.txt","Ribosomal_L37e, Ribosomal protein L37e")</f>
        <v>Ribosomal_L37e, Ribosomal protein L37e</v>
      </c>
      <c r="CM137" s="13">
        <v>2.9999999999999999E-19</v>
      </c>
      <c r="CN137" s="2">
        <v>100</v>
      </c>
      <c r="CO137" s="2" t="s">
        <v>324</v>
      </c>
      <c r="CP137" s="9" t="str">
        <f>HYPERLINK(".\links\SMART\AGAP000952-PA-SMART.txt","RING, Ring finger")</f>
        <v>RING, Ring finger</v>
      </c>
      <c r="CQ137" s="13">
        <v>0.7</v>
      </c>
      <c r="CR137" s="2">
        <v>55</v>
      </c>
      <c r="CS137" s="2" t="s">
        <v>325</v>
      </c>
      <c r="CT137" s="2" t="s">
        <v>318</v>
      </c>
      <c r="CU137" s="2" t="s">
        <v>318</v>
      </c>
      <c r="CV137" s="2" t="s">
        <v>318</v>
      </c>
      <c r="CW137" s="2" t="str">
        <f>HYPERLINK(".\links\pep\AGAP000952-PA-pep.txt","AGAP000952-PA")</f>
        <v>AGAP000952-PA</v>
      </c>
      <c r="CX137" s="2" t="s">
        <v>88</v>
      </c>
      <c r="CY137" s="2">
        <v>91</v>
      </c>
      <c r="CZ137" s="2" t="s">
        <v>103</v>
      </c>
      <c r="DA137" s="2" t="s">
        <v>326</v>
      </c>
      <c r="DB137" s="2">
        <v>0</v>
      </c>
      <c r="DC137" s="2">
        <v>0</v>
      </c>
      <c r="DD137" s="2" t="str">
        <f>HYPERLINK("https://www.kegg.jp/kegg-bin/search_pathway_text?map=aga&amp;keyword=AGAP000952&amp;mode=1&amp;viewImage=true","AGAP000952")</f>
        <v>AGAP000952</v>
      </c>
      <c r="DE137" s="2" t="s">
        <v>314</v>
      </c>
      <c r="DF137" s="2" t="s">
        <v>315</v>
      </c>
      <c r="DG137" s="2" t="s">
        <v>87</v>
      </c>
      <c r="DH137" s="2" t="str">
        <f>HYPERLINK("https://vectorbase.org/vectorbase/app/record/gene/AGAP000952","AGAP000952-RA")</f>
        <v>AGAP000952-RA</v>
      </c>
      <c r="DI137" s="2" t="s">
        <v>105</v>
      </c>
      <c r="DJ137" s="2">
        <v>784</v>
      </c>
      <c r="DK137" s="2" t="str">
        <f>HYPERLINK(".\links\netoglyc\AGAP000952-PA-netoglyc.txt","0")</f>
        <v>0</v>
      </c>
      <c r="DL137" s="2">
        <v>17.600000000000001</v>
      </c>
      <c r="DM137" s="2">
        <v>8.8000000000000007</v>
      </c>
      <c r="DN137" s="2">
        <v>2.2000000000000002</v>
      </c>
      <c r="DO137" s="2" t="s">
        <v>94</v>
      </c>
      <c r="DP137" s="2" t="s">
        <v>327</v>
      </c>
      <c r="DQ137" s="2" t="str">
        <f>HYPERLINK(".\links\Sigp\AGAP000952-PA-SigP.txt","CYT")</f>
        <v>CYT</v>
      </c>
      <c r="DR137" s="2" t="s">
        <v>89</v>
      </c>
      <c r="DS137" s="2">
        <v>10.673999999999999</v>
      </c>
      <c r="DT137" s="2">
        <v>11.76</v>
      </c>
      <c r="DU137" s="2" t="s">
        <v>89</v>
      </c>
      <c r="DV137" s="2" t="s">
        <v>89</v>
      </c>
      <c r="DW137" s="2" t="s">
        <v>93</v>
      </c>
      <c r="DX137" s="2">
        <v>91</v>
      </c>
      <c r="DY137" s="12">
        <v>0</v>
      </c>
      <c r="DZ137" s="2" t="s">
        <v>89</v>
      </c>
      <c r="EA137" s="2" t="s">
        <v>89</v>
      </c>
      <c r="EB137" s="2" t="s">
        <v>89</v>
      </c>
      <c r="EC137" s="2" t="str">
        <f>HYPERLINK(".\links\gpi\AGAP000952-PA-gpi.txt","N")</f>
        <v>N</v>
      </c>
      <c r="ED137" s="2">
        <v>0.6</v>
      </c>
      <c r="EE137" s="2" t="s">
        <v>328</v>
      </c>
      <c r="EF137" s="2">
        <v>4</v>
      </c>
      <c r="EG137" s="2" t="s">
        <v>89</v>
      </c>
      <c r="EH137" s="2" t="s">
        <v>89</v>
      </c>
      <c r="EI137" s="2">
        <v>17.582417582417602</v>
      </c>
      <c r="EJ137" s="2">
        <v>2.1978021978022002</v>
      </c>
      <c r="EK137" s="2">
        <v>8.7912087912087902</v>
      </c>
      <c r="EL137" s="2">
        <v>10.989010989011</v>
      </c>
      <c r="EM137" s="2" t="s">
        <v>89</v>
      </c>
      <c r="EN137" s="2">
        <v>1</v>
      </c>
      <c r="EO137" s="2">
        <v>1</v>
      </c>
      <c r="EP137" s="2" t="s">
        <v>89</v>
      </c>
      <c r="EQ137" s="2" t="s">
        <v>89</v>
      </c>
      <c r="ER137" s="2" t="s">
        <v>89</v>
      </c>
      <c r="ES137" s="2" t="s">
        <v>89</v>
      </c>
      <c r="ET137" s="2" t="str">
        <f>HYPERLINK(".\links\REFSEQ-INVERTEBRATE\AGAP000952-PA-REFSEQ-INVERTEBRATE.txt","AGAP000952-PA")</f>
        <v>AGAP000952-PA</v>
      </c>
      <c r="EU137" s="2" t="str">
        <f>HYPERLINK("http://www.ncbi.nlm.nih.gov/sutils/blink.cgi?pid=XP_309142.3","4E-60")</f>
        <v>4E-60</v>
      </c>
      <c r="EV137" s="2" t="str">
        <f>HYPERLINK("http://www.ncbi.nlm.nih.gov/protein/XP_309142.3","XP_309142.3")</f>
        <v>XP_309142.3</v>
      </c>
      <c r="EW137" s="2">
        <v>100</v>
      </c>
      <c r="EX137" s="2">
        <v>100</v>
      </c>
      <c r="EY137" s="2">
        <v>100</v>
      </c>
      <c r="EZ137" s="2" t="s">
        <v>95</v>
      </c>
    </row>
    <row r="138" spans="1:156" x14ac:dyDescent="0.25">
      <c r="A138" s="2" t="s">
        <v>1238</v>
      </c>
      <c r="B138" s="2">
        <v>-0.85925146344610603</v>
      </c>
      <c r="C138" s="2">
        <f t="shared" si="2"/>
        <v>0.5512384916415809</v>
      </c>
      <c r="D138" s="2">
        <v>9.163938711998</v>
      </c>
      <c r="E138" s="2">
        <v>12.2141656270531</v>
      </c>
      <c r="F138" s="2">
        <v>4.7428017235123701E-4</v>
      </c>
      <c r="G138" s="2">
        <v>2.5503338358705101E-2</v>
      </c>
      <c r="H138" s="2" t="s">
        <v>1239</v>
      </c>
      <c r="I138" s="2" t="s">
        <v>87</v>
      </c>
      <c r="J138" s="2" t="str">
        <f>HYPERLINK("https://vectorbase.org/vectorbase/app/record/gene/AGAP004653","AGAP004653-RA")</f>
        <v>AGAP004653-RA</v>
      </c>
      <c r="K138" s="2" t="str">
        <f>HYPERLINK(".\links\pep\AGAP004653-PA-pep.txt","AGAP004653-PA")</f>
        <v>AGAP004653-PA</v>
      </c>
      <c r="L138" s="12" t="s">
        <v>88</v>
      </c>
      <c r="M138" s="2">
        <v>254</v>
      </c>
      <c r="N138" s="2">
        <v>0</v>
      </c>
      <c r="O138" s="2">
        <v>1</v>
      </c>
      <c r="P138" s="2" t="s">
        <v>1240</v>
      </c>
      <c r="Q138" s="9" t="s">
        <v>1241</v>
      </c>
      <c r="R138" s="2" t="s">
        <v>145</v>
      </c>
      <c r="S138" s="2" t="str">
        <f>HYPERLINK(".\links\KOG\AGAP004653-PA-KOG.txt","KOG")</f>
        <v>KOG</v>
      </c>
      <c r="T138" s="2">
        <v>0</v>
      </c>
      <c r="U138" s="2">
        <v>100</v>
      </c>
      <c r="V138" s="2" t="s">
        <v>1242</v>
      </c>
      <c r="W138" s="10" t="s">
        <v>564</v>
      </c>
      <c r="X138" s="2" t="s">
        <v>145</v>
      </c>
      <c r="Y138" s="2" t="str">
        <f>HYPERLINK(".\links\COG\AGAP004653-PA-COG.txt","COG")</f>
        <v>COG</v>
      </c>
      <c r="Z138" s="13">
        <v>1E-61</v>
      </c>
      <c r="AA138" s="2">
        <v>91.1</v>
      </c>
      <c r="AB138" s="14" t="s">
        <v>89</v>
      </c>
      <c r="AC138" s="14" t="str">
        <f>HYPERLINK(".\links\Sigp\AGAP004653-PA-SigP.txt","CYT")</f>
        <v>CYT</v>
      </c>
      <c r="AD138" s="2" t="s">
        <v>89</v>
      </c>
      <c r="AE138" s="2">
        <v>27.704999999999998</v>
      </c>
      <c r="AF138" s="2">
        <v>8.76</v>
      </c>
      <c r="AG138" s="2" t="s">
        <v>89</v>
      </c>
      <c r="AH138" s="2" t="s">
        <v>89</v>
      </c>
      <c r="AI138" s="2" t="s">
        <v>93</v>
      </c>
      <c r="AJ138" s="14">
        <v>0</v>
      </c>
      <c r="AK138" s="2" t="s">
        <v>89</v>
      </c>
      <c r="AL138" s="2" t="s">
        <v>89</v>
      </c>
      <c r="AM138" s="2" t="s">
        <v>89</v>
      </c>
      <c r="AN138" s="14" t="str">
        <f>HYPERLINK(".\links\gpi\AGAP004653-PA-gpi.txt","N")</f>
        <v>N</v>
      </c>
      <c r="AO138" s="15" t="str">
        <f>HYPERLINK(".\links\netoglyc\AGAP004653-PA-netoglyc.txt","0")</f>
        <v>0</v>
      </c>
      <c r="AP138" s="14">
        <v>10.199999999999999</v>
      </c>
      <c r="AQ138" s="2">
        <v>5.9</v>
      </c>
      <c r="AR138" s="2">
        <v>5.5</v>
      </c>
      <c r="AS138" s="2" t="s">
        <v>94</v>
      </c>
      <c r="AT138" s="9" t="str">
        <f>HYPERLINK(".\links\NR-LIGHT\AGAP004653-PA-NR-LIGHT.txt","AGAP004653-PA")</f>
        <v>AGAP004653-PA</v>
      </c>
      <c r="AU138" s="2" t="str">
        <f>HYPERLINK("http://www.ncbi.nlm.nih.gov/sutils/blink.cgi?pid=XP_316741.3","1E-137")</f>
        <v>1E-137</v>
      </c>
      <c r="AV138" s="2" t="str">
        <f>HYPERLINK("http://www.ncbi.nlm.nih.gov/protein/XP_316741.3","XP_316741.3")</f>
        <v>XP_316741.3</v>
      </c>
      <c r="AW138" s="2">
        <v>100</v>
      </c>
      <c r="AX138" s="2">
        <v>100</v>
      </c>
      <c r="AY138" s="2">
        <v>100</v>
      </c>
      <c r="AZ138" s="2" t="s">
        <v>95</v>
      </c>
      <c r="BA138" s="9" t="str">
        <f>HYPERLINK(".\links\REFSEQ-INVERTEBRATE\AGAP004653-PA-REFSEQ-INVERTEBRATE.txt","AGAP004653-PA")</f>
        <v>AGAP004653-PA</v>
      </c>
      <c r="BB138" s="2" t="str">
        <f>HYPERLINK("http://www.ncbi.nlm.nih.gov/sutils/blink.cgi?pid=XP_316741.3","1E-137")</f>
        <v>1E-137</v>
      </c>
      <c r="BC138" s="2" t="str">
        <f>HYPERLINK("http://www.ncbi.nlm.nih.gov/protein/XP_316741.3","XP_316741.3")</f>
        <v>XP_316741.3</v>
      </c>
      <c r="BD138" s="2">
        <v>100</v>
      </c>
      <c r="BE138" s="2">
        <v>100</v>
      </c>
      <c r="BF138" s="2">
        <v>100</v>
      </c>
      <c r="BG138" s="2" t="s">
        <v>95</v>
      </c>
      <c r="BH138" s="9" t="str">
        <f>HYPERLINK(".\links\REFSEQ-PROTOZOA\AGAP004653-PA-REFSEQ-PROTOZOA.txt","hypothetical protein")</f>
        <v>hypothetical protein</v>
      </c>
      <c r="BI138" s="2" t="str">
        <f>HYPERLINK("http://www.ncbi.nlm.nih.gov/sutils/blink.cgi?pid=XP_001745676.1","1E-087")</f>
        <v>1E-087</v>
      </c>
      <c r="BJ138" s="2" t="str">
        <f>HYPERLINK("http://www.ncbi.nlm.nih.gov/protein/XP_001745676.1","XP_001745676.1")</f>
        <v>XP_001745676.1</v>
      </c>
      <c r="BK138" s="2">
        <v>66</v>
      </c>
      <c r="BL138" s="2">
        <v>79</v>
      </c>
      <c r="BM138" s="2">
        <v>98</v>
      </c>
      <c r="BN138" s="2" t="s">
        <v>389</v>
      </c>
      <c r="BO138" s="9" t="str">
        <f>HYPERLINK(".\links\SWISSP\AGAP004653-PA-SWISSP.txt","Electron transfer flavoprotein subunit beta")</f>
        <v>Electron transfer flavoprotein subunit beta</v>
      </c>
      <c r="BP138" s="2" t="str">
        <f>HYPERLINK("http://www.uniprot.org/uniprot/P38117","1E-094")</f>
        <v>1E-094</v>
      </c>
      <c r="BQ138" s="2" t="str">
        <f>HYPERLINK("http://www.uniprot.org/uniprot/P38117#expression","P38117")</f>
        <v>P38117</v>
      </c>
      <c r="BR138" s="2">
        <v>68</v>
      </c>
      <c r="BS138" s="2">
        <v>82</v>
      </c>
      <c r="BT138" s="2">
        <v>98</v>
      </c>
      <c r="BU138" s="2" t="s">
        <v>115</v>
      </c>
      <c r="BV138" s="9" t="str">
        <f>HYPERLINK(".\links\FLYBASE\AGAP004653-PA-FLYBASE.txt","FBpp0084902")</f>
        <v>FBpp0084902</v>
      </c>
      <c r="BW138" s="2" t="str">
        <f>HYPERLINK("http://flybase.org/reports/FBgn0039697#alliance_summary_container","1E-144")</f>
        <v>1E-144</v>
      </c>
      <c r="BX138" s="2">
        <v>253</v>
      </c>
      <c r="BY138" s="2">
        <v>80</v>
      </c>
      <c r="BZ138" s="2">
        <v>91</v>
      </c>
      <c r="CA138" s="2">
        <v>100</v>
      </c>
      <c r="CB138" s="9" t="str">
        <f>HYPERLINK(".\links\CDD\AGAP004653-PA-CDD.txt","ETF_beta, The electron transfer flavoprotein (ETF) serves as a specific electron acceptor for various mitochondrial dehydrogenases")</f>
        <v>ETF_beta, The electron transfer flavoprotein (ETF) serves as a specific electron acceptor for various mitochondrial dehydrogenases</v>
      </c>
      <c r="CC138" s="13">
        <v>1E-73</v>
      </c>
      <c r="CD138" s="2">
        <v>101.5</v>
      </c>
      <c r="CE138" s="2" t="s">
        <v>1243</v>
      </c>
      <c r="CF138" s="2" t="s">
        <v>1244</v>
      </c>
      <c r="CG138" s="9" t="str">
        <f>HYPERLINK(".\links\KOG\AGAP004653-PA-KOG.txt","beta subunit")</f>
        <v>beta subunit</v>
      </c>
      <c r="CH138" s="13">
        <v>1E-107</v>
      </c>
      <c r="CI138" s="2">
        <v>100</v>
      </c>
      <c r="CJ138" s="2" t="s">
        <v>1245</v>
      </c>
      <c r="CK138" s="2" t="s">
        <v>155</v>
      </c>
      <c r="CL138" s="9" t="str">
        <f>HYPERLINK(".\links\PFAM\AGAP004653-PA-PFAM.txt","ETF, Electron transfer flavoprotein domain")</f>
        <v>ETF, Electron transfer flavoprotein domain</v>
      </c>
      <c r="CM138" s="13">
        <v>2.9999999999999998E-31</v>
      </c>
      <c r="CN138" s="2">
        <v>106.1</v>
      </c>
      <c r="CO138" s="2" t="s">
        <v>1246</v>
      </c>
      <c r="CP138" s="9" t="str">
        <f>HYPERLINK(".\links\SMART\AGAP004653-PA-SMART.txt","ETF, Electron transfer flavoprotein domain")</f>
        <v>ETF, Electron transfer flavoprotein domain</v>
      </c>
      <c r="CQ138" s="13">
        <v>1.9999999999999999E-40</v>
      </c>
      <c r="CR138" s="2">
        <v>105.9</v>
      </c>
      <c r="CS138" s="2" t="s">
        <v>1247</v>
      </c>
      <c r="CT138" s="2" t="s">
        <v>1242</v>
      </c>
      <c r="CU138" s="2" t="s">
        <v>1242</v>
      </c>
      <c r="CV138" s="2" t="s">
        <v>1242</v>
      </c>
      <c r="CW138" s="2" t="str">
        <f>HYPERLINK(".\links\pep\AGAP004653-PA-pep.txt","AGAP004653-PA")</f>
        <v>AGAP004653-PA</v>
      </c>
      <c r="CX138" s="2" t="s">
        <v>88</v>
      </c>
      <c r="CY138" s="2">
        <v>254</v>
      </c>
      <c r="CZ138" s="2" t="s">
        <v>103</v>
      </c>
      <c r="DA138" s="2" t="s">
        <v>1248</v>
      </c>
      <c r="DB138" s="2">
        <v>0</v>
      </c>
      <c r="DC138" s="2">
        <v>1</v>
      </c>
      <c r="DD138" s="2" t="str">
        <f>HYPERLINK("https://www.kegg.jp/kegg-bin/search_pathway_text?map=aga&amp;keyword=AGAP004653&amp;mode=1&amp;viewImage=true","AGAP004653")</f>
        <v>AGAP004653</v>
      </c>
      <c r="DE138" s="2" t="s">
        <v>1238</v>
      </c>
      <c r="DF138" s="2" t="s">
        <v>1239</v>
      </c>
      <c r="DG138" s="2" t="s">
        <v>87</v>
      </c>
      <c r="DH138" s="2" t="str">
        <f>HYPERLINK("https://vectorbase.org/vectorbase/app/record/gene/AGAP004653","AGAP004653-RA")</f>
        <v>AGAP004653-RA</v>
      </c>
      <c r="DI138" s="2" t="s">
        <v>105</v>
      </c>
      <c r="DJ138" s="2">
        <v>1036</v>
      </c>
      <c r="DK138" s="2" t="str">
        <f>HYPERLINK(".\links\netoglyc\AGAP004653-PA-netoglyc.txt","0")</f>
        <v>0</v>
      </c>
      <c r="DL138" s="2">
        <v>10.199999999999999</v>
      </c>
      <c r="DM138" s="2">
        <v>5.9</v>
      </c>
      <c r="DN138" s="2">
        <v>5.5</v>
      </c>
      <c r="DO138" s="2" t="s">
        <v>94</v>
      </c>
      <c r="DP138" s="2" t="s">
        <v>89</v>
      </c>
      <c r="DQ138" s="2" t="str">
        <f>HYPERLINK(".\links\Sigp\AGAP004653-PA-SigP.txt","CYT")</f>
        <v>CYT</v>
      </c>
      <c r="DR138" s="2" t="s">
        <v>89</v>
      </c>
      <c r="DS138" s="2">
        <v>27.704999999999998</v>
      </c>
      <c r="DT138" s="2">
        <v>8.76</v>
      </c>
      <c r="DU138" s="2" t="s">
        <v>89</v>
      </c>
      <c r="DV138" s="2" t="s">
        <v>89</v>
      </c>
      <c r="DW138" s="2" t="s">
        <v>93</v>
      </c>
      <c r="DX138" s="2">
        <v>254</v>
      </c>
      <c r="DY138" s="12">
        <v>0</v>
      </c>
      <c r="DZ138" s="2" t="s">
        <v>89</v>
      </c>
      <c r="EA138" s="2" t="s">
        <v>89</v>
      </c>
      <c r="EB138" s="2" t="s">
        <v>89</v>
      </c>
      <c r="EC138" s="2" t="str">
        <f>HYPERLINK(".\links\gpi\AGAP004653-PA-gpi.txt","N")</f>
        <v>N</v>
      </c>
      <c r="ED138" s="2">
        <v>0.36</v>
      </c>
      <c r="EF138" s="2">
        <v>1</v>
      </c>
      <c r="EG138" s="2" t="s">
        <v>89</v>
      </c>
      <c r="EH138" s="2" t="s">
        <v>89</v>
      </c>
      <c r="EI138" s="2">
        <v>10.2362204724409</v>
      </c>
      <c r="EJ138" s="2">
        <v>5.5118110236220499</v>
      </c>
      <c r="EK138" s="2">
        <v>5.9055118110236204</v>
      </c>
      <c r="EL138" s="2">
        <v>11.417322834645701</v>
      </c>
      <c r="EM138" s="2" t="s">
        <v>89</v>
      </c>
      <c r="EN138" s="2" t="s">
        <v>89</v>
      </c>
      <c r="EO138" s="2" t="s">
        <v>89</v>
      </c>
      <c r="EP138" s="2" t="s">
        <v>89</v>
      </c>
      <c r="EQ138" s="2" t="s">
        <v>89</v>
      </c>
      <c r="ER138" s="2" t="s">
        <v>89</v>
      </c>
      <c r="ES138" s="2" t="s">
        <v>89</v>
      </c>
      <c r="ET138" s="2" t="str">
        <f>HYPERLINK(".\links\REFSEQ-INVERTEBRATE\AGAP004653-PA-REFSEQ-INVERTEBRATE.txt","AGAP004653-PA")</f>
        <v>AGAP004653-PA</v>
      </c>
      <c r="EU138" s="2" t="str">
        <f>HYPERLINK("http://www.ncbi.nlm.nih.gov/sutils/blink.cgi?pid=XP_316741.3","0.0")</f>
        <v>0.0</v>
      </c>
      <c r="EV138" s="2" t="str">
        <f>HYPERLINK("http://www.ncbi.nlm.nih.gov/protein/XP_316741.3","XP_316741.3")</f>
        <v>XP_316741.3</v>
      </c>
      <c r="EW138" s="2">
        <v>100</v>
      </c>
      <c r="EX138" s="2">
        <v>100</v>
      </c>
      <c r="EY138" s="2">
        <v>100</v>
      </c>
      <c r="EZ138" s="2" t="s">
        <v>95</v>
      </c>
    </row>
    <row r="139" spans="1:156" x14ac:dyDescent="0.25">
      <c r="A139" s="2" t="s">
        <v>441</v>
      </c>
      <c r="B139" s="2">
        <v>-0.86202588991985596</v>
      </c>
      <c r="C139" s="2">
        <f t="shared" si="2"/>
        <v>0.55017943133576397</v>
      </c>
      <c r="D139" s="2">
        <v>5.5058560066834401</v>
      </c>
      <c r="E139" s="2">
        <v>12.9949634361015</v>
      </c>
      <c r="F139" s="2">
        <v>3.1232994911432302E-4</v>
      </c>
      <c r="G139" s="2">
        <v>1.9344724337832801E-2</v>
      </c>
      <c r="H139" s="2" t="s">
        <v>442</v>
      </c>
      <c r="I139" s="2" t="s">
        <v>87</v>
      </c>
      <c r="J139" s="2" t="str">
        <f>HYPERLINK("https://vectorbase.org/vectorbase/app/record/gene/AGAP001311","AGAP001311-RA")</f>
        <v>AGAP001311-RA</v>
      </c>
      <c r="K139" s="2" t="str">
        <f>HYPERLINK(".\links\pep\AGAP001311-PA-pep.txt","AGAP001311-PA")</f>
        <v>AGAP001311-PA</v>
      </c>
      <c r="L139" s="12" t="s">
        <v>88</v>
      </c>
      <c r="M139" s="2">
        <v>131</v>
      </c>
      <c r="N139" s="2">
        <v>0</v>
      </c>
      <c r="O139" s="2">
        <v>0</v>
      </c>
      <c r="P139" s="2" t="s">
        <v>443</v>
      </c>
      <c r="Q139" s="9" t="s">
        <v>444</v>
      </c>
      <c r="R139" s="2" t="s">
        <v>245</v>
      </c>
      <c r="S139" s="2" t="str">
        <f>HYPERLINK(".\links\PFAM\AGAP001311-PA-PFAM.txt","PFAM")</f>
        <v>PFAM</v>
      </c>
      <c r="T139" s="2">
        <v>1.9999999999999999E-39</v>
      </c>
      <c r="U139" s="2">
        <v>97.1</v>
      </c>
      <c r="V139" s="2" t="s">
        <v>445</v>
      </c>
      <c r="W139" s="10" t="s">
        <v>446</v>
      </c>
      <c r="X139" s="2" t="s">
        <v>245</v>
      </c>
      <c r="Y139" s="2" t="str">
        <f>HYPERLINK(".\links\KOG\AGAP001311-PA-KOG.txt","KOG")</f>
        <v>KOG</v>
      </c>
      <c r="Z139" s="13">
        <v>2E-46</v>
      </c>
      <c r="AA139" s="2">
        <v>82.9</v>
      </c>
      <c r="AB139" s="14" t="s">
        <v>89</v>
      </c>
      <c r="AC139" s="14" t="str">
        <f>HYPERLINK(".\links\Sigp\AGAP001311-PA-SigP.txt","CYT")</f>
        <v>CYT</v>
      </c>
      <c r="AD139" s="2" t="s">
        <v>89</v>
      </c>
      <c r="AE139" s="2">
        <v>15.428000000000001</v>
      </c>
      <c r="AF139" s="2">
        <v>9.94</v>
      </c>
      <c r="AG139" s="2" t="s">
        <v>89</v>
      </c>
      <c r="AH139" s="2" t="s">
        <v>89</v>
      </c>
      <c r="AI139" s="2" t="s">
        <v>93</v>
      </c>
      <c r="AJ139" s="14">
        <v>0</v>
      </c>
      <c r="AK139" s="2" t="s">
        <v>89</v>
      </c>
      <c r="AL139" s="2" t="s">
        <v>89</v>
      </c>
      <c r="AM139" s="2" t="s">
        <v>89</v>
      </c>
      <c r="AN139" s="14" t="str">
        <f>HYPERLINK(".\links\gpi\AGAP001311-PA-gpi.txt","N")</f>
        <v>N</v>
      </c>
      <c r="AO139" s="15" t="str">
        <f>HYPERLINK(".\links\netoglyc\AGAP001311-PA-netoglyc.txt","0")</f>
        <v>0</v>
      </c>
      <c r="AP139" s="14">
        <v>6.9</v>
      </c>
      <c r="AQ139" s="2">
        <v>6.1</v>
      </c>
      <c r="AR139" s="2">
        <v>2.2999999999999998</v>
      </c>
      <c r="AS139" s="2" t="s">
        <v>94</v>
      </c>
      <c r="AT139" s="9" t="str">
        <f>HYPERLINK(".\links\NR-LIGHT\AGAP001311-PA-NR-LIGHT.txt","AGAP001311-PA")</f>
        <v>AGAP001311-PA</v>
      </c>
      <c r="AU139" s="2" t="str">
        <f>HYPERLINK("http://www.ncbi.nlm.nih.gov/sutils/blink.cgi?pid=XP_001689366.2","8E-069")</f>
        <v>8E-069</v>
      </c>
      <c r="AV139" s="2" t="str">
        <f>HYPERLINK("http://www.ncbi.nlm.nih.gov/protein/XP_001689366.2","XP_001689366.2")</f>
        <v>XP_001689366.2</v>
      </c>
      <c r="AW139" s="2">
        <v>100</v>
      </c>
      <c r="AX139" s="2">
        <v>100</v>
      </c>
      <c r="AY139" s="2">
        <v>98</v>
      </c>
      <c r="AZ139" s="2" t="s">
        <v>95</v>
      </c>
      <c r="BA139" s="9" t="str">
        <f>HYPERLINK(".\links\REFSEQ-INVERTEBRATE\AGAP001311-PA-REFSEQ-INVERTEBRATE.txt","AGAP001311-PA")</f>
        <v>AGAP001311-PA</v>
      </c>
      <c r="BB139" s="2" t="str">
        <f>HYPERLINK("http://www.ncbi.nlm.nih.gov/sutils/blink.cgi?pid=XP_001689366.2","7E-069")</f>
        <v>7E-069</v>
      </c>
      <c r="BC139" s="2" t="str">
        <f>HYPERLINK("http://www.ncbi.nlm.nih.gov/protein/XP_001689366.2","XP_001689366.2")</f>
        <v>XP_001689366.2</v>
      </c>
      <c r="BD139" s="2">
        <v>100</v>
      </c>
      <c r="BE139" s="2">
        <v>100</v>
      </c>
      <c r="BF139" s="2">
        <v>98</v>
      </c>
      <c r="BG139" s="2" t="s">
        <v>95</v>
      </c>
      <c r="BH139" s="9" t="str">
        <f>HYPERLINK(".\links\REFSEQ-PROTOZOA\AGAP001311-PA-REFSEQ-PROTOZOA.txt","hypothetical protein CAOG_04603")</f>
        <v>hypothetical protein CAOG_04603</v>
      </c>
      <c r="BI139" s="2" t="str">
        <f>HYPERLINK("http://www.ncbi.nlm.nih.gov/sutils/blink.cgi?pid=XP_004347350.1","2E-019")</f>
        <v>2E-019</v>
      </c>
      <c r="BJ139" s="2" t="str">
        <f>HYPERLINK("http://www.ncbi.nlm.nih.gov/protein/XP_004347350.1","XP_004347350.1")</f>
        <v>XP_004347350.1</v>
      </c>
      <c r="BK139" s="2">
        <v>42</v>
      </c>
      <c r="BL139" s="2">
        <v>67</v>
      </c>
      <c r="BM139" s="2">
        <v>50</v>
      </c>
      <c r="BN139" s="2" t="s">
        <v>150</v>
      </c>
      <c r="BO139" s="9" t="str">
        <f>HYPERLINK(".\links\SWISSP\AGAP001311-PA-SWISSP.txt","39S ribosomal protein L20, mitochondrial")</f>
        <v>39S ribosomal protein L20, mitochondrial</v>
      </c>
      <c r="BP139" s="2" t="str">
        <f>HYPERLINK("http://www.uniprot.org/uniprot/Q5U4Z8","8E-029")</f>
        <v>8E-029</v>
      </c>
      <c r="BQ139" s="2" t="str">
        <f>HYPERLINK("http://www.uniprot.org/uniprot/Q5U4Z8#expression","Q5U4Z8")</f>
        <v>Q5U4Z8</v>
      </c>
      <c r="BR139" s="2">
        <v>43</v>
      </c>
      <c r="BS139" s="2">
        <v>67</v>
      </c>
      <c r="BT139" s="2">
        <v>85</v>
      </c>
      <c r="BU139" s="2" t="s">
        <v>447</v>
      </c>
      <c r="BV139" s="9" t="str">
        <f>HYPERLINK(".\links\FLYBASE\AGAP001311-PA-FLYBASE.txt","FBpp0075631")</f>
        <v>FBpp0075631</v>
      </c>
      <c r="BW139" s="2" t="str">
        <f>HYPERLINK("http://flybase.org/reports/FBgn0036335#alliance_summary_container","6E-59")</f>
        <v>6E-59</v>
      </c>
      <c r="BX139" s="2">
        <v>150</v>
      </c>
      <c r="BY139" s="2">
        <v>67</v>
      </c>
      <c r="BZ139" s="2">
        <v>80</v>
      </c>
      <c r="CA139" s="2">
        <v>87</v>
      </c>
      <c r="CB139" s="9" t="str">
        <f>HYPERLINK(".\links\CDD\AGAP001311-PA-CDD.txt","Ribosomal_L20, Ribosomal protein L20")</f>
        <v>Ribosomal_L20, Ribosomal protein L20</v>
      </c>
      <c r="CC139" s="13">
        <v>9.0000000000000002E-39</v>
      </c>
      <c r="CD139" s="2">
        <v>97.1</v>
      </c>
      <c r="CE139" s="2" t="s">
        <v>448</v>
      </c>
      <c r="CF139" s="2" t="s">
        <v>449</v>
      </c>
      <c r="CG139" s="9" t="str">
        <f>HYPERLINK(".\links\KOG\AGAP001311-PA-KOG.txt","Mitochondrial/chloroplast ribosomal protein L20")</f>
        <v>Mitochondrial/chloroplast ribosomal protein L20</v>
      </c>
      <c r="CH139" s="13">
        <v>1.0000000000000001E-37</v>
      </c>
      <c r="CI139" s="2">
        <v>83</v>
      </c>
      <c r="CJ139" s="2" t="s">
        <v>450</v>
      </c>
      <c r="CK139" s="2" t="s">
        <v>252</v>
      </c>
      <c r="CL139" s="9" t="str">
        <f>HYPERLINK(".\links\PFAM\AGAP001311-PA-PFAM.txt","Ribosomal_L20, Ribosomal protein L20")</f>
        <v>Ribosomal_L20, Ribosomal protein L20</v>
      </c>
      <c r="CM139" s="13">
        <v>1.9999999999999999E-39</v>
      </c>
      <c r="CN139" s="2">
        <v>97.1</v>
      </c>
      <c r="CO139" s="2" t="s">
        <v>448</v>
      </c>
      <c r="CP139" s="9" t="str">
        <f>HYPERLINK(".\links\SMART\AGAP001311-PA-SMART.txt","Zn_pept, Zn_pept domain")</f>
        <v>Zn_pept, Zn_pept domain</v>
      </c>
      <c r="CQ139" s="13">
        <v>0.34</v>
      </c>
      <c r="CR139" s="2">
        <v>13.4</v>
      </c>
      <c r="CS139" s="2" t="s">
        <v>451</v>
      </c>
      <c r="CT139" s="2" t="s">
        <v>445</v>
      </c>
      <c r="CU139" s="2" t="s">
        <v>445</v>
      </c>
      <c r="CV139" s="2" t="s">
        <v>445</v>
      </c>
      <c r="CW139" s="2" t="str">
        <f>HYPERLINK(".\links\pep\AGAP001311-PA-pep.txt","AGAP001311-PA")</f>
        <v>AGAP001311-PA</v>
      </c>
      <c r="CX139" s="2" t="s">
        <v>88</v>
      </c>
      <c r="CY139" s="2">
        <v>131</v>
      </c>
      <c r="CZ139" s="2" t="s">
        <v>103</v>
      </c>
      <c r="DA139" s="2" t="s">
        <v>452</v>
      </c>
      <c r="DB139" s="2">
        <v>0</v>
      </c>
      <c r="DC139" s="2">
        <v>0</v>
      </c>
      <c r="DD139" s="2" t="str">
        <f>HYPERLINK("https://www.kegg.jp/kegg-bin/search_pathway_text?map=aga&amp;keyword=AGAP001311&amp;mode=1&amp;viewImage=true","AGAP001311")</f>
        <v>AGAP001311</v>
      </c>
      <c r="DE139" s="2" t="s">
        <v>441</v>
      </c>
      <c r="DF139" s="2" t="s">
        <v>442</v>
      </c>
      <c r="DG139" s="2" t="s">
        <v>87</v>
      </c>
      <c r="DH139" s="2" t="str">
        <f>HYPERLINK("https://vectorbase.org/vectorbase/app/record/gene/AGAP001311","AGAP001311-RA")</f>
        <v>AGAP001311-RA</v>
      </c>
      <c r="DI139" s="2" t="s">
        <v>122</v>
      </c>
      <c r="DJ139" s="2">
        <v>538</v>
      </c>
      <c r="DK139" s="2" t="str">
        <f>HYPERLINK(".\links\netoglyc\AGAP001311-PA-netoglyc.txt","0")</f>
        <v>0</v>
      </c>
      <c r="DL139" s="2">
        <v>6.9</v>
      </c>
      <c r="DM139" s="2">
        <v>6.1</v>
      </c>
      <c r="DN139" s="2">
        <v>2.2999999999999998</v>
      </c>
      <c r="DO139" s="2" t="s">
        <v>94</v>
      </c>
      <c r="DP139" s="2" t="s">
        <v>89</v>
      </c>
      <c r="DQ139" s="2" t="str">
        <f>HYPERLINK(".\links\Sigp\AGAP001311-PA-SigP.txt","CYT")</f>
        <v>CYT</v>
      </c>
      <c r="DR139" s="2" t="s">
        <v>89</v>
      </c>
      <c r="DS139" s="2">
        <v>15.428000000000001</v>
      </c>
      <c r="DT139" s="2">
        <v>9.94</v>
      </c>
      <c r="DU139" s="2" t="s">
        <v>89</v>
      </c>
      <c r="DV139" s="2" t="s">
        <v>89</v>
      </c>
      <c r="DW139" s="2" t="s">
        <v>93</v>
      </c>
      <c r="DX139" s="2">
        <v>131</v>
      </c>
      <c r="DY139" s="12">
        <v>0</v>
      </c>
      <c r="DZ139" s="2" t="s">
        <v>89</v>
      </c>
      <c r="EA139" s="2" t="s">
        <v>89</v>
      </c>
      <c r="EB139" s="2" t="s">
        <v>89</v>
      </c>
      <c r="EC139" s="2" t="str">
        <f>HYPERLINK(".\links\gpi\AGAP001311-PA-gpi.txt","N")</f>
        <v>N</v>
      </c>
      <c r="ED139" s="2">
        <v>0.3</v>
      </c>
      <c r="EF139" s="2">
        <v>2</v>
      </c>
      <c r="EG139" s="2" t="s">
        <v>89</v>
      </c>
      <c r="EH139" s="2" t="s">
        <v>89</v>
      </c>
      <c r="EI139" s="2">
        <v>6.8702290076335899</v>
      </c>
      <c r="EJ139" s="2">
        <v>2.2900763358778602</v>
      </c>
      <c r="EK139" s="2">
        <v>6.1068702290076304</v>
      </c>
      <c r="EL139" s="2">
        <v>8.3969465648855</v>
      </c>
      <c r="EM139" s="2" t="s">
        <v>89</v>
      </c>
      <c r="EN139" s="2">
        <v>1</v>
      </c>
      <c r="EO139" s="2">
        <v>1</v>
      </c>
      <c r="EP139" s="2" t="s">
        <v>89</v>
      </c>
      <c r="EQ139" s="2" t="s">
        <v>89</v>
      </c>
      <c r="ER139" s="2" t="s">
        <v>89</v>
      </c>
      <c r="ES139" s="2" t="s">
        <v>89</v>
      </c>
      <c r="ET139" s="2" t="str">
        <f>HYPERLINK(".\links\REFSEQ-INVERTEBRATE\AGAP001311-PA-REFSEQ-INVERTEBRATE.txt","AGAP001311-PA")</f>
        <v>AGAP001311-PA</v>
      </c>
      <c r="EU139" s="2" t="str">
        <f>HYPERLINK("http://www.ncbi.nlm.nih.gov/sutils/blink.cgi?pid=XP_001689366.2","3E-91")</f>
        <v>3E-91</v>
      </c>
      <c r="EV139" s="2" t="str">
        <f>HYPERLINK("http://www.ncbi.nlm.nih.gov/protein/XP_001689366.2","XP_001689366.2")</f>
        <v>XP_001689366.2</v>
      </c>
      <c r="EW139" s="2">
        <v>100</v>
      </c>
      <c r="EX139" s="2">
        <v>100</v>
      </c>
      <c r="EY139" s="2">
        <v>98</v>
      </c>
      <c r="EZ139" s="2" t="s">
        <v>95</v>
      </c>
    </row>
    <row r="140" spans="1:156" x14ac:dyDescent="0.25">
      <c r="A140" s="2" t="s">
        <v>2829</v>
      </c>
      <c r="B140" s="2">
        <v>-0.86374676580476994</v>
      </c>
      <c r="C140" s="2">
        <f t="shared" si="2"/>
        <v>0.5495235574068067</v>
      </c>
      <c r="D140" s="2">
        <v>6.2109671061595302</v>
      </c>
      <c r="E140" s="2">
        <v>25.023585105896402</v>
      </c>
      <c r="F140" s="2">
        <v>5.6633308445878802E-7</v>
      </c>
      <c r="G140" s="2">
        <v>2.8713087382060601E-4</v>
      </c>
      <c r="H140" s="2" t="s">
        <v>86</v>
      </c>
      <c r="I140" s="2" t="s">
        <v>87</v>
      </c>
      <c r="J140" s="2" t="str">
        <f>HYPERLINK("https://vectorbase.org/vectorbase/app/record/gene/AGAP012392","AGAP012392-RA")</f>
        <v>AGAP012392-RA</v>
      </c>
      <c r="K140" s="2" t="str">
        <f>HYPERLINK(".\links\pep\AGAP012392-PA-pep.txt","AGAP012392-PA")</f>
        <v>AGAP012392-PA</v>
      </c>
      <c r="L140" s="12" t="s">
        <v>88</v>
      </c>
      <c r="M140" s="2">
        <v>167</v>
      </c>
      <c r="N140" s="2">
        <v>0</v>
      </c>
      <c r="O140" s="2">
        <v>0</v>
      </c>
      <c r="P140" s="2" t="s">
        <v>89</v>
      </c>
      <c r="Q140" s="9" t="s">
        <v>2830</v>
      </c>
      <c r="R140" s="2" t="s">
        <v>91</v>
      </c>
      <c r="S140" s="2" t="str">
        <f>HYPERLINK(".\links\REFSEQ-INVERTEBRATE\AGAP012392-PA-REFSEQ-INVERTEBRATE.txt","REFSEQ-INVERTEBRATE")</f>
        <v>REFSEQ-INVERTEBRATE</v>
      </c>
      <c r="T140" s="2">
        <v>7.9999999999999992E-93</v>
      </c>
      <c r="U140" s="2">
        <v>100</v>
      </c>
      <c r="V140" s="2" t="s">
        <v>2831</v>
      </c>
      <c r="W140" s="10" t="s">
        <v>2832</v>
      </c>
      <c r="X140" s="2" t="s">
        <v>91</v>
      </c>
      <c r="Y140" s="2" t="str">
        <f>HYPERLINK(".\links\ARTHORPODA\AGAP012392-PA-ARTHORPODA.txt","ARTHORPODA")</f>
        <v>ARTHORPODA</v>
      </c>
      <c r="Z140" s="13">
        <v>0</v>
      </c>
      <c r="AA140" s="2">
        <v>100</v>
      </c>
      <c r="AB140" s="14" t="s">
        <v>89</v>
      </c>
      <c r="AC140" s="14" t="str">
        <f>HYPERLINK(".\links\Sigp\AGAP012392-PA-SigP.txt","CYT")</f>
        <v>CYT</v>
      </c>
      <c r="AD140" s="2" t="s">
        <v>89</v>
      </c>
      <c r="AE140" s="2">
        <v>18.943999999999999</v>
      </c>
      <c r="AF140" s="2">
        <v>6.73</v>
      </c>
      <c r="AG140" s="2" t="s">
        <v>89</v>
      </c>
      <c r="AH140" s="2" t="s">
        <v>89</v>
      </c>
      <c r="AI140" s="2" t="s">
        <v>93</v>
      </c>
      <c r="AJ140" s="14">
        <v>0</v>
      </c>
      <c r="AK140" s="2" t="s">
        <v>89</v>
      </c>
      <c r="AL140" s="2" t="s">
        <v>89</v>
      </c>
      <c r="AM140" s="2" t="s">
        <v>89</v>
      </c>
      <c r="AN140" s="14" t="str">
        <f>HYPERLINK(".\links\gpi\AGAP012392-PA-gpi.txt","N")</f>
        <v>N</v>
      </c>
      <c r="AO140" s="15" t="str">
        <f>HYPERLINK(".\links\netoglyc\AGAP012392-PA-netoglyc.txt","18")</f>
        <v>18</v>
      </c>
      <c r="AP140" s="14">
        <v>21</v>
      </c>
      <c r="AQ140" s="2">
        <v>3.6</v>
      </c>
      <c r="AR140" s="2">
        <v>6.6</v>
      </c>
      <c r="AS140" s="2" t="s">
        <v>94</v>
      </c>
      <c r="AT140" s="9" t="str">
        <f>HYPERLINK(".\links\NR-LIGHT\AGAP012392-PA-NR-LIGHT.txt","AGAP012392-PA")</f>
        <v>AGAP012392-PA</v>
      </c>
      <c r="AU140" s="2" t="str">
        <f>HYPERLINK("http://www.ncbi.nlm.nih.gov/sutils/blink.cgi?pid=XP_320166.4","8E-093")</f>
        <v>8E-093</v>
      </c>
      <c r="AV140" s="2" t="str">
        <f>HYPERLINK("http://www.ncbi.nlm.nih.gov/protein/XP_320166.4","XP_320166.4")</f>
        <v>XP_320166.4</v>
      </c>
      <c r="AW140" s="2">
        <v>100</v>
      </c>
      <c r="AX140" s="2">
        <v>100</v>
      </c>
      <c r="AY140" s="2">
        <v>100</v>
      </c>
      <c r="AZ140" s="2" t="s">
        <v>95</v>
      </c>
      <c r="BA140" s="9" t="str">
        <f>HYPERLINK(".\links\REFSEQ-INVERTEBRATE\AGAP012392-PA-REFSEQ-INVERTEBRATE.txt","AGAP012392-PA")</f>
        <v>AGAP012392-PA</v>
      </c>
      <c r="BB140" s="2" t="str">
        <f>HYPERLINK("http://www.ncbi.nlm.nih.gov/sutils/blink.cgi?pid=XP_320166.4","8E-093")</f>
        <v>8E-093</v>
      </c>
      <c r="BC140" s="2" t="str">
        <f>HYPERLINK("http://www.ncbi.nlm.nih.gov/protein/XP_320166.4","XP_320166.4")</f>
        <v>XP_320166.4</v>
      </c>
      <c r="BD140" s="2">
        <v>100</v>
      </c>
      <c r="BE140" s="2">
        <v>100</v>
      </c>
      <c r="BF140" s="2">
        <v>100</v>
      </c>
      <c r="BG140" s="2" t="s">
        <v>95</v>
      </c>
      <c r="BH140" s="9" t="str">
        <f>HYPERLINK(".\links\REFSEQ-PROTOZOA\AGAP012392-PA-REFSEQ-PROTOZOA.txt","hypothetical protein, conserved")</f>
        <v>hypothetical protein, conserved</v>
      </c>
      <c r="BI140" s="2" t="str">
        <f>HYPERLINK("http://www.ncbi.nlm.nih.gov/sutils/blink.cgi?pid=XP_013350894.1","1E-005")</f>
        <v>1E-005</v>
      </c>
      <c r="BJ140" s="2" t="str">
        <f>HYPERLINK("http://www.ncbi.nlm.nih.gov/protein/XP_013350894.1","XP_013350894.1")</f>
        <v>XP_013350894.1</v>
      </c>
      <c r="BK140" s="2">
        <v>38</v>
      </c>
      <c r="BL140" s="2">
        <v>54</v>
      </c>
      <c r="BM140" s="2">
        <v>4</v>
      </c>
      <c r="BN140" s="2" t="s">
        <v>2035</v>
      </c>
      <c r="BO140" s="9" t="str">
        <f>HYPERLINK(".\links\SWISSP\AGAP012392-PA-SWISSP.txt","MAPK regulated corepressor interacting protein 2")</f>
        <v>MAPK regulated corepressor interacting protein 2</v>
      </c>
      <c r="BP140" s="2" t="str">
        <f>HYPERLINK("http://www.uniprot.org/uniprot/Q9BUT9","2E-006")</f>
        <v>2E-006</v>
      </c>
      <c r="BQ140" s="2" t="str">
        <f>HYPERLINK("http://www.uniprot.org/uniprot/Q9BUT9#expression","Q9BUT9")</f>
        <v>Q9BUT9</v>
      </c>
      <c r="BR140" s="2">
        <v>23</v>
      </c>
      <c r="BS140" s="2">
        <v>41</v>
      </c>
      <c r="BT140" s="2">
        <v>111</v>
      </c>
      <c r="BU140" s="2" t="s">
        <v>115</v>
      </c>
      <c r="BV140" s="9" t="str">
        <f>HYPERLINK(".\links\FLYBASE\AGAP012392-PA-FLYBASE.txt","FBpp0306210")</f>
        <v>FBpp0306210</v>
      </c>
      <c r="BW140" s="2" t="str">
        <f>HYPERLINK("http://flybase.org/reports/FBgn0036502#alliance_summary_container","8E-48")</f>
        <v>8E-48</v>
      </c>
      <c r="BX140" s="2">
        <v>174</v>
      </c>
      <c r="BY140" s="2">
        <v>46</v>
      </c>
      <c r="BZ140" s="2">
        <v>65</v>
      </c>
      <c r="CA140" s="2">
        <v>104</v>
      </c>
      <c r="CB140" s="9" t="str">
        <f>HYPERLINK(".\links\CDD\AGAP012392-PA-CDD.txt","FAM195, FAM195 family")</f>
        <v>FAM195, FAM195 family</v>
      </c>
      <c r="CC140" s="13">
        <v>1E-25</v>
      </c>
      <c r="CD140" s="2">
        <v>126.3</v>
      </c>
      <c r="CE140" s="2" t="s">
        <v>2833</v>
      </c>
      <c r="CF140" s="2" t="s">
        <v>2834</v>
      </c>
      <c r="CG140" s="9" t="str">
        <f>HYPERLINK(".\links\KOG\AGAP012392-PA-KOG.txt","6-N-acetylglucosaminyltransferase, contains WSC domain")</f>
        <v>6-N-acetylglucosaminyltransferase, contains WSC domain</v>
      </c>
      <c r="CH140" s="13">
        <v>1.3</v>
      </c>
      <c r="CI140" s="2">
        <v>7.7</v>
      </c>
      <c r="CJ140" s="2" t="s">
        <v>2835</v>
      </c>
      <c r="CK140" s="2" t="s">
        <v>2836</v>
      </c>
      <c r="CL140" s="9" t="str">
        <f>HYPERLINK(".\links\PFAM\AGAP012392-PA-PFAM.txt","FAM195, FAM195 family")</f>
        <v>FAM195, FAM195 family</v>
      </c>
      <c r="CM140" s="13">
        <v>2.0000000000000001E-26</v>
      </c>
      <c r="CN140" s="2">
        <v>126.3</v>
      </c>
      <c r="CO140" s="2" t="s">
        <v>2833</v>
      </c>
      <c r="CP140" s="9" t="str">
        <f>HYPERLINK(".\links\SMART\AGAP012392-PA-SMART.txt","PAN_AP, divergent subfamily of APPLE domains")</f>
        <v>PAN_AP, divergent subfamily of APPLE domains</v>
      </c>
      <c r="CQ140" s="13">
        <v>0.31</v>
      </c>
      <c r="CR140" s="2">
        <v>37.200000000000003</v>
      </c>
      <c r="CS140" s="2" t="s">
        <v>2837</v>
      </c>
      <c r="CT140" s="2" t="s">
        <v>2831</v>
      </c>
      <c r="CU140" s="2" t="s">
        <v>2831</v>
      </c>
      <c r="CV140" s="2" t="s">
        <v>2831</v>
      </c>
      <c r="CW140" s="2" t="str">
        <f>HYPERLINK(".\links\pep\AGAP012392-PA-pep.txt","AGAP012392-PA")</f>
        <v>AGAP012392-PA</v>
      </c>
      <c r="CX140" s="2" t="s">
        <v>88</v>
      </c>
      <c r="CY140" s="2">
        <v>167</v>
      </c>
      <c r="CZ140" s="2" t="s">
        <v>103</v>
      </c>
      <c r="DA140" s="2" t="s">
        <v>2838</v>
      </c>
      <c r="DB140" s="2">
        <v>0</v>
      </c>
      <c r="DC140" s="2">
        <v>0</v>
      </c>
      <c r="DD140" s="2" t="str">
        <f>HYPERLINK("https://www.kegg.jp/kegg-bin/search_pathway_text?map=aga&amp;keyword=AGAP012392&amp;mode=1&amp;viewImage=true","AGAP012392")</f>
        <v>AGAP012392</v>
      </c>
      <c r="DE140" s="2" t="s">
        <v>2829</v>
      </c>
      <c r="DF140" s="2" t="s">
        <v>86</v>
      </c>
      <c r="DG140" s="2" t="s">
        <v>87</v>
      </c>
      <c r="DH140" s="2" t="str">
        <f>HYPERLINK("https://vectorbase.org/vectorbase/app/record/gene/AGAP012392","AGAP012392-RA")</f>
        <v>AGAP012392-RA</v>
      </c>
      <c r="DI140" s="2" t="s">
        <v>105</v>
      </c>
      <c r="DJ140" s="2">
        <v>1639</v>
      </c>
      <c r="DK140" s="2" t="str">
        <f>HYPERLINK(".\links\netoglyc\AGAP012392-PA-netoglyc.txt","18")</f>
        <v>18</v>
      </c>
      <c r="DL140" s="2">
        <v>21</v>
      </c>
      <c r="DM140" s="2">
        <v>3.6</v>
      </c>
      <c r="DN140" s="2">
        <v>6.6</v>
      </c>
      <c r="DO140" s="2" t="s">
        <v>94</v>
      </c>
      <c r="DP140" s="2" t="s">
        <v>89</v>
      </c>
      <c r="DQ140" s="2" t="str">
        <f>HYPERLINK(".\links\Sigp\AGAP012392-PA-SigP.txt","CYT")</f>
        <v>CYT</v>
      </c>
      <c r="DR140" s="2" t="s">
        <v>89</v>
      </c>
      <c r="DS140" s="2">
        <v>18.943999999999999</v>
      </c>
      <c r="DT140" s="2">
        <v>6.73</v>
      </c>
      <c r="DU140" s="2" t="s">
        <v>89</v>
      </c>
      <c r="DV140" s="2" t="s">
        <v>89</v>
      </c>
      <c r="DW140" s="2" t="s">
        <v>93</v>
      </c>
      <c r="DX140" s="2">
        <v>167</v>
      </c>
      <c r="DY140" s="12">
        <v>0</v>
      </c>
      <c r="DZ140" s="2" t="s">
        <v>89</v>
      </c>
      <c r="EA140" s="2" t="s">
        <v>89</v>
      </c>
      <c r="EB140" s="2" t="s">
        <v>89</v>
      </c>
      <c r="EC140" s="2" t="str">
        <f>HYPERLINK(".\links\gpi\AGAP012392-PA-gpi.txt","Y-NoSP")</f>
        <v>Y-NoSP</v>
      </c>
      <c r="ED140" s="2">
        <v>0.35</v>
      </c>
      <c r="EF140" s="2">
        <v>2</v>
      </c>
      <c r="EG140" s="2" t="s">
        <v>89</v>
      </c>
      <c r="EH140" s="2" t="s">
        <v>89</v>
      </c>
      <c r="EI140" s="2">
        <v>20.958083832335301</v>
      </c>
      <c r="EJ140" s="2">
        <v>6.5868263473053901</v>
      </c>
      <c r="EK140" s="2">
        <v>3.59281437125748</v>
      </c>
      <c r="EL140" s="2">
        <v>10.179640718562901</v>
      </c>
      <c r="EM140" s="2" t="s">
        <v>89</v>
      </c>
      <c r="EN140" s="2" t="s">
        <v>89</v>
      </c>
      <c r="EO140" s="2">
        <v>1</v>
      </c>
      <c r="EP140" s="2" t="s">
        <v>89</v>
      </c>
      <c r="EQ140" s="2" t="s">
        <v>89</v>
      </c>
      <c r="ER140" s="2" t="s">
        <v>89</v>
      </c>
      <c r="ES140" s="2" t="s">
        <v>89</v>
      </c>
      <c r="ET140" s="2" t="str">
        <f>HYPERLINK(".\links\REFSEQ-INVERTEBRATE\AGAP012392-PA-REFSEQ-INVERTEBRATE.txt","AGAP012392-PA")</f>
        <v>AGAP012392-PA</v>
      </c>
      <c r="EU140" s="2" t="str">
        <f>HYPERLINK("http://www.ncbi.nlm.nih.gov/sutils/blink.cgi?pid=XP_320166.4","1E-122")</f>
        <v>1E-122</v>
      </c>
      <c r="EV140" s="2" t="str">
        <f>HYPERLINK("http://www.ncbi.nlm.nih.gov/protein/XP_320166.4","XP_320166.4")</f>
        <v>XP_320166.4</v>
      </c>
      <c r="EW140" s="2">
        <v>100</v>
      </c>
      <c r="EX140" s="2">
        <v>100</v>
      </c>
      <c r="EY140" s="2">
        <v>100</v>
      </c>
      <c r="EZ140" s="2" t="s">
        <v>95</v>
      </c>
    </row>
    <row r="141" spans="1:156" x14ac:dyDescent="0.25">
      <c r="A141" s="2" t="s">
        <v>973</v>
      </c>
      <c r="B141" s="2">
        <v>-0.86587000084982602</v>
      </c>
      <c r="C141" s="2">
        <f t="shared" si="2"/>
        <v>0.54871541050896822</v>
      </c>
      <c r="D141" s="2">
        <v>10.6083849672819</v>
      </c>
      <c r="E141" s="2">
        <v>13.1726075879396</v>
      </c>
      <c r="F141" s="2">
        <v>2.8407116815186802E-4</v>
      </c>
      <c r="G141" s="2">
        <v>1.8219914019957501E-2</v>
      </c>
      <c r="H141" s="2" t="s">
        <v>974</v>
      </c>
      <c r="I141" s="2" t="s">
        <v>87</v>
      </c>
      <c r="J141" s="2" t="str">
        <f>HYPERLINK("https://vectorbase.org/vectorbase/app/record/gene/AGAP003816","AGAP003816-RA")</f>
        <v>AGAP003816-RA</v>
      </c>
      <c r="K141" s="2" t="str">
        <f>HYPERLINK(".\links\pep\AGAP003816-PA-pep.txt","AGAP003816-PA")</f>
        <v>AGAP003816-PA</v>
      </c>
      <c r="L141" s="12" t="s">
        <v>88</v>
      </c>
      <c r="M141" s="2">
        <v>116</v>
      </c>
      <c r="N141" s="2">
        <v>0</v>
      </c>
      <c r="O141" s="2">
        <v>0</v>
      </c>
      <c r="P141" s="2" t="s">
        <v>975</v>
      </c>
      <c r="Q141" s="9" t="s">
        <v>976</v>
      </c>
      <c r="R141" s="2" t="s">
        <v>245</v>
      </c>
      <c r="S141" s="2" t="str">
        <f>HYPERLINK(".\links\CDD\AGAP003816-PA-CDD.txt","CDD")</f>
        <v>CDD</v>
      </c>
      <c r="T141" s="2">
        <v>4.9999999999999997E-50</v>
      </c>
      <c r="U141" s="2">
        <v>99</v>
      </c>
      <c r="V141" s="2" t="s">
        <v>977</v>
      </c>
      <c r="W141" s="10" t="s">
        <v>564</v>
      </c>
      <c r="X141" s="2" t="s">
        <v>245</v>
      </c>
      <c r="Y141" s="2" t="str">
        <f>HYPERLINK(".\links\COG\AGAP003816-PA-COG.txt","COG")</f>
        <v>COG</v>
      </c>
      <c r="Z141" s="13">
        <v>2.9999999999999998E-31</v>
      </c>
      <c r="AA141" s="2">
        <v>94</v>
      </c>
      <c r="AB141" s="14" t="s">
        <v>89</v>
      </c>
      <c r="AC141" s="14" t="str">
        <f>HYPERLINK(".\links\Sigp\AGAP003816-PA-SigP.txt","CYT")</f>
        <v>CYT</v>
      </c>
      <c r="AD141" s="2" t="s">
        <v>89</v>
      </c>
      <c r="AE141" s="2">
        <v>12.725</v>
      </c>
      <c r="AF141" s="2">
        <v>9.7799999999999994</v>
      </c>
      <c r="AG141" s="2" t="s">
        <v>89</v>
      </c>
      <c r="AH141" s="2" t="s">
        <v>89</v>
      </c>
      <c r="AI141" s="2" t="s">
        <v>273</v>
      </c>
      <c r="AJ141" s="14">
        <v>0</v>
      </c>
      <c r="AK141" s="2" t="s">
        <v>89</v>
      </c>
      <c r="AL141" s="2" t="s">
        <v>89</v>
      </c>
      <c r="AM141" s="2" t="s">
        <v>89</v>
      </c>
      <c r="AN141" s="14" t="str">
        <f>HYPERLINK(".\links\gpi\AGAP003816-PA-gpi.txt","N")</f>
        <v>N</v>
      </c>
      <c r="AO141" s="15" t="str">
        <f>HYPERLINK(".\links\netoglyc\AGAP003816-PA-netoglyc.txt","0")</f>
        <v>0</v>
      </c>
      <c r="AP141" s="14">
        <v>13.8</v>
      </c>
      <c r="AQ141" s="2">
        <v>8.6</v>
      </c>
      <c r="AR141" s="2">
        <v>1.7</v>
      </c>
      <c r="AS141" s="2" t="s">
        <v>94</v>
      </c>
      <c r="AT141" s="9" t="str">
        <f>HYPERLINK(".\links\NR-LIGHT\AGAP003816-PA-NR-LIGHT.txt","AGAP003816-PA")</f>
        <v>AGAP003816-PA</v>
      </c>
      <c r="AU141" s="2" t="str">
        <f>HYPERLINK("http://www.ncbi.nlm.nih.gov/sutils/blink.cgi?pid=XP_310377.7","7E-060")</f>
        <v>7E-060</v>
      </c>
      <c r="AV141" s="2" t="str">
        <f>HYPERLINK("http://www.ncbi.nlm.nih.gov/protein/XP_310377.7","XP_310377.7")</f>
        <v>XP_310377.7</v>
      </c>
      <c r="AW141" s="2">
        <v>100</v>
      </c>
      <c r="AX141" s="2">
        <v>100</v>
      </c>
      <c r="AY141" s="2">
        <v>100</v>
      </c>
      <c r="AZ141" s="2" t="s">
        <v>95</v>
      </c>
      <c r="BA141" s="9" t="str">
        <f>HYPERLINK(".\links\REFSEQ-INVERTEBRATE\AGAP003816-PA-REFSEQ-INVERTEBRATE.txt","AGAP003816-PA")</f>
        <v>AGAP003816-PA</v>
      </c>
      <c r="BB141" s="2" t="str">
        <f>HYPERLINK("http://www.ncbi.nlm.nih.gov/sutils/blink.cgi?pid=XP_310377.7","6E-060")</f>
        <v>6E-060</v>
      </c>
      <c r="BC141" s="2" t="str">
        <f>HYPERLINK("http://www.ncbi.nlm.nih.gov/protein/XP_310377.7","XP_310377.7")</f>
        <v>XP_310377.7</v>
      </c>
      <c r="BD141" s="2">
        <v>100</v>
      </c>
      <c r="BE141" s="2">
        <v>100</v>
      </c>
      <c r="BF141" s="2">
        <v>100</v>
      </c>
      <c r="BG141" s="2" t="s">
        <v>95</v>
      </c>
      <c r="BH141" s="9" t="str">
        <f>HYPERLINK(".\links\REFSEQ-PROTOZOA\AGAP003816-PA-REFSEQ-PROTOZOA.txt","60S ribosomal protein, putative")</f>
        <v>60S ribosomal protein, putative</v>
      </c>
      <c r="BI141" s="2" t="str">
        <f>HYPERLINK("http://www.ncbi.nlm.nih.gov/sutils/blink.cgi?pid=XP_004339588.1","5E-045")</f>
        <v>5E-045</v>
      </c>
      <c r="BJ141" s="2" t="str">
        <f>HYPERLINK("http://www.ncbi.nlm.nih.gov/protein/XP_004339588.1","XP_004339588.1")</f>
        <v>XP_004339588.1</v>
      </c>
      <c r="BK141" s="2">
        <v>81</v>
      </c>
      <c r="BL141" s="2">
        <v>87</v>
      </c>
      <c r="BM141" s="2">
        <v>100</v>
      </c>
      <c r="BN141" s="2" t="s">
        <v>114</v>
      </c>
      <c r="BO141" s="9" t="str">
        <f>HYPERLINK(".\links\SWISSP\AGAP003816-PA-SWISSP.txt","60S ribosomal protein L30")</f>
        <v>60S ribosomal protein L30</v>
      </c>
      <c r="BP141" s="2" t="str">
        <f>HYPERLINK("http://www.uniprot.org/uniprot/P58375","4E-050")</f>
        <v>4E-050</v>
      </c>
      <c r="BQ141" s="2" t="str">
        <f>HYPERLINK("http://www.uniprot.org/uniprot/P58375#expression","P58375")</f>
        <v>P58375</v>
      </c>
      <c r="BR141" s="2">
        <v>85</v>
      </c>
      <c r="BS141" s="2">
        <v>92</v>
      </c>
      <c r="BT141" s="2">
        <v>99</v>
      </c>
      <c r="BU141" s="2" t="s">
        <v>978</v>
      </c>
      <c r="BV141" s="9" t="str">
        <f>HYPERLINK(".\links\FLYBASE\AGAP003816-PA-FLYBASE.txt","FBpp0309280")</f>
        <v>FBpp0309280</v>
      </c>
      <c r="BW141" s="2" t="str">
        <f>HYPERLINK("http://flybase.org/reports/FBgn0086710#alliance_summary_container","4E-66")</f>
        <v>4E-66</v>
      </c>
      <c r="BX141" s="2">
        <v>111</v>
      </c>
      <c r="BY141" s="2">
        <v>85</v>
      </c>
      <c r="BZ141" s="2">
        <v>90</v>
      </c>
      <c r="CA141" s="2">
        <v>100</v>
      </c>
      <c r="CB141" s="9" t="str">
        <f>HYPERLINK(".\links\CDD\AGAP003816-PA-CDD.txt","PTZ00106, 60S ribosomal protein L30")</f>
        <v>PTZ00106, 60S ribosomal protein L30</v>
      </c>
      <c r="CC141" s="13">
        <v>4.9999999999999997E-50</v>
      </c>
      <c r="CD141" s="2">
        <v>99.1</v>
      </c>
      <c r="CE141" s="2" t="s">
        <v>979</v>
      </c>
      <c r="CF141" s="2" t="s">
        <v>980</v>
      </c>
      <c r="CG141" s="9" t="str">
        <f>HYPERLINK(".\links\KOG\AGAP003816-PA-KOG.txt","60S ribosomal protein L30")</f>
        <v>60S ribosomal protein L30</v>
      </c>
      <c r="CH141" s="13">
        <v>3.0000000000000002E-47</v>
      </c>
      <c r="CI141" s="2">
        <v>100</v>
      </c>
      <c r="CJ141" s="2" t="s">
        <v>981</v>
      </c>
      <c r="CK141" s="2" t="s">
        <v>252</v>
      </c>
      <c r="CL141" s="9" t="str">
        <f>HYPERLINK(".\links\PFAM\AGAP003816-PA-PFAM.txt","Ribosomal_L7Ae, Ribosomal protein L7Ae/L30e/S12e/Gadd45 family")</f>
        <v>Ribosomal_L7Ae, Ribosomal protein L7Ae/L30e/S12e/Gadd45 family</v>
      </c>
      <c r="CM141" s="13">
        <v>3.0000000000000003E-20</v>
      </c>
      <c r="CN141" s="2">
        <v>101.1</v>
      </c>
      <c r="CO141" s="2" t="s">
        <v>982</v>
      </c>
      <c r="CP141" s="9" t="str">
        <f>HYPERLINK(".\links\SMART\AGAP003816-PA-SMART.txt","LPD_N, Lipoprotein N-terminal Domain")</f>
        <v>LPD_N, Lipoprotein N-terminal Domain</v>
      </c>
      <c r="CQ141" s="13">
        <v>1.1000000000000001</v>
      </c>
      <c r="CR141" s="2">
        <v>4.2</v>
      </c>
      <c r="CS141" s="2" t="s">
        <v>173</v>
      </c>
      <c r="CT141" s="2" t="s">
        <v>977</v>
      </c>
      <c r="CU141" s="2" t="s">
        <v>977</v>
      </c>
      <c r="CV141" s="2" t="s">
        <v>977</v>
      </c>
      <c r="CW141" s="2" t="str">
        <f>HYPERLINK(".\links\pep\AGAP003816-PA-pep.txt","AGAP003816-PA")</f>
        <v>AGAP003816-PA</v>
      </c>
      <c r="CX141" s="2" t="s">
        <v>88</v>
      </c>
      <c r="CY141" s="2">
        <v>116</v>
      </c>
      <c r="CZ141" s="2" t="s">
        <v>103</v>
      </c>
      <c r="DA141" s="2" t="s">
        <v>983</v>
      </c>
      <c r="DB141" s="2">
        <v>0</v>
      </c>
      <c r="DC141" s="2">
        <v>0</v>
      </c>
      <c r="DD141" s="2" t="str">
        <f>HYPERLINK("https://www.kegg.jp/kegg-bin/search_pathway_text?map=aga&amp;keyword=AGAP003816&amp;mode=1&amp;viewImage=true","AGAP003816")</f>
        <v>AGAP003816</v>
      </c>
      <c r="DE141" s="2" t="s">
        <v>973</v>
      </c>
      <c r="DF141" s="2" t="s">
        <v>974</v>
      </c>
      <c r="DG141" s="2" t="s">
        <v>87</v>
      </c>
      <c r="DH141" s="2" t="str">
        <f>HYPERLINK("https://vectorbase.org/vectorbase/app/record/gene/AGAP003816","AGAP003816-RA")</f>
        <v>AGAP003816-RA</v>
      </c>
      <c r="DI141" s="2" t="s">
        <v>122</v>
      </c>
      <c r="DJ141" s="2">
        <v>543</v>
      </c>
      <c r="DK141" s="2" t="str">
        <f>HYPERLINK(".\links\netoglyc\AGAP003816-PA-netoglyc.txt","0")</f>
        <v>0</v>
      </c>
      <c r="DL141" s="2">
        <v>13.8</v>
      </c>
      <c r="DM141" s="2">
        <v>8.6</v>
      </c>
      <c r="DN141" s="2">
        <v>1.7</v>
      </c>
      <c r="DO141" s="2" t="s">
        <v>94</v>
      </c>
      <c r="DP141" s="2" t="s">
        <v>89</v>
      </c>
      <c r="DQ141" s="2" t="str">
        <f>HYPERLINK(".\links\Sigp\AGAP003816-PA-SigP.txt","CYT")</f>
        <v>CYT</v>
      </c>
      <c r="DR141" s="2" t="s">
        <v>89</v>
      </c>
      <c r="DS141" s="2">
        <v>12.725</v>
      </c>
      <c r="DT141" s="2">
        <v>9.7799999999999994</v>
      </c>
      <c r="DU141" s="2" t="s">
        <v>89</v>
      </c>
      <c r="DV141" s="2" t="s">
        <v>89</v>
      </c>
      <c r="DW141" s="2" t="s">
        <v>273</v>
      </c>
      <c r="DX141" s="2">
        <v>116</v>
      </c>
      <c r="DY141" s="12">
        <v>0</v>
      </c>
      <c r="DZ141" s="2" t="s">
        <v>89</v>
      </c>
      <c r="EA141" s="2" t="s">
        <v>89</v>
      </c>
      <c r="EB141" s="2" t="s">
        <v>89</v>
      </c>
      <c r="EC141" s="2" t="str">
        <f>HYPERLINK(".\links\gpi\AGAP003816-PA-gpi.txt","Y-NoSP")</f>
        <v>Y-NoSP</v>
      </c>
      <c r="ED141" s="2">
        <v>0.33</v>
      </c>
      <c r="EF141" s="2">
        <v>3</v>
      </c>
      <c r="EG141" s="2" t="s">
        <v>89</v>
      </c>
      <c r="EH141" s="2" t="s">
        <v>89</v>
      </c>
      <c r="EI141" s="2">
        <v>13.7931034482759</v>
      </c>
      <c r="EJ141" s="2">
        <v>1.72413793103448</v>
      </c>
      <c r="EK141" s="2">
        <v>8.6206896551724093</v>
      </c>
      <c r="EL141" s="2">
        <v>10.3448275862069</v>
      </c>
      <c r="EM141" s="2" t="s">
        <v>89</v>
      </c>
      <c r="EN141" s="2" t="s">
        <v>89</v>
      </c>
      <c r="EO141" s="2" t="s">
        <v>89</v>
      </c>
      <c r="EP141" s="2" t="s">
        <v>89</v>
      </c>
      <c r="EQ141" s="2" t="s">
        <v>89</v>
      </c>
      <c r="ER141" s="2" t="s">
        <v>89</v>
      </c>
      <c r="ES141" s="2" t="s">
        <v>89</v>
      </c>
      <c r="ET141" s="2" t="str">
        <f>HYPERLINK(".\links\REFSEQ-INVERTEBRATE\AGAP003816-PA-REFSEQ-INVERTEBRATE.txt","AGAP003816-PA")</f>
        <v>AGAP003816-PA</v>
      </c>
      <c r="EU141" s="2" t="str">
        <f>HYPERLINK("http://www.ncbi.nlm.nih.gov/sutils/blink.cgi?pid=XP_310377.7","2E-81")</f>
        <v>2E-81</v>
      </c>
      <c r="EV141" s="2" t="str">
        <f>HYPERLINK("http://www.ncbi.nlm.nih.gov/protein/XP_310377.7","XP_310377.7")</f>
        <v>XP_310377.7</v>
      </c>
      <c r="EW141" s="2">
        <v>100</v>
      </c>
      <c r="EX141" s="2">
        <v>100</v>
      </c>
      <c r="EY141" s="2">
        <v>100</v>
      </c>
      <c r="EZ141" s="2" t="s">
        <v>95</v>
      </c>
    </row>
    <row r="142" spans="1:156" x14ac:dyDescent="0.25">
      <c r="A142" s="2" t="s">
        <v>3224</v>
      </c>
      <c r="B142" s="2">
        <v>-0.86596910145000106</v>
      </c>
      <c r="C142" s="2">
        <f t="shared" si="2"/>
        <v>0.5486777198277365</v>
      </c>
      <c r="D142" s="2">
        <v>5.5813716414837202</v>
      </c>
      <c r="E142" s="2">
        <v>10.9550227634448</v>
      </c>
      <c r="F142" s="2">
        <v>9.3350225489622805E-4</v>
      </c>
      <c r="G142" s="2">
        <v>3.9755994031520601E-2</v>
      </c>
      <c r="H142" s="2" t="s">
        <v>3225</v>
      </c>
      <c r="I142" s="2" t="s">
        <v>89</v>
      </c>
      <c r="J142" s="2" t="str">
        <f>HYPERLINK("https://vectorbase.org/vectorbase/app/record/gene/AGAP029758","AGAP029758-RA")</f>
        <v>AGAP029758-RA</v>
      </c>
      <c r="K142" s="2" t="str">
        <f>HYPERLINK(".\links\pep\AGAP029758-PA-pep.txt","AGAP029758-PA")</f>
        <v>AGAP029758-PA</v>
      </c>
      <c r="L142" s="12" t="s">
        <v>88</v>
      </c>
      <c r="M142" s="2">
        <v>672</v>
      </c>
      <c r="N142" s="2">
        <v>0</v>
      </c>
      <c r="O142" s="2">
        <v>1</v>
      </c>
      <c r="P142" s="2" t="s">
        <v>3226</v>
      </c>
      <c r="Q142" s="9" t="s">
        <v>3227</v>
      </c>
      <c r="R142" s="2" t="s">
        <v>164</v>
      </c>
      <c r="S142" s="2" t="str">
        <f>HYPERLINK(".\links\CDD\AGAP029758-PA-CDD.txt","CDD")</f>
        <v>CDD</v>
      </c>
      <c r="T142" s="2">
        <v>0</v>
      </c>
      <c r="U142" s="2">
        <v>105.5</v>
      </c>
      <c r="V142" s="2" t="s">
        <v>3228</v>
      </c>
      <c r="W142" s="10" t="s">
        <v>3229</v>
      </c>
      <c r="X142" s="2" t="s">
        <v>164</v>
      </c>
      <c r="Y142" s="2" t="str">
        <f>HYPERLINK(".\links\REFSEQ-PROTOZOA\AGAP029758-PA-REFSEQ-PROTOZOA.txt","REFSEQ-PROTOZOA")</f>
        <v>REFSEQ-PROTOZOA</v>
      </c>
      <c r="Z142" s="2">
        <v>0</v>
      </c>
      <c r="AA142" s="2">
        <v>100.8</v>
      </c>
      <c r="AB142" s="14" t="s">
        <v>89</v>
      </c>
      <c r="AC142" s="14" t="str">
        <f>HYPERLINK(".\links\Sigp\AGAP029758-PA-SigP.txt","CYT")</f>
        <v>CYT</v>
      </c>
      <c r="AD142" s="2" t="s">
        <v>89</v>
      </c>
      <c r="AE142" s="2">
        <v>75.466999999999999</v>
      </c>
      <c r="AF142" s="2">
        <v>6.41</v>
      </c>
      <c r="AG142" s="2" t="s">
        <v>89</v>
      </c>
      <c r="AH142" s="2" t="s">
        <v>89</v>
      </c>
      <c r="AI142" s="2" t="s">
        <v>3230</v>
      </c>
      <c r="AJ142" s="14">
        <v>0</v>
      </c>
      <c r="AK142" s="2" t="s">
        <v>89</v>
      </c>
      <c r="AL142" s="2" t="s">
        <v>89</v>
      </c>
      <c r="AM142" s="2" t="s">
        <v>89</v>
      </c>
      <c r="AN142" s="9" t="str">
        <f>HYPERLINK(".\links\gpi\AGAP029758-PA-gpi.txt","N")</f>
        <v>N</v>
      </c>
      <c r="AO142" s="15" t="str">
        <f>HYPERLINK(".\links\netoglyc\AGAP029758-PA-netoglyc.txt","0")</f>
        <v>0</v>
      </c>
      <c r="AP142" s="14">
        <v>11.5</v>
      </c>
      <c r="AQ142" s="2">
        <v>7.4</v>
      </c>
      <c r="AR142" s="2">
        <v>3.7</v>
      </c>
      <c r="AS142" s="2" t="s">
        <v>94</v>
      </c>
      <c r="AT142" s="9" t="str">
        <f>HYPERLINK(".\links\NR-LIGHT\AGAP029758-PA-NR-LIGHT.txt","AGAP011798-PA, partial")</f>
        <v>AGAP011798-PA, partial</v>
      </c>
      <c r="AU142" s="2" t="str">
        <f>HYPERLINK("http://www.ncbi.nlm.nih.gov/sutils/blink.cgi?pid=XP_320718.4","0.0")</f>
        <v>0.0</v>
      </c>
      <c r="AV142" s="2" t="str">
        <f>HYPERLINK("http://www.ncbi.nlm.nih.gov/protein/XP_320718.4","XP_320718.4")</f>
        <v>XP_320718.4</v>
      </c>
      <c r="AW142" s="2">
        <v>98</v>
      </c>
      <c r="AX142" s="2">
        <v>98</v>
      </c>
      <c r="AY142" s="2">
        <v>99</v>
      </c>
      <c r="AZ142" s="2" t="s">
        <v>95</v>
      </c>
      <c r="BA142" s="9" t="str">
        <f>HYPERLINK(".\links\REFSEQ-INVERTEBRATE\AGAP029758-PA-REFSEQ-INVERTEBRATE.txt","AGAP011798-PA, partial")</f>
        <v>AGAP011798-PA, partial</v>
      </c>
      <c r="BB142" s="2" t="str">
        <f>HYPERLINK("http://www.ncbi.nlm.nih.gov/sutils/blink.cgi?pid=XP_320718.4","0.0")</f>
        <v>0.0</v>
      </c>
      <c r="BC142" s="2" t="str">
        <f>HYPERLINK("http://www.ncbi.nlm.nih.gov/protein/XP_320718.4","XP_320718.4")</f>
        <v>XP_320718.4</v>
      </c>
      <c r="BD142" s="2">
        <v>98</v>
      </c>
      <c r="BE142" s="2">
        <v>98</v>
      </c>
      <c r="BF142" s="2">
        <v>99</v>
      </c>
      <c r="BG142" s="2" t="s">
        <v>95</v>
      </c>
      <c r="BH142" s="9" t="str">
        <f>HYPERLINK(".\links\REFSEQ-PROTOZOA\AGAP029758-PA-REFSEQ-PROTOZOA.txt","palmitoyl-CoA oxidase")</f>
        <v>palmitoyl-CoA oxidase</v>
      </c>
      <c r="BI142" s="2" t="str">
        <f>HYPERLINK("http://www.ncbi.nlm.nih.gov/sutils/blink.cgi?pid=XP_004365597.1","1E-125")</f>
        <v>1E-125</v>
      </c>
      <c r="BJ142" s="2" t="str">
        <f>HYPERLINK("http://www.ncbi.nlm.nih.gov/protein/XP_004365597.1","XP_004365597.1")</f>
        <v>XP_004365597.1</v>
      </c>
      <c r="BK142" s="2">
        <v>39</v>
      </c>
      <c r="BL142" s="2">
        <v>55</v>
      </c>
      <c r="BM142" s="2">
        <v>101</v>
      </c>
      <c r="BN142" s="2" t="s">
        <v>150</v>
      </c>
      <c r="BO142" s="9" t="str">
        <f>HYPERLINK(".\links\SWISSP\AGAP029758-PA-SWISSP.txt","Probable peroxisomal acyl-coenzyme A oxidase 1")</f>
        <v>Probable peroxisomal acyl-coenzyme A oxidase 1</v>
      </c>
      <c r="BP142" s="2" t="str">
        <f>HYPERLINK("http://www.uniprot.org/uniprot/Q7KML2","0.0")</f>
        <v>0.0</v>
      </c>
      <c r="BQ142" s="2" t="str">
        <f>HYPERLINK("http://www.uniprot.org/uniprot/Q7KML2#expression","Q7KML2")</f>
        <v>Q7KML2</v>
      </c>
      <c r="BR142" s="2">
        <v>59</v>
      </c>
      <c r="BS142" s="2">
        <v>75</v>
      </c>
      <c r="BT142" s="2">
        <v>99</v>
      </c>
      <c r="BU142" s="2" t="s">
        <v>151</v>
      </c>
      <c r="BV142" s="9" t="str">
        <f>HYPERLINK(".\links\FLYBASE\AGAP029758-PA-FLYBASE.txt","FBpp0088517")</f>
        <v>FBpp0088517</v>
      </c>
      <c r="BW142" s="2" t="str">
        <f>HYPERLINK("http://flybase.org/reports/FBgn0027572#alliance_summary_container","0.0")</f>
        <v>0.0</v>
      </c>
      <c r="BX142" s="2">
        <v>669</v>
      </c>
      <c r="BY142" s="2">
        <v>58</v>
      </c>
      <c r="BZ142" s="2">
        <v>74</v>
      </c>
      <c r="CA142" s="2">
        <v>100</v>
      </c>
      <c r="CB142" s="9" t="str">
        <f>HYPERLINK(".\links\CDD\AGAP029758-PA-CDD.txt","AXO, Peroxisomal acyl-CoA oxidase")</f>
        <v>AXO, Peroxisomal acyl-CoA oxidase</v>
      </c>
      <c r="CC142" s="13">
        <v>0</v>
      </c>
      <c r="CD142" s="2">
        <v>105.6</v>
      </c>
      <c r="CE142" s="2" t="s">
        <v>3231</v>
      </c>
      <c r="CF142" s="2" t="s">
        <v>3232</v>
      </c>
      <c r="CG142" s="9" t="str">
        <f>HYPERLINK(".\links\KOG\AGAP029758-PA-KOG.txt","Acyl-CoA oxidase")</f>
        <v>Acyl-CoA oxidase</v>
      </c>
      <c r="CH142" s="13">
        <v>0</v>
      </c>
      <c r="CI142" s="2">
        <v>99.4</v>
      </c>
      <c r="CJ142" s="2" t="s">
        <v>3233</v>
      </c>
      <c r="CK142" s="2" t="s">
        <v>172</v>
      </c>
      <c r="CL142" s="9" t="str">
        <f>HYPERLINK(".\links\PFAM\AGAP029758-PA-PFAM.txt","ACOX, Acyl-CoA oxidase")</f>
        <v>ACOX, Acyl-CoA oxidase</v>
      </c>
      <c r="CM142" s="13">
        <v>6.0000000000000004E-60</v>
      </c>
      <c r="CN142" s="2">
        <v>100</v>
      </c>
      <c r="CO142" s="2" t="s">
        <v>3234</v>
      </c>
      <c r="CP142" s="9" t="str">
        <f>HYPERLINK(".\links\SMART\AGAP029758-PA-SMART.txt","CHASE2, CHASE2 is an extracellular sensory domain, which is present in various classes of transmembrane receptors that are parts of signal transduction pathways in bacteria")</f>
        <v>CHASE2, CHASE2 is an extracellular sensory domain, which is present in various classes of transmembrane receptors that are parts of signal transduction pathways in bacteria</v>
      </c>
      <c r="CQ142" s="13">
        <v>0.42</v>
      </c>
      <c r="CR142" s="2">
        <v>15.5</v>
      </c>
      <c r="CS142" s="2" t="s">
        <v>531</v>
      </c>
      <c r="CT142" s="2" t="s">
        <v>3228</v>
      </c>
      <c r="CU142" s="2" t="s">
        <v>3228</v>
      </c>
      <c r="CV142" s="2" t="s">
        <v>3228</v>
      </c>
      <c r="CW142" s="2" t="str">
        <f>HYPERLINK(".\links\pep\AGAP029758-PA-pep.txt","AGAP029758-PA")</f>
        <v>AGAP029758-PA</v>
      </c>
      <c r="CX142" s="2" t="s">
        <v>88</v>
      </c>
      <c r="CY142" s="2">
        <v>672</v>
      </c>
      <c r="CZ142" s="2" t="s">
        <v>103</v>
      </c>
      <c r="DA142" s="2">
        <v>0</v>
      </c>
      <c r="DB142" s="2">
        <v>1</v>
      </c>
      <c r="DD142" s="2" t="str">
        <f>HYPERLINK("https://www.kegg.jp/kegg-bin/search_pathway_text?map=aga&amp;keyword=AGAP029758&amp;mode=1&amp;viewImage=true","AGAP029758")</f>
        <v>AGAP029758</v>
      </c>
      <c r="DE142" s="2" t="s">
        <v>3224</v>
      </c>
      <c r="DF142" s="2" t="s">
        <v>3225</v>
      </c>
      <c r="DG142" s="2" t="s">
        <v>89</v>
      </c>
      <c r="DH142" s="2" t="str">
        <f>HYPERLINK("https://vectorbase.org/vectorbase/app/record/gene/AGAP029758","AGAP029758-RA")</f>
        <v>AGAP029758-RA</v>
      </c>
      <c r="DI142" s="2" t="s">
        <v>140</v>
      </c>
      <c r="DJ142" s="2">
        <v>2959</v>
      </c>
      <c r="DK142" s="2" t="str">
        <f>HYPERLINK(".\links\netoglyc\AGAP029758-PA-netoglyc.txt","0")</f>
        <v>0</v>
      </c>
      <c r="DL142" s="2">
        <v>11.5</v>
      </c>
      <c r="DM142" s="2">
        <v>7.4</v>
      </c>
      <c r="DN142" s="2">
        <v>3.7</v>
      </c>
      <c r="DO142" s="2" t="s">
        <v>94</v>
      </c>
      <c r="DP142" s="2" t="s">
        <v>3235</v>
      </c>
      <c r="DQ142" s="2" t="str">
        <f>HYPERLINK(".\links\Sigp\AGAP029758-PA-SigP.txt","CYT")</f>
        <v>CYT</v>
      </c>
      <c r="DR142" s="2" t="s">
        <v>89</v>
      </c>
      <c r="DS142" s="2">
        <v>75.466999999999999</v>
      </c>
      <c r="DT142" s="2">
        <v>6.41</v>
      </c>
      <c r="DU142" s="2" t="s">
        <v>89</v>
      </c>
      <c r="DV142" s="2" t="s">
        <v>89</v>
      </c>
      <c r="DW142" s="2" t="s">
        <v>3230</v>
      </c>
      <c r="DX142" s="2">
        <v>672</v>
      </c>
      <c r="DY142" s="12">
        <v>0</v>
      </c>
      <c r="DZ142" s="2" t="s">
        <v>89</v>
      </c>
      <c r="EA142" s="2" t="s">
        <v>89</v>
      </c>
      <c r="EB142" s="2" t="s">
        <v>89</v>
      </c>
      <c r="EC142" s="2" t="str">
        <f>HYPERLINK(".\links\gpi\AGAP029758-PA-gpi.txt","N")</f>
        <v>N</v>
      </c>
      <c r="ED142" s="2">
        <v>0.16</v>
      </c>
      <c r="EF142" s="2">
        <v>14</v>
      </c>
      <c r="EG142" s="2" t="s">
        <v>89</v>
      </c>
      <c r="EH142" s="2" t="s">
        <v>89</v>
      </c>
      <c r="EI142" s="2">
        <v>11.4583333333333</v>
      </c>
      <c r="EJ142" s="2">
        <v>3.7202380952380998</v>
      </c>
      <c r="EK142" s="2">
        <v>7.4404761904761898</v>
      </c>
      <c r="EL142" s="2">
        <v>11.160714285714301</v>
      </c>
      <c r="EM142" s="2" t="s">
        <v>89</v>
      </c>
      <c r="EN142" s="2">
        <v>4</v>
      </c>
      <c r="EO142" s="2">
        <v>4</v>
      </c>
      <c r="EP142" s="2" t="s">
        <v>89</v>
      </c>
      <c r="EQ142" s="2" t="s">
        <v>89</v>
      </c>
      <c r="ER142" s="2" t="s">
        <v>89</v>
      </c>
      <c r="ES142" s="2" t="s">
        <v>89</v>
      </c>
      <c r="ET142" s="2" t="str">
        <f>HYPERLINK(".\links\REFSEQ-INVERTEBRATE\AGAP029758-PA-REFSEQ-INVERTEBRATE.txt","AGAP011798-PA, partial")</f>
        <v>AGAP011798-PA, partial</v>
      </c>
      <c r="EU142" s="2" t="str">
        <f>HYPERLINK("http://www.ncbi.nlm.nih.gov/sutils/blink.cgi?pid=XP_320718.4","0.0")</f>
        <v>0.0</v>
      </c>
      <c r="EV142" s="2" t="str">
        <f>HYPERLINK("http://www.ncbi.nlm.nih.gov/protein/XP_320718.4","XP_320718.4")</f>
        <v>XP_320718.4</v>
      </c>
      <c r="EW142" s="2">
        <v>97</v>
      </c>
      <c r="EX142" s="2">
        <v>98</v>
      </c>
      <c r="EY142" s="2">
        <v>100</v>
      </c>
      <c r="EZ142" s="2" t="s">
        <v>95</v>
      </c>
    </row>
    <row r="143" spans="1:156" x14ac:dyDescent="0.25">
      <c r="A143" s="2" t="s">
        <v>1437</v>
      </c>
      <c r="B143" s="2">
        <v>-0.87017302534704</v>
      </c>
      <c r="C143" s="2">
        <f t="shared" si="2"/>
        <v>0.54708123413190202</v>
      </c>
      <c r="D143" s="2">
        <v>6.3396518760890599</v>
      </c>
      <c r="E143" s="2">
        <v>23.759395770201301</v>
      </c>
      <c r="F143" s="2">
        <v>1.0916117900989E-6</v>
      </c>
      <c r="G143" s="2">
        <v>4.6489562916731899E-4</v>
      </c>
      <c r="H143" s="2" t="s">
        <v>1438</v>
      </c>
      <c r="I143" s="2" t="s">
        <v>89</v>
      </c>
      <c r="J143" s="2" t="str">
        <f>HYPERLINK("https://vectorbase.org/vectorbase/app/record/gene/AGAP005109","AGAP005109-RA")</f>
        <v>AGAP005109-RA</v>
      </c>
      <c r="K143" s="2" t="str">
        <f>HYPERLINK(".\links\pep\AGAP005109-PA-pep.txt","AGAP005109-PA")</f>
        <v>AGAP005109-PA</v>
      </c>
      <c r="L143" s="12" t="s">
        <v>88</v>
      </c>
      <c r="M143" s="2">
        <v>122</v>
      </c>
      <c r="N143" s="2">
        <v>0</v>
      </c>
      <c r="O143" s="2">
        <v>0</v>
      </c>
      <c r="P143" s="2" t="s">
        <v>1439</v>
      </c>
      <c r="Q143" s="9" t="s">
        <v>1440</v>
      </c>
      <c r="R143" s="2" t="s">
        <v>91</v>
      </c>
      <c r="S143" s="2" t="str">
        <f>HYPERLINK(".\links\REFSEQ-INVERTEBRATE\AGAP005109-PA-REFSEQ-INVERTEBRATE.txt","REFSEQ-INVERTEBRATE")</f>
        <v>REFSEQ-INVERTEBRATE</v>
      </c>
      <c r="T143" s="2">
        <v>9.0000000000000003E-67</v>
      </c>
      <c r="U143" s="2">
        <v>100</v>
      </c>
      <c r="V143" s="2" t="s">
        <v>1440</v>
      </c>
      <c r="W143" s="10" t="s">
        <v>1441</v>
      </c>
      <c r="X143" s="2" t="s">
        <v>145</v>
      </c>
      <c r="Y143" s="2" t="str">
        <f>HYPERLINK(".\links\UNIPROTKB\AGAP005109-PA-UNIPROTKB.txt","UNIPROTKB")</f>
        <v>UNIPROTKB</v>
      </c>
      <c r="Z143" s="13">
        <v>5.0000000000000004E-32</v>
      </c>
      <c r="AA143" s="2">
        <v>96.7</v>
      </c>
      <c r="AB143" s="14" t="s">
        <v>89</v>
      </c>
      <c r="AC143" s="14" t="str">
        <f>HYPERLINK(".\links\Sigp\AGAP005109-PA-SigP.txt","CYT")</f>
        <v>CYT</v>
      </c>
      <c r="AD143" s="2" t="s">
        <v>89</v>
      </c>
      <c r="AE143" s="2">
        <v>13.605</v>
      </c>
      <c r="AF143" s="2">
        <v>8.82</v>
      </c>
      <c r="AG143" s="2" t="s">
        <v>89</v>
      </c>
      <c r="AH143" s="2" t="s">
        <v>89</v>
      </c>
      <c r="AI143" s="2" t="s">
        <v>93</v>
      </c>
      <c r="AJ143" s="14">
        <v>0</v>
      </c>
      <c r="AK143" s="2" t="s">
        <v>89</v>
      </c>
      <c r="AL143" s="2" t="s">
        <v>89</v>
      </c>
      <c r="AM143" s="2" t="s">
        <v>89</v>
      </c>
      <c r="AN143" s="14" t="str">
        <f>HYPERLINK(".\links\gpi\AGAP005109-PA-gpi.txt","N")</f>
        <v>N</v>
      </c>
      <c r="AO143" s="15" t="str">
        <f>HYPERLINK(".\links\netoglyc\AGAP005109-PA-netoglyc.txt","1")</f>
        <v>1</v>
      </c>
      <c r="AP143" s="14">
        <v>8.1999999999999993</v>
      </c>
      <c r="AQ143" s="2">
        <v>6.6</v>
      </c>
      <c r="AR143" s="2">
        <v>7.4</v>
      </c>
      <c r="AS143" s="2" t="s">
        <v>94</v>
      </c>
      <c r="AT143" s="9" t="str">
        <f>HYPERLINK(".\links\NR-LIGHT\AGAP005109-PA-NR-LIGHT.txt","AGAP005109-PA")</f>
        <v>AGAP005109-PA</v>
      </c>
      <c r="AU143" s="2" t="str">
        <f>HYPERLINK("http://www.ncbi.nlm.nih.gov/sutils/blink.cgi?pid=XP_313986.4","1E-066")</f>
        <v>1E-066</v>
      </c>
      <c r="AV143" s="2" t="str">
        <f>HYPERLINK("http://www.ncbi.nlm.nih.gov/protein/XP_313986.4","XP_313986.4")</f>
        <v>XP_313986.4</v>
      </c>
      <c r="AW143" s="2">
        <v>100</v>
      </c>
      <c r="AX143" s="2">
        <v>100</v>
      </c>
      <c r="AY143" s="2">
        <v>100</v>
      </c>
      <c r="AZ143" s="2" t="s">
        <v>95</v>
      </c>
      <c r="BA143" s="9" t="str">
        <f>HYPERLINK(".\links\REFSEQ-INVERTEBRATE\AGAP005109-PA-REFSEQ-INVERTEBRATE.txt","AGAP005109-PA")</f>
        <v>AGAP005109-PA</v>
      </c>
      <c r="BB143" s="2" t="str">
        <f>HYPERLINK("http://www.ncbi.nlm.nih.gov/sutils/blink.cgi?pid=XP_313986.4","9E-067")</f>
        <v>9E-067</v>
      </c>
      <c r="BC143" s="2" t="str">
        <f>HYPERLINK("http://www.ncbi.nlm.nih.gov/protein/XP_313986.4","XP_313986.4")</f>
        <v>XP_313986.4</v>
      </c>
      <c r="BD143" s="2">
        <v>100</v>
      </c>
      <c r="BE143" s="2">
        <v>100</v>
      </c>
      <c r="BF143" s="2">
        <v>100</v>
      </c>
      <c r="BG143" s="2" t="s">
        <v>95</v>
      </c>
      <c r="BH143" s="9" t="str">
        <f>HYPERLINK(".\links\REFSEQ-PROTOZOA\AGAP005109-PA-REFSEQ-PROTOZOA.txt","hypothetical protein")</f>
        <v>hypothetical protein</v>
      </c>
      <c r="BI143" s="2" t="str">
        <f>HYPERLINK("http://www.ncbi.nlm.nih.gov/sutils/blink.cgi?pid=XP_766142.1","0.99")</f>
        <v>0.99</v>
      </c>
      <c r="BJ143" s="2" t="str">
        <f>HYPERLINK("http://www.ncbi.nlm.nih.gov/protein/XP_766142.1","XP_766142.1")</f>
        <v>XP_766142.1</v>
      </c>
      <c r="BK143" s="2">
        <v>34</v>
      </c>
      <c r="BL143" s="2">
        <v>48</v>
      </c>
      <c r="BM143" s="2">
        <v>10</v>
      </c>
      <c r="BN143" s="2" t="s">
        <v>1442</v>
      </c>
      <c r="BO143" s="9" t="str">
        <f>HYPERLINK(".\links\SWISSP\AGAP005109-PA-SWISSP.txt","MICOS complex subunit MIC13 homolog QIL1")</f>
        <v>MICOS complex subunit MIC13 homolog QIL1</v>
      </c>
      <c r="BP143" s="2" t="str">
        <f>HYPERLINK("http://www.uniprot.org/uniprot/Q9VVH3","7E-025")</f>
        <v>7E-025</v>
      </c>
      <c r="BQ143" s="2" t="str">
        <f>HYPERLINK("http://www.uniprot.org/uniprot/Q9VVH3#expression","Q9VVH3")</f>
        <v>Q9VVH3</v>
      </c>
      <c r="BR143" s="2">
        <v>43</v>
      </c>
      <c r="BS143" s="2">
        <v>64</v>
      </c>
      <c r="BT143" s="2">
        <v>97</v>
      </c>
      <c r="BU143" s="2" t="s">
        <v>151</v>
      </c>
      <c r="BV143" s="9" t="str">
        <f>HYPERLINK(".\links\FLYBASE\AGAP005109-PA-FLYBASE.txt","FBpp0074982")</f>
        <v>FBpp0074982</v>
      </c>
      <c r="BW143" s="2" t="str">
        <f>HYPERLINK("http://flybase.org/reports/FBgn0036726#alliance_summary_container","5E-33")</f>
        <v>5E-33</v>
      </c>
      <c r="BX143" s="2">
        <v>122</v>
      </c>
      <c r="BY143" s="2">
        <v>43</v>
      </c>
      <c r="BZ143" s="2">
        <v>64</v>
      </c>
      <c r="CA143" s="2">
        <v>97</v>
      </c>
      <c r="CB143" s="9" t="str">
        <f>HYPERLINK(".\links\CDD\AGAP005109-PA-CDD.txt","QIL1, Protein QIL1")</f>
        <v>QIL1, Protein QIL1</v>
      </c>
      <c r="CC143" s="13">
        <v>2.9999999999999999E-30</v>
      </c>
      <c r="CD143" s="2">
        <v>100</v>
      </c>
      <c r="CE143" s="2" t="s">
        <v>1443</v>
      </c>
      <c r="CF143" s="2" t="s">
        <v>1444</v>
      </c>
      <c r="CG143" s="9" t="str">
        <f>HYPERLINK(".\links\KOG\AGAP005109-PA-KOG.txt","Rho GTPase effector BNI1 and related formins")</f>
        <v>Rho GTPase effector BNI1 and related formins</v>
      </c>
      <c r="CH143" s="13">
        <v>6.9999999999999999E-4</v>
      </c>
      <c r="CI143" s="2">
        <v>6.8</v>
      </c>
      <c r="CJ143" s="2" t="s">
        <v>1445</v>
      </c>
      <c r="CK143" s="2" t="s">
        <v>1019</v>
      </c>
      <c r="CL143" s="9" t="str">
        <f>HYPERLINK(".\links\PFAM\AGAP005109-PA-PFAM.txt","QIL1, Protein QIL1")</f>
        <v>QIL1, Protein QIL1</v>
      </c>
      <c r="CM143" s="13">
        <v>5.9999999999999996E-31</v>
      </c>
      <c r="CN143" s="2">
        <v>100</v>
      </c>
      <c r="CO143" s="2" t="s">
        <v>1443</v>
      </c>
      <c r="CP143" s="9" t="str">
        <f>HYPERLINK(".\links\SMART\AGAP005109-PA-SMART.txt","TBC, Domain in Tre-2, BUB2p, and Cdc16p")</f>
        <v>TBC, Domain in Tre-2, BUB2p, and Cdc16p</v>
      </c>
      <c r="CQ143" s="13">
        <v>0.17</v>
      </c>
      <c r="CR143" s="2">
        <v>18.5</v>
      </c>
      <c r="CS143" s="2" t="s">
        <v>1446</v>
      </c>
      <c r="CT143" s="2" t="s">
        <v>1440</v>
      </c>
      <c r="CU143" s="2" t="s">
        <v>1440</v>
      </c>
      <c r="CV143" s="2" t="s">
        <v>1440</v>
      </c>
      <c r="CW143" s="2" t="str">
        <f>HYPERLINK(".\links\pep\AGAP005109-PA-pep.txt","AGAP005109-PA")</f>
        <v>AGAP005109-PA</v>
      </c>
      <c r="CX143" s="2" t="s">
        <v>88</v>
      </c>
      <c r="CY143" s="2">
        <v>122</v>
      </c>
      <c r="CZ143" s="2" t="s">
        <v>103</v>
      </c>
      <c r="DA143" s="2">
        <v>0</v>
      </c>
      <c r="DB143" s="2">
        <v>0</v>
      </c>
      <c r="DD143" s="2" t="str">
        <f>HYPERLINK("https://www.kegg.jp/kegg-bin/search_pathway_text?map=aga&amp;keyword=AGAP005109&amp;mode=1&amp;viewImage=true","AGAP005109")</f>
        <v>AGAP005109</v>
      </c>
      <c r="DE143" s="2" t="s">
        <v>1437</v>
      </c>
      <c r="DF143" s="2" t="s">
        <v>1438</v>
      </c>
      <c r="DG143" s="2" t="s">
        <v>89</v>
      </c>
      <c r="DH143" s="2" t="str">
        <f>HYPERLINK("https://vectorbase.org/vectorbase/app/record/gene/AGAP005109","AGAP005109-RA")</f>
        <v>AGAP005109-RA</v>
      </c>
      <c r="DI143" s="2" t="s">
        <v>158</v>
      </c>
      <c r="DJ143" s="2">
        <v>704</v>
      </c>
      <c r="DK143" s="2" t="str">
        <f>HYPERLINK(".\links\netoglyc\AGAP005109-PA-netoglyc.txt","1")</f>
        <v>1</v>
      </c>
      <c r="DL143" s="2">
        <v>8.1999999999999993</v>
      </c>
      <c r="DM143" s="2">
        <v>6.6</v>
      </c>
      <c r="DN143" s="2">
        <v>7.4</v>
      </c>
      <c r="DO143" s="2" t="s">
        <v>94</v>
      </c>
      <c r="DP143" s="2" t="s">
        <v>89</v>
      </c>
      <c r="DQ143" s="2" t="str">
        <f>HYPERLINK(".\links\Sigp\AGAP005109-PA-SigP.txt","CYT")</f>
        <v>CYT</v>
      </c>
      <c r="DR143" s="2" t="s">
        <v>89</v>
      </c>
      <c r="DS143" s="2">
        <v>13.605</v>
      </c>
      <c r="DT143" s="2">
        <v>8.82</v>
      </c>
      <c r="DU143" s="2" t="s">
        <v>89</v>
      </c>
      <c r="DV143" s="2" t="s">
        <v>89</v>
      </c>
      <c r="DW143" s="2" t="s">
        <v>93</v>
      </c>
      <c r="DX143" s="2">
        <v>122</v>
      </c>
      <c r="DY143" s="12">
        <v>0</v>
      </c>
      <c r="DZ143" s="2" t="s">
        <v>89</v>
      </c>
      <c r="EA143" s="2" t="s">
        <v>89</v>
      </c>
      <c r="EB143" s="2" t="s">
        <v>89</v>
      </c>
      <c r="EC143" s="2" t="str">
        <f>HYPERLINK(".\links\gpi\AGAP005109-PA-gpi.txt","Y-NoSP")</f>
        <v>Y-NoSP</v>
      </c>
      <c r="ED143" s="2">
        <v>0.38</v>
      </c>
      <c r="EF143" s="2">
        <v>2</v>
      </c>
      <c r="EG143" s="2" t="s">
        <v>89</v>
      </c>
      <c r="EH143" s="2" t="s">
        <v>89</v>
      </c>
      <c r="EI143" s="2">
        <v>8.1967213114754092</v>
      </c>
      <c r="EJ143" s="2">
        <v>7.3770491803278704</v>
      </c>
      <c r="EK143" s="2">
        <v>6.5573770491803298</v>
      </c>
      <c r="EL143" s="2">
        <v>13.934426229508199</v>
      </c>
      <c r="EM143" s="2" t="s">
        <v>89</v>
      </c>
      <c r="EN143" s="2">
        <v>1</v>
      </c>
      <c r="EO143" s="2">
        <v>1</v>
      </c>
      <c r="EP143" s="2" t="s">
        <v>89</v>
      </c>
      <c r="EQ143" s="2" t="s">
        <v>89</v>
      </c>
      <c r="ER143" s="2" t="s">
        <v>89</v>
      </c>
      <c r="ES143" s="2" t="s">
        <v>89</v>
      </c>
      <c r="ET143" s="2" t="str">
        <f>HYPERLINK(".\links\REFSEQ-INVERTEBRATE\AGAP005109-PA-REFSEQ-INVERTEBRATE.txt","AGAP005109-PA")</f>
        <v>AGAP005109-PA</v>
      </c>
      <c r="EU143" s="2" t="str">
        <f>HYPERLINK("http://www.ncbi.nlm.nih.gov/sutils/blink.cgi?pid=XP_313986.4","7E-87")</f>
        <v>7E-87</v>
      </c>
      <c r="EV143" s="2" t="str">
        <f>HYPERLINK("http://www.ncbi.nlm.nih.gov/protein/XP_313986.4","XP_313986.4")</f>
        <v>XP_313986.4</v>
      </c>
      <c r="EW143" s="2">
        <v>100</v>
      </c>
      <c r="EX143" s="2">
        <v>100</v>
      </c>
      <c r="EY143" s="2">
        <v>100</v>
      </c>
      <c r="EZ143" s="2" t="s">
        <v>95</v>
      </c>
    </row>
    <row r="144" spans="1:156" x14ac:dyDescent="0.25">
      <c r="A144" s="2" t="s">
        <v>2162</v>
      </c>
      <c r="B144" s="2">
        <v>-0.87170001071039305</v>
      </c>
      <c r="C144" s="2">
        <f t="shared" si="2"/>
        <v>0.54650249567859033</v>
      </c>
      <c r="D144" s="2">
        <v>5.1791634987033497</v>
      </c>
      <c r="E144" s="2">
        <v>13.613450576771299</v>
      </c>
      <c r="F144" s="2">
        <v>2.2457074995921699E-4</v>
      </c>
      <c r="G144" s="2">
        <v>1.5229329775896701E-2</v>
      </c>
      <c r="H144" s="2" t="s">
        <v>2163</v>
      </c>
      <c r="I144" s="2" t="s">
        <v>87</v>
      </c>
      <c r="J144" s="2" t="str">
        <f>HYPERLINK("https://vectorbase.org/vectorbase/app/record/gene/AGAP009077","AGAP009077-RA")</f>
        <v>AGAP009077-RA</v>
      </c>
      <c r="K144" s="2" t="str">
        <f>HYPERLINK(".\links\pep\AGAP009077-PA-pep.txt","AGAP009077-PA")</f>
        <v>AGAP009077-PA</v>
      </c>
      <c r="L144" s="12" t="s">
        <v>88</v>
      </c>
      <c r="M144" s="2">
        <v>128</v>
      </c>
      <c r="N144" s="2">
        <v>0</v>
      </c>
      <c r="O144" s="2">
        <v>0</v>
      </c>
      <c r="P144" s="2" t="s">
        <v>2164</v>
      </c>
      <c r="Q144" s="9" t="s">
        <v>2165</v>
      </c>
      <c r="R144" s="2" t="s">
        <v>145</v>
      </c>
      <c r="S144" s="2" t="str">
        <f>HYPERLINK(".\links\NR-LIGHT\AGAP009077-PA-NR-LIGHT.txt","NR-LIGHT")</f>
        <v>NR-LIGHT</v>
      </c>
      <c r="T144" s="2">
        <v>2.0000000000000001E-56</v>
      </c>
      <c r="U144" s="2">
        <v>100</v>
      </c>
      <c r="V144" s="2" t="s">
        <v>2166</v>
      </c>
      <c r="W144" s="10" t="s">
        <v>2167</v>
      </c>
      <c r="X144" s="2" t="s">
        <v>245</v>
      </c>
      <c r="Y144" s="2" t="str">
        <f>HYPERLINK(".\links\ARTHORPODA\AGAP009077-PA-ARTHORPODA.txt","ARTHORPODA")</f>
        <v>ARTHORPODA</v>
      </c>
      <c r="Z144" s="13">
        <v>4.0000000000000002E-89</v>
      </c>
      <c r="AA144" s="2">
        <v>100</v>
      </c>
      <c r="AB144" s="14" t="s">
        <v>89</v>
      </c>
      <c r="AC144" s="14" t="str">
        <f>HYPERLINK(".\links\Sigp\AGAP009077-PA-SigP.txt","CYT")</f>
        <v>CYT</v>
      </c>
      <c r="AD144" s="2" t="s">
        <v>89</v>
      </c>
      <c r="AE144" s="2">
        <v>15.226000000000001</v>
      </c>
      <c r="AF144" s="2">
        <v>11.52</v>
      </c>
      <c r="AG144" s="2" t="s">
        <v>89</v>
      </c>
      <c r="AH144" s="2" t="s">
        <v>89</v>
      </c>
      <c r="AI144" s="2" t="s">
        <v>1322</v>
      </c>
      <c r="AJ144" s="14">
        <v>0</v>
      </c>
      <c r="AK144" s="2" t="s">
        <v>89</v>
      </c>
      <c r="AL144" s="2" t="s">
        <v>89</v>
      </c>
      <c r="AM144" s="2" t="s">
        <v>89</v>
      </c>
      <c r="AN144" s="14" t="str">
        <f>HYPERLINK(".\links\gpi\AGAP009077-PA-gpi.txt","N")</f>
        <v>N</v>
      </c>
      <c r="AO144" s="15" t="str">
        <f>HYPERLINK(".\links\netoglyc\AGAP009077-PA-netoglyc.txt","0")</f>
        <v>0</v>
      </c>
      <c r="AP144" s="14">
        <v>10.199999999999999</v>
      </c>
      <c r="AQ144" s="2">
        <v>3.9</v>
      </c>
      <c r="AR144" s="2">
        <v>1.6</v>
      </c>
      <c r="AS144" s="2" t="s">
        <v>94</v>
      </c>
      <c r="AT144" s="9" t="str">
        <f>HYPERLINK(".\links\NR-LIGHT\AGAP009077-PA-NR-LIGHT.txt","AGAP009077-PA")</f>
        <v>AGAP009077-PA</v>
      </c>
      <c r="AU144" s="2" t="str">
        <f>HYPERLINK("http://www.ncbi.nlm.nih.gov/sutils/blink.cgi?pid=XP_319827.2","5E-069")</f>
        <v>5E-069</v>
      </c>
      <c r="AV144" s="2" t="str">
        <f>HYPERLINK("http://www.ncbi.nlm.nih.gov/protein/XP_319827.2","XP_319827.2")</f>
        <v>XP_319827.2</v>
      </c>
      <c r="AW144" s="2">
        <v>100</v>
      </c>
      <c r="AX144" s="2">
        <v>100</v>
      </c>
      <c r="AY144" s="2">
        <v>100</v>
      </c>
      <c r="AZ144" s="2" t="s">
        <v>95</v>
      </c>
      <c r="BA144" s="9" t="str">
        <f>HYPERLINK(".\links\REFSEQ-INVERTEBRATE\AGAP009077-PA-REFSEQ-INVERTEBRATE.txt","AGAP009077-PA")</f>
        <v>AGAP009077-PA</v>
      </c>
      <c r="BB144" s="2" t="str">
        <f>HYPERLINK("http://www.ncbi.nlm.nih.gov/sutils/blink.cgi?pid=XP_319827.2","4E-069")</f>
        <v>4E-069</v>
      </c>
      <c r="BC144" s="2" t="str">
        <f>HYPERLINK("http://www.ncbi.nlm.nih.gov/protein/XP_319827.2","XP_319827.2")</f>
        <v>XP_319827.2</v>
      </c>
      <c r="BD144" s="2">
        <v>100</v>
      </c>
      <c r="BE144" s="2">
        <v>100</v>
      </c>
      <c r="BF144" s="2">
        <v>100</v>
      </c>
      <c r="BG144" s="2" t="s">
        <v>95</v>
      </c>
      <c r="BH144" s="9" t="str">
        <f>HYPERLINK(".\links\REFSEQ-PROTOZOA\AGAP009077-PA-REFSEQ-PROTOZOA.txt","ribosomal protein S14 (mitochondrion)")</f>
        <v>ribosomal protein S14 (mitochondrion)</v>
      </c>
      <c r="BI144" s="2" t="str">
        <f>HYPERLINK("http://www.ncbi.nlm.nih.gov/sutils/blink.cgi?pid=NP_044765.1","2E-015")</f>
        <v>2E-015</v>
      </c>
      <c r="BJ144" s="2" t="str">
        <f>HYPERLINK("http://www.ncbi.nlm.nih.gov/protein/NP_044765.1","NP_044765.1")</f>
        <v>NP_044765.1</v>
      </c>
      <c r="BK144" s="2">
        <v>41</v>
      </c>
      <c r="BL144" s="2">
        <v>64</v>
      </c>
      <c r="BM144" s="2">
        <v>94</v>
      </c>
      <c r="BN144" s="2" t="s">
        <v>2168</v>
      </c>
      <c r="BO144" s="9" t="str">
        <f>HYPERLINK(".\links\SWISSP\AGAP009077-PA-SWISSP.txt","28S ribosomal protein S14, mitochondrial")</f>
        <v>28S ribosomal protein S14, mitochondrial</v>
      </c>
      <c r="BP144" s="2" t="str">
        <f>HYPERLINK("http://www.uniprot.org/uniprot/Q6B860","1E-033")</f>
        <v>1E-033</v>
      </c>
      <c r="BQ144" s="2" t="str">
        <f>HYPERLINK("http://www.uniprot.org/uniprot/Q6B860#expression","Q6B860")</f>
        <v>Q6B860</v>
      </c>
      <c r="BR144" s="2">
        <v>60</v>
      </c>
      <c r="BS144" s="2">
        <v>80</v>
      </c>
      <c r="BT144" s="2">
        <v>82</v>
      </c>
      <c r="BU144" s="2" t="s">
        <v>183</v>
      </c>
      <c r="BV144" s="9" t="str">
        <f>HYPERLINK(".\links\FLYBASE\AGAP009077-PA-FLYBASE.txt","FBpp0311888")</f>
        <v>FBpp0311888</v>
      </c>
      <c r="BW144" s="2" t="str">
        <f>HYPERLINK("http://flybase.org/reports/FBgn0044030#alliance_summary_container","6E-60")</f>
        <v>6E-60</v>
      </c>
      <c r="BX144" s="2">
        <v>128</v>
      </c>
      <c r="BY144" s="2">
        <v>69</v>
      </c>
      <c r="BZ144" s="2">
        <v>82</v>
      </c>
      <c r="CA144" s="2">
        <v>100</v>
      </c>
      <c r="CB144" s="9" t="str">
        <f>HYPERLINK(".\links\CDD\AGAP009077-PA-CDD.txt","Ribosomal_S14, Ribosomal protein S14p/S29e")</f>
        <v>Ribosomal_S14, Ribosomal protein S14p/S29e</v>
      </c>
      <c r="CC144" s="13">
        <v>9.9999999999999998E-13</v>
      </c>
      <c r="CD144" s="2">
        <v>98.1</v>
      </c>
      <c r="CE144" s="2" t="s">
        <v>491</v>
      </c>
      <c r="CF144" s="2" t="s">
        <v>2169</v>
      </c>
      <c r="CG144" s="9" t="str">
        <f>HYPERLINK(".\links\KOG\AGAP009077-PA-KOG.txt","Mitochondrial/chloroplast ribosomal protein S14/S29")</f>
        <v>Mitochondrial/chloroplast ribosomal protein S14/S29</v>
      </c>
      <c r="CH144" s="13">
        <v>8.9999999999999995E-23</v>
      </c>
      <c r="CI144" s="2">
        <v>97.1</v>
      </c>
      <c r="CJ144" s="2" t="s">
        <v>2170</v>
      </c>
      <c r="CK144" s="2" t="s">
        <v>252</v>
      </c>
      <c r="CL144" s="9" t="str">
        <f>HYPERLINK(".\links\PFAM\AGAP009077-PA-PFAM.txt","Ribosomal_S14, Ribosomal protein S14p/S29e")</f>
        <v>Ribosomal_S14, Ribosomal protein S14p/S29e</v>
      </c>
      <c r="CM144" s="13">
        <v>2.9999999999999998E-13</v>
      </c>
      <c r="CN144" s="2">
        <v>98.1</v>
      </c>
      <c r="CO144" s="2" t="s">
        <v>491</v>
      </c>
      <c r="CP144" s="9" t="str">
        <f>HYPERLINK(".\links\SMART\AGAP009077-PA-SMART.txt","BAH, Bromo adjacent homology domain")</f>
        <v>BAH, Bromo adjacent homology domain</v>
      </c>
      <c r="CQ144" s="13">
        <v>0.3</v>
      </c>
      <c r="CR144" s="2">
        <v>19</v>
      </c>
      <c r="CS144" s="2" t="s">
        <v>2171</v>
      </c>
      <c r="CT144" s="2" t="s">
        <v>2166</v>
      </c>
      <c r="CU144" s="2" t="s">
        <v>2166</v>
      </c>
      <c r="CV144" s="2" t="s">
        <v>2166</v>
      </c>
      <c r="CW144" s="2" t="str">
        <f>HYPERLINK(".\links\pep\AGAP009077-PA-pep.txt","AGAP009077-PA")</f>
        <v>AGAP009077-PA</v>
      </c>
      <c r="CX144" s="2" t="s">
        <v>88</v>
      </c>
      <c r="CY144" s="2">
        <v>128</v>
      </c>
      <c r="CZ144" s="2" t="s">
        <v>103</v>
      </c>
      <c r="DA144" s="2" t="s">
        <v>2172</v>
      </c>
      <c r="DB144" s="2">
        <v>0</v>
      </c>
      <c r="DC144" s="2">
        <v>0</v>
      </c>
      <c r="DD144" s="2" t="str">
        <f>HYPERLINK("https://www.kegg.jp/kegg-bin/search_pathway_text?map=aga&amp;keyword=AGAP009077&amp;mode=1&amp;viewImage=true","AGAP009077")</f>
        <v>AGAP009077</v>
      </c>
      <c r="DE144" s="2" t="s">
        <v>2162</v>
      </c>
      <c r="DF144" s="2" t="s">
        <v>2163</v>
      </c>
      <c r="DG144" s="2" t="s">
        <v>87</v>
      </c>
      <c r="DH144" s="2" t="str">
        <f>HYPERLINK("https://vectorbase.org/vectorbase/app/record/gene/AGAP009077","AGAP009077-RA")</f>
        <v>AGAP009077-RA</v>
      </c>
      <c r="DI144" s="2" t="s">
        <v>140</v>
      </c>
      <c r="DJ144" s="2">
        <v>498</v>
      </c>
      <c r="DK144" s="2" t="str">
        <f>HYPERLINK(".\links\netoglyc\AGAP009077-PA-netoglyc.txt","0")</f>
        <v>0</v>
      </c>
      <c r="DL144" s="2">
        <v>10.199999999999999</v>
      </c>
      <c r="DM144" s="2">
        <v>3.9</v>
      </c>
      <c r="DN144" s="2">
        <v>1.6</v>
      </c>
      <c r="DO144" s="2" t="s">
        <v>94</v>
      </c>
      <c r="DP144" s="2" t="s">
        <v>2173</v>
      </c>
      <c r="DQ144" s="2" t="str">
        <f>HYPERLINK(".\links\Sigp\AGAP009077-PA-SigP.txt","CYT")</f>
        <v>CYT</v>
      </c>
      <c r="DR144" s="2" t="s">
        <v>89</v>
      </c>
      <c r="DS144" s="2">
        <v>15.226000000000001</v>
      </c>
      <c r="DT144" s="2">
        <v>11.52</v>
      </c>
      <c r="DU144" s="2" t="s">
        <v>89</v>
      </c>
      <c r="DV144" s="2" t="s">
        <v>89</v>
      </c>
      <c r="DW144" s="2" t="s">
        <v>1322</v>
      </c>
      <c r="DX144" s="2">
        <v>128</v>
      </c>
      <c r="DY144" s="12">
        <v>0</v>
      </c>
      <c r="DZ144" s="2" t="s">
        <v>89</v>
      </c>
      <c r="EA144" s="2" t="s">
        <v>89</v>
      </c>
      <c r="EB144" s="2" t="s">
        <v>89</v>
      </c>
      <c r="EC144" s="2" t="str">
        <f>HYPERLINK(".\links\gpi\AGAP009077-PA-gpi.txt","Y-NoSP")</f>
        <v>Y-NoSP</v>
      </c>
      <c r="ED144" s="2">
        <v>0.42</v>
      </c>
      <c r="EE144" s="2" t="s">
        <v>2174</v>
      </c>
      <c r="EF144" s="2">
        <v>3</v>
      </c>
      <c r="EG144" s="2" t="s">
        <v>89</v>
      </c>
      <c r="EH144" s="2" t="s">
        <v>89</v>
      </c>
      <c r="EI144" s="2">
        <v>10.15625</v>
      </c>
      <c r="EJ144" s="2">
        <v>1.5625</v>
      </c>
      <c r="EK144" s="2">
        <v>3.90625</v>
      </c>
      <c r="EL144" s="2">
        <v>5.46875</v>
      </c>
      <c r="EM144" s="2" t="s">
        <v>89</v>
      </c>
      <c r="EN144" s="2" t="s">
        <v>89</v>
      </c>
      <c r="EO144" s="2" t="s">
        <v>89</v>
      </c>
      <c r="EP144" s="2" t="s">
        <v>89</v>
      </c>
      <c r="EQ144" s="2" t="s">
        <v>89</v>
      </c>
      <c r="ER144" s="2" t="s">
        <v>89</v>
      </c>
      <c r="ES144" s="2" t="s">
        <v>89</v>
      </c>
      <c r="ET144" s="2" t="str">
        <f>HYPERLINK(".\links\REFSEQ-INVERTEBRATE\AGAP009077-PA-REFSEQ-INVERTEBRATE.txt","AGAP009077-PA")</f>
        <v>AGAP009077-PA</v>
      </c>
      <c r="EU144" s="2" t="str">
        <f>HYPERLINK("http://www.ncbi.nlm.nih.gov/sutils/blink.cgi?pid=XP_319827.2","7E-89")</f>
        <v>7E-89</v>
      </c>
      <c r="EV144" s="2" t="str">
        <f>HYPERLINK("http://www.ncbi.nlm.nih.gov/protein/XP_319827.2","XP_319827.2")</f>
        <v>XP_319827.2</v>
      </c>
      <c r="EW144" s="2">
        <v>100</v>
      </c>
      <c r="EX144" s="2">
        <v>100</v>
      </c>
      <c r="EY144" s="2">
        <v>100</v>
      </c>
      <c r="EZ144" s="2" t="s">
        <v>95</v>
      </c>
    </row>
    <row r="145" spans="1:156" x14ac:dyDescent="0.25">
      <c r="A145" s="2" t="s">
        <v>2030</v>
      </c>
      <c r="B145" s="2">
        <v>-0.88008563200643497</v>
      </c>
      <c r="C145" s="2">
        <f t="shared" si="2"/>
        <v>0.54333518032906036</v>
      </c>
      <c r="D145" s="2">
        <v>6.7293306232301502</v>
      </c>
      <c r="E145" s="2">
        <v>11.9470544570776</v>
      </c>
      <c r="F145" s="2">
        <v>5.4733843262473299E-4</v>
      </c>
      <c r="G145" s="2">
        <v>2.79046211202452E-2</v>
      </c>
      <c r="H145" s="2" t="s">
        <v>86</v>
      </c>
      <c r="I145" s="2" t="s">
        <v>87</v>
      </c>
      <c r="J145" s="2" t="str">
        <f>HYPERLINK("https://vectorbase.org/vectorbase/app/record/gene/AGAP008011","AGAP008011-RA")</f>
        <v>AGAP008011-RA</v>
      </c>
      <c r="K145" s="2" t="str">
        <f>HYPERLINK(".\links\pep\AGAP008011-PA-pep.txt","AGAP008011-PA")</f>
        <v>AGAP008011-PA</v>
      </c>
      <c r="L145" s="12" t="s">
        <v>88</v>
      </c>
      <c r="M145" s="2">
        <v>95</v>
      </c>
      <c r="N145" s="2">
        <v>0</v>
      </c>
      <c r="O145" s="2">
        <v>0</v>
      </c>
      <c r="P145" s="2" t="s">
        <v>89</v>
      </c>
      <c r="Q145" s="9" t="s">
        <v>2031</v>
      </c>
      <c r="R145" s="2" t="s">
        <v>700</v>
      </c>
      <c r="S145" s="2" t="str">
        <f>HYPERLINK(".\links\REFSEQ-INVERTEBRATE\AGAP008011-PA-REFSEQ-INVERTEBRATE.txt","REFSEQ-INVERTEBRATE")</f>
        <v>REFSEQ-INVERTEBRATE</v>
      </c>
      <c r="T145" s="2">
        <v>2E-46</v>
      </c>
      <c r="V145" s="2" t="s">
        <v>2032</v>
      </c>
      <c r="W145" s="10" t="s">
        <v>2033</v>
      </c>
      <c r="X145" s="2" t="s">
        <v>700</v>
      </c>
      <c r="Y145" s="2" t="str">
        <f>HYPERLINK(".\links\REFSEQ-INVERTEBRATE\AGAP008011-PA-REFSEQ-INVERTEBRATE.txt","REFSEQ-INVERTEBRATE")</f>
        <v>REFSEQ-INVERTEBRATE</v>
      </c>
      <c r="Z145" s="13">
        <v>1.9999999999999999E-64</v>
      </c>
      <c r="AB145" s="14" t="s">
        <v>89</v>
      </c>
      <c r="AC145" s="14" t="str">
        <f>HYPERLINK(".\links\Sigp\AGAP008011-PA-SigP.txt","SIG")</f>
        <v>SIG</v>
      </c>
      <c r="AD145" s="2" t="s">
        <v>1035</v>
      </c>
      <c r="AE145" s="2">
        <v>10.202999999999999</v>
      </c>
      <c r="AF145" s="2">
        <v>4.63</v>
      </c>
      <c r="AG145" s="2">
        <v>7.5179999999999998</v>
      </c>
      <c r="AH145" s="2">
        <v>4.4800000000000004</v>
      </c>
      <c r="AI145" s="2" t="s">
        <v>2034</v>
      </c>
      <c r="AJ145" s="14" t="str">
        <f>HYPERLINK(".\links\tmhmm\AGAP008011-PA-tmhmm.txt","2")</f>
        <v>2</v>
      </c>
      <c r="AK145" s="2">
        <v>46.3</v>
      </c>
      <c r="AL145" s="2">
        <v>10.5</v>
      </c>
      <c r="AM145" s="2">
        <v>43.2</v>
      </c>
      <c r="AN145" s="14" t="str">
        <f>HYPERLINK(".\links\gpi\AGAP008011-PA-gpi.txt","N")</f>
        <v>N</v>
      </c>
      <c r="AO145" s="15" t="str">
        <f>HYPERLINK(".\links\netoglyc\AGAP008011-PA-netoglyc.txt","9")</f>
        <v>9</v>
      </c>
      <c r="AP145" s="14">
        <v>21.1</v>
      </c>
      <c r="AQ145" s="2">
        <v>5.3</v>
      </c>
      <c r="AR145" s="2">
        <v>6.3</v>
      </c>
      <c r="AS145" s="2" t="s">
        <v>94</v>
      </c>
      <c r="AT145" s="9" t="str">
        <f>HYPERLINK(".\links\NR-LIGHT\AGAP008011-PA-NR-LIGHT.txt","AGAP008011-PA")</f>
        <v>AGAP008011-PA</v>
      </c>
      <c r="AU145" s="2" t="str">
        <f>HYPERLINK("http://www.ncbi.nlm.nih.gov/sutils/blink.cgi?pid=XP_001237935.1","2E-046")</f>
        <v>2E-046</v>
      </c>
      <c r="AV145" s="2" t="str">
        <f>HYPERLINK("http://www.ncbi.nlm.nih.gov/protein/XP_001237935.1","XP_001237935.1")</f>
        <v>XP_001237935.1</v>
      </c>
      <c r="AW145" s="2">
        <v>100</v>
      </c>
      <c r="AX145" s="2">
        <v>100</v>
      </c>
      <c r="AY145" s="2">
        <v>100</v>
      </c>
      <c r="AZ145" s="2" t="s">
        <v>95</v>
      </c>
      <c r="BA145" s="9" t="str">
        <f>HYPERLINK(".\links\REFSEQ-INVERTEBRATE\AGAP008011-PA-REFSEQ-INVERTEBRATE.txt","AGAP008011-PA")</f>
        <v>AGAP008011-PA</v>
      </c>
      <c r="BB145" s="2" t="str">
        <f>HYPERLINK("http://www.ncbi.nlm.nih.gov/sutils/blink.cgi?pid=XP_001237935.1","2E-046")</f>
        <v>2E-046</v>
      </c>
      <c r="BC145" s="2" t="str">
        <f>HYPERLINK("http://www.ncbi.nlm.nih.gov/protein/XP_001237935.1","XP_001237935.1")</f>
        <v>XP_001237935.1</v>
      </c>
      <c r="BD145" s="2">
        <v>100</v>
      </c>
      <c r="BE145" s="2">
        <v>100</v>
      </c>
      <c r="BF145" s="2">
        <v>100</v>
      </c>
      <c r="BG145" s="2" t="s">
        <v>95</v>
      </c>
      <c r="BH145" s="9" t="str">
        <f>HYPERLINK(".\links\REFSEQ-PROTOZOA\AGAP008011-PA-REFSEQ-PROTOZOA.txt","hypothetical protein EMH_0034040")</f>
        <v>hypothetical protein EMH_0034040</v>
      </c>
      <c r="BI145" s="2" t="str">
        <f>HYPERLINK("http://www.ncbi.nlm.nih.gov/sutils/blink.cgi?pid=XP_013350268.1","1.3")</f>
        <v>1.3</v>
      </c>
      <c r="BJ145" s="2" t="str">
        <f>HYPERLINK("http://www.ncbi.nlm.nih.gov/protein/XP_013350268.1","XP_013350268.1")</f>
        <v>XP_013350268.1</v>
      </c>
      <c r="BK145" s="2">
        <v>21</v>
      </c>
      <c r="BL145" s="2">
        <v>44</v>
      </c>
      <c r="BM145" s="2">
        <v>7</v>
      </c>
      <c r="BN145" s="2" t="s">
        <v>2035</v>
      </c>
      <c r="BO145" s="9" t="str">
        <f>HYPERLINK(".\links\SWISSP\AGAP008011-PA-SWISSP.txt","Semaphorin-6A")</f>
        <v>Semaphorin-6A</v>
      </c>
      <c r="BP145" s="2" t="str">
        <f>HYPERLINK("http://www.uniprot.org/uniprot/O35464","2.6")</f>
        <v>2.6</v>
      </c>
      <c r="BQ145" s="2" t="str">
        <f>HYPERLINK("http://www.uniprot.org/uniprot/O35464#expression","O35464")</f>
        <v>O35464</v>
      </c>
      <c r="BR145" s="2">
        <v>33</v>
      </c>
      <c r="BS145" s="2">
        <v>44</v>
      </c>
      <c r="BT145" s="2">
        <v>5</v>
      </c>
      <c r="BU145" s="2" t="s">
        <v>566</v>
      </c>
      <c r="BV145" s="9" t="str">
        <f>HYPERLINK(".\links\FLYBASE\AGAP008011-PA-FLYBASE.txt","FBpp0112397")</f>
        <v>FBpp0112397</v>
      </c>
      <c r="BW145" s="2" t="str">
        <f>HYPERLINK("http://flybase.org/reports/FBgn0083979#alliance_summary_container","0.50")</f>
        <v>0.50</v>
      </c>
      <c r="BX145" s="2">
        <v>609</v>
      </c>
      <c r="BY145" s="2">
        <v>38</v>
      </c>
      <c r="BZ145" s="2">
        <v>58</v>
      </c>
      <c r="CA145" s="2">
        <v>6</v>
      </c>
      <c r="CB145" s="9" t="str">
        <f>HYPERLINK(".\links\CDD\AGAP008011-PA-CDD.txt","DUF3933, Protein of unknown function (DUF3933)")</f>
        <v>DUF3933, Protein of unknown function (DUF3933)</v>
      </c>
      <c r="CC145" s="13">
        <v>0.55000000000000004</v>
      </c>
      <c r="CD145" s="2">
        <v>69.8</v>
      </c>
      <c r="CE145" s="2" t="s">
        <v>2036</v>
      </c>
      <c r="CF145" s="2" t="s">
        <v>2037</v>
      </c>
      <c r="CG145" s="9" t="str">
        <f>HYPERLINK(".\links\KOG\AGAP008011-PA-KOG.txt","subunit NF90")</f>
        <v>subunit NF90</v>
      </c>
      <c r="CH145" s="13">
        <v>1.3</v>
      </c>
      <c r="CI145" s="2">
        <v>3.7</v>
      </c>
      <c r="CJ145" s="2" t="s">
        <v>2038</v>
      </c>
      <c r="CK145" s="2" t="s">
        <v>187</v>
      </c>
      <c r="CL145" s="9" t="str">
        <f>HYPERLINK(".\links\PFAM\AGAP008011-PA-PFAM.txt","DUF3933, Protein of unknown function (DUF3933)")</f>
        <v>DUF3933, Protein of unknown function (DUF3933)</v>
      </c>
      <c r="CM145" s="13">
        <v>0.13</v>
      </c>
      <c r="CN145" s="2">
        <v>69.8</v>
      </c>
      <c r="CO145" s="2" t="s">
        <v>2036</v>
      </c>
      <c r="CP145" s="9" t="str">
        <f>HYPERLINK(".\links\SMART\AGAP008011-PA-SMART.txt","PKS_TE, Thioesterase")</f>
        <v>PKS_TE, Thioesterase</v>
      </c>
      <c r="CQ145" s="13">
        <v>0.17</v>
      </c>
      <c r="CR145" s="2">
        <v>5.7</v>
      </c>
      <c r="CS145" s="2" t="s">
        <v>2039</v>
      </c>
      <c r="CT145" s="2" t="s">
        <v>2032</v>
      </c>
      <c r="CU145" s="2" t="s">
        <v>2032</v>
      </c>
      <c r="CV145" s="2" t="s">
        <v>2032</v>
      </c>
      <c r="CW145" s="2" t="str">
        <f>HYPERLINK(".\links\pep\AGAP008011-PA-pep.txt","AGAP008011-PA")</f>
        <v>AGAP008011-PA</v>
      </c>
      <c r="CX145" s="2" t="s">
        <v>88</v>
      </c>
      <c r="CY145" s="2">
        <v>95</v>
      </c>
      <c r="CZ145" s="2" t="s">
        <v>103</v>
      </c>
      <c r="DA145" s="2" t="s">
        <v>2040</v>
      </c>
      <c r="DB145" s="2">
        <v>0</v>
      </c>
      <c r="DC145" s="2">
        <v>0</v>
      </c>
      <c r="DD145" s="2" t="str">
        <f>HYPERLINK("https://www.kegg.jp/kegg-bin/search_pathway_text?map=aga&amp;keyword=AGAP008011&amp;mode=1&amp;viewImage=true","AGAP008011")</f>
        <v>AGAP008011</v>
      </c>
      <c r="DE145" s="2" t="s">
        <v>2030</v>
      </c>
      <c r="DF145" s="2" t="s">
        <v>86</v>
      </c>
      <c r="DG145" s="2" t="s">
        <v>87</v>
      </c>
      <c r="DH145" s="2" t="str">
        <f>HYPERLINK("https://vectorbase.org/vectorbase/app/record/gene/AGAP008011","AGAP008011-RA")</f>
        <v>AGAP008011-RA</v>
      </c>
      <c r="DI145" s="2" t="s">
        <v>158</v>
      </c>
      <c r="DJ145" s="2">
        <v>594</v>
      </c>
      <c r="DK145" s="2" t="str">
        <f>HYPERLINK(".\links\netoglyc\AGAP008011-PA-netoglyc.txt","9")</f>
        <v>9</v>
      </c>
      <c r="DL145" s="2">
        <v>21.1</v>
      </c>
      <c r="DM145" s="2">
        <v>5.3</v>
      </c>
      <c r="DN145" s="2">
        <v>6.3</v>
      </c>
      <c r="DO145" s="2" t="s">
        <v>94</v>
      </c>
      <c r="DP145" s="2" t="s">
        <v>89</v>
      </c>
      <c r="DQ145" s="2" t="str">
        <f>HYPERLINK(".\links\Sigp\AGAP008011-PA-SigP.txt","SIG")</f>
        <v>SIG</v>
      </c>
      <c r="DR145" s="2" t="s">
        <v>1035</v>
      </c>
      <c r="DS145" s="2">
        <v>10.202999999999999</v>
      </c>
      <c r="DT145" s="2">
        <v>4.63</v>
      </c>
      <c r="DU145" s="2">
        <v>7.5179999999999998</v>
      </c>
      <c r="DV145" s="2">
        <v>4.4800000000000004</v>
      </c>
      <c r="DW145" s="2" t="s">
        <v>2034</v>
      </c>
      <c r="DX145" s="2">
        <v>95</v>
      </c>
      <c r="DY145" s="12" t="str">
        <f>HYPERLINK(".\links\tmhmm\AGAP008011-PA-tmhmm.txt","2")</f>
        <v>2</v>
      </c>
      <c r="DZ145" s="2">
        <v>46.3</v>
      </c>
      <c r="EA145" s="2">
        <v>10.5</v>
      </c>
      <c r="EB145" s="2">
        <v>43.2</v>
      </c>
      <c r="EC145" s="2" t="str">
        <f>HYPERLINK(".\links\gpi\AGAP008011-PA-gpi.txt","Y-NoSP")</f>
        <v>Y-NoSP</v>
      </c>
      <c r="ED145" s="2">
        <v>0.32</v>
      </c>
      <c r="EF145" s="2">
        <v>2</v>
      </c>
      <c r="EG145" s="2" t="s">
        <v>89</v>
      </c>
      <c r="EH145" s="2" t="s">
        <v>89</v>
      </c>
      <c r="EI145" s="2">
        <v>21.052631578947398</v>
      </c>
      <c r="EJ145" s="2">
        <v>6.3157894736842097</v>
      </c>
      <c r="EK145" s="2">
        <v>5.2631578947368398</v>
      </c>
      <c r="EL145" s="2">
        <v>11.578947368421099</v>
      </c>
      <c r="EM145" s="2">
        <v>1</v>
      </c>
      <c r="EN145" s="2" t="s">
        <v>89</v>
      </c>
      <c r="EO145" s="2">
        <v>1</v>
      </c>
      <c r="EP145" s="2" t="s">
        <v>89</v>
      </c>
      <c r="EQ145" s="2" t="s">
        <v>89</v>
      </c>
      <c r="ER145" s="2" t="s">
        <v>89</v>
      </c>
      <c r="ES145" s="2" t="s">
        <v>89</v>
      </c>
      <c r="ET145" s="2" t="str">
        <f>HYPERLINK(".\links\REFSEQ-INVERTEBRATE\AGAP008011-PA-REFSEQ-INVERTEBRATE.txt","AGAP008011-PA")</f>
        <v>AGAP008011-PA</v>
      </c>
      <c r="EU145" s="2" t="str">
        <f>HYPERLINK("http://www.ncbi.nlm.nih.gov/sutils/blink.cgi?pid=XP_001237935.1","4E-64")</f>
        <v>4E-64</v>
      </c>
      <c r="EV145" s="2" t="str">
        <f>HYPERLINK("http://www.ncbi.nlm.nih.gov/protein/XP_001237935.1","XP_001237935.1")</f>
        <v>XP_001237935.1</v>
      </c>
      <c r="EW145" s="2">
        <v>100</v>
      </c>
      <c r="EX145" s="2">
        <v>100</v>
      </c>
      <c r="EY145" s="2">
        <v>100</v>
      </c>
      <c r="EZ145" s="2" t="s">
        <v>95</v>
      </c>
    </row>
    <row r="146" spans="1:156" x14ac:dyDescent="0.25">
      <c r="A146" s="2" t="s">
        <v>205</v>
      </c>
      <c r="B146" s="2">
        <v>-0.88155024448375097</v>
      </c>
      <c r="C146" s="2">
        <f t="shared" si="2"/>
        <v>0.54278387068555933</v>
      </c>
      <c r="D146" s="2">
        <v>6.1807186923903004</v>
      </c>
      <c r="E146" s="2">
        <v>13.473136419892199</v>
      </c>
      <c r="F146" s="2">
        <v>2.4200343433104199E-4</v>
      </c>
      <c r="G146" s="2">
        <v>1.6205097895110699E-2</v>
      </c>
      <c r="H146" s="2" t="s">
        <v>206</v>
      </c>
      <c r="I146" s="2" t="s">
        <v>89</v>
      </c>
      <c r="J146" s="2" t="str">
        <f>HYPERLINK("https://vectorbase.org/vectorbase/app/record/gene/AGAP000555","AGAP000555-RA")</f>
        <v>AGAP000555-RA</v>
      </c>
      <c r="K146" s="2" t="str">
        <f>HYPERLINK(".\links\pep\AGAP000555-PA-pep.txt","AGAP000555-PA")</f>
        <v>AGAP000555-PA</v>
      </c>
      <c r="L146" s="12" t="s">
        <v>88</v>
      </c>
      <c r="M146" s="2">
        <v>770</v>
      </c>
      <c r="N146" s="2">
        <v>0</v>
      </c>
      <c r="O146" s="2">
        <v>1</v>
      </c>
      <c r="P146" s="2" t="s">
        <v>207</v>
      </c>
      <c r="Q146" s="9" t="s">
        <v>208</v>
      </c>
      <c r="R146" s="2" t="s">
        <v>209</v>
      </c>
      <c r="S146" s="2" t="str">
        <f>HYPERLINK(".\links\KOG\AGAP000555-PA-KOG.txt","KOG")</f>
        <v>KOG</v>
      </c>
      <c r="T146" s="2">
        <v>3.0000000000000002E-97</v>
      </c>
      <c r="U146" s="2">
        <v>103.4</v>
      </c>
      <c r="V146" s="2" t="s">
        <v>210</v>
      </c>
      <c r="W146" s="10" t="s">
        <v>211</v>
      </c>
      <c r="X146" s="2" t="s">
        <v>212</v>
      </c>
      <c r="Y146" s="2" t="str">
        <f>HYPERLINK(".\links\EC\AGAP000555-PA-EC.txt","EC")</f>
        <v>EC</v>
      </c>
      <c r="Z146" s="2">
        <v>0</v>
      </c>
      <c r="AA146" s="2">
        <v>101</v>
      </c>
      <c r="AB146" s="14" t="s">
        <v>89</v>
      </c>
      <c r="AC146" s="14" t="str">
        <f>HYPERLINK(".\links\Sigp\AGAP000555-PA-SigP.txt","CYT")</f>
        <v>CYT</v>
      </c>
      <c r="AD146" s="2" t="s">
        <v>89</v>
      </c>
      <c r="AE146" s="2">
        <v>85.798000000000002</v>
      </c>
      <c r="AF146" s="2">
        <v>6.31</v>
      </c>
      <c r="AG146" s="2" t="s">
        <v>89</v>
      </c>
      <c r="AH146" s="2" t="s">
        <v>89</v>
      </c>
      <c r="AI146" s="2" t="s">
        <v>213</v>
      </c>
      <c r="AJ146" s="14">
        <v>0</v>
      </c>
      <c r="AK146" s="2" t="s">
        <v>89</v>
      </c>
      <c r="AL146" s="2" t="s">
        <v>89</v>
      </c>
      <c r="AM146" s="2" t="s">
        <v>89</v>
      </c>
      <c r="AN146" s="14" t="str">
        <f>HYPERLINK(".\links\gpi\AGAP000555-PA-gpi.txt","N")</f>
        <v>N</v>
      </c>
      <c r="AO146" s="15" t="str">
        <f>HYPERLINK(".\links\netoglyc\AGAP000555-PA-netoglyc.txt","0")</f>
        <v>0</v>
      </c>
      <c r="AP146" s="14">
        <v>10.3</v>
      </c>
      <c r="AQ146" s="2">
        <v>9.1</v>
      </c>
      <c r="AR146" s="2">
        <v>5.0999999999999996</v>
      </c>
      <c r="AS146" s="2" t="s">
        <v>94</v>
      </c>
      <c r="AT146" s="9" t="str">
        <f>HYPERLINK(".\links\NR-LIGHT\AGAP000555-PA-NR-LIGHT.txt","AGAP000555-PA")</f>
        <v>AGAP000555-PA</v>
      </c>
      <c r="AU146" s="2" t="str">
        <f>HYPERLINK("http://www.ncbi.nlm.nih.gov/sutils/blink.cgi?pid=XP_310528.5","0.0")</f>
        <v>0.0</v>
      </c>
      <c r="AV146" s="2" t="str">
        <f>HYPERLINK("http://www.ncbi.nlm.nih.gov/protein/XP_310528.5","XP_310528.5")</f>
        <v>XP_310528.5</v>
      </c>
      <c r="AW146" s="2">
        <v>100</v>
      </c>
      <c r="AX146" s="2">
        <v>100</v>
      </c>
      <c r="AY146" s="2">
        <v>100</v>
      </c>
      <c r="AZ146" s="2" t="s">
        <v>95</v>
      </c>
      <c r="BA146" s="9" t="str">
        <f>HYPERLINK(".\links\REFSEQ-INVERTEBRATE\AGAP000555-PA-REFSEQ-INVERTEBRATE.txt","AGAP000555-PA")</f>
        <v>AGAP000555-PA</v>
      </c>
      <c r="BB146" s="2" t="str">
        <f>HYPERLINK("http://www.ncbi.nlm.nih.gov/sutils/blink.cgi?pid=XP_310528.5","0.0")</f>
        <v>0.0</v>
      </c>
      <c r="BC146" s="2" t="str">
        <f>HYPERLINK("http://www.ncbi.nlm.nih.gov/protein/XP_310528.5","XP_310528.5")</f>
        <v>XP_310528.5</v>
      </c>
      <c r="BD146" s="2">
        <v>100</v>
      </c>
      <c r="BE146" s="2">
        <v>100</v>
      </c>
      <c r="BF146" s="2">
        <v>100</v>
      </c>
      <c r="BG146" s="2" t="s">
        <v>95</v>
      </c>
      <c r="BH146" s="9" t="str">
        <f>HYPERLINK(".\links\REFSEQ-PROTOZOA\AGAP000555-PA-REFSEQ-PROTOZOA.txt","hypothetical protein SAMD00019534_118820")</f>
        <v>hypothetical protein SAMD00019534_118820</v>
      </c>
      <c r="BI146" s="2" t="str">
        <f>HYPERLINK("http://www.ncbi.nlm.nih.gov/sutils/blink.cgi?pid=XP_012748261.1","1E-119")</f>
        <v>1E-119</v>
      </c>
      <c r="BJ146" s="2" t="str">
        <f>HYPERLINK("http://www.ncbi.nlm.nih.gov/protein/XP_012748261.1","XP_012748261.1")</f>
        <v>XP_012748261.1</v>
      </c>
      <c r="BK146" s="2">
        <v>35</v>
      </c>
      <c r="BL146" s="2">
        <v>52</v>
      </c>
      <c r="BM146" s="2">
        <v>98</v>
      </c>
      <c r="BN146" s="2" t="s">
        <v>214</v>
      </c>
      <c r="BO146" s="9" t="str">
        <f>HYPERLINK(".\links\SWISSP\AGAP000555-PA-SWISSP.txt","Molybdenum cofactor sulfurase")</f>
        <v>Molybdenum cofactor sulfurase</v>
      </c>
      <c r="BP146" s="2" t="str">
        <f>HYPERLINK("http://www.uniprot.org/uniprot/Q7QFL7","0.0")</f>
        <v>0.0</v>
      </c>
      <c r="BQ146" s="2" t="str">
        <f>HYPERLINK("http://www.uniprot.org/uniprot/Q7QFL7#expression","Q7QFL7")</f>
        <v>Q7QFL7</v>
      </c>
      <c r="BR146" s="2">
        <v>100</v>
      </c>
      <c r="BS146" s="2">
        <v>100</v>
      </c>
      <c r="BT146" s="2">
        <v>100</v>
      </c>
      <c r="BU146" s="2" t="s">
        <v>215</v>
      </c>
      <c r="BV146" s="9" t="str">
        <f>HYPERLINK(".\links\FLYBASE\AGAP000555-PA-FLYBASE.txt","FBpp0311241")</f>
        <v>FBpp0311241</v>
      </c>
      <c r="BW146" s="2" t="str">
        <f>HYPERLINK("http://flybase.org/reports/FBgn0002641#alliance_summary_container","0.0")</f>
        <v>0.0</v>
      </c>
      <c r="BX146" s="2">
        <v>781</v>
      </c>
      <c r="BY146" s="2">
        <v>45</v>
      </c>
      <c r="BZ146" s="2">
        <v>61</v>
      </c>
      <c r="CA146" s="2">
        <v>99</v>
      </c>
      <c r="CB146" s="9" t="str">
        <f>HYPERLINK(".\links\CDD\AGAP000555-PA-CDD.txt","PLN02724, Molybdenum cofactor sulfurase")</f>
        <v>PLN02724, Molybdenum cofactor sulfurase</v>
      </c>
      <c r="CC146" s="13">
        <v>9.9999999999999994E-158</v>
      </c>
      <c r="CD146" s="2">
        <v>99.6</v>
      </c>
      <c r="CE146" s="2" t="s">
        <v>216</v>
      </c>
      <c r="CF146" s="2" t="s">
        <v>217</v>
      </c>
      <c r="CG146" s="9" t="str">
        <f>HYPERLINK(".\links\KOG\AGAP000555-PA-KOG.txt","Molybdenum cofactor sulfurase")</f>
        <v>Molybdenum cofactor sulfurase</v>
      </c>
      <c r="CH146" s="13">
        <v>3.0000000000000002E-97</v>
      </c>
      <c r="CI146" s="2">
        <v>103.4</v>
      </c>
      <c r="CJ146" s="2" t="s">
        <v>218</v>
      </c>
      <c r="CK146" s="2" t="s">
        <v>219</v>
      </c>
      <c r="CL146" s="9" t="str">
        <f>HYPERLINK(".\links\PFAM\AGAP000555-PA-PFAM.txt","Aminotran_5, Aminotransferase class-V")</f>
        <v>Aminotran_5, Aminotransferase class-V</v>
      </c>
      <c r="CM146" s="13">
        <v>1.9999999999999998E-24</v>
      </c>
      <c r="CN146" s="2">
        <v>122.3</v>
      </c>
      <c r="CO146" s="2" t="s">
        <v>220</v>
      </c>
      <c r="CP146" s="9" t="str">
        <f>HYPERLINK(".\links\SMART\AGAP000555-PA-SMART.txt","AIP3, Actin interacting protein 3")</f>
        <v>AIP3, Actin interacting protein 3</v>
      </c>
      <c r="CQ146" s="13">
        <v>0.3</v>
      </c>
      <c r="CR146" s="2">
        <v>10.6</v>
      </c>
      <c r="CS146" s="2" t="s">
        <v>221</v>
      </c>
      <c r="CT146" s="2" t="s">
        <v>210</v>
      </c>
      <c r="CU146" s="2" t="s">
        <v>210</v>
      </c>
      <c r="CV146" s="2" t="s">
        <v>210</v>
      </c>
      <c r="CW146" s="2" t="str">
        <f>HYPERLINK(".\links\pep\AGAP000555-PA-pep.txt","AGAP000555-PA")</f>
        <v>AGAP000555-PA</v>
      </c>
      <c r="CX146" s="2" t="s">
        <v>88</v>
      </c>
      <c r="CY146" s="2">
        <v>770</v>
      </c>
      <c r="CZ146" s="2" t="s">
        <v>103</v>
      </c>
      <c r="DA146" s="2">
        <v>0</v>
      </c>
      <c r="DB146" s="2">
        <v>1</v>
      </c>
      <c r="DD146" s="2" t="str">
        <f>HYPERLINK("https://www.kegg.jp/kegg-bin/search_pathway_text?map=aga&amp;keyword=AGAP000555&amp;mode=1&amp;viewImage=true","AGAP000555")</f>
        <v>AGAP000555</v>
      </c>
      <c r="DE146" s="2" t="s">
        <v>205</v>
      </c>
      <c r="DF146" s="2" t="s">
        <v>206</v>
      </c>
      <c r="DG146" s="2" t="s">
        <v>89</v>
      </c>
      <c r="DH146" s="2" t="str">
        <f>HYPERLINK("https://vectorbase.org/vectorbase/app/record/gene/AGAP000555","AGAP000555-RA")</f>
        <v>AGAP000555-RA</v>
      </c>
      <c r="DI146" s="2" t="s">
        <v>140</v>
      </c>
      <c r="DJ146" s="2">
        <v>3124</v>
      </c>
      <c r="DK146" s="2" t="str">
        <f>HYPERLINK(".\links\netoglyc\AGAP000555-PA-netoglyc.txt","0")</f>
        <v>0</v>
      </c>
      <c r="DL146" s="2">
        <v>10.3</v>
      </c>
      <c r="DM146" s="2">
        <v>9.1</v>
      </c>
      <c r="DN146" s="2">
        <v>5.0999999999999996</v>
      </c>
      <c r="DO146" s="2" t="s">
        <v>94</v>
      </c>
      <c r="DP146" s="2" t="s">
        <v>222</v>
      </c>
      <c r="DQ146" s="2" t="str">
        <f>HYPERLINK(".\links\Sigp\AGAP000555-PA-SigP.txt","CYT")</f>
        <v>CYT</v>
      </c>
      <c r="DR146" s="2" t="s">
        <v>89</v>
      </c>
      <c r="DS146" s="2">
        <v>85.798000000000002</v>
      </c>
      <c r="DT146" s="2">
        <v>6.31</v>
      </c>
      <c r="DU146" s="2" t="s">
        <v>89</v>
      </c>
      <c r="DV146" s="2" t="s">
        <v>89</v>
      </c>
      <c r="DW146" s="2" t="s">
        <v>213</v>
      </c>
      <c r="DX146" s="2">
        <v>770</v>
      </c>
      <c r="DY146" s="12">
        <v>0</v>
      </c>
      <c r="DZ146" s="2" t="s">
        <v>89</v>
      </c>
      <c r="EA146" s="2" t="s">
        <v>89</v>
      </c>
      <c r="EB146" s="2" t="s">
        <v>89</v>
      </c>
      <c r="EC146" s="2" t="str">
        <f>HYPERLINK(".\links\gpi\AGAP000555-PA-gpi.txt","Y-NoSP")</f>
        <v>Y-NoSP</v>
      </c>
      <c r="ED146" s="2">
        <v>0.28999999999999998</v>
      </c>
      <c r="EF146" s="2">
        <v>24</v>
      </c>
      <c r="EG146" s="2" t="s">
        <v>89</v>
      </c>
      <c r="EH146" s="2" t="s">
        <v>89</v>
      </c>
      <c r="EI146" s="2">
        <v>10.259740259740299</v>
      </c>
      <c r="EJ146" s="2">
        <v>5.0649350649350602</v>
      </c>
      <c r="EK146" s="2">
        <v>9.0909090909090899</v>
      </c>
      <c r="EL146" s="2">
        <v>14.1558441558442</v>
      </c>
      <c r="EM146" s="2">
        <v>1</v>
      </c>
      <c r="EN146" s="2" t="s">
        <v>89</v>
      </c>
      <c r="EO146" s="2">
        <v>4</v>
      </c>
      <c r="EP146" s="2" t="s">
        <v>89</v>
      </c>
      <c r="EQ146" s="2" t="s">
        <v>89</v>
      </c>
      <c r="ER146" s="2" t="s">
        <v>89</v>
      </c>
      <c r="ES146" s="2" t="s">
        <v>89</v>
      </c>
      <c r="ET146" s="2" t="str">
        <f>HYPERLINK(".\links\REFSEQ-INVERTEBRATE\AGAP000555-PA-REFSEQ-INVERTEBRATE.txt","AGAP000555-PA")</f>
        <v>AGAP000555-PA</v>
      </c>
      <c r="EU146" s="2" t="str">
        <f>HYPERLINK("http://www.ncbi.nlm.nih.gov/sutils/blink.cgi?pid=XP_310528.5","0.0")</f>
        <v>0.0</v>
      </c>
      <c r="EV146" s="2" t="str">
        <f>HYPERLINK("http://www.ncbi.nlm.nih.gov/protein/XP_310528.5","XP_310528.5")</f>
        <v>XP_310528.5</v>
      </c>
      <c r="EW146" s="2">
        <v>100</v>
      </c>
      <c r="EX146" s="2">
        <v>100</v>
      </c>
      <c r="EY146" s="2">
        <v>100</v>
      </c>
      <c r="EZ146" s="2" t="s">
        <v>95</v>
      </c>
    </row>
    <row r="147" spans="1:156" x14ac:dyDescent="0.25">
      <c r="A147" s="2" t="s">
        <v>2285</v>
      </c>
      <c r="B147" s="2">
        <v>-0.88315173245245204</v>
      </c>
      <c r="C147" s="2">
        <f t="shared" si="2"/>
        <v>0.54218167859161315</v>
      </c>
      <c r="D147" s="2">
        <v>6.6524579025964297</v>
      </c>
      <c r="E147" s="2">
        <v>17.366550248625899</v>
      </c>
      <c r="F147" s="2">
        <v>3.0820263494218597E-5</v>
      </c>
      <c r="G147" s="2">
        <v>3.9535342822041696E-3</v>
      </c>
      <c r="H147" s="2" t="s">
        <v>2286</v>
      </c>
      <c r="I147" s="2" t="s">
        <v>89</v>
      </c>
      <c r="J147" s="2" t="str">
        <f>HYPERLINK("https://vectorbase.org/vectorbase/app/record/gene/AGAP009564","AGAP009564-RA")</f>
        <v>AGAP009564-RA</v>
      </c>
      <c r="K147" s="2" t="str">
        <f>HYPERLINK(".\links\pep\AGAP009564-PA-pep.txt","AGAP009564-PA")</f>
        <v>AGAP009564-PA</v>
      </c>
      <c r="L147" s="12" t="s">
        <v>88</v>
      </c>
      <c r="M147" s="2">
        <v>58</v>
      </c>
      <c r="N147" s="2">
        <v>0</v>
      </c>
      <c r="O147" s="2">
        <v>0</v>
      </c>
      <c r="P147" s="2" t="s">
        <v>2287</v>
      </c>
      <c r="Q147" s="9" t="s">
        <v>144</v>
      </c>
      <c r="R147" s="2" t="s">
        <v>145</v>
      </c>
      <c r="S147" s="2" t="str">
        <f>HYPERLINK(".\links\PFAM\AGAP009564-PA-PFAM.txt","PFAM")</f>
        <v>PFAM</v>
      </c>
      <c r="T147" s="2">
        <v>7.9999999999999998E-16</v>
      </c>
      <c r="U147" s="2">
        <v>100</v>
      </c>
      <c r="V147" s="2" t="s">
        <v>2288</v>
      </c>
      <c r="W147" s="10" t="s">
        <v>2289</v>
      </c>
      <c r="X147" s="2" t="s">
        <v>145</v>
      </c>
      <c r="Y147" s="2" t="str">
        <f>HYPERLINK(".\links\ARTHORPODA\AGAP009564-PA-ARTHORPODA.txt","ARTHORPODA")</f>
        <v>ARTHORPODA</v>
      </c>
      <c r="Z147" s="13">
        <v>3.9999999999999998E-36</v>
      </c>
      <c r="AA147" s="2">
        <v>100</v>
      </c>
      <c r="AB147" s="14" t="s">
        <v>89</v>
      </c>
      <c r="AC147" s="14" t="str">
        <f>HYPERLINK(".\links\Sigp\AGAP009564-PA-SigP.txt","CYT")</f>
        <v>CYT</v>
      </c>
      <c r="AD147" s="2" t="s">
        <v>89</v>
      </c>
      <c r="AE147" s="2">
        <v>6.71</v>
      </c>
      <c r="AF147" s="2">
        <v>10.43</v>
      </c>
      <c r="AG147" s="2" t="s">
        <v>89</v>
      </c>
      <c r="AH147" s="2" t="s">
        <v>89</v>
      </c>
      <c r="AI147" s="2" t="s">
        <v>336</v>
      </c>
      <c r="AJ147" s="14">
        <v>0</v>
      </c>
      <c r="AK147" s="2" t="s">
        <v>89</v>
      </c>
      <c r="AL147" s="2" t="s">
        <v>89</v>
      </c>
      <c r="AM147" s="2" t="s">
        <v>89</v>
      </c>
      <c r="AN147" s="14" t="str">
        <f>HYPERLINK(".\links\gpi\AGAP009564-PA-gpi.txt","N")</f>
        <v>N</v>
      </c>
      <c r="AO147" s="15" t="str">
        <f>HYPERLINK(".\links\netoglyc\AGAP009564-PA-netoglyc.txt","0")</f>
        <v>0</v>
      </c>
      <c r="AP147" s="14">
        <v>8.6</v>
      </c>
      <c r="AQ147" s="2">
        <v>5.2</v>
      </c>
      <c r="AR147" s="2">
        <v>3.4</v>
      </c>
      <c r="AS147" s="2" t="s">
        <v>94</v>
      </c>
      <c r="AT147" s="9" t="str">
        <f>HYPERLINK(".\links\NR-LIGHT\AGAP009564-PA-NR-LIGHT.txt","AGAP000260-PA")</f>
        <v>AGAP000260-PA</v>
      </c>
      <c r="AU147" s="2" t="str">
        <f>HYPERLINK("http://www.ncbi.nlm.nih.gov/sutils/blink.cgi?pid=XP_310858.5","2E-023")</f>
        <v>2E-023</v>
      </c>
      <c r="AV147" s="2" t="str">
        <f>HYPERLINK("http://www.ncbi.nlm.nih.gov/protein/XP_310858.5","XP_310858.5")</f>
        <v>XP_310858.5</v>
      </c>
      <c r="AW147" s="2">
        <v>89</v>
      </c>
      <c r="AX147" s="2">
        <v>93</v>
      </c>
      <c r="AY147" s="2">
        <v>100</v>
      </c>
      <c r="AZ147" s="2" t="s">
        <v>95</v>
      </c>
      <c r="BA147" s="9" t="str">
        <f>HYPERLINK(".\links\REFSEQ-INVERTEBRATE\AGAP009564-PA-REFSEQ-INVERTEBRATE.txt","AGAP000260-PD")</f>
        <v>AGAP000260-PD</v>
      </c>
      <c r="BB147" s="2" t="str">
        <f>HYPERLINK("http://www.ncbi.nlm.nih.gov/sutils/blink.cgi?pid=XP_003436956.1","2E-023")</f>
        <v>2E-023</v>
      </c>
      <c r="BC147" s="2" t="str">
        <f>HYPERLINK("http://www.ncbi.nlm.nih.gov/protein/XP_003436956.1","XP_003436956.1")</f>
        <v>XP_003436956.1</v>
      </c>
      <c r="BD147" s="2">
        <v>89</v>
      </c>
      <c r="BE147" s="2">
        <v>93</v>
      </c>
      <c r="BF147" s="2">
        <v>100</v>
      </c>
      <c r="BG147" s="2" t="s">
        <v>95</v>
      </c>
      <c r="BH147" s="9" t="str">
        <f>HYPERLINK(".\links\REFSEQ-PROTOZOA\AGAP009564-PA-REFSEQ-PROTOZOA.txt","hypothetical protein CAOG_01889")</f>
        <v>hypothetical protein CAOG_01889</v>
      </c>
      <c r="BI147" s="2" t="str">
        <f>HYPERLINK("http://www.ncbi.nlm.nih.gov/sutils/blink.cgi?pid=XP_004364757.1","5E-007")</f>
        <v>5E-007</v>
      </c>
      <c r="BJ147" s="2" t="str">
        <f>HYPERLINK("http://www.ncbi.nlm.nih.gov/protein/XP_004364757.1","XP_004364757.1")</f>
        <v>XP_004364757.1</v>
      </c>
      <c r="BK147" s="2">
        <v>44</v>
      </c>
      <c r="BL147" s="2">
        <v>71</v>
      </c>
      <c r="BM147" s="2">
        <v>79</v>
      </c>
      <c r="BN147" s="2" t="s">
        <v>150</v>
      </c>
      <c r="BO147" s="9" t="str">
        <f>HYPERLINK(".\links\SWISSP\AGAP009564-PA-SWISSP.txt","Protein stunted")</f>
        <v>Protein stunted</v>
      </c>
      <c r="BP147" s="2" t="str">
        <f>HYPERLINK("http://www.uniprot.org/uniprot/Q9VXN2","4E-014")</f>
        <v>4E-014</v>
      </c>
      <c r="BQ147" s="2" t="str">
        <f>HYPERLINK("http://www.uniprot.org/uniprot/Q9VXN2#expression","Q9VXN2")</f>
        <v>Q9VXN2</v>
      </c>
      <c r="BR147" s="2">
        <v>65</v>
      </c>
      <c r="BS147" s="2">
        <v>76</v>
      </c>
      <c r="BT147" s="2">
        <v>85</v>
      </c>
      <c r="BU147" s="2" t="s">
        <v>151</v>
      </c>
      <c r="BV147" s="9" t="str">
        <f>HYPERLINK(".\links\FLYBASE\AGAP009564-PA-FLYBASE.txt","FBpp0073963")</f>
        <v>FBpp0073963</v>
      </c>
      <c r="BW147" s="2" t="str">
        <f>HYPERLINK("http://flybase.org/reports/FBgn0014391#alliance_summary_container","1E-20")</f>
        <v>1E-20</v>
      </c>
      <c r="BX147" s="2">
        <v>61</v>
      </c>
      <c r="BY147" s="2">
        <v>62</v>
      </c>
      <c r="BZ147" s="2">
        <v>75</v>
      </c>
      <c r="CA147" s="2">
        <v>89</v>
      </c>
      <c r="CB147" s="9" t="str">
        <f>HYPERLINK(".\links\CDD\AGAP009564-PA-CDD.txt","ATP-synt_Eps, Mitochondrial ATP synthase epsilon chain")</f>
        <v>ATP-synt_Eps, Mitochondrial ATP synthase epsilon chain</v>
      </c>
      <c r="CC147" s="13">
        <v>2.9999999999999998E-15</v>
      </c>
      <c r="CD147" s="2">
        <v>100</v>
      </c>
      <c r="CE147" s="2" t="s">
        <v>152</v>
      </c>
      <c r="CF147" s="2" t="s">
        <v>2290</v>
      </c>
      <c r="CG147" s="9" t="str">
        <f>HYPERLINK(".\links\KOG\AGAP009564-PA-KOG.txt","subunit epsilon/ATP15")</f>
        <v>subunit epsilon/ATP15</v>
      </c>
      <c r="CH147" s="13">
        <v>7.0000000000000005E-13</v>
      </c>
      <c r="CI147" s="2">
        <v>100</v>
      </c>
      <c r="CJ147" s="2" t="s">
        <v>154</v>
      </c>
      <c r="CK147" s="2" t="s">
        <v>155</v>
      </c>
      <c r="CL147" s="9" t="str">
        <f>HYPERLINK(".\links\PFAM\AGAP009564-PA-PFAM.txt","ATP-synt_Eps, Mitochondrial ATP synthase epsilon chain")</f>
        <v>ATP-synt_Eps, Mitochondrial ATP synthase epsilon chain</v>
      </c>
      <c r="CM147" s="13">
        <v>7.9999999999999998E-16</v>
      </c>
      <c r="CN147" s="2">
        <v>100</v>
      </c>
      <c r="CO147" s="2" t="s">
        <v>152</v>
      </c>
      <c r="CP147" s="9" t="str">
        <f>HYPERLINK(".\links\SMART\AGAP009564-PA-SMART.txt","SEP, Domain present in Saccharomyces cerevisiae Shp1, Drosophila melanogaster eyes closed gene (eyc), and vertebrate p47")</f>
        <v>SEP, Domain present in Saccharomyces cerevisiae Shp1, Drosophila melanogaster eyes closed gene (eyc), and vertebrate p47</v>
      </c>
      <c r="CQ147" s="13">
        <v>2.8</v>
      </c>
      <c r="CR147" s="2">
        <v>33.299999999999997</v>
      </c>
      <c r="CS147" s="2" t="s">
        <v>2291</v>
      </c>
      <c r="CT147" s="2" t="s">
        <v>2288</v>
      </c>
      <c r="CU147" s="2" t="s">
        <v>2288</v>
      </c>
      <c r="CV147" s="2" t="s">
        <v>2288</v>
      </c>
      <c r="CW147" s="2" t="str">
        <f>HYPERLINK(".\links\pep\AGAP009564-PA-pep.txt","AGAP009564-PA")</f>
        <v>AGAP009564-PA</v>
      </c>
      <c r="CX147" s="2" t="s">
        <v>88</v>
      </c>
      <c r="CY147" s="2">
        <v>58</v>
      </c>
      <c r="CZ147" s="2" t="s">
        <v>103</v>
      </c>
      <c r="DA147" s="2">
        <v>0</v>
      </c>
      <c r="DB147" s="2">
        <v>0</v>
      </c>
      <c r="DD147" s="2" t="str">
        <f>HYPERLINK("https://www.kegg.jp/kegg-bin/search_pathway_text?map=aga&amp;keyword=AGAP009564&amp;mode=1&amp;viewImage=true","AGAP009564")</f>
        <v>AGAP009564</v>
      </c>
      <c r="DE147" s="2" t="s">
        <v>2285</v>
      </c>
      <c r="DF147" s="2" t="s">
        <v>2286</v>
      </c>
      <c r="DG147" s="2" t="s">
        <v>89</v>
      </c>
      <c r="DH147" s="2" t="str">
        <f>HYPERLINK("https://vectorbase.org/vectorbase/app/record/gene/AGAP009564","AGAP009564-RA")</f>
        <v>AGAP009564-RA</v>
      </c>
      <c r="DI147" s="2" t="s">
        <v>105</v>
      </c>
      <c r="DJ147" s="2">
        <v>401</v>
      </c>
      <c r="DK147" s="2" t="str">
        <f>HYPERLINK(".\links\netoglyc\AGAP009564-PA-netoglyc.txt","0")</f>
        <v>0</v>
      </c>
      <c r="DL147" s="2">
        <v>8.6</v>
      </c>
      <c r="DM147" s="2">
        <v>5.2</v>
      </c>
      <c r="DN147" s="2">
        <v>3.4</v>
      </c>
      <c r="DO147" s="2" t="s">
        <v>94</v>
      </c>
      <c r="DP147" s="2" t="s">
        <v>89</v>
      </c>
      <c r="DQ147" s="2" t="str">
        <f>HYPERLINK(".\links\Sigp\AGAP009564-PA-SigP.txt","CYT")</f>
        <v>CYT</v>
      </c>
      <c r="DR147" s="2" t="s">
        <v>89</v>
      </c>
      <c r="DS147" s="2">
        <v>6.71</v>
      </c>
      <c r="DT147" s="2">
        <v>10.43</v>
      </c>
      <c r="DU147" s="2" t="s">
        <v>89</v>
      </c>
      <c r="DV147" s="2" t="s">
        <v>89</v>
      </c>
      <c r="DW147" s="2" t="s">
        <v>336</v>
      </c>
      <c r="DX147" s="2">
        <v>58</v>
      </c>
      <c r="DY147" s="12">
        <v>0</v>
      </c>
      <c r="DZ147" s="2" t="s">
        <v>89</v>
      </c>
      <c r="EA147" s="2" t="s">
        <v>89</v>
      </c>
      <c r="EB147" s="2" t="s">
        <v>89</v>
      </c>
      <c r="EC147" s="2" t="str">
        <f>HYPERLINK(".\links\gpi\AGAP009564-PA-gpi.txt","N")</f>
        <v>N</v>
      </c>
      <c r="ED147" s="2">
        <v>0.46</v>
      </c>
      <c r="EE147" s="2" t="s">
        <v>159</v>
      </c>
      <c r="EF147" s="2">
        <v>0</v>
      </c>
      <c r="EG147" s="2" t="s">
        <v>89</v>
      </c>
      <c r="EH147" s="2" t="s">
        <v>89</v>
      </c>
      <c r="EI147" s="2">
        <v>8.6206896551724093</v>
      </c>
      <c r="EJ147" s="2">
        <v>3.4482758620689702</v>
      </c>
      <c r="EK147" s="2">
        <v>5.1724137931034502</v>
      </c>
      <c r="EL147" s="2">
        <v>8.6206896551724093</v>
      </c>
      <c r="EM147" s="2" t="s">
        <v>89</v>
      </c>
      <c r="EN147" s="2" t="s">
        <v>89</v>
      </c>
      <c r="EO147" s="2" t="s">
        <v>89</v>
      </c>
      <c r="EP147" s="2" t="s">
        <v>89</v>
      </c>
      <c r="EQ147" s="2" t="s">
        <v>89</v>
      </c>
      <c r="ER147" s="2" t="s">
        <v>89</v>
      </c>
      <c r="ES147" s="2" t="s">
        <v>89</v>
      </c>
      <c r="ET147" s="2" t="str">
        <f>HYPERLINK(".\links\REFSEQ-INVERTEBRATE\AGAP009564-PA-REFSEQ-INVERTEBRATE.txt","protein stunted-like isoform X1")</f>
        <v>protein stunted-like isoform X1</v>
      </c>
      <c r="EU147" s="2" t="str">
        <f>HYPERLINK("http://www.ncbi.nlm.nih.gov/sutils/blink.cgi?pid=XP_035908633.1","1E-34")</f>
        <v>1E-34</v>
      </c>
      <c r="EV147" s="2" t="str">
        <f>HYPERLINK("http://www.ncbi.nlm.nih.gov/protein/XP_035908633.1","XP_035908633.1")</f>
        <v>XP_035908633.1</v>
      </c>
      <c r="EW147" s="2">
        <v>94</v>
      </c>
      <c r="EX147" s="2">
        <v>98</v>
      </c>
      <c r="EY147" s="2">
        <v>100</v>
      </c>
      <c r="EZ147" s="2" t="s">
        <v>600</v>
      </c>
    </row>
    <row r="148" spans="1:156" x14ac:dyDescent="0.25">
      <c r="A148" s="2" t="s">
        <v>1503</v>
      </c>
      <c r="B148" s="2">
        <v>-0.88386796928481703</v>
      </c>
      <c r="C148" s="2">
        <f t="shared" si="2"/>
        <v>0.54191257521343017</v>
      </c>
      <c r="D148" s="2">
        <v>5.5830769445015296</v>
      </c>
      <c r="E148" s="2">
        <v>13.389296455818799</v>
      </c>
      <c r="F148" s="2">
        <v>2.5306429561792798E-4</v>
      </c>
      <c r="G148" s="2">
        <v>1.67352518971682E-2</v>
      </c>
      <c r="H148" s="2" t="s">
        <v>1504</v>
      </c>
      <c r="I148" s="2" t="s">
        <v>89</v>
      </c>
      <c r="J148" s="2" t="str">
        <f>HYPERLINK("https://vectorbase.org/vectorbase/app/record/gene/AGAP005618","AGAP005618-RA")</f>
        <v>AGAP005618-RA</v>
      </c>
      <c r="K148" s="2" t="str">
        <f>HYPERLINK(".\links\pep\AGAP005618-PA-pep.txt","AGAP005618-PA")</f>
        <v>AGAP005618-PA</v>
      </c>
      <c r="L148" s="12" t="s">
        <v>88</v>
      </c>
      <c r="M148" s="2">
        <v>183</v>
      </c>
      <c r="N148" s="2">
        <v>0</v>
      </c>
      <c r="O148" s="2">
        <v>1</v>
      </c>
      <c r="P148" s="2" t="s">
        <v>1505</v>
      </c>
      <c r="Q148" s="9" t="s">
        <v>1506</v>
      </c>
      <c r="R148" s="2" t="s">
        <v>91</v>
      </c>
      <c r="S148" s="2" t="str">
        <f>HYPERLINK(".\links\REFSEQ-INVERTEBRATE\AGAP005618-PA-REFSEQ-INVERTEBRATE.txt","REFSEQ-INVERTEBRATE")</f>
        <v>REFSEQ-INVERTEBRATE</v>
      </c>
      <c r="T148" s="2">
        <v>0</v>
      </c>
      <c r="U148" s="2">
        <v>100</v>
      </c>
      <c r="V148" s="2" t="s">
        <v>1506</v>
      </c>
      <c r="W148" s="10" t="s">
        <v>1507</v>
      </c>
      <c r="X148" s="2" t="s">
        <v>91</v>
      </c>
      <c r="Y148" s="2" t="str">
        <f>HYPERLINK(".\links\ARTHORPODA\AGAP005618-PA-ARTHORPODA.txt","ARTHORPODA")</f>
        <v>ARTHORPODA</v>
      </c>
      <c r="Z148" s="2">
        <v>0</v>
      </c>
      <c r="AA148" s="2">
        <v>1</v>
      </c>
      <c r="AB148" s="14" t="str">
        <f>HYPERLINK(".\links\pep\AGAP005618-PA-sulf.txt","1")</f>
        <v>1</v>
      </c>
      <c r="AC148" s="14" t="str">
        <f>HYPERLINK(".\links\Sigp\AGAP005618-PA-SigP.txt","CYT")</f>
        <v>CYT</v>
      </c>
      <c r="AD148" s="2" t="s">
        <v>89</v>
      </c>
      <c r="AE148" s="2">
        <v>21.452999999999999</v>
      </c>
      <c r="AF148" s="2">
        <v>4.88</v>
      </c>
      <c r="AG148" s="2" t="s">
        <v>89</v>
      </c>
      <c r="AH148" s="2" t="s">
        <v>89</v>
      </c>
      <c r="AI148" s="2" t="s">
        <v>1508</v>
      </c>
      <c r="AJ148" s="14">
        <v>0</v>
      </c>
      <c r="AK148" s="2" t="s">
        <v>89</v>
      </c>
      <c r="AL148" s="2" t="s">
        <v>89</v>
      </c>
      <c r="AM148" s="2" t="s">
        <v>89</v>
      </c>
      <c r="AN148" s="14" t="str">
        <f>HYPERLINK(".\links\gpi\AGAP005618-PA-gpi.txt","N")</f>
        <v>N</v>
      </c>
      <c r="AO148" s="15" t="str">
        <f>HYPERLINK(".\links\netoglyc\AGAP005618-PA-netoglyc.txt","0")</f>
        <v>0</v>
      </c>
      <c r="AP148" s="14">
        <v>8.1999999999999993</v>
      </c>
      <c r="AQ148" s="2">
        <v>6</v>
      </c>
      <c r="AR148" s="2">
        <v>5.5</v>
      </c>
      <c r="AS148" s="2" t="s">
        <v>94</v>
      </c>
      <c r="AT148" s="9" t="str">
        <f>HYPERLINK(".\links\NR-LIGHT\AGAP005618-PA-NR-LIGHT.txt","AGAP005618-PA")</f>
        <v>AGAP005618-PA</v>
      </c>
      <c r="AU148" s="2" t="str">
        <f>HYPERLINK("http://www.ncbi.nlm.nih.gov/sutils/blink.cgi?pid=XP_315627.3","1E-106")</f>
        <v>1E-106</v>
      </c>
      <c r="AV148" s="2" t="str">
        <f>HYPERLINK("http://www.ncbi.nlm.nih.gov/protein/XP_315627.3","XP_315627.3")</f>
        <v>XP_315627.3</v>
      </c>
      <c r="AW148" s="2">
        <v>100</v>
      </c>
      <c r="AX148" s="2">
        <v>100</v>
      </c>
      <c r="AY148" s="2">
        <v>100</v>
      </c>
      <c r="AZ148" s="2" t="s">
        <v>95</v>
      </c>
      <c r="BA148" s="9" t="str">
        <f>HYPERLINK(".\links\REFSEQ-INVERTEBRATE\AGAP005618-PA-REFSEQ-INVERTEBRATE.txt","AGAP005618-PA")</f>
        <v>AGAP005618-PA</v>
      </c>
      <c r="BB148" s="2" t="str">
        <f>HYPERLINK("http://www.ncbi.nlm.nih.gov/sutils/blink.cgi?pid=XP_315627.3","1E-106")</f>
        <v>1E-106</v>
      </c>
      <c r="BC148" s="2" t="str">
        <f>HYPERLINK("http://www.ncbi.nlm.nih.gov/protein/XP_315627.3","XP_315627.3")</f>
        <v>XP_315627.3</v>
      </c>
      <c r="BD148" s="2">
        <v>100</v>
      </c>
      <c r="BE148" s="2">
        <v>100</v>
      </c>
      <c r="BF148" s="2">
        <v>100</v>
      </c>
      <c r="BG148" s="2" t="s">
        <v>95</v>
      </c>
      <c r="BH148" s="9" t="str">
        <f>HYPERLINK(".\links\REFSEQ-PROTOZOA\AGAP005618-PA-REFSEQ-PROTOZOA.txt","1,2-dihydroxy-3-keto-5-methylthiopentene dioxygenase 3")</f>
        <v>1,2-dihydroxy-3-keto-5-methylthiopentene dioxygenase 3</v>
      </c>
      <c r="BI148" s="2" t="str">
        <f>HYPERLINK("http://www.ncbi.nlm.nih.gov/sutils/blink.cgi?pid=XP_004991354.1","4E-051")</f>
        <v>4E-051</v>
      </c>
      <c r="BJ148" s="2" t="str">
        <f>HYPERLINK("http://www.ncbi.nlm.nih.gov/protein/XP_004991354.1","XP_004991354.1")</f>
        <v>XP_004991354.1</v>
      </c>
      <c r="BK148" s="2">
        <v>56</v>
      </c>
      <c r="BL148" s="2">
        <v>71</v>
      </c>
      <c r="BM148" s="2">
        <v>96</v>
      </c>
      <c r="BN148" s="2" t="s">
        <v>182</v>
      </c>
      <c r="BO148" s="9" t="str">
        <f>HYPERLINK(".\links\SWISSP\AGAP005618-PA-SWISSP.txt","1,2-dihydroxy-3-keto-5-methylthiopentene dioxygenase")</f>
        <v>1,2-dihydroxy-3-keto-5-methylthiopentene dioxygenase</v>
      </c>
      <c r="BP148" s="2" t="str">
        <f>HYPERLINK("http://www.uniprot.org/uniprot/Q2LZI9","6E-074")</f>
        <v>6E-074</v>
      </c>
      <c r="BQ148" s="2" t="str">
        <f>HYPERLINK("http://www.uniprot.org/uniprot/Q2LZI9#expression","Q2LZI9")</f>
        <v>Q2LZI9</v>
      </c>
      <c r="BR148" s="2">
        <v>70</v>
      </c>
      <c r="BS148" s="2">
        <v>82</v>
      </c>
      <c r="BT148" s="2">
        <v>97</v>
      </c>
      <c r="BU148" s="2" t="s">
        <v>953</v>
      </c>
      <c r="BV148" s="9" t="str">
        <f>HYPERLINK(".\links\FLYBASE\AGAP005618-PA-FLYBASE.txt","FBpp0112333")</f>
        <v>FBpp0112333</v>
      </c>
      <c r="BW148" s="2" t="str">
        <f>HYPERLINK("http://flybase.org/reports/FBgn0052068#alliance_summary_container","3E-95")</f>
        <v>3E-95</v>
      </c>
      <c r="BX148" s="2">
        <v>186</v>
      </c>
      <c r="BY148" s="2">
        <v>68</v>
      </c>
      <c r="BZ148" s="2">
        <v>81</v>
      </c>
      <c r="CA148" s="2">
        <v>98</v>
      </c>
      <c r="CB148" s="9" t="str">
        <f>HYPERLINK(".\links\CDD\AGAP005618-PA-CDD.txt","ARD, ARD/ARD' family")</f>
        <v>ARD, ARD/ARD' family</v>
      </c>
      <c r="CC148" s="13">
        <v>3.9999999999999997E-40</v>
      </c>
      <c r="CD148" s="2">
        <v>101.3</v>
      </c>
      <c r="CE148" s="2" t="s">
        <v>1509</v>
      </c>
      <c r="CF148" s="2" t="s">
        <v>1510</v>
      </c>
      <c r="CG148" s="9" t="str">
        <f>HYPERLINK(".\links\KOG\AGAP005618-PA-KOG.txt","contains double-stranded beta-helix domain")</f>
        <v>contains double-stranded beta-helix domain</v>
      </c>
      <c r="CH148" s="13">
        <v>9.9999999999999997E-61</v>
      </c>
      <c r="CI148" s="2">
        <v>98.3</v>
      </c>
      <c r="CJ148" s="2" t="s">
        <v>1511</v>
      </c>
      <c r="CK148" s="2" t="s">
        <v>101</v>
      </c>
      <c r="CL148" s="9" t="str">
        <f>HYPERLINK(".\links\PFAM\AGAP005618-PA-PFAM.txt","ARD, ARD/ARD' family")</f>
        <v>ARD, ARD/ARD' family</v>
      </c>
      <c r="CM148" s="13">
        <v>8E-41</v>
      </c>
      <c r="CN148" s="2">
        <v>101.3</v>
      </c>
      <c r="CO148" s="2" t="s">
        <v>1509</v>
      </c>
      <c r="CP148" s="9" t="str">
        <f>HYPERLINK(".\links\SMART\AGAP005618-PA-SMART.txt","Cupin_1, Cupin")</f>
        <v>Cupin_1, Cupin</v>
      </c>
      <c r="CQ148" s="13">
        <v>3.0000000000000001E-3</v>
      </c>
      <c r="CR148" s="2">
        <v>36.299999999999997</v>
      </c>
      <c r="CS148" s="2" t="s">
        <v>1512</v>
      </c>
      <c r="CT148" s="2" t="s">
        <v>1506</v>
      </c>
      <c r="CU148" s="2" t="s">
        <v>1506</v>
      </c>
      <c r="CV148" s="2" t="s">
        <v>1506</v>
      </c>
      <c r="CW148" s="2" t="str">
        <f>HYPERLINK(".\links\pep\AGAP005618-PA-pep.txt","AGAP005618-PA")</f>
        <v>AGAP005618-PA</v>
      </c>
      <c r="CX148" s="2" t="s">
        <v>88</v>
      </c>
      <c r="CY148" s="2">
        <v>183</v>
      </c>
      <c r="CZ148" s="2" t="s">
        <v>103</v>
      </c>
      <c r="DA148" s="2">
        <v>0</v>
      </c>
      <c r="DB148" s="2">
        <v>1</v>
      </c>
      <c r="DD148" s="2" t="str">
        <f>HYPERLINK("https://www.kegg.jp/kegg-bin/search_pathway_text?map=aga&amp;keyword=AGAP005618&amp;mode=1&amp;viewImage=true","AGAP005618")</f>
        <v>AGAP005618</v>
      </c>
      <c r="DE148" s="2" t="s">
        <v>1503</v>
      </c>
      <c r="DF148" s="2" t="s">
        <v>1504</v>
      </c>
      <c r="DG148" s="2" t="s">
        <v>89</v>
      </c>
      <c r="DH148" s="2" t="str">
        <f>HYPERLINK("https://vectorbase.org/vectorbase/app/record/gene/AGAP005618","AGAP005618-RA")</f>
        <v>AGAP005618-RA</v>
      </c>
      <c r="DI148" s="2" t="s">
        <v>105</v>
      </c>
      <c r="DJ148" s="2">
        <v>1870</v>
      </c>
      <c r="DK148" s="2" t="str">
        <f>HYPERLINK(".\links\netoglyc\AGAP005618-PA-netoglyc.txt","0")</f>
        <v>0</v>
      </c>
      <c r="DL148" s="2">
        <v>8.1999999999999993</v>
      </c>
      <c r="DM148" s="2">
        <v>6</v>
      </c>
      <c r="DN148" s="2">
        <v>5.5</v>
      </c>
      <c r="DO148" s="2" t="s">
        <v>94</v>
      </c>
      <c r="DP148" s="2" t="s">
        <v>89</v>
      </c>
      <c r="DQ148" s="2" t="str">
        <f>HYPERLINK(".\links\Sigp\AGAP005618-PA-SigP.txt","CYT")</f>
        <v>CYT</v>
      </c>
      <c r="DR148" s="2" t="s">
        <v>89</v>
      </c>
      <c r="DS148" s="2">
        <v>21.452999999999999</v>
      </c>
      <c r="DT148" s="2">
        <v>4.88</v>
      </c>
      <c r="DU148" s="2" t="s">
        <v>89</v>
      </c>
      <c r="DV148" s="2" t="s">
        <v>89</v>
      </c>
      <c r="DW148" s="2" t="s">
        <v>1508</v>
      </c>
      <c r="DX148" s="2">
        <v>183</v>
      </c>
      <c r="DY148" s="12">
        <v>0</v>
      </c>
      <c r="DZ148" s="2" t="s">
        <v>89</v>
      </c>
      <c r="EA148" s="2" t="s">
        <v>89</v>
      </c>
      <c r="EB148" s="2" t="s">
        <v>89</v>
      </c>
      <c r="EC148" s="2" t="str">
        <f>HYPERLINK(".\links\gpi\AGAP005618-PA-gpi.txt","N")</f>
        <v>N</v>
      </c>
      <c r="ED148" s="2">
        <v>0.3</v>
      </c>
      <c r="EF148" s="2">
        <v>3</v>
      </c>
      <c r="EG148" s="2" t="str">
        <f>HYPERLINK(".\links\pep\AGAP005618-PA-sulf.txt","1")</f>
        <v>1</v>
      </c>
      <c r="EH148" s="2" t="s">
        <v>89</v>
      </c>
      <c r="EI148" s="2">
        <v>8.1967213114754092</v>
      </c>
      <c r="EJ148" s="2">
        <v>5.4644808743169397</v>
      </c>
      <c r="EK148" s="2">
        <v>6.0109289617486299</v>
      </c>
      <c r="EL148" s="2">
        <v>11.4754098360656</v>
      </c>
      <c r="EM148" s="2" t="s">
        <v>89</v>
      </c>
      <c r="EN148" s="2" t="s">
        <v>89</v>
      </c>
      <c r="EO148" s="2" t="s">
        <v>89</v>
      </c>
      <c r="EP148" s="2" t="s">
        <v>89</v>
      </c>
      <c r="EQ148" s="2" t="s">
        <v>89</v>
      </c>
      <c r="ER148" s="2" t="s">
        <v>89</v>
      </c>
      <c r="ES148" s="2" t="s">
        <v>89</v>
      </c>
      <c r="ET148" s="2" t="str">
        <f>HYPERLINK(".\links\REFSEQ-INVERTEBRATE\AGAP005618-PA-REFSEQ-INVERTEBRATE.txt","AGAP005618-PA")</f>
        <v>AGAP005618-PA</v>
      </c>
      <c r="EU148" s="2" t="str">
        <f>HYPERLINK("http://www.ncbi.nlm.nih.gov/sutils/blink.cgi?pid=XP_315627.3","1E-135")</f>
        <v>1E-135</v>
      </c>
      <c r="EV148" s="2" t="str">
        <f>HYPERLINK("http://www.ncbi.nlm.nih.gov/protein/XP_315627.3","XP_315627.3")</f>
        <v>XP_315627.3</v>
      </c>
      <c r="EW148" s="2">
        <v>100</v>
      </c>
      <c r="EX148" s="2">
        <v>100</v>
      </c>
      <c r="EY148" s="2">
        <v>100</v>
      </c>
      <c r="EZ148" s="2" t="s">
        <v>95</v>
      </c>
    </row>
    <row r="149" spans="1:156" x14ac:dyDescent="0.25">
      <c r="A149" s="2" t="s">
        <v>2069</v>
      </c>
      <c r="B149" s="2">
        <v>-0.88654962837738605</v>
      </c>
      <c r="C149" s="2">
        <f t="shared" si="2"/>
        <v>0.54090621214695589</v>
      </c>
      <c r="D149" s="2">
        <v>5.0838312732100501</v>
      </c>
      <c r="E149" s="2">
        <v>10.640681648209201</v>
      </c>
      <c r="F149" s="2">
        <v>1.10626891507159E-3</v>
      </c>
      <c r="G149" s="2">
        <v>4.37860414080566E-2</v>
      </c>
      <c r="H149" s="2" t="s">
        <v>2070</v>
      </c>
      <c r="I149" s="2" t="s">
        <v>87</v>
      </c>
      <c r="J149" s="2" t="str">
        <f>HYPERLINK("https://vectorbase.org/vectorbase/app/record/gene/AGAP008502","AGAP008502-RA")</f>
        <v>AGAP008502-RA</v>
      </c>
      <c r="K149" s="2" t="str">
        <f>HYPERLINK(".\links\pep\AGAP008502-PA-pep.txt","AGAP008502-PA")</f>
        <v>AGAP008502-PA</v>
      </c>
      <c r="L149" s="12" t="s">
        <v>88</v>
      </c>
      <c r="M149" s="2">
        <v>242</v>
      </c>
      <c r="N149" s="2">
        <v>0</v>
      </c>
      <c r="O149" s="2">
        <v>2</v>
      </c>
      <c r="P149" s="2" t="s">
        <v>2071</v>
      </c>
      <c r="Q149" s="9" t="s">
        <v>2072</v>
      </c>
      <c r="R149" s="2" t="s">
        <v>164</v>
      </c>
      <c r="S149" s="2" t="str">
        <f>HYPERLINK(".\links\KOG\AGAP008502-PA-KOG.txt","KOG")</f>
        <v>KOG</v>
      </c>
      <c r="T149" s="2">
        <v>1.0000000000000001E-33</v>
      </c>
      <c r="U149" s="2">
        <v>95</v>
      </c>
      <c r="V149" s="2" t="s">
        <v>2073</v>
      </c>
      <c r="W149" s="10" t="s">
        <v>564</v>
      </c>
      <c r="X149" s="2" t="s">
        <v>179</v>
      </c>
      <c r="Y149" s="2" t="str">
        <f>HYPERLINK(".\links\COG\AGAP008502-PA-COG.txt","COG")</f>
        <v>COG</v>
      </c>
      <c r="Z149" s="13">
        <v>3.0000000000000002E-33</v>
      </c>
      <c r="AA149" s="2">
        <v>98.4</v>
      </c>
      <c r="AB149" s="14" t="str">
        <f>HYPERLINK(".\links\pep\AGAP008502-PA-sulf.txt","1")</f>
        <v>1</v>
      </c>
      <c r="AC149" s="14" t="str">
        <f>HYPERLINK(".\links\Sigp\AGAP008502-PA-SigP.txt","CYT")</f>
        <v>CYT</v>
      </c>
      <c r="AD149" s="2" t="s">
        <v>89</v>
      </c>
      <c r="AE149" s="2">
        <v>25.652999999999999</v>
      </c>
      <c r="AF149" s="2">
        <v>6.32</v>
      </c>
      <c r="AG149" s="2" t="s">
        <v>89</v>
      </c>
      <c r="AH149" s="2" t="s">
        <v>89</v>
      </c>
      <c r="AI149" s="2" t="s">
        <v>501</v>
      </c>
      <c r="AJ149" s="14">
        <v>0</v>
      </c>
      <c r="AK149" s="2" t="s">
        <v>89</v>
      </c>
      <c r="AL149" s="2" t="s">
        <v>89</v>
      </c>
      <c r="AM149" s="2" t="s">
        <v>89</v>
      </c>
      <c r="AN149" s="14" t="str">
        <f>HYPERLINK(".\links\gpi\AGAP008502-PA-gpi.txt","N")</f>
        <v>N</v>
      </c>
      <c r="AO149" s="15" t="str">
        <f>HYPERLINK(".\links\netoglyc\AGAP008502-PA-netoglyc.txt","0")</f>
        <v>0</v>
      </c>
      <c r="AP149" s="14">
        <v>11.2</v>
      </c>
      <c r="AQ149" s="2">
        <v>9.1</v>
      </c>
      <c r="AR149" s="2">
        <v>5</v>
      </c>
      <c r="AS149" s="2" t="s">
        <v>94</v>
      </c>
      <c r="AT149" s="9" t="str">
        <f>HYPERLINK(".\links\NR-LIGHT\AGAP008502-PA-NR-LIGHT.txt","AGAP008502-PA")</f>
        <v>AGAP008502-PA</v>
      </c>
      <c r="AU149" s="2" t="str">
        <f>HYPERLINK("http://www.ncbi.nlm.nih.gov/sutils/blink.cgi?pid=XP_316941.3","1E-133")</f>
        <v>1E-133</v>
      </c>
      <c r="AV149" s="2" t="str">
        <f>HYPERLINK("http://www.ncbi.nlm.nih.gov/protein/XP_316941.3","XP_316941.3")</f>
        <v>XP_316941.3</v>
      </c>
      <c r="AW149" s="2">
        <v>100</v>
      </c>
      <c r="AX149" s="2">
        <v>100</v>
      </c>
      <c r="AY149" s="2">
        <v>100</v>
      </c>
      <c r="AZ149" s="2" t="s">
        <v>95</v>
      </c>
      <c r="BA149" s="9" t="str">
        <f>HYPERLINK(".\links\REFSEQ-INVERTEBRATE\AGAP008502-PA-REFSEQ-INVERTEBRATE.txt","AGAP008502-PA")</f>
        <v>AGAP008502-PA</v>
      </c>
      <c r="BB149" s="2" t="str">
        <f>HYPERLINK("http://www.ncbi.nlm.nih.gov/sutils/blink.cgi?pid=XP_316941.3","1E-133")</f>
        <v>1E-133</v>
      </c>
      <c r="BC149" s="2" t="str">
        <f>HYPERLINK("http://www.ncbi.nlm.nih.gov/protein/XP_316941.3","XP_316941.3")</f>
        <v>XP_316941.3</v>
      </c>
      <c r="BD149" s="2">
        <v>100</v>
      </c>
      <c r="BE149" s="2">
        <v>100</v>
      </c>
      <c r="BF149" s="2">
        <v>100</v>
      </c>
      <c r="BG149" s="2" t="s">
        <v>95</v>
      </c>
      <c r="BH149" s="9" t="str">
        <f>HYPERLINK(".\links\REFSEQ-PROTOZOA\AGAP008502-PA-REFSEQ-PROTOZOA.txt","dicarbonyl/L-xylulose reductase")</f>
        <v>dicarbonyl/L-xylulose reductase</v>
      </c>
      <c r="BI149" s="2" t="str">
        <f>HYPERLINK("http://www.ncbi.nlm.nih.gov/sutils/blink.cgi?pid=XP_004365752.1","6E-058")</f>
        <v>6E-058</v>
      </c>
      <c r="BJ149" s="2" t="str">
        <f>HYPERLINK("http://www.ncbi.nlm.nih.gov/protein/XP_004365752.1","XP_004365752.1")</f>
        <v>XP_004365752.1</v>
      </c>
      <c r="BK149" s="2">
        <v>51</v>
      </c>
      <c r="BL149" s="2">
        <v>67</v>
      </c>
      <c r="BM149" s="2">
        <v>97</v>
      </c>
      <c r="BN149" s="2" t="s">
        <v>150</v>
      </c>
      <c r="BO149" s="9" t="str">
        <f>HYPERLINK(".\links\SWISSP\AGAP008502-PA-SWISSP.txt","L-xylulose reductase")</f>
        <v>L-xylulose reductase</v>
      </c>
      <c r="BP149" s="2" t="str">
        <f>HYPERLINK("http://www.uniprot.org/uniprot/Q91XV4","2E-062")</f>
        <v>2E-062</v>
      </c>
      <c r="BQ149" s="2" t="str">
        <f>HYPERLINK("http://www.uniprot.org/uniprot/Q91XV4#expression","Q91XV4")</f>
        <v>Q91XV4</v>
      </c>
      <c r="BR149" s="2">
        <v>51</v>
      </c>
      <c r="BS149" s="2">
        <v>69</v>
      </c>
      <c r="BT149" s="2">
        <v>99</v>
      </c>
      <c r="BU149" s="2" t="s">
        <v>2074</v>
      </c>
      <c r="BV149" s="9" t="str">
        <f>HYPERLINK(".\links\FLYBASE\AGAP008502-PA-FLYBASE.txt","FBpp0311891")</f>
        <v>FBpp0311891</v>
      </c>
      <c r="BW149" s="2" t="str">
        <f>HYPERLINK("http://flybase.org/reports/FBgn0030968#alliance_summary_container","1E-95")</f>
        <v>1E-95</v>
      </c>
      <c r="BX149" s="2">
        <v>242</v>
      </c>
      <c r="BY149" s="2">
        <v>59</v>
      </c>
      <c r="BZ149" s="2">
        <v>73</v>
      </c>
      <c r="CA149" s="2">
        <v>99</v>
      </c>
      <c r="CB149" s="9" t="str">
        <f>HYPERLINK(".\links\CDD\AGAP008502-PA-CDD.txt","XR_like_SDR_c, xylulose reductase-like, classical (c) SDRs")</f>
        <v>XR_like_SDR_c, xylulose reductase-like, classical (c) SDRs</v>
      </c>
      <c r="CC149" s="13">
        <v>6.9999999999999997E-91</v>
      </c>
      <c r="CD149" s="2">
        <v>99.6</v>
      </c>
      <c r="CE149" s="2" t="s">
        <v>2075</v>
      </c>
      <c r="CF149" s="2" t="s">
        <v>2076</v>
      </c>
      <c r="CG149" s="9" t="str">
        <f>HYPERLINK(".\links\KOG\AGAP008502-PA-KOG.txt","Diacetyl reductase/L-xylulose reductase")</f>
        <v>Diacetyl reductase/L-xylulose reductase</v>
      </c>
      <c r="CH149" s="13">
        <v>1.9999999999999999E-82</v>
      </c>
      <c r="CI149" s="2">
        <v>99.2</v>
      </c>
      <c r="CJ149" s="2" t="s">
        <v>2077</v>
      </c>
      <c r="CK149" s="2" t="s">
        <v>2060</v>
      </c>
      <c r="CL149" s="9" t="str">
        <f>HYPERLINK(".\links\PFAM\AGAP008502-PA-PFAM.txt","adh_short_C2, Enoyl-(Acyl carrier protein) reductase")</f>
        <v>adh_short_C2, Enoyl-(Acyl carrier protein) reductase</v>
      </c>
      <c r="CM149" s="13">
        <v>1E-52</v>
      </c>
      <c r="CN149" s="2">
        <v>97.9</v>
      </c>
      <c r="CO149" s="2" t="s">
        <v>2078</v>
      </c>
      <c r="CP149" s="9" t="str">
        <f>HYPERLINK(".\links\SMART\AGAP008502-PA-SMART.txt","PKS_KR, This enzymatic domain is part of bacterial polyketide synthases")</f>
        <v>PKS_KR, This enzymatic domain is part of bacterial polyketide synthases</v>
      </c>
      <c r="CQ149" s="13">
        <v>1E-14</v>
      </c>
      <c r="CR149" s="2">
        <v>95</v>
      </c>
      <c r="CS149" s="2" t="s">
        <v>394</v>
      </c>
      <c r="CT149" s="2" t="s">
        <v>2073</v>
      </c>
      <c r="CU149" s="2" t="s">
        <v>2073</v>
      </c>
      <c r="CV149" s="2" t="s">
        <v>2073</v>
      </c>
      <c r="CW149" s="2" t="str">
        <f>HYPERLINK(".\links\pep\AGAP008502-PA-pep.txt","AGAP008502-PA")</f>
        <v>AGAP008502-PA</v>
      </c>
      <c r="CX149" s="2" t="s">
        <v>88</v>
      </c>
      <c r="CY149" s="2">
        <v>242</v>
      </c>
      <c r="CZ149" s="2" t="s">
        <v>103</v>
      </c>
      <c r="DA149" s="2" t="s">
        <v>2079</v>
      </c>
      <c r="DB149" s="2">
        <v>0</v>
      </c>
      <c r="DC149" s="2">
        <v>2</v>
      </c>
      <c r="DD149" s="2" t="str">
        <f>HYPERLINK("https://www.kegg.jp/kegg-bin/search_pathway_text?map=aga&amp;keyword=AGAP008502&amp;mode=1&amp;viewImage=true","AGAP008502")</f>
        <v>AGAP008502</v>
      </c>
      <c r="DE149" s="2" t="s">
        <v>2069</v>
      </c>
      <c r="DF149" s="2" t="s">
        <v>2070</v>
      </c>
      <c r="DG149" s="2" t="s">
        <v>87</v>
      </c>
      <c r="DH149" s="2" t="str">
        <f>HYPERLINK("https://vectorbase.org/vectorbase/app/record/gene/AGAP008502","AGAP008502-RA")</f>
        <v>AGAP008502-RA</v>
      </c>
      <c r="DI149" s="2" t="s">
        <v>158</v>
      </c>
      <c r="DJ149" s="2">
        <v>1153</v>
      </c>
      <c r="DK149" s="2" t="str">
        <f>HYPERLINK(".\links\netoglyc\AGAP008502-PA-netoglyc.txt","0")</f>
        <v>0</v>
      </c>
      <c r="DL149" s="2">
        <v>11.2</v>
      </c>
      <c r="DM149" s="2">
        <v>9.1</v>
      </c>
      <c r="DN149" s="2">
        <v>5</v>
      </c>
      <c r="DO149" s="2" t="s">
        <v>94</v>
      </c>
      <c r="DP149" s="2" t="s">
        <v>89</v>
      </c>
      <c r="DQ149" s="2" t="str">
        <f>HYPERLINK(".\links\Sigp\AGAP008502-PA-SigP.txt","CYT")</f>
        <v>CYT</v>
      </c>
      <c r="DR149" s="2" t="s">
        <v>89</v>
      </c>
      <c r="DS149" s="2">
        <v>25.652999999999999</v>
      </c>
      <c r="DT149" s="2">
        <v>6.32</v>
      </c>
      <c r="DU149" s="2" t="s">
        <v>89</v>
      </c>
      <c r="DV149" s="2" t="s">
        <v>89</v>
      </c>
      <c r="DW149" s="2" t="s">
        <v>501</v>
      </c>
      <c r="DX149" s="2">
        <v>242</v>
      </c>
      <c r="DY149" s="12">
        <v>0</v>
      </c>
      <c r="DZ149" s="2" t="s">
        <v>89</v>
      </c>
      <c r="EA149" s="2" t="s">
        <v>89</v>
      </c>
      <c r="EB149" s="2" t="s">
        <v>89</v>
      </c>
      <c r="EC149" s="2" t="str">
        <f>HYPERLINK(".\links\gpi\AGAP008502-PA-gpi.txt","N")</f>
        <v>N</v>
      </c>
      <c r="ED149" s="2">
        <v>0.26</v>
      </c>
      <c r="EF149" s="2">
        <v>4</v>
      </c>
      <c r="EG149" s="2" t="str">
        <f>HYPERLINK(".\links\pep\AGAP008502-PA-sulf.txt","1")</f>
        <v>1</v>
      </c>
      <c r="EH149" s="2" t="s">
        <v>89</v>
      </c>
      <c r="EI149" s="2">
        <v>11.1570247933884</v>
      </c>
      <c r="EJ149" s="2">
        <v>4.95867768595041</v>
      </c>
      <c r="EK149" s="2">
        <v>9.0909090909090899</v>
      </c>
      <c r="EL149" s="2">
        <v>14.049586776859501</v>
      </c>
      <c r="EM149" s="2" t="s">
        <v>89</v>
      </c>
      <c r="EN149" s="2" t="s">
        <v>89</v>
      </c>
      <c r="EO149" s="2" t="s">
        <v>89</v>
      </c>
      <c r="EP149" s="2" t="s">
        <v>89</v>
      </c>
      <c r="EQ149" s="2" t="s">
        <v>89</v>
      </c>
      <c r="ER149" s="2" t="s">
        <v>89</v>
      </c>
      <c r="ES149" s="2" t="s">
        <v>89</v>
      </c>
      <c r="ET149" s="2" t="str">
        <f>HYPERLINK(".\links\REFSEQ-INVERTEBRATE\AGAP008502-PA-REFSEQ-INVERTEBRATE.txt","AGAP008502-PA")</f>
        <v>AGAP008502-PA</v>
      </c>
      <c r="EU149" s="2" t="str">
        <f>HYPERLINK("http://www.ncbi.nlm.nih.gov/sutils/blink.cgi?pid=XP_316941.3","1E-177")</f>
        <v>1E-177</v>
      </c>
      <c r="EV149" s="2" t="str">
        <f>HYPERLINK("http://www.ncbi.nlm.nih.gov/protein/XP_316941.3","XP_316941.3")</f>
        <v>XP_316941.3</v>
      </c>
      <c r="EW149" s="2">
        <v>100</v>
      </c>
      <c r="EX149" s="2">
        <v>100</v>
      </c>
      <c r="EY149" s="2">
        <v>100</v>
      </c>
      <c r="EZ149" s="2" t="s">
        <v>95</v>
      </c>
    </row>
    <row r="150" spans="1:156" x14ac:dyDescent="0.25">
      <c r="A150" s="2" t="s">
        <v>698</v>
      </c>
      <c r="B150" s="2">
        <v>-0.889536726874113</v>
      </c>
      <c r="C150" s="2">
        <f t="shared" si="2"/>
        <v>0.53978742505253674</v>
      </c>
      <c r="D150" s="2">
        <v>7.9706559976889704</v>
      </c>
      <c r="E150" s="2">
        <v>12.981848612102899</v>
      </c>
      <c r="F150" s="2">
        <v>3.1452527492557201E-4</v>
      </c>
      <c r="G150" s="2">
        <v>1.935693989672E-2</v>
      </c>
      <c r="H150" s="2" t="s">
        <v>86</v>
      </c>
      <c r="I150" s="2" t="s">
        <v>87</v>
      </c>
      <c r="J150" s="2" t="str">
        <f>HYPERLINK("https://vectorbase.org/vectorbase/app/record/gene/AGAP003088","AGAP003088-RA")</f>
        <v>AGAP003088-RA</v>
      </c>
      <c r="K150" s="2" t="str">
        <f>HYPERLINK(".\links\pep\AGAP003088-PA-pep.txt","AGAP003088-PA")</f>
        <v>AGAP003088-PA</v>
      </c>
      <c r="L150" s="12" t="s">
        <v>88</v>
      </c>
      <c r="M150" s="2">
        <v>264</v>
      </c>
      <c r="N150" s="2">
        <v>0</v>
      </c>
      <c r="O150" s="2">
        <v>1</v>
      </c>
      <c r="P150" s="2" t="s">
        <v>89</v>
      </c>
      <c r="Q150" s="9" t="s">
        <v>699</v>
      </c>
      <c r="R150" s="2" t="s">
        <v>700</v>
      </c>
      <c r="S150" s="2" t="str">
        <f>HYPERLINK(".\links\REFSEQ-INVERTEBRATE\AGAP003088-PA-REFSEQ-INVERTEBRATE.txt","REFSEQ-INVERTEBRATE")</f>
        <v>REFSEQ-INVERTEBRATE</v>
      </c>
      <c r="T150" s="2">
        <v>0</v>
      </c>
      <c r="V150" s="2" t="s">
        <v>701</v>
      </c>
      <c r="W150" s="10" t="s">
        <v>702</v>
      </c>
      <c r="X150" s="2" t="s">
        <v>703</v>
      </c>
      <c r="Y150" s="2" t="str">
        <f>HYPERLINK(".\links\PFAM\AGAP003088-PA-PFAM.txt","PFAM")</f>
        <v>PFAM</v>
      </c>
      <c r="Z150" s="13">
        <v>5E-51</v>
      </c>
      <c r="AA150" s="2">
        <v>101.2</v>
      </c>
      <c r="AB150" s="14" t="s">
        <v>89</v>
      </c>
      <c r="AC150" s="14" t="str">
        <f>HYPERLINK(".\links\Sigp\AGAP003088-PA-SigP.txt","CYT")</f>
        <v>CYT</v>
      </c>
      <c r="AD150" s="2" t="s">
        <v>89</v>
      </c>
      <c r="AE150" s="2">
        <v>29.882000000000001</v>
      </c>
      <c r="AF150" s="2">
        <v>7.75</v>
      </c>
      <c r="AG150" s="2" t="s">
        <v>89</v>
      </c>
      <c r="AH150" s="2" t="s">
        <v>89</v>
      </c>
      <c r="AI150" s="2" t="s">
        <v>704</v>
      </c>
      <c r="AJ150" s="14" t="str">
        <f>HYPERLINK(".\links\tmhmm\AGAP003088-PA-tmhmm.txt","4")</f>
        <v>4</v>
      </c>
      <c r="AK150" s="2">
        <v>33.299999999999997</v>
      </c>
      <c r="AL150" s="2">
        <v>11.4</v>
      </c>
      <c r="AM150" s="2">
        <v>55.3</v>
      </c>
      <c r="AN150" s="14" t="str">
        <f>HYPERLINK(".\links\gpi\AGAP003088-PA-gpi.txt","N")</f>
        <v>N</v>
      </c>
      <c r="AO150" s="15" t="str">
        <f>HYPERLINK(".\links\netoglyc\AGAP003088-PA-netoglyc.txt","0")</f>
        <v>0</v>
      </c>
      <c r="AP150" s="14">
        <v>14</v>
      </c>
      <c r="AQ150" s="2">
        <v>5.7</v>
      </c>
      <c r="AR150" s="2">
        <v>3</v>
      </c>
      <c r="AS150" s="2" t="s">
        <v>94</v>
      </c>
      <c r="AT150" s="9" t="str">
        <f>HYPERLINK(".\links\NR-LIGHT\AGAP003088-PA-NR-LIGHT.txt","AGAP003088-PA")</f>
        <v>AGAP003088-PA</v>
      </c>
      <c r="AU150" s="2" t="str">
        <f>HYPERLINK("http://www.ncbi.nlm.nih.gov/sutils/blink.cgi?pid=XP_312775.5","1E-149")</f>
        <v>1E-149</v>
      </c>
      <c r="AV150" s="2" t="str">
        <f>HYPERLINK("http://www.ncbi.nlm.nih.gov/protein/XP_312775.5","XP_312775.5")</f>
        <v>XP_312775.5</v>
      </c>
      <c r="AW150" s="2">
        <v>100</v>
      </c>
      <c r="AX150" s="2">
        <v>100</v>
      </c>
      <c r="AY150" s="2">
        <v>100</v>
      </c>
      <c r="AZ150" s="2" t="s">
        <v>95</v>
      </c>
      <c r="BA150" s="9" t="str">
        <f>HYPERLINK(".\links\REFSEQ-INVERTEBRATE\AGAP003088-PA-REFSEQ-INVERTEBRATE.txt","AGAP003088-PA")</f>
        <v>AGAP003088-PA</v>
      </c>
      <c r="BB150" s="2" t="str">
        <f>HYPERLINK("http://www.ncbi.nlm.nih.gov/sutils/blink.cgi?pid=XP_312775.5","1E-149")</f>
        <v>1E-149</v>
      </c>
      <c r="BC150" s="2" t="str">
        <f>HYPERLINK("http://www.ncbi.nlm.nih.gov/protein/XP_312775.5","XP_312775.5")</f>
        <v>XP_312775.5</v>
      </c>
      <c r="BD150" s="2">
        <v>100</v>
      </c>
      <c r="BE150" s="2">
        <v>100</v>
      </c>
      <c r="BF150" s="2">
        <v>100</v>
      </c>
      <c r="BG150" s="2" t="s">
        <v>95</v>
      </c>
      <c r="BH150" s="9" t="str">
        <f>HYPERLINK(".\links\REFSEQ-PROTOZOA\AGAP003088-PA-REFSEQ-PROTOZOA.txt","hypothetical protein PTSG_00478")</f>
        <v>hypothetical protein PTSG_00478</v>
      </c>
      <c r="BI150" s="2" t="str">
        <f>HYPERLINK("http://www.ncbi.nlm.nih.gov/sutils/blink.cgi?pid=XP_004999024.1","1E-007")</f>
        <v>1E-007</v>
      </c>
      <c r="BJ150" s="2" t="str">
        <f>HYPERLINK("http://www.ncbi.nlm.nih.gov/protein/XP_004999024.1","XP_004999024.1")</f>
        <v>XP_004999024.1</v>
      </c>
      <c r="BK150" s="2">
        <v>25</v>
      </c>
      <c r="BL150" s="2">
        <v>45</v>
      </c>
      <c r="BM150" s="2">
        <v>63</v>
      </c>
      <c r="BN150" s="2" t="s">
        <v>182</v>
      </c>
      <c r="BO150" s="9" t="str">
        <f>HYPERLINK(".\links\SWISSP\AGAP003088-PA-SWISSP.txt","Transmembrane protein 192")</f>
        <v>Transmembrane protein 192</v>
      </c>
      <c r="BP150" s="2" t="str">
        <f>HYPERLINK("http://www.uniprot.org/uniprot/Q5U1Y0","6E-017")</f>
        <v>6E-017</v>
      </c>
      <c r="BQ150" s="2" t="str">
        <f>HYPERLINK("http://www.uniprot.org/uniprot/Q5U1Y0#expression","Q5U1Y0")</f>
        <v>Q5U1Y0</v>
      </c>
      <c r="BR150" s="2">
        <v>28</v>
      </c>
      <c r="BS150" s="2">
        <v>47</v>
      </c>
      <c r="BT150" s="2">
        <v>102</v>
      </c>
      <c r="BU150" s="2" t="s">
        <v>198</v>
      </c>
      <c r="BV150" s="9" t="str">
        <f>HYPERLINK(".\links\FLYBASE\AGAP003088-PA-FLYBASE.txt","FBpp0082923")</f>
        <v>FBpp0082923</v>
      </c>
      <c r="BW150" s="2" t="str">
        <f>HYPERLINK("http://flybase.org/reports/FBgn0038533#alliance_summary_container","3E-94")</f>
        <v>3E-94</v>
      </c>
      <c r="BX150" s="2">
        <v>260</v>
      </c>
      <c r="BY150" s="2">
        <v>55</v>
      </c>
      <c r="BZ150" s="2">
        <v>71</v>
      </c>
      <c r="CA150" s="2">
        <v>94</v>
      </c>
      <c r="CB150" s="9" t="str">
        <f>HYPERLINK(".\links\CDD\AGAP003088-PA-CDD.txt","TMEM192, TMEM192 family")</f>
        <v>TMEM192, TMEM192 family</v>
      </c>
      <c r="CC150" s="13">
        <v>9.9999999999999997E-73</v>
      </c>
      <c r="CD150" s="2">
        <v>100</v>
      </c>
      <c r="CE150" s="2" t="s">
        <v>705</v>
      </c>
      <c r="CF150" s="2" t="s">
        <v>706</v>
      </c>
      <c r="CG150" s="9" t="str">
        <f>HYPERLINK(".\links\KOG\AGAP003088-PA-KOG.txt","bHLHZip transcription factor BIGMAX")</f>
        <v>bHLHZip transcription factor BIGMAX</v>
      </c>
      <c r="CH150" s="13">
        <v>1.3</v>
      </c>
      <c r="CI150" s="2">
        <v>15.3</v>
      </c>
      <c r="CJ150" s="2" t="s">
        <v>707</v>
      </c>
      <c r="CK150" s="2" t="s">
        <v>377</v>
      </c>
      <c r="CL150" s="9" t="str">
        <f>HYPERLINK(".\links\PFAM\AGAP003088-PA-PFAM.txt","TMEM192, TMEM192 family")</f>
        <v>TMEM192, TMEM192 family</v>
      </c>
      <c r="CM150" s="13">
        <v>2E-73</v>
      </c>
      <c r="CN150" s="2">
        <v>100</v>
      </c>
      <c r="CO150" s="2" t="s">
        <v>705</v>
      </c>
      <c r="CP150" s="9" t="str">
        <f>HYPERLINK(".\links\SMART\AGAP003088-PA-SMART.txt","MutH, DNA mismatch repair enzyme MutH")</f>
        <v>MutH, DNA mismatch repair enzyme MutH</v>
      </c>
      <c r="CQ150" s="13">
        <v>1.4</v>
      </c>
      <c r="CR150" s="2">
        <v>15</v>
      </c>
      <c r="CS150" s="2" t="s">
        <v>708</v>
      </c>
      <c r="CT150" s="2" t="s">
        <v>701</v>
      </c>
      <c r="CU150" s="2" t="s">
        <v>701</v>
      </c>
      <c r="CV150" s="2" t="s">
        <v>701</v>
      </c>
      <c r="CW150" s="2" t="str">
        <f>HYPERLINK(".\links\pep\AGAP003088-PA-pep.txt","AGAP003088-PA")</f>
        <v>AGAP003088-PA</v>
      </c>
      <c r="CX150" s="2" t="s">
        <v>88</v>
      </c>
      <c r="CY150" s="2">
        <v>264</v>
      </c>
      <c r="CZ150" s="2" t="s">
        <v>103</v>
      </c>
      <c r="DA150" s="2" t="s">
        <v>709</v>
      </c>
      <c r="DB150" s="2">
        <v>0</v>
      </c>
      <c r="DC150" s="2">
        <v>1</v>
      </c>
      <c r="DD150" s="2" t="str">
        <f>HYPERLINK("https://www.kegg.jp/kegg-bin/search_pathway_text?map=aga&amp;keyword=AGAP003088&amp;mode=1&amp;viewImage=true","AGAP003088")</f>
        <v>AGAP003088</v>
      </c>
      <c r="DE150" s="2" t="s">
        <v>698</v>
      </c>
      <c r="DF150" s="2" t="s">
        <v>86</v>
      </c>
      <c r="DG150" s="2" t="s">
        <v>87</v>
      </c>
      <c r="DH150" s="2" t="str">
        <f>HYPERLINK("https://vectorbase.org/vectorbase/app/record/gene/AGAP003088","AGAP003088-RA")</f>
        <v>AGAP003088-RA</v>
      </c>
      <c r="DI150" s="2" t="s">
        <v>105</v>
      </c>
      <c r="DJ150" s="2">
        <v>1646</v>
      </c>
      <c r="DK150" s="2" t="str">
        <f>HYPERLINK(".\links\netoglyc\AGAP003088-PA-netoglyc.txt","0")</f>
        <v>0</v>
      </c>
      <c r="DL150" s="2">
        <v>14</v>
      </c>
      <c r="DM150" s="2">
        <v>5.7</v>
      </c>
      <c r="DN150" s="2">
        <v>3</v>
      </c>
      <c r="DO150" s="2" t="s">
        <v>94</v>
      </c>
      <c r="DP150" s="2" t="s">
        <v>89</v>
      </c>
      <c r="DQ150" s="2" t="str">
        <f>HYPERLINK(".\links\Sigp\AGAP003088-PA-SigP.txt","CYT")</f>
        <v>CYT</v>
      </c>
      <c r="DR150" s="2" t="s">
        <v>89</v>
      </c>
      <c r="DS150" s="2">
        <v>29.882000000000001</v>
      </c>
      <c r="DT150" s="2">
        <v>7.75</v>
      </c>
      <c r="DU150" s="2" t="s">
        <v>89</v>
      </c>
      <c r="DV150" s="2" t="s">
        <v>89</v>
      </c>
      <c r="DW150" s="2" t="s">
        <v>704</v>
      </c>
      <c r="DX150" s="2">
        <v>264</v>
      </c>
      <c r="DY150" s="12" t="str">
        <f>HYPERLINK(".\links\tmhmm\AGAP003088-PA-tmhmm.txt","4")</f>
        <v>4</v>
      </c>
      <c r="DZ150" s="2">
        <v>33.299999999999997</v>
      </c>
      <c r="EA150" s="2">
        <v>11.4</v>
      </c>
      <c r="EB150" s="2">
        <v>55.3</v>
      </c>
      <c r="EC150" s="2" t="str">
        <f>HYPERLINK(".\links\gpi\AGAP003088-PA-gpi.txt","N")</f>
        <v>N</v>
      </c>
      <c r="ED150" s="2">
        <v>0.26</v>
      </c>
      <c r="EF150" s="2">
        <v>4</v>
      </c>
      <c r="EG150" s="2" t="s">
        <v>89</v>
      </c>
      <c r="EH150" s="2" t="s">
        <v>89</v>
      </c>
      <c r="EI150" s="2">
        <v>14.0151515151515</v>
      </c>
      <c r="EJ150" s="2">
        <v>3.0303030303030298</v>
      </c>
      <c r="EK150" s="2">
        <v>5.6818181818181799</v>
      </c>
      <c r="EL150" s="2">
        <v>8.7121212121212093</v>
      </c>
      <c r="EM150" s="2" t="s">
        <v>89</v>
      </c>
      <c r="EN150" s="2" t="s">
        <v>89</v>
      </c>
      <c r="EO150" s="2">
        <v>1</v>
      </c>
      <c r="EP150" s="2" t="s">
        <v>89</v>
      </c>
      <c r="EQ150" s="2" t="s">
        <v>89</v>
      </c>
      <c r="ER150" s="2" t="s">
        <v>89</v>
      </c>
      <c r="ES150" s="2" t="s">
        <v>89</v>
      </c>
      <c r="ET150" s="2" t="str">
        <f>HYPERLINK(".\links\REFSEQ-INVERTEBRATE\AGAP003088-PA-REFSEQ-INVERTEBRATE.txt","AGAP003088-PA")</f>
        <v>AGAP003088-PA</v>
      </c>
      <c r="EU150" s="2" t="str">
        <f>HYPERLINK("http://www.ncbi.nlm.nih.gov/sutils/blink.cgi?pid=XP_312775.5","0.0")</f>
        <v>0.0</v>
      </c>
      <c r="EV150" s="2" t="str">
        <f>HYPERLINK("http://www.ncbi.nlm.nih.gov/protein/XP_312775.5","XP_312775.5")</f>
        <v>XP_312775.5</v>
      </c>
      <c r="EW150" s="2">
        <v>100</v>
      </c>
      <c r="EX150" s="2">
        <v>100</v>
      </c>
      <c r="EY150" s="2">
        <v>100</v>
      </c>
      <c r="EZ150" s="2" t="s">
        <v>95</v>
      </c>
    </row>
    <row r="151" spans="1:156" x14ac:dyDescent="0.25">
      <c r="A151" s="2" t="s">
        <v>1230</v>
      </c>
      <c r="B151" s="2">
        <v>-0.89032932569800205</v>
      </c>
      <c r="C151" s="2">
        <f t="shared" si="2"/>
        <v>0.53949095395916891</v>
      </c>
      <c r="D151" s="2">
        <v>6.2780421987369799</v>
      </c>
      <c r="E151" s="2">
        <v>12.2647418100272</v>
      </c>
      <c r="F151" s="2">
        <v>4.6159707905716398E-4</v>
      </c>
      <c r="G151" s="2">
        <v>2.54604392585813E-2</v>
      </c>
      <c r="H151" s="2" t="s">
        <v>86</v>
      </c>
      <c r="I151" s="2" t="s">
        <v>87</v>
      </c>
      <c r="J151" s="2" t="str">
        <f>HYPERLINK("https://vectorbase.org/vectorbase/app/record/gene/AGAP004639","AGAP004639-RA")</f>
        <v>AGAP004639-RA</v>
      </c>
      <c r="K151" s="2" t="str">
        <f>HYPERLINK(".\links\pep\AGAP004639-PA-pep.txt","AGAP004639-PA")</f>
        <v>AGAP004639-PA</v>
      </c>
      <c r="L151" s="12" t="s">
        <v>88</v>
      </c>
      <c r="M151" s="2">
        <v>302</v>
      </c>
      <c r="N151" s="2">
        <v>0</v>
      </c>
      <c r="O151" s="2">
        <v>0</v>
      </c>
      <c r="P151" s="2" t="s">
        <v>89</v>
      </c>
      <c r="Q151" s="9" t="s">
        <v>1231</v>
      </c>
      <c r="R151" s="2" t="s">
        <v>755</v>
      </c>
      <c r="S151" s="2" t="str">
        <f>HYPERLINK(".\links\REFSEQ-INVERTEBRATE\AGAP004639-PA-REFSEQ-INVERTEBRATE.txt","REFSEQ-INVERTEBRATE")</f>
        <v>REFSEQ-INVERTEBRATE</v>
      </c>
      <c r="T151" s="2">
        <v>5.9999999999999996E-63</v>
      </c>
      <c r="U151" s="2">
        <v>97.2</v>
      </c>
      <c r="V151" s="2" t="s">
        <v>1232</v>
      </c>
      <c r="W151" s="10" t="s">
        <v>1233</v>
      </c>
      <c r="X151" s="2" t="s">
        <v>755</v>
      </c>
      <c r="Y151" s="2" t="str">
        <f>HYPERLINK(".\links\ARTHORPODA\AGAP004639-PA-ARTHORPODA.txt","ARTHORPODA")</f>
        <v>ARTHORPODA</v>
      </c>
      <c r="Z151" s="2">
        <v>0</v>
      </c>
      <c r="AA151" s="2">
        <v>100</v>
      </c>
      <c r="AB151" s="14" t="s">
        <v>89</v>
      </c>
      <c r="AC151" s="14" t="str">
        <f>HYPERLINK(".\links\Sigp\AGAP004639-PA-SigP.txt","SIG")</f>
        <v>SIG</v>
      </c>
      <c r="AD151" s="2" t="s">
        <v>1035</v>
      </c>
      <c r="AE151" s="2">
        <v>34.323999999999998</v>
      </c>
      <c r="AF151" s="2">
        <v>5.69</v>
      </c>
      <c r="AG151" s="2">
        <v>31.535</v>
      </c>
      <c r="AH151" s="2">
        <v>5.55</v>
      </c>
      <c r="AI151" s="2" t="s">
        <v>1234</v>
      </c>
      <c r="AJ151" s="14" t="str">
        <f>HYPERLINK(".\links\tmhmm\AGAP004639-PA-tmhmm.txt","1")</f>
        <v>1</v>
      </c>
      <c r="AK151" s="2">
        <v>7.3</v>
      </c>
      <c r="AL151" s="2">
        <v>90.4</v>
      </c>
      <c r="AM151" s="2">
        <v>2.2999999999999998</v>
      </c>
      <c r="AN151" s="14" t="str">
        <f>HYPERLINK(".\links\gpi\AGAP004639-PA-gpi.txt","N")</f>
        <v>N</v>
      </c>
      <c r="AO151" s="15" t="str">
        <f>HYPERLINK(".\links\netoglyc\AGAP004639-PA-netoglyc.txt","0")</f>
        <v>0</v>
      </c>
      <c r="AP151" s="14">
        <v>13.9</v>
      </c>
      <c r="AQ151" s="2">
        <v>5.6</v>
      </c>
      <c r="AR151" s="2">
        <v>4</v>
      </c>
      <c r="AS151" s="2" t="s">
        <v>94</v>
      </c>
      <c r="AT151" s="9" t="str">
        <f>HYPERLINK(".\links\NR-LIGHT\AGAP004639-PA-NR-LIGHT.txt","AGAP004639-PA")</f>
        <v>AGAP004639-PA</v>
      </c>
      <c r="AU151" s="2" t="str">
        <f>HYPERLINK("http://www.ncbi.nlm.nih.gov/sutils/blink.cgi?pid=XP_001237630.3","1E-178")</f>
        <v>1E-178</v>
      </c>
      <c r="AV151" s="2" t="str">
        <f>HYPERLINK("http://www.ncbi.nlm.nih.gov/protein/XP_001237630.3","XP_001237630.3")</f>
        <v>XP_001237630.3</v>
      </c>
      <c r="AW151" s="2">
        <v>100</v>
      </c>
      <c r="AX151" s="2">
        <v>100</v>
      </c>
      <c r="AY151" s="2">
        <v>100</v>
      </c>
      <c r="AZ151" s="2" t="s">
        <v>95</v>
      </c>
      <c r="BA151" s="9" t="str">
        <f>HYPERLINK(".\links\REFSEQ-INVERTEBRATE\AGAP004639-PA-REFSEQ-INVERTEBRATE.txt","AGAP004639-PA")</f>
        <v>AGAP004639-PA</v>
      </c>
      <c r="BB151" s="2" t="str">
        <f>HYPERLINK("http://www.ncbi.nlm.nih.gov/sutils/blink.cgi?pid=XP_001237630.3","1E-178")</f>
        <v>1E-178</v>
      </c>
      <c r="BC151" s="2" t="str">
        <f>HYPERLINK("http://www.ncbi.nlm.nih.gov/protein/XP_001237630.3","XP_001237630.3")</f>
        <v>XP_001237630.3</v>
      </c>
      <c r="BD151" s="2">
        <v>100</v>
      </c>
      <c r="BE151" s="2">
        <v>100</v>
      </c>
      <c r="BF151" s="2">
        <v>100</v>
      </c>
      <c r="BG151" s="2" t="s">
        <v>95</v>
      </c>
      <c r="BH151" s="9" t="str">
        <f>HYPERLINK(".\links\REFSEQ-PROTOZOA\AGAP004639-PA-REFSEQ-PROTOZOA.txt","predicted protein")</f>
        <v>predicted protein</v>
      </c>
      <c r="BI151" s="2" t="str">
        <f>HYPERLINK("http://www.ncbi.nlm.nih.gov/sutils/blink.cgi?pid=XP_002293362.1","4E-007")</f>
        <v>4E-007</v>
      </c>
      <c r="BJ151" s="2" t="str">
        <f>HYPERLINK("http://www.ncbi.nlm.nih.gov/protein/XP_002293362.1","XP_002293362.1")</f>
        <v>XP_002293362.1</v>
      </c>
      <c r="BK151" s="2">
        <v>26</v>
      </c>
      <c r="BL151" s="2">
        <v>44</v>
      </c>
      <c r="BM151" s="2">
        <v>54</v>
      </c>
      <c r="BN151" s="2" t="s">
        <v>1235</v>
      </c>
      <c r="BO151" s="9" t="str">
        <f>HYPERLINK(".\links\SWISSP\AGAP004639-PA-SWISSP.txt","Serine protease grass")</f>
        <v>Serine protease grass</v>
      </c>
      <c r="BP151" s="2" t="str">
        <f>HYPERLINK("http://www.uniprot.org/uniprot/Q9VB68","5E-018")</f>
        <v>5E-018</v>
      </c>
      <c r="BQ151" s="2" t="str">
        <f>HYPERLINK("http://www.uniprot.org/uniprot/Q9VB68#expression","Q9VB68")</f>
        <v>Q9VB68</v>
      </c>
      <c r="BR151" s="2">
        <v>29</v>
      </c>
      <c r="BS151" s="2">
        <v>44</v>
      </c>
      <c r="BT151" s="2">
        <v>68</v>
      </c>
      <c r="BU151" s="2" t="s">
        <v>151</v>
      </c>
      <c r="BV151" s="9" t="str">
        <f>HYPERLINK(".\links\FLYBASE\AGAP004639-PA-FLYBASE.txt","FBpp0084481")</f>
        <v>FBpp0084481</v>
      </c>
      <c r="BW151" s="2" t="str">
        <f>HYPERLINK("http://flybase.org/reports/FBgn0039494#alliance_summary_container","3E-23")</f>
        <v>3E-23</v>
      </c>
      <c r="BX151" s="2">
        <v>335</v>
      </c>
      <c r="BY151" s="2">
        <v>30</v>
      </c>
      <c r="BZ151" s="2">
        <v>44</v>
      </c>
      <c r="CA151" s="2">
        <v>76</v>
      </c>
      <c r="CB151" s="9" t="str">
        <f>HYPERLINK(".\links\CDD\AGAP004639-PA-CDD.txt","Tryp_SPc, Trypsin-like serine protease")</f>
        <v>Tryp_SPc, Trypsin-like serine protease</v>
      </c>
      <c r="CC151" s="13">
        <v>4.0000000000000002E-26</v>
      </c>
      <c r="CD151" s="2">
        <v>103</v>
      </c>
      <c r="CE151" s="2" t="s">
        <v>758</v>
      </c>
      <c r="CF151" s="2" t="s">
        <v>1236</v>
      </c>
      <c r="CG151" s="9" t="str">
        <f>HYPERLINK(".\links\KOG\AGAP004639-PA-KOG.txt","Trypsin")</f>
        <v>Trypsin</v>
      </c>
      <c r="CH151" s="13">
        <v>5.9999999999999995E-25</v>
      </c>
      <c r="CI151" s="2">
        <v>94.5</v>
      </c>
      <c r="CJ151" s="2" t="s">
        <v>760</v>
      </c>
      <c r="CK151" s="2" t="s">
        <v>393</v>
      </c>
      <c r="CL151" s="9" t="str">
        <f>HYPERLINK(".\links\PFAM\AGAP004639-PA-PFAM.txt","Trypsin, Trypsin")</f>
        <v>Trypsin, Trypsin</v>
      </c>
      <c r="CM151" s="13">
        <v>2E-19</v>
      </c>
      <c r="CN151" s="2">
        <v>106.4</v>
      </c>
      <c r="CO151" s="2" t="s">
        <v>761</v>
      </c>
      <c r="CP151" s="9" t="str">
        <f>HYPERLINK(".\links\SMART\AGAP004639-PA-SMART.txt","Tryp_SPc, Trypsin-like serine protease")</f>
        <v>Tryp_SPc, Trypsin-like serine protease</v>
      </c>
      <c r="CQ151" s="13">
        <v>5.0000000000000002E-28</v>
      </c>
      <c r="CR151" s="2">
        <v>103.9</v>
      </c>
      <c r="CS151" s="2" t="s">
        <v>762</v>
      </c>
      <c r="CT151" s="2" t="s">
        <v>1232</v>
      </c>
      <c r="CU151" s="2" t="s">
        <v>1232</v>
      </c>
      <c r="CV151" s="2" t="s">
        <v>1232</v>
      </c>
      <c r="CW151" s="2" t="str">
        <f>HYPERLINK(".\links\pep\AGAP004639-PA-pep.txt","AGAP004639-PA")</f>
        <v>AGAP004639-PA</v>
      </c>
      <c r="CX151" s="2" t="s">
        <v>88</v>
      </c>
      <c r="CY151" s="2">
        <v>302</v>
      </c>
      <c r="CZ151" s="2" t="s">
        <v>103</v>
      </c>
      <c r="DA151" s="2" t="s">
        <v>1237</v>
      </c>
      <c r="DB151" s="2">
        <v>0</v>
      </c>
      <c r="DC151" s="2">
        <v>0</v>
      </c>
      <c r="DD151" s="2" t="str">
        <f>HYPERLINK("https://www.kegg.jp/kegg-bin/search_pathway_text?map=aga&amp;keyword=AGAP004639&amp;mode=1&amp;viewImage=true","AGAP004639")</f>
        <v>AGAP004639</v>
      </c>
      <c r="DE151" s="2" t="s">
        <v>1230</v>
      </c>
      <c r="DF151" s="2" t="s">
        <v>86</v>
      </c>
      <c r="DG151" s="2" t="s">
        <v>87</v>
      </c>
      <c r="DH151" s="2" t="str">
        <f>HYPERLINK("https://vectorbase.org/vectorbase/app/record/gene/AGAP004639","AGAP004639-RA")</f>
        <v>AGAP004639-RA</v>
      </c>
      <c r="DI151" s="2" t="s">
        <v>158</v>
      </c>
      <c r="DJ151" s="2">
        <v>982</v>
      </c>
      <c r="DK151" s="2" t="str">
        <f>HYPERLINK(".\links\netoglyc\AGAP004639-PA-netoglyc.txt","0")</f>
        <v>0</v>
      </c>
      <c r="DL151" s="2">
        <v>13.9</v>
      </c>
      <c r="DM151" s="2">
        <v>5.6</v>
      </c>
      <c r="DN151" s="2">
        <v>4</v>
      </c>
      <c r="DO151" s="2" t="s">
        <v>94</v>
      </c>
      <c r="DP151" s="2" t="s">
        <v>89</v>
      </c>
      <c r="DQ151" s="2" t="str">
        <f>HYPERLINK(".\links\Sigp\AGAP004639-PA-SigP.txt","SIG")</f>
        <v>SIG</v>
      </c>
      <c r="DR151" s="2" t="s">
        <v>1035</v>
      </c>
      <c r="DS151" s="2">
        <v>34.323999999999998</v>
      </c>
      <c r="DT151" s="2">
        <v>5.69</v>
      </c>
      <c r="DU151" s="2">
        <v>31.535</v>
      </c>
      <c r="DV151" s="2">
        <v>5.55</v>
      </c>
      <c r="DW151" s="2" t="s">
        <v>1234</v>
      </c>
      <c r="DX151" s="2">
        <v>302</v>
      </c>
      <c r="DY151" s="12" t="str">
        <f>HYPERLINK(".\links\tmhmm\AGAP004639-PA-tmhmm.txt","1")</f>
        <v>1</v>
      </c>
      <c r="DZ151" s="2">
        <v>7.3</v>
      </c>
      <c r="EA151" s="2">
        <v>90.4</v>
      </c>
      <c r="EB151" s="2">
        <v>2.2999999999999998</v>
      </c>
      <c r="EC151" s="2" t="str">
        <f>HYPERLINK(".\links\gpi\AGAP004639-PA-gpi.txt","Y-NoSP")</f>
        <v>Y-NoSP</v>
      </c>
      <c r="ED151" s="2">
        <v>0.28999999999999998</v>
      </c>
      <c r="EF151" s="2">
        <v>9</v>
      </c>
      <c r="EG151" s="2" t="s">
        <v>89</v>
      </c>
      <c r="EH151" s="2" t="s">
        <v>89</v>
      </c>
      <c r="EI151" s="2">
        <v>13.9072847682119</v>
      </c>
      <c r="EJ151" s="2">
        <v>3.9735099337748299</v>
      </c>
      <c r="EK151" s="2">
        <v>5.6291390728476802</v>
      </c>
      <c r="EL151" s="2">
        <v>9.6026490066225207</v>
      </c>
      <c r="EM151" s="2" t="s">
        <v>89</v>
      </c>
      <c r="EN151" s="2" t="s">
        <v>89</v>
      </c>
      <c r="EO151" s="2" t="s">
        <v>89</v>
      </c>
      <c r="EP151" s="2" t="s">
        <v>89</v>
      </c>
      <c r="EQ151" s="2" t="s">
        <v>89</v>
      </c>
      <c r="ER151" s="2" t="s">
        <v>89</v>
      </c>
      <c r="ES151" s="2" t="s">
        <v>89</v>
      </c>
      <c r="ET151" s="2" t="str">
        <f>HYPERLINK(".\links\REFSEQ-INVERTEBRATE\AGAP004639-PA-REFSEQ-INVERTEBRATE.txt","AGAP004639-PA")</f>
        <v>AGAP004639-PA</v>
      </c>
      <c r="EU151" s="2" t="str">
        <f>HYPERLINK("http://www.ncbi.nlm.nih.gov/sutils/blink.cgi?pid=XP_001237630.3","0.0")</f>
        <v>0.0</v>
      </c>
      <c r="EV151" s="2" t="str">
        <f>HYPERLINK("http://www.ncbi.nlm.nih.gov/protein/XP_001237630.3","XP_001237630.3")</f>
        <v>XP_001237630.3</v>
      </c>
      <c r="EW151" s="2">
        <v>100</v>
      </c>
      <c r="EX151" s="2">
        <v>100</v>
      </c>
      <c r="EY151" s="2">
        <v>100</v>
      </c>
      <c r="EZ151" s="2" t="s">
        <v>95</v>
      </c>
    </row>
    <row r="152" spans="1:156" x14ac:dyDescent="0.25">
      <c r="A152" s="2" t="s">
        <v>2543</v>
      </c>
      <c r="B152" s="2">
        <v>-0.89075367702089903</v>
      </c>
      <c r="C152" s="2">
        <f t="shared" si="2"/>
        <v>0.53933229254578952</v>
      </c>
      <c r="D152" s="2">
        <v>7.8693829381237403</v>
      </c>
      <c r="E152" s="2">
        <v>20.671734407413702</v>
      </c>
      <c r="F152" s="2">
        <v>5.4514835335333797E-6</v>
      </c>
      <c r="G152" s="2">
        <v>1.1845294935006101E-3</v>
      </c>
      <c r="H152" s="2" t="s">
        <v>2533</v>
      </c>
      <c r="I152" s="2" t="s">
        <v>87</v>
      </c>
      <c r="J152" s="2" t="str">
        <f>HYPERLINK("https://vectorbase.org/vectorbase/app/record/gene/AGAP010337","AGAP010337-RC")</f>
        <v>AGAP010337-RC</v>
      </c>
      <c r="K152" s="2" t="str">
        <f>HYPERLINK(".\links\pep\AGAP010337-PC-pep.txt","AGAP010337-PC")</f>
        <v>AGAP010337-PC</v>
      </c>
      <c r="L152" s="12" t="s">
        <v>88</v>
      </c>
      <c r="M152" s="2">
        <v>82</v>
      </c>
      <c r="N152" s="2">
        <v>0</v>
      </c>
      <c r="O152" s="2">
        <v>0</v>
      </c>
      <c r="P152" s="2" t="s">
        <v>2534</v>
      </c>
      <c r="Q152" s="9" t="s">
        <v>2535</v>
      </c>
      <c r="R152" s="2" t="s">
        <v>145</v>
      </c>
      <c r="S152" s="2" t="str">
        <f>HYPERLINK(".\links\REFSEQ-INVERTEBRATE\AGAP010337-PC-REFSEQ-INVERTEBRATE.txt","REFSEQ-INVERTEBRATE")</f>
        <v>REFSEQ-INVERTEBRATE</v>
      </c>
      <c r="T152" s="2">
        <v>7.9999999999999994E-34</v>
      </c>
      <c r="U152" s="2">
        <v>100</v>
      </c>
      <c r="V152" s="2" t="s">
        <v>2544</v>
      </c>
      <c r="W152" s="10" t="s">
        <v>2537</v>
      </c>
      <c r="X152" s="2" t="s">
        <v>145</v>
      </c>
      <c r="Y152" s="2" t="str">
        <f>HYPERLINK(".\links\REFSEQ-INVERTEBRATE\AGAP010337-PC-REFSEQ-INVERTEBRATE.txt","REFSEQ-INVERTEBRATE")</f>
        <v>REFSEQ-INVERTEBRATE</v>
      </c>
      <c r="Z152" s="13">
        <v>6.0000000000000002E-54</v>
      </c>
      <c r="AA152" s="2">
        <v>100</v>
      </c>
      <c r="AB152" s="14" t="s">
        <v>89</v>
      </c>
      <c r="AC152" s="14" t="str">
        <f>HYPERLINK(".\links\Sigp\AGAP010337-PC-SigP.txt","CYT")</f>
        <v>CYT</v>
      </c>
      <c r="AD152" s="2" t="s">
        <v>89</v>
      </c>
      <c r="AE152" s="2">
        <v>9.3759999999999994</v>
      </c>
      <c r="AF152" s="2">
        <v>9.86</v>
      </c>
      <c r="AG152" s="2" t="s">
        <v>89</v>
      </c>
      <c r="AH152" s="2" t="s">
        <v>89</v>
      </c>
      <c r="AI152" s="2" t="s">
        <v>2538</v>
      </c>
      <c r="AJ152" s="14" t="str">
        <f>HYPERLINK(".\links\tmhmm\AGAP010337-PC-tmhmm.txt","1")</f>
        <v>1</v>
      </c>
      <c r="AK152" s="2">
        <v>20.7</v>
      </c>
      <c r="AL152" s="2">
        <v>56.1</v>
      </c>
      <c r="AM152" s="2">
        <v>23.2</v>
      </c>
      <c r="AN152" s="14" t="str">
        <f>HYPERLINK(".\links\gpi\AGAP010337-PC-gpi.txt","N")</f>
        <v>N</v>
      </c>
      <c r="AO152" s="15" t="str">
        <f>HYPERLINK(".\links\netoglyc\AGAP010337-PC-netoglyc.txt","0")</f>
        <v>0</v>
      </c>
      <c r="AP152" s="14">
        <v>8.5</v>
      </c>
      <c r="AQ152" s="2">
        <v>7.3</v>
      </c>
      <c r="AR152" s="2">
        <v>6.1</v>
      </c>
      <c r="AS152" s="2" t="s">
        <v>94</v>
      </c>
      <c r="AT152" s="9" t="str">
        <f>HYPERLINK(".\links\NR-LIGHT\AGAP010337-PC-NR-LIGHT.txt","AGAP010337-PA, partial")</f>
        <v>AGAP010337-PA, partial</v>
      </c>
      <c r="AU152" s="2" t="str">
        <f>HYPERLINK("http://www.ncbi.nlm.nih.gov/sutils/blink.cgi?pid=XP_311607.2","4E-041")</f>
        <v>4E-041</v>
      </c>
      <c r="AV152" s="2" t="str">
        <f>HYPERLINK("http://www.ncbi.nlm.nih.gov/protein/XP_311607.2","XP_311607.2")</f>
        <v>XP_311607.2</v>
      </c>
      <c r="AW152" s="2">
        <v>100</v>
      </c>
      <c r="AX152" s="2">
        <v>100</v>
      </c>
      <c r="AY152" s="2">
        <v>94</v>
      </c>
      <c r="AZ152" s="2" t="s">
        <v>95</v>
      </c>
      <c r="BA152" s="9" t="str">
        <f>HYPERLINK(".\links\REFSEQ-INVERTEBRATE\AGAP010337-PC-REFSEQ-INVERTEBRATE.txt","AGAP010337-PA, partial")</f>
        <v>AGAP010337-PA, partial</v>
      </c>
      <c r="BB152" s="2" t="str">
        <f>HYPERLINK("http://www.ncbi.nlm.nih.gov/sutils/blink.cgi?pid=XP_311607.2","4E-041")</f>
        <v>4E-041</v>
      </c>
      <c r="BC152" s="2" t="str">
        <f>HYPERLINK("http://www.ncbi.nlm.nih.gov/protein/XP_311607.2","XP_311607.2")</f>
        <v>XP_311607.2</v>
      </c>
      <c r="BD152" s="2">
        <v>100</v>
      </c>
      <c r="BE152" s="2">
        <v>100</v>
      </c>
      <c r="BF152" s="2">
        <v>94</v>
      </c>
      <c r="BG152" s="2" t="s">
        <v>95</v>
      </c>
      <c r="BH152" s="9" t="str">
        <f>HYPERLINK(".\links\REFSEQ-PROTOZOA\AGAP010337-PC-REFSEQ-PROTOZOA.txt","UcrQ family protein")</f>
        <v>UcrQ family protein</v>
      </c>
      <c r="BI152" s="2" t="str">
        <f>HYPERLINK("http://www.ncbi.nlm.nih.gov/sutils/blink.cgi?pid=XP_014151257.1","6E-011")</f>
        <v>6E-011</v>
      </c>
      <c r="BJ152" s="2" t="str">
        <f>HYPERLINK("http://www.ncbi.nlm.nih.gov/protein/XP_014151257.1","XP_014151257.1")</f>
        <v>XP_014151257.1</v>
      </c>
      <c r="BK152" s="2">
        <v>42</v>
      </c>
      <c r="BL152" s="2">
        <v>58</v>
      </c>
      <c r="BM152" s="2">
        <v>97</v>
      </c>
      <c r="BN152" s="2" t="s">
        <v>168</v>
      </c>
      <c r="BO152" s="9" t="str">
        <f>HYPERLINK(".\links\SWISSP\AGAP010337-PC-SWISSP.txt","Cytochrome b-c1 complex subunit 8")</f>
        <v>Cytochrome b-c1 complex subunit 8</v>
      </c>
      <c r="BP152" s="2" t="str">
        <f>HYPERLINK("http://www.uniprot.org/uniprot/Q7TQ16","3E-019")</f>
        <v>3E-019</v>
      </c>
      <c r="BQ152" s="2" t="str">
        <f>HYPERLINK("http://www.uniprot.org/uniprot/Q7TQ16#expression","Q7TQ16")</f>
        <v>Q7TQ16</v>
      </c>
      <c r="BR152" s="2">
        <v>49</v>
      </c>
      <c r="BS152" s="2">
        <v>70</v>
      </c>
      <c r="BT152" s="2">
        <v>99</v>
      </c>
      <c r="BU152" s="2" t="s">
        <v>198</v>
      </c>
      <c r="BV152" s="9" t="str">
        <f>HYPERLINK(".\links\FLYBASE\AGAP010337-PC-FLYBASE.txt","FBpp0305844")</f>
        <v>FBpp0305844</v>
      </c>
      <c r="BW152" s="2" t="str">
        <f>HYPERLINK("http://flybase.org/reports/FBgn0036728#alliance_summary_container","7E-35")</f>
        <v>7E-35</v>
      </c>
      <c r="BX152" s="2">
        <v>89</v>
      </c>
      <c r="BY152" s="2">
        <v>63</v>
      </c>
      <c r="BZ152" s="2">
        <v>78</v>
      </c>
      <c r="CA152" s="2">
        <v>90</v>
      </c>
      <c r="CB152" s="9" t="str">
        <f>HYPERLINK(".\links\CDD\AGAP010337-PC-CDD.txt","UcrQ, UcrQ family")</f>
        <v>UcrQ, UcrQ family</v>
      </c>
      <c r="CC152" s="13">
        <v>8.9999999999999998E-26</v>
      </c>
      <c r="CD152" s="2">
        <v>100</v>
      </c>
      <c r="CE152" s="2" t="s">
        <v>2539</v>
      </c>
      <c r="CF152" s="2" t="s">
        <v>2540</v>
      </c>
      <c r="CG152" s="9" t="str">
        <f>HYPERLINK(".\links\KOG\AGAP010337-PC-KOG.txt","subunit QCR8")</f>
        <v>subunit QCR8</v>
      </c>
      <c r="CH152" s="13">
        <v>1.9999999999999999E-20</v>
      </c>
      <c r="CI152" s="2">
        <v>91.1</v>
      </c>
      <c r="CJ152" s="2" t="s">
        <v>2541</v>
      </c>
      <c r="CK152" s="2" t="s">
        <v>155</v>
      </c>
      <c r="CL152" s="9" t="str">
        <f>HYPERLINK(".\links\PFAM\AGAP010337-PC-PFAM.txt","UcrQ, UcrQ family")</f>
        <v>UcrQ, UcrQ family</v>
      </c>
      <c r="CM152" s="13">
        <v>2.0000000000000001E-26</v>
      </c>
      <c r="CN152" s="2">
        <v>100</v>
      </c>
      <c r="CO152" s="2" t="s">
        <v>2539</v>
      </c>
      <c r="CP152" s="9" t="str">
        <f>HYPERLINK(".\links\SMART\AGAP010337-PC-SMART.txt","Col_cuticle_N, Nematode cuticle collagen N-terminal domain")</f>
        <v>Col_cuticle_N, Nematode cuticle collagen N-terminal domain</v>
      </c>
      <c r="CQ152" s="13">
        <v>9.4E-2</v>
      </c>
      <c r="CR152" s="2">
        <v>28.3</v>
      </c>
      <c r="CS152" s="2" t="s">
        <v>2027</v>
      </c>
      <c r="CT152" s="2" t="s">
        <v>2544</v>
      </c>
      <c r="CU152" s="2" t="s">
        <v>2544</v>
      </c>
      <c r="CV152" s="2" t="s">
        <v>2544</v>
      </c>
      <c r="CW152" s="2" t="str">
        <f>HYPERLINK(".\links\pep\AGAP010337-PC-pep.txt","AGAP010337-PC")</f>
        <v>AGAP010337-PC</v>
      </c>
      <c r="CX152" s="2" t="s">
        <v>88</v>
      </c>
      <c r="CY152" s="2">
        <v>82</v>
      </c>
      <c r="CZ152" s="2" t="s">
        <v>103</v>
      </c>
      <c r="DA152" s="2" t="s">
        <v>2542</v>
      </c>
      <c r="DB152" s="2">
        <v>0</v>
      </c>
      <c r="DC152" s="2">
        <v>0</v>
      </c>
      <c r="DD152" s="2" t="str">
        <f>HYPERLINK("https://www.kegg.jp/kegg-bin/search_pathway_text?map=aga&amp;keyword=AGAP010337&amp;mode=1&amp;viewImage=true","AGAP010337")</f>
        <v>AGAP010337</v>
      </c>
      <c r="DE152" s="2" t="s">
        <v>2543</v>
      </c>
      <c r="DF152" s="2" t="s">
        <v>2533</v>
      </c>
      <c r="DG152" s="2" t="s">
        <v>87</v>
      </c>
      <c r="DH152" s="2" t="str">
        <f>HYPERLINK("https://vectorbase.org/vectorbase/app/record/gene/AGAP010337","AGAP010337-RC")</f>
        <v>AGAP010337-RC</v>
      </c>
      <c r="DI152" s="2" t="s">
        <v>105</v>
      </c>
      <c r="DJ152" s="2">
        <v>612</v>
      </c>
      <c r="DK152" s="2" t="str">
        <f>HYPERLINK(".\links\netoglyc\AGAP010337-PC-netoglyc.txt","0")</f>
        <v>0</v>
      </c>
      <c r="DL152" s="2">
        <v>8.5</v>
      </c>
      <c r="DM152" s="2">
        <v>7.3</v>
      </c>
      <c r="DN152" s="2">
        <v>6.1</v>
      </c>
      <c r="DO152" s="2" t="s">
        <v>94</v>
      </c>
      <c r="DP152" s="2" t="s">
        <v>89</v>
      </c>
      <c r="DQ152" s="2" t="str">
        <f>HYPERLINK(".\links\Sigp\AGAP010337-PC-SigP.txt","CYT")</f>
        <v>CYT</v>
      </c>
      <c r="DR152" s="2" t="s">
        <v>89</v>
      </c>
      <c r="DS152" s="2">
        <v>9.3759999999999994</v>
      </c>
      <c r="DT152" s="2">
        <v>9.86</v>
      </c>
      <c r="DU152" s="2" t="s">
        <v>89</v>
      </c>
      <c r="DV152" s="2" t="s">
        <v>89</v>
      </c>
      <c r="DW152" s="2" t="s">
        <v>2538</v>
      </c>
      <c r="DX152" s="2">
        <v>82</v>
      </c>
      <c r="DY152" s="12" t="str">
        <f>HYPERLINK(".\links\tmhmm\AGAP010337-PC-tmhmm.txt","1")</f>
        <v>1</v>
      </c>
      <c r="DZ152" s="2">
        <v>20.7</v>
      </c>
      <c r="EA152" s="2">
        <v>56.1</v>
      </c>
      <c r="EB152" s="2">
        <v>23.2</v>
      </c>
      <c r="EC152" s="2" t="str">
        <f>HYPERLINK(".\links\gpi\AGAP010337-PC-gpi.txt","N")</f>
        <v>N</v>
      </c>
      <c r="ED152" s="2">
        <v>0.42</v>
      </c>
      <c r="EF152" s="2">
        <v>0</v>
      </c>
      <c r="EG152" s="2" t="s">
        <v>89</v>
      </c>
      <c r="EH152" s="2" t="s">
        <v>89</v>
      </c>
      <c r="EI152" s="2">
        <v>8.5365853658536608</v>
      </c>
      <c r="EJ152" s="2">
        <v>6.0975609756097597</v>
      </c>
      <c r="EK152" s="2">
        <v>7.3170731707317103</v>
      </c>
      <c r="EL152" s="2">
        <v>13.4146341463415</v>
      </c>
      <c r="EM152" s="2" t="s">
        <v>89</v>
      </c>
      <c r="EN152" s="2">
        <v>1</v>
      </c>
      <c r="EO152" s="2">
        <v>1</v>
      </c>
      <c r="EP152" s="2" t="s">
        <v>89</v>
      </c>
      <c r="EQ152" s="2" t="s">
        <v>89</v>
      </c>
      <c r="ER152" s="2" t="s">
        <v>89</v>
      </c>
      <c r="ES152" s="2" t="s">
        <v>89</v>
      </c>
      <c r="ET152" s="2" t="str">
        <f>HYPERLINK(".\links\REFSEQ-INVERTEBRATE\AGAP010337-PC-REFSEQ-INVERTEBRATE.txt","AGAP010337-PA, partial")</f>
        <v>AGAP010337-PA, partial</v>
      </c>
      <c r="EU152" s="2" t="str">
        <f>HYPERLINK("http://www.ncbi.nlm.nih.gov/sutils/blink.cgi?pid=XP_311607.2","3E-55")</f>
        <v>3E-55</v>
      </c>
      <c r="EV152" s="2" t="str">
        <f>HYPERLINK("http://www.ncbi.nlm.nih.gov/protein/XP_311607.2","XP_311607.2")</f>
        <v>XP_311607.2</v>
      </c>
      <c r="EW152" s="2">
        <v>100</v>
      </c>
      <c r="EX152" s="2">
        <v>100</v>
      </c>
      <c r="EY152" s="2">
        <v>94</v>
      </c>
      <c r="EZ152" s="2" t="s">
        <v>95</v>
      </c>
    </row>
    <row r="153" spans="1:156" x14ac:dyDescent="0.25">
      <c r="A153" s="2" t="s">
        <v>1054</v>
      </c>
      <c r="B153" s="2">
        <v>-0.89383634582728799</v>
      </c>
      <c r="C153" s="2">
        <f t="shared" si="2"/>
        <v>0.53818110827217569</v>
      </c>
      <c r="D153" s="2">
        <v>5.7465055812589902</v>
      </c>
      <c r="E153" s="2">
        <v>25.6508776951584</v>
      </c>
      <c r="F153" s="2">
        <v>4.09109372166584E-7</v>
      </c>
      <c r="G153" s="2">
        <v>2.41988193636534E-4</v>
      </c>
      <c r="H153" s="2" t="s">
        <v>86</v>
      </c>
      <c r="I153" s="2" t="s">
        <v>87</v>
      </c>
      <c r="J153" s="2" t="str">
        <f>HYPERLINK("https://vectorbase.org/vectorbase/app/record/gene/AGAP004196","AGAP004196-RA")</f>
        <v>AGAP004196-RA</v>
      </c>
      <c r="K153" s="2" t="str">
        <f>HYPERLINK(".\links\pep\AGAP004196-PA-pep.txt","AGAP004196-PA")</f>
        <v>AGAP004196-PA</v>
      </c>
      <c r="L153" s="12" t="s">
        <v>88</v>
      </c>
      <c r="M153" s="2">
        <v>87</v>
      </c>
      <c r="N153" s="2">
        <v>0</v>
      </c>
      <c r="O153" s="2">
        <v>0</v>
      </c>
      <c r="P153" s="2" t="s">
        <v>89</v>
      </c>
      <c r="Q153" s="9" t="s">
        <v>1055</v>
      </c>
      <c r="R153" s="2" t="s">
        <v>91</v>
      </c>
      <c r="S153" s="2" t="str">
        <f>HYPERLINK(".\links\REFSEQ-INVERTEBRATE\AGAP004196-PA-REFSEQ-INVERTEBRATE.txt","REFSEQ-INVERTEBRATE")</f>
        <v>REFSEQ-INVERTEBRATE</v>
      </c>
      <c r="T153" s="2">
        <v>2E-41</v>
      </c>
      <c r="U153" s="2">
        <v>100</v>
      </c>
      <c r="V153" s="2" t="s">
        <v>1055</v>
      </c>
      <c r="W153" s="10" t="s">
        <v>1056</v>
      </c>
      <c r="X153" s="2" t="s">
        <v>145</v>
      </c>
      <c r="Y153" s="2" t="str">
        <f>HYPERLINK(".\links\UNIPROTKB\AGAP004196-PA-UNIPROTKB.txt","UNIPROTKB")</f>
        <v>UNIPROTKB</v>
      </c>
      <c r="Z153" s="13">
        <v>9.9999999999999992E-25</v>
      </c>
      <c r="AA153" s="2">
        <v>92.3</v>
      </c>
      <c r="AB153" s="14" t="s">
        <v>89</v>
      </c>
      <c r="AC153" s="14" t="str">
        <f>HYPERLINK(".\links\Sigp\AGAP004196-PA-SigP.txt","CYT")</f>
        <v>CYT</v>
      </c>
      <c r="AD153" s="2" t="s">
        <v>89</v>
      </c>
      <c r="AE153" s="2">
        <v>10.095000000000001</v>
      </c>
      <c r="AF153" s="2">
        <v>9.99</v>
      </c>
      <c r="AG153" s="2" t="s">
        <v>89</v>
      </c>
      <c r="AH153" s="2" t="s">
        <v>89</v>
      </c>
      <c r="AI153" s="2" t="s">
        <v>93</v>
      </c>
      <c r="AJ153" s="14">
        <v>0</v>
      </c>
      <c r="AK153" s="2" t="s">
        <v>89</v>
      </c>
      <c r="AL153" s="2" t="s">
        <v>89</v>
      </c>
      <c r="AM153" s="2" t="s">
        <v>89</v>
      </c>
      <c r="AN153" s="14" t="str">
        <f>HYPERLINK(".\links\gpi\AGAP004196-PA-gpi.txt","N")</f>
        <v>N</v>
      </c>
      <c r="AO153" s="15" t="str">
        <f>HYPERLINK(".\links\netoglyc\AGAP004196-PA-netoglyc.txt","0")</f>
        <v>0</v>
      </c>
      <c r="AP153" s="14">
        <v>8</v>
      </c>
      <c r="AQ153" s="2">
        <v>4.5999999999999996</v>
      </c>
      <c r="AR153" s="2">
        <v>1.1000000000000001</v>
      </c>
      <c r="AS153" s="2" t="s">
        <v>94</v>
      </c>
      <c r="AT153" s="9" t="str">
        <f>HYPERLINK(".\links\NR-LIGHT\AGAP004196-PA-NR-LIGHT.txt","AGAP004196-PA")</f>
        <v>AGAP004196-PA</v>
      </c>
      <c r="AU153" s="2" t="str">
        <f>HYPERLINK("http://www.ncbi.nlm.nih.gov/sutils/blink.cgi?pid=XP_001230875.2","3E-041")</f>
        <v>3E-041</v>
      </c>
      <c r="AV153" s="2" t="str">
        <f>HYPERLINK("http://www.ncbi.nlm.nih.gov/protein/XP_001230875.2","XP_001230875.2")</f>
        <v>XP_001230875.2</v>
      </c>
      <c r="AW153" s="2">
        <v>100</v>
      </c>
      <c r="AX153" s="2">
        <v>100</v>
      </c>
      <c r="AY153" s="2">
        <v>100</v>
      </c>
      <c r="AZ153" s="2" t="s">
        <v>95</v>
      </c>
      <c r="BA153" s="9" t="str">
        <f>HYPERLINK(".\links\REFSEQ-INVERTEBRATE\AGAP004196-PA-REFSEQ-INVERTEBRATE.txt","AGAP004196-PA")</f>
        <v>AGAP004196-PA</v>
      </c>
      <c r="BB153" s="2" t="str">
        <f>HYPERLINK("http://www.ncbi.nlm.nih.gov/sutils/blink.cgi?pid=XP_001230875.2","2E-041")</f>
        <v>2E-041</v>
      </c>
      <c r="BC153" s="2" t="str">
        <f>HYPERLINK("http://www.ncbi.nlm.nih.gov/protein/XP_001230875.2","XP_001230875.2")</f>
        <v>XP_001230875.2</v>
      </c>
      <c r="BD153" s="2">
        <v>100</v>
      </c>
      <c r="BE153" s="2">
        <v>100</v>
      </c>
      <c r="BF153" s="2">
        <v>100</v>
      </c>
      <c r="BG153" s="2" t="s">
        <v>95</v>
      </c>
      <c r="BH153" s="9" t="str">
        <f>HYPERLINK(".\links\REFSEQ-PROTOZOA\AGAP004196-PA-REFSEQ-PROTOZOA.txt","complex 1 protein, LYR family protein")</f>
        <v>complex 1 protein, LYR family protein</v>
      </c>
      <c r="BI153" s="2" t="str">
        <f>HYPERLINK("http://www.ncbi.nlm.nih.gov/sutils/blink.cgi?pid=XP_012650964.1","1E-012")</f>
        <v>1E-012</v>
      </c>
      <c r="BJ153" s="2" t="str">
        <f>HYPERLINK("http://www.ncbi.nlm.nih.gov/protein/XP_012650964.1","XP_012650964.1")</f>
        <v>XP_012650964.1</v>
      </c>
      <c r="BK153" s="2">
        <v>45</v>
      </c>
      <c r="BL153" s="2">
        <v>67</v>
      </c>
      <c r="BM153" s="2">
        <v>98</v>
      </c>
      <c r="BN153" s="2" t="s">
        <v>1057</v>
      </c>
      <c r="BO153" s="9" t="str">
        <f>HYPERLINK(".\links\SWISSP\AGAP004196-PA-SWISSP.txt","LYR motif-containing protein 4")</f>
        <v>LYR motif-containing protein 4</v>
      </c>
      <c r="BP153" s="2" t="str">
        <f>HYPERLINK("http://www.uniprot.org/uniprot/B5FZA8","1E-017")</f>
        <v>1E-017</v>
      </c>
      <c r="BQ153" s="2" t="str">
        <f>HYPERLINK("http://www.uniprot.org/uniprot/B5FZA8#expression","B5FZA8")</f>
        <v>B5FZA8</v>
      </c>
      <c r="BR153" s="2">
        <v>53</v>
      </c>
      <c r="BS153" s="2">
        <v>72</v>
      </c>
      <c r="BT153" s="2">
        <v>94</v>
      </c>
      <c r="BU153" s="2" t="s">
        <v>1058</v>
      </c>
      <c r="BV153" s="9" t="str">
        <f>HYPERLINK(".\links\FLYBASE\AGAP004196-PA-FLYBASE.txt","FBpp0070415")</f>
        <v>FBpp0070415</v>
      </c>
      <c r="BW153" s="2" t="str">
        <f>HYPERLINK("http://flybase.org/reports/FBgn0013432#alliance_summary_container","6E-25")</f>
        <v>6E-25</v>
      </c>
      <c r="BX153" s="2">
        <v>92</v>
      </c>
      <c r="BY153" s="2">
        <v>56</v>
      </c>
      <c r="BZ153" s="2">
        <v>74</v>
      </c>
      <c r="CA153" s="2">
        <v>85</v>
      </c>
      <c r="CB153" s="9" t="str">
        <f>HYPERLINK(".\links\CDD\AGAP004196-PA-CDD.txt","Complex1_LYR, Complex 1 protein (LYR family)")</f>
        <v>Complex1_LYR, Complex 1 protein (LYR family)</v>
      </c>
      <c r="CC153" s="13">
        <v>2.9999999999999998E-13</v>
      </c>
      <c r="CD153" s="2">
        <v>98.3</v>
      </c>
      <c r="CE153" s="2" t="s">
        <v>1059</v>
      </c>
      <c r="CF153" s="2" t="s">
        <v>1060</v>
      </c>
      <c r="CG153" s="9" t="str">
        <f>HYPERLINK(".\links\KOG\AGAP004196-PA-KOG.txt","Uncharacterized conserved protein BCN92")</f>
        <v>Uncharacterized conserved protein BCN92</v>
      </c>
      <c r="CH153" s="13">
        <v>3.0000000000000003E-20</v>
      </c>
      <c r="CI153" s="2">
        <v>85.1</v>
      </c>
      <c r="CJ153" s="2" t="s">
        <v>1061</v>
      </c>
      <c r="CK153" s="2" t="s">
        <v>692</v>
      </c>
      <c r="CL153" s="9" t="str">
        <f>HYPERLINK(".\links\PFAM\AGAP004196-PA-PFAM.txt","Complex1_LYR, Complex 1 protein (LYR family)")</f>
        <v>Complex1_LYR, Complex 1 protein (LYR family)</v>
      </c>
      <c r="CM153" s="13">
        <v>7.0000000000000005E-14</v>
      </c>
      <c r="CN153" s="2">
        <v>98.3</v>
      </c>
      <c r="CO153" s="2" t="s">
        <v>1059</v>
      </c>
      <c r="CP153" s="9" t="str">
        <f>HYPERLINK(".\links\SMART\AGAP004196-PA-SMART.txt","PKS_ER, Enoylreductase")</f>
        <v>PKS_ER, Enoylreductase</v>
      </c>
      <c r="CQ153" s="13">
        <v>0.77</v>
      </c>
      <c r="CR153" s="2">
        <v>4.9000000000000004</v>
      </c>
      <c r="CS153" s="2" t="s">
        <v>1062</v>
      </c>
      <c r="CT153" s="2" t="s">
        <v>1055</v>
      </c>
      <c r="CU153" s="2" t="s">
        <v>1055</v>
      </c>
      <c r="CV153" s="2" t="s">
        <v>1055</v>
      </c>
      <c r="CW153" s="2" t="str">
        <f>HYPERLINK(".\links\pep\AGAP004196-PA-pep.txt","AGAP004196-PA")</f>
        <v>AGAP004196-PA</v>
      </c>
      <c r="CX153" s="2" t="s">
        <v>88</v>
      </c>
      <c r="CY153" s="2">
        <v>87</v>
      </c>
      <c r="CZ153" s="2" t="s">
        <v>103</v>
      </c>
      <c r="DA153" s="2" t="s">
        <v>1063</v>
      </c>
      <c r="DB153" s="2">
        <v>0</v>
      </c>
      <c r="DC153" s="2">
        <v>0</v>
      </c>
      <c r="DD153" s="2" t="str">
        <f>HYPERLINK("https://www.kegg.jp/kegg-bin/search_pathway_text?map=aga&amp;keyword=AGAP004196&amp;mode=1&amp;viewImage=true","AGAP004196")</f>
        <v>AGAP004196</v>
      </c>
      <c r="DE153" s="2" t="s">
        <v>1054</v>
      </c>
      <c r="DF153" s="2" t="s">
        <v>86</v>
      </c>
      <c r="DG153" s="2" t="s">
        <v>87</v>
      </c>
      <c r="DH153" s="2" t="str">
        <f>HYPERLINK("https://vectorbase.org/vectorbase/app/record/gene/AGAP004196","AGAP004196-RA")</f>
        <v>AGAP004196-RA</v>
      </c>
      <c r="DI153" s="2" t="s">
        <v>105</v>
      </c>
      <c r="DJ153" s="2">
        <v>747</v>
      </c>
      <c r="DK153" s="2" t="str">
        <f>HYPERLINK(".\links\netoglyc\AGAP004196-PA-netoglyc.txt","0")</f>
        <v>0</v>
      </c>
      <c r="DL153" s="2">
        <v>8</v>
      </c>
      <c r="DM153" s="2">
        <v>4.5999999999999996</v>
      </c>
      <c r="DN153" s="2">
        <v>1.1000000000000001</v>
      </c>
      <c r="DO153" s="2" t="s">
        <v>94</v>
      </c>
      <c r="DP153" s="2" t="s">
        <v>89</v>
      </c>
      <c r="DQ153" s="2" t="str">
        <f>HYPERLINK(".\links\Sigp\AGAP004196-PA-SigP.txt","CYT")</f>
        <v>CYT</v>
      </c>
      <c r="DR153" s="2" t="s">
        <v>89</v>
      </c>
      <c r="DS153" s="2">
        <v>10.095000000000001</v>
      </c>
      <c r="DT153" s="2">
        <v>9.99</v>
      </c>
      <c r="DU153" s="2" t="s">
        <v>89</v>
      </c>
      <c r="DV153" s="2" t="s">
        <v>89</v>
      </c>
      <c r="DW153" s="2" t="s">
        <v>93</v>
      </c>
      <c r="DX153" s="2">
        <v>87</v>
      </c>
      <c r="DY153" s="12">
        <v>0</v>
      </c>
      <c r="DZ153" s="2" t="s">
        <v>89</v>
      </c>
      <c r="EA153" s="2" t="s">
        <v>89</v>
      </c>
      <c r="EB153" s="2" t="s">
        <v>89</v>
      </c>
      <c r="EC153" s="2" t="str">
        <f>HYPERLINK(".\links\gpi\AGAP004196-PA-gpi.txt","Y-NoSP")</f>
        <v>Y-NoSP</v>
      </c>
      <c r="ED153" s="2">
        <v>0.49</v>
      </c>
      <c r="EF153" s="2">
        <v>0</v>
      </c>
      <c r="EG153" s="2" t="s">
        <v>89</v>
      </c>
      <c r="EH153" s="2" t="s">
        <v>89</v>
      </c>
      <c r="EI153" s="2">
        <v>8.0459770114942497</v>
      </c>
      <c r="EJ153" s="2">
        <v>1.14942528735632</v>
      </c>
      <c r="EK153" s="2">
        <v>4.5977011494252897</v>
      </c>
      <c r="EL153" s="2">
        <v>5.7471264367816097</v>
      </c>
      <c r="EM153" s="2" t="s">
        <v>89</v>
      </c>
      <c r="EN153" s="2" t="s">
        <v>89</v>
      </c>
      <c r="EO153" s="2" t="s">
        <v>89</v>
      </c>
      <c r="EP153" s="2" t="s">
        <v>89</v>
      </c>
      <c r="EQ153" s="2" t="s">
        <v>89</v>
      </c>
      <c r="ER153" s="2" t="s">
        <v>89</v>
      </c>
      <c r="ES153" s="2" t="s">
        <v>89</v>
      </c>
      <c r="ET153" s="2" t="str">
        <f>HYPERLINK(".\links\REFSEQ-INVERTEBRATE\AGAP004196-PA-REFSEQ-INVERTEBRATE.txt","AGAP004196-PA")</f>
        <v>AGAP004196-PA</v>
      </c>
      <c r="EU153" s="2" t="str">
        <f>HYPERLINK("http://www.ncbi.nlm.nih.gov/sutils/blink.cgi?pid=XP_001230875.2","2E-57")</f>
        <v>2E-57</v>
      </c>
      <c r="EV153" s="2" t="str">
        <f>HYPERLINK("http://www.ncbi.nlm.nih.gov/protein/XP_001230875.2","XP_001230875.2")</f>
        <v>XP_001230875.2</v>
      </c>
      <c r="EW153" s="2">
        <v>100</v>
      </c>
      <c r="EX153" s="2">
        <v>100</v>
      </c>
      <c r="EY153" s="2">
        <v>100</v>
      </c>
      <c r="EZ153" s="2" t="s">
        <v>95</v>
      </c>
    </row>
    <row r="154" spans="1:156" x14ac:dyDescent="0.25">
      <c r="A154" s="2" t="s">
        <v>521</v>
      </c>
      <c r="B154" s="2">
        <v>-0.89669346389333704</v>
      </c>
      <c r="C154" s="2">
        <f t="shared" si="2"/>
        <v>0.53711634728822866</v>
      </c>
      <c r="D154" s="2">
        <v>4.0991959505968198</v>
      </c>
      <c r="E154" s="2">
        <v>12.2267531850043</v>
      </c>
      <c r="F154" s="2">
        <v>4.7109106170193602E-4</v>
      </c>
      <c r="G154" s="2">
        <v>2.54604392585813E-2</v>
      </c>
      <c r="H154" s="2" t="s">
        <v>86</v>
      </c>
      <c r="I154" s="2" t="s">
        <v>87</v>
      </c>
      <c r="J154" s="2" t="str">
        <f>HYPERLINK("https://vectorbase.org/vectorbase/app/record/gene/AGAP001796","AGAP001796-RA")</f>
        <v>AGAP001796-RA</v>
      </c>
      <c r="K154" s="2" t="str">
        <f>HYPERLINK(".\links\pep\AGAP001796-PA-pep.txt","AGAP001796-PA")</f>
        <v>AGAP001796-PA</v>
      </c>
      <c r="L154" s="12" t="s">
        <v>88</v>
      </c>
      <c r="M154" s="2">
        <v>121</v>
      </c>
      <c r="N154" s="2">
        <v>0</v>
      </c>
      <c r="O154" s="2">
        <v>1</v>
      </c>
      <c r="P154" s="2" t="s">
        <v>89</v>
      </c>
      <c r="Q154" s="9" t="s">
        <v>522</v>
      </c>
      <c r="R154" s="2" t="s">
        <v>245</v>
      </c>
      <c r="S154" s="2" t="str">
        <f>HYPERLINK(".\links\REFSEQ-INVERTEBRATE\AGAP001796-PA-REFSEQ-INVERTEBRATE.txt","REFSEQ-INVERTEBRATE")</f>
        <v>REFSEQ-INVERTEBRATE</v>
      </c>
      <c r="T154" s="2">
        <v>2.9999999999999999E-56</v>
      </c>
      <c r="U154" s="2">
        <v>97.5</v>
      </c>
      <c r="V154" s="2" t="s">
        <v>523</v>
      </c>
      <c r="W154" s="10" t="s">
        <v>524</v>
      </c>
      <c r="X154" s="2" t="s">
        <v>245</v>
      </c>
      <c r="Y154" s="2" t="str">
        <f>HYPERLINK(".\links\ARTHORPODA\AGAP001796-PA-ARTHORPODA.txt","ARTHORPODA")</f>
        <v>ARTHORPODA</v>
      </c>
      <c r="Z154" s="13">
        <v>9.9999999999999998E-86</v>
      </c>
      <c r="AA154" s="2">
        <v>100</v>
      </c>
      <c r="AB154" s="14" t="str">
        <f>HYPERLINK(".\links\pep\AGAP001796-PA-sulf.txt","1")</f>
        <v>1</v>
      </c>
      <c r="AC154" s="14" t="str">
        <f>HYPERLINK(".\links\Sigp\AGAP001796-PA-SigP.txt","CYT")</f>
        <v>CYT</v>
      </c>
      <c r="AD154" s="2" t="s">
        <v>89</v>
      </c>
      <c r="AE154" s="2">
        <v>13.601000000000001</v>
      </c>
      <c r="AF154" s="2">
        <v>7.67</v>
      </c>
      <c r="AG154" s="2" t="s">
        <v>89</v>
      </c>
      <c r="AH154" s="2" t="s">
        <v>89</v>
      </c>
      <c r="AI154" s="2" t="s">
        <v>525</v>
      </c>
      <c r="AJ154" s="14">
        <v>0</v>
      </c>
      <c r="AK154" s="2" t="s">
        <v>89</v>
      </c>
      <c r="AL154" s="2" t="s">
        <v>89</v>
      </c>
      <c r="AM154" s="2" t="s">
        <v>89</v>
      </c>
      <c r="AN154" s="14" t="str">
        <f>HYPERLINK(".\links\gpi\AGAP001796-PA-gpi.txt","N")</f>
        <v>N</v>
      </c>
      <c r="AO154" s="15" t="str">
        <f>HYPERLINK(".\links\netoglyc\AGAP001796-PA-netoglyc.txt","0")</f>
        <v>0</v>
      </c>
      <c r="AP154" s="14">
        <v>5.8</v>
      </c>
      <c r="AQ154" s="2">
        <v>4.0999999999999996</v>
      </c>
      <c r="AR154" s="2">
        <v>5.8</v>
      </c>
      <c r="AS154" s="2" t="s">
        <v>94</v>
      </c>
      <c r="AT154" s="9" t="str">
        <f>HYPERLINK(".\links\NR-LIGHT\AGAP001796-PA-NR-LIGHT.txt","AGAP001796-PA")</f>
        <v>AGAP001796-PA</v>
      </c>
      <c r="AU154" s="2" t="str">
        <f>HYPERLINK("http://www.ncbi.nlm.nih.gov/sutils/blink.cgi?pid=XP_321269.5","8E-064")</f>
        <v>8E-064</v>
      </c>
      <c r="AV154" s="2" t="str">
        <f>HYPERLINK("http://www.ncbi.nlm.nih.gov/protein/XP_321269.5","XP_321269.5")</f>
        <v>XP_321269.5</v>
      </c>
      <c r="AW154" s="2">
        <v>100</v>
      </c>
      <c r="AX154" s="2">
        <v>100</v>
      </c>
      <c r="AY154" s="2">
        <v>100</v>
      </c>
      <c r="AZ154" s="2" t="s">
        <v>95</v>
      </c>
      <c r="BA154" s="9" t="str">
        <f>HYPERLINK(".\links\REFSEQ-INVERTEBRATE\AGAP001796-PA-REFSEQ-INVERTEBRATE.txt","AGAP001796-PA")</f>
        <v>AGAP001796-PA</v>
      </c>
      <c r="BB154" s="2" t="str">
        <f>HYPERLINK("http://www.ncbi.nlm.nih.gov/sutils/blink.cgi?pid=XP_321269.5","7E-064")</f>
        <v>7E-064</v>
      </c>
      <c r="BC154" s="2" t="str">
        <f>HYPERLINK("http://www.ncbi.nlm.nih.gov/protein/XP_321269.5","XP_321269.5")</f>
        <v>XP_321269.5</v>
      </c>
      <c r="BD154" s="2">
        <v>100</v>
      </c>
      <c r="BE154" s="2">
        <v>100</v>
      </c>
      <c r="BF154" s="2">
        <v>100</v>
      </c>
      <c r="BG154" s="2" t="s">
        <v>95</v>
      </c>
      <c r="BH154" s="9" t="str">
        <f>HYPERLINK(".\links\REFSEQ-PROTOZOA\AGAP001796-PA-REFSEQ-PROTOZOA.txt","peptidyl-tRNA hydrolase type 2")</f>
        <v>peptidyl-tRNA hydrolase type 2</v>
      </c>
      <c r="BI154" s="2" t="str">
        <f>HYPERLINK("http://www.ncbi.nlm.nih.gov/sutils/blink.cgi?pid=XP_011132440.1","1E-022")</f>
        <v>1E-022</v>
      </c>
      <c r="BJ154" s="2" t="str">
        <f>HYPERLINK("http://www.ncbi.nlm.nih.gov/protein/XP_011132440.1","XP_011132440.1")</f>
        <v>XP_011132440.1</v>
      </c>
      <c r="BK154" s="2">
        <v>47</v>
      </c>
      <c r="BL154" s="2">
        <v>61</v>
      </c>
      <c r="BM154" s="2">
        <v>84</v>
      </c>
      <c r="BN154" s="2" t="s">
        <v>526</v>
      </c>
      <c r="BO154" s="9" t="str">
        <f>HYPERLINK(".\links\SWISSP\AGAP001796-PA-SWISSP.txt","Putative peptidyl-tRNA hydrolase PTRHD1")</f>
        <v>Putative peptidyl-tRNA hydrolase PTRHD1</v>
      </c>
      <c r="BP154" s="2" t="str">
        <f>HYPERLINK("http://www.uniprot.org/uniprot/Q3SZ85","1E-032")</f>
        <v>1E-032</v>
      </c>
      <c r="BQ154" s="2" t="str">
        <f>HYPERLINK("http://www.uniprot.org/uniprot/Q3SZ85#expression","Q3SZ85")</f>
        <v>Q3SZ85</v>
      </c>
      <c r="BR154" s="2">
        <v>54</v>
      </c>
      <c r="BS154" s="2">
        <v>72</v>
      </c>
      <c r="BT154" s="2">
        <v>81</v>
      </c>
      <c r="BU154" s="2" t="s">
        <v>183</v>
      </c>
      <c r="BV154" s="9" t="str">
        <f>HYPERLINK(".\links\FLYBASE\AGAP001796-PA-FLYBASE.txt","FBpp0082754")</f>
        <v>FBpp0082754</v>
      </c>
      <c r="BW154" s="2" t="str">
        <f>HYPERLINK("http://flybase.org/reports/FBgn0038446#alliance_summary_container","2E-48")</f>
        <v>2E-48</v>
      </c>
      <c r="BX154" s="2">
        <v>119</v>
      </c>
      <c r="BY154" s="2">
        <v>61</v>
      </c>
      <c r="BZ154" s="2">
        <v>75</v>
      </c>
      <c r="CA154" s="2">
        <v>97</v>
      </c>
      <c r="CB154" s="9" t="str">
        <f>HYPERLINK(".\links\CDD\AGAP001796-PA-CDD.txt","PTH2_like, Peptidyl-tRNA hydrolase, type 2 (PTH2)_like ")</f>
        <v xml:space="preserve">PTH2_like, Peptidyl-tRNA hydrolase, type 2 (PTH2)_like </v>
      </c>
      <c r="CC154" s="13">
        <v>3.9999999999999999E-47</v>
      </c>
      <c r="CD154" s="2">
        <v>100</v>
      </c>
      <c r="CE154" s="2" t="s">
        <v>527</v>
      </c>
      <c r="CF154" s="2" t="s">
        <v>528</v>
      </c>
      <c r="CG154" s="9" t="str">
        <f>HYPERLINK(".\links\KOG\AGAP001796-PA-KOG.txt","Uncharacterized conserved protein")</f>
        <v>Uncharacterized conserved protein</v>
      </c>
      <c r="CH154" s="13">
        <v>5.9999999999999998E-35</v>
      </c>
      <c r="CI154" s="2">
        <v>95.9</v>
      </c>
      <c r="CJ154" s="2" t="s">
        <v>529</v>
      </c>
      <c r="CK154" s="2" t="s">
        <v>101</v>
      </c>
      <c r="CL154" s="9" t="str">
        <f>HYPERLINK(".\links\PFAM\AGAP001796-PA-PFAM.txt","PTH2, Peptidyl-tRNA hydrolase PTH2")</f>
        <v>PTH2, Peptidyl-tRNA hydrolase PTH2</v>
      </c>
      <c r="CM154" s="13">
        <v>4.9999999999999999E-20</v>
      </c>
      <c r="CN154" s="2">
        <v>102.8</v>
      </c>
      <c r="CO154" s="2" t="s">
        <v>530</v>
      </c>
      <c r="CP154" s="9" t="str">
        <f>HYPERLINK(".\links\SMART\AGAP001796-PA-SMART.txt","CHASE2, CHASE2 is an extracellular sensory domain, which is present in various classes of transmembrane receptors that are parts of signal transduction pathways in bacteria")</f>
        <v>CHASE2, CHASE2 is an extracellular sensory domain, which is present in various classes of transmembrane receptors that are parts of signal transduction pathways in bacteria</v>
      </c>
      <c r="CQ154" s="13">
        <v>1.5</v>
      </c>
      <c r="CR154" s="2">
        <v>5</v>
      </c>
      <c r="CS154" s="2" t="s">
        <v>531</v>
      </c>
      <c r="CT154" s="2" t="s">
        <v>523</v>
      </c>
      <c r="CU154" s="2" t="s">
        <v>523</v>
      </c>
      <c r="CV154" s="2" t="s">
        <v>523</v>
      </c>
      <c r="CW154" s="2" t="str">
        <f>HYPERLINK(".\links\pep\AGAP001796-PA-pep.txt","AGAP001796-PA")</f>
        <v>AGAP001796-PA</v>
      </c>
      <c r="CX154" s="2" t="s">
        <v>88</v>
      </c>
      <c r="CY154" s="2">
        <v>121</v>
      </c>
      <c r="CZ154" s="2" t="s">
        <v>103</v>
      </c>
      <c r="DA154" s="2" t="s">
        <v>532</v>
      </c>
      <c r="DB154" s="2">
        <v>0</v>
      </c>
      <c r="DC154" s="2">
        <v>1</v>
      </c>
      <c r="DD154" s="2" t="str">
        <f>HYPERLINK("https://www.kegg.jp/kegg-bin/search_pathway_text?map=aga&amp;keyword=AGAP001796&amp;mode=1&amp;viewImage=true","AGAP001796")</f>
        <v>AGAP001796</v>
      </c>
      <c r="DE154" s="2" t="s">
        <v>521</v>
      </c>
      <c r="DF154" s="2" t="s">
        <v>86</v>
      </c>
      <c r="DG154" s="2" t="s">
        <v>87</v>
      </c>
      <c r="DH154" s="2" t="str">
        <f>HYPERLINK("https://vectorbase.org/vectorbase/app/record/gene/AGAP001796","AGAP001796-RA")</f>
        <v>AGAP001796-RA</v>
      </c>
      <c r="DI154" s="2" t="s">
        <v>158</v>
      </c>
      <c r="DJ154" s="2">
        <v>666</v>
      </c>
      <c r="DK154" s="2" t="str">
        <f>HYPERLINK(".\links\netoglyc\AGAP001796-PA-netoglyc.txt","0")</f>
        <v>0</v>
      </c>
      <c r="DL154" s="2">
        <v>5.8</v>
      </c>
      <c r="DM154" s="2">
        <v>4.0999999999999996</v>
      </c>
      <c r="DN154" s="2">
        <v>5.8</v>
      </c>
      <c r="DO154" s="2" t="s">
        <v>94</v>
      </c>
      <c r="DP154" s="2" t="s">
        <v>89</v>
      </c>
      <c r="DQ154" s="2" t="str">
        <f>HYPERLINK(".\links\Sigp\AGAP001796-PA-SigP.txt","CYT")</f>
        <v>CYT</v>
      </c>
      <c r="DR154" s="2" t="s">
        <v>89</v>
      </c>
      <c r="DS154" s="2">
        <v>13.601000000000001</v>
      </c>
      <c r="DT154" s="2">
        <v>7.67</v>
      </c>
      <c r="DU154" s="2" t="s">
        <v>89</v>
      </c>
      <c r="DV154" s="2" t="s">
        <v>89</v>
      </c>
      <c r="DW154" s="2" t="s">
        <v>525</v>
      </c>
      <c r="DX154" s="2">
        <v>121</v>
      </c>
      <c r="DY154" s="12">
        <v>0</v>
      </c>
      <c r="DZ154" s="2" t="s">
        <v>89</v>
      </c>
      <c r="EA154" s="2" t="s">
        <v>89</v>
      </c>
      <c r="EB154" s="2" t="s">
        <v>89</v>
      </c>
      <c r="EC154" s="2" t="str">
        <f>HYPERLINK(".\links\gpi\AGAP001796-PA-gpi.txt","N")</f>
        <v>N</v>
      </c>
      <c r="ED154" s="2">
        <v>0.41</v>
      </c>
      <c r="EF154" s="2">
        <v>4</v>
      </c>
      <c r="EG154" s="2" t="str">
        <f>HYPERLINK(".\links\pep\AGAP001796-PA-sulf.txt","1")</f>
        <v>1</v>
      </c>
      <c r="EH154" s="2" t="s">
        <v>89</v>
      </c>
      <c r="EI154" s="2">
        <v>5.7851239669421499</v>
      </c>
      <c r="EJ154" s="2">
        <v>5.7851239669421499</v>
      </c>
      <c r="EK154" s="2">
        <v>4.1322314049586799</v>
      </c>
      <c r="EL154" s="2">
        <v>9.9173553719008307</v>
      </c>
      <c r="EM154" s="2" t="s">
        <v>89</v>
      </c>
      <c r="EN154" s="2">
        <v>1</v>
      </c>
      <c r="EO154" s="2">
        <v>1</v>
      </c>
      <c r="EP154" s="2" t="s">
        <v>89</v>
      </c>
      <c r="EQ154" s="2" t="s">
        <v>89</v>
      </c>
      <c r="ER154" s="2" t="s">
        <v>89</v>
      </c>
      <c r="ES154" s="2" t="s">
        <v>89</v>
      </c>
      <c r="ET154" s="2" t="str">
        <f>HYPERLINK(".\links\REFSEQ-INVERTEBRATE\AGAP001796-PA-REFSEQ-INVERTEBRATE.txt","AGAP001796-PA")</f>
        <v>AGAP001796-PA</v>
      </c>
      <c r="EU154" s="2" t="str">
        <f>HYPERLINK("http://www.ncbi.nlm.nih.gov/sutils/blink.cgi?pid=XP_321269.5","2E-82")</f>
        <v>2E-82</v>
      </c>
      <c r="EV154" s="2" t="str">
        <f>HYPERLINK("http://www.ncbi.nlm.nih.gov/protein/XP_321269.5","XP_321269.5")</f>
        <v>XP_321269.5</v>
      </c>
      <c r="EW154" s="2">
        <v>100</v>
      </c>
      <c r="EX154" s="2">
        <v>100</v>
      </c>
      <c r="EY154" s="2">
        <v>100</v>
      </c>
      <c r="EZ154" s="2" t="s">
        <v>95</v>
      </c>
    </row>
    <row r="155" spans="1:156" x14ac:dyDescent="0.25">
      <c r="A155" s="2" t="s">
        <v>2187</v>
      </c>
      <c r="B155" s="2">
        <v>-0.89761340546569901</v>
      </c>
      <c r="C155" s="2">
        <f t="shared" si="2"/>
        <v>0.53677396158722557</v>
      </c>
      <c r="D155" s="2">
        <v>7.2184412941781897</v>
      </c>
      <c r="E155" s="2">
        <v>11.895826026309299</v>
      </c>
      <c r="F155" s="2">
        <v>5.6259873058689901E-4</v>
      </c>
      <c r="G155" s="2">
        <v>2.8388571964733302E-2</v>
      </c>
      <c r="H155" s="2" t="s">
        <v>86</v>
      </c>
      <c r="I155" s="2" t="s">
        <v>87</v>
      </c>
      <c r="J155" s="2" t="str">
        <f>HYPERLINK("https://vectorbase.org/vectorbase/app/record/gene/AGAP009184","AGAP009184-RA")</f>
        <v>AGAP009184-RA</v>
      </c>
      <c r="K155" s="2" t="str">
        <f>HYPERLINK(".\links\pep\AGAP009184-PA-pep.txt","AGAP009184-PA")</f>
        <v>AGAP009184-PA</v>
      </c>
      <c r="L155" s="12" t="s">
        <v>88</v>
      </c>
      <c r="M155" s="2">
        <v>314</v>
      </c>
      <c r="N155" s="2">
        <v>0</v>
      </c>
      <c r="O155" s="2">
        <v>0</v>
      </c>
      <c r="P155" s="2" t="s">
        <v>89</v>
      </c>
      <c r="Q155" s="9" t="s">
        <v>2188</v>
      </c>
      <c r="R155" s="2" t="s">
        <v>2189</v>
      </c>
      <c r="S155" s="2" t="str">
        <f>HYPERLINK(".\links\KOG\AGAP009184-PA-KOG.txt","KOG")</f>
        <v>KOG</v>
      </c>
      <c r="T155" s="2">
        <v>2.0000000000000001E-61</v>
      </c>
      <c r="U155" s="2">
        <v>89</v>
      </c>
      <c r="V155" s="2" t="s">
        <v>2190</v>
      </c>
      <c r="W155" s="10" t="s">
        <v>2191</v>
      </c>
      <c r="X155" s="2" t="s">
        <v>2192</v>
      </c>
      <c r="Y155" s="2" t="str">
        <f>HYPERLINK(".\links\UNIPROTKB\AGAP009184-PA-UNIPROTKB.txt","UNIPROTKB")</f>
        <v>UNIPROTKB</v>
      </c>
      <c r="Z155" s="13">
        <v>2E-52</v>
      </c>
      <c r="AA155" s="2">
        <v>68.400000000000006</v>
      </c>
      <c r="AB155" s="14" t="str">
        <f>HYPERLINK(".\links\pep\AGAP009184-PA-sulf.txt","1")</f>
        <v>1</v>
      </c>
      <c r="AC155" s="14" t="str">
        <f>HYPERLINK(".\links\Sigp\AGAP009184-PA-SigP.txt","SIG")</f>
        <v>SIG</v>
      </c>
      <c r="AD155" s="2" t="s">
        <v>804</v>
      </c>
      <c r="AE155" s="2">
        <v>35.930999999999997</v>
      </c>
      <c r="AF155" s="2">
        <v>8.1300000000000008</v>
      </c>
      <c r="AG155" s="2">
        <v>33.57</v>
      </c>
      <c r="AH155" s="2">
        <v>6.91</v>
      </c>
      <c r="AI155" s="2" t="s">
        <v>2193</v>
      </c>
      <c r="AJ155" s="14">
        <v>0</v>
      </c>
      <c r="AK155" s="2" t="s">
        <v>89</v>
      </c>
      <c r="AL155" s="2" t="s">
        <v>89</v>
      </c>
      <c r="AM155" s="2" t="s">
        <v>89</v>
      </c>
      <c r="AN155" s="14" t="str">
        <f>HYPERLINK(".\links\gpi\AGAP009184-PA-gpi.txt","N")</f>
        <v>N</v>
      </c>
      <c r="AO155" s="15" t="str">
        <f>HYPERLINK(".\links\netoglyc\AGAP009184-PA-netoglyc.txt","0")</f>
        <v>0</v>
      </c>
      <c r="AP155" s="14">
        <v>15</v>
      </c>
      <c r="AQ155" s="2">
        <v>7.6</v>
      </c>
      <c r="AR155" s="2">
        <v>1.6</v>
      </c>
      <c r="AS155" s="2" t="s">
        <v>94</v>
      </c>
      <c r="AT155" s="9" t="str">
        <f>HYPERLINK(".\links\NR-LIGHT\AGAP009184-PA-NR-LIGHT.txt","AGAP009184-PA")</f>
        <v>AGAP009184-PA</v>
      </c>
      <c r="AU155" s="2" t="str">
        <f>HYPERLINK("http://www.ncbi.nlm.nih.gov/sutils/blink.cgi?pid=XP_319956.4","0.0")</f>
        <v>0.0</v>
      </c>
      <c r="AV155" s="2" t="str">
        <f>HYPERLINK("http://www.ncbi.nlm.nih.gov/protein/XP_319956.4","XP_319956.4")</f>
        <v>XP_319956.4</v>
      </c>
      <c r="AW155" s="2">
        <v>100</v>
      </c>
      <c r="AX155" s="2">
        <v>100</v>
      </c>
      <c r="AY155" s="2">
        <v>100</v>
      </c>
      <c r="AZ155" s="2" t="s">
        <v>95</v>
      </c>
      <c r="BA155" s="9" t="str">
        <f>HYPERLINK(".\links\REFSEQ-INVERTEBRATE\AGAP009184-PA-REFSEQ-INVERTEBRATE.txt","AGAP009184-PA")</f>
        <v>AGAP009184-PA</v>
      </c>
      <c r="BB155" s="2" t="str">
        <f>HYPERLINK("http://www.ncbi.nlm.nih.gov/sutils/blink.cgi?pid=XP_319956.4","0.0")</f>
        <v>0.0</v>
      </c>
      <c r="BC155" s="2" t="str">
        <f>HYPERLINK("http://www.ncbi.nlm.nih.gov/protein/XP_319956.4","XP_319956.4")</f>
        <v>XP_319956.4</v>
      </c>
      <c r="BD155" s="2">
        <v>100</v>
      </c>
      <c r="BE155" s="2">
        <v>100</v>
      </c>
      <c r="BF155" s="2">
        <v>100</v>
      </c>
      <c r="BG155" s="2" t="s">
        <v>95</v>
      </c>
      <c r="BH155" s="9" t="str">
        <f>HYPERLINK(".\links\REFSEQ-PROTOZOA\AGAP009184-PA-REFSEQ-PROTOZOA.txt","protocadherin-like protein")</f>
        <v>protocadherin-like protein</v>
      </c>
      <c r="BI155" s="2" t="str">
        <f>HYPERLINK("http://www.ncbi.nlm.nih.gov/sutils/blink.cgi?pid=XP_002902518.1","1E-016")</f>
        <v>1E-016</v>
      </c>
      <c r="BJ155" s="2" t="str">
        <f>HYPERLINK("http://www.ncbi.nlm.nih.gov/protein/XP_002902518.1","XP_002902518.1")</f>
        <v>XP_002902518.1</v>
      </c>
      <c r="BK155" s="2">
        <v>32</v>
      </c>
      <c r="BL155" s="2">
        <v>50</v>
      </c>
      <c r="BM155" s="2">
        <v>7</v>
      </c>
      <c r="BN155" s="2" t="s">
        <v>1323</v>
      </c>
      <c r="BO155" s="9" t="str">
        <f>HYPERLINK(".\links\SWISSP\AGAP009184-PA-SWISSP.txt","Fibrinogen C domain-containing protein 1")</f>
        <v>Fibrinogen C domain-containing protein 1</v>
      </c>
      <c r="BP155" s="2" t="str">
        <f>HYPERLINK("http://www.uniprot.org/uniprot/A2AV25","8E-046")</f>
        <v>8E-046</v>
      </c>
      <c r="BQ155" s="2" t="str">
        <f>HYPERLINK("http://www.uniprot.org/uniprot/A2AV25#expression","A2AV25")</f>
        <v>A2AV25</v>
      </c>
      <c r="BR155" s="2">
        <v>46</v>
      </c>
      <c r="BS155" s="2">
        <v>59</v>
      </c>
      <c r="BT155" s="2">
        <v>44</v>
      </c>
      <c r="BU155" s="2" t="s">
        <v>566</v>
      </c>
      <c r="BV155" s="9" t="str">
        <f>HYPERLINK(".\links\FLYBASE\AGAP009184-PA-FLYBASE.txt","FBpp0423061")</f>
        <v>FBpp0423061</v>
      </c>
      <c r="BW155" s="2" t="str">
        <f>HYPERLINK("http://flybase.org/reports/FBgn0050280#alliance_summary_container","1E-49")</f>
        <v>1E-49</v>
      </c>
      <c r="BX155" s="2">
        <v>288</v>
      </c>
      <c r="BY155" s="2">
        <v>44</v>
      </c>
      <c r="BZ155" s="2">
        <v>60</v>
      </c>
      <c r="CA155" s="2">
        <v>65</v>
      </c>
      <c r="CB155" s="9" t="str">
        <f>HYPERLINK(".\links\CDD\AGAP009184-PA-CDD.txt","FReD, Fibrinogen-related domains (FReDs)")</f>
        <v>FReD, Fibrinogen-related domains (FReDs)</v>
      </c>
      <c r="CC155" s="13">
        <v>3.0000000000000002E-66</v>
      </c>
      <c r="CD155" s="2">
        <v>94.9</v>
      </c>
      <c r="CE155" s="2" t="s">
        <v>2194</v>
      </c>
      <c r="CF155" s="2" t="s">
        <v>2195</v>
      </c>
      <c r="CG155" s="9" t="str">
        <f>HYPERLINK(".\links\KOG\AGAP009184-PA-KOG.txt","Ficolin and related extracellular proteins")</f>
        <v>Ficolin and related extracellular proteins</v>
      </c>
      <c r="CH155" s="13">
        <v>2.0000000000000001E-61</v>
      </c>
      <c r="CI155" s="2">
        <v>89.1</v>
      </c>
      <c r="CJ155" s="2" t="s">
        <v>2196</v>
      </c>
      <c r="CK155" s="2" t="s">
        <v>187</v>
      </c>
      <c r="CL155" s="9" t="str">
        <f>HYPERLINK(".\links\PFAM\AGAP009184-PA-PFAM.txt","Fibrinogen_C, Fibrinogen beta and gamma chains, C-terminal globular domain")</f>
        <v>Fibrinogen_C, Fibrinogen beta and gamma chains, C-terminal globular domain</v>
      </c>
      <c r="CM155" s="13">
        <v>9.9999999999999998E-46</v>
      </c>
      <c r="CN155" s="2">
        <v>95</v>
      </c>
      <c r="CO155" s="2" t="s">
        <v>2197</v>
      </c>
      <c r="CP155" s="9" t="str">
        <f>HYPERLINK(".\links\SMART\AGAP009184-PA-SMART.txt","FBG, Fibrinogen-related domains (FReDs)")</f>
        <v>FBG, Fibrinogen-related domains (FReDs)</v>
      </c>
      <c r="CQ155" s="13">
        <v>2.0000000000000001E-61</v>
      </c>
      <c r="CR155" s="2">
        <v>96.2</v>
      </c>
      <c r="CS155" s="2" t="s">
        <v>2198</v>
      </c>
      <c r="CT155" s="2" t="s">
        <v>2190</v>
      </c>
      <c r="CU155" s="2" t="s">
        <v>2190</v>
      </c>
      <c r="CV155" s="2" t="s">
        <v>2190</v>
      </c>
      <c r="CW155" s="2" t="str">
        <f>HYPERLINK(".\links\pep\AGAP009184-PA-pep.txt","AGAP009184-PA")</f>
        <v>AGAP009184-PA</v>
      </c>
      <c r="CX155" s="2" t="s">
        <v>88</v>
      </c>
      <c r="CY155" s="2">
        <v>314</v>
      </c>
      <c r="CZ155" s="2" t="s">
        <v>103</v>
      </c>
      <c r="DA155" s="2" t="s">
        <v>2199</v>
      </c>
      <c r="DB155" s="2">
        <v>0</v>
      </c>
      <c r="DC155" s="2">
        <v>0</v>
      </c>
      <c r="DD155" s="2" t="str">
        <f>HYPERLINK("https://www.kegg.jp/kegg-bin/search_pathway_text?map=aga&amp;keyword=AGAP009184&amp;mode=1&amp;viewImage=true","AGAP009184")</f>
        <v>AGAP009184</v>
      </c>
      <c r="DE155" s="2" t="s">
        <v>2187</v>
      </c>
      <c r="DF155" s="2" t="s">
        <v>86</v>
      </c>
      <c r="DG155" s="2" t="s">
        <v>87</v>
      </c>
      <c r="DH155" s="2" t="str">
        <f>HYPERLINK("https://vectorbase.org/vectorbase/app/record/gene/AGAP009184","AGAP009184-RA")</f>
        <v>AGAP009184-RA</v>
      </c>
      <c r="DI155" s="2" t="s">
        <v>158</v>
      </c>
      <c r="DJ155" s="2">
        <v>1426</v>
      </c>
      <c r="DK155" s="2" t="str">
        <f>HYPERLINK(".\links\netoglyc\AGAP009184-PA-netoglyc.txt","0")</f>
        <v>0</v>
      </c>
      <c r="DL155" s="2">
        <v>15</v>
      </c>
      <c r="DM155" s="2">
        <v>7.6</v>
      </c>
      <c r="DN155" s="2">
        <v>1.6</v>
      </c>
      <c r="DO155" s="2" t="s">
        <v>94</v>
      </c>
      <c r="DP155" s="2" t="s">
        <v>89</v>
      </c>
      <c r="DQ155" s="2" t="str">
        <f>HYPERLINK(".\links\Sigp\AGAP009184-PA-SigP.txt","SIG")</f>
        <v>SIG</v>
      </c>
      <c r="DR155" s="2" t="s">
        <v>804</v>
      </c>
      <c r="DS155" s="2">
        <v>35.930999999999997</v>
      </c>
      <c r="DT155" s="2">
        <v>8.1300000000000008</v>
      </c>
      <c r="DU155" s="2">
        <v>33.57</v>
      </c>
      <c r="DV155" s="2">
        <v>6.91</v>
      </c>
      <c r="DW155" s="2" t="s">
        <v>2193</v>
      </c>
      <c r="DX155" s="2">
        <v>314</v>
      </c>
      <c r="DY155" s="12">
        <v>0</v>
      </c>
      <c r="DZ155" s="2" t="s">
        <v>89</v>
      </c>
      <c r="EA155" s="2" t="s">
        <v>89</v>
      </c>
      <c r="EB155" s="2" t="s">
        <v>89</v>
      </c>
      <c r="EC155" s="2" t="str">
        <f>HYPERLINK(".\links\gpi\AGAP009184-PA-gpi.txt","Y-NoSP")</f>
        <v>Y-NoSP</v>
      </c>
      <c r="ED155" s="2">
        <v>0.25</v>
      </c>
      <c r="EF155" s="2">
        <v>5</v>
      </c>
      <c r="EG155" s="2" t="str">
        <f>HYPERLINK(".\links\pep\AGAP009184-PA-sulf.txt","1")</f>
        <v>1</v>
      </c>
      <c r="EH155" s="2" t="s">
        <v>89</v>
      </c>
      <c r="EI155" s="2">
        <v>14.968152866242001</v>
      </c>
      <c r="EJ155" s="2">
        <v>1.5923566878980899</v>
      </c>
      <c r="EK155" s="2">
        <v>7.6433121019108299</v>
      </c>
      <c r="EL155" s="2">
        <v>9.2356687898089191</v>
      </c>
      <c r="EM155" s="2" t="s">
        <v>89</v>
      </c>
      <c r="EN155" s="2">
        <v>2</v>
      </c>
      <c r="EO155" s="2">
        <v>2</v>
      </c>
      <c r="EP155" s="2" t="s">
        <v>89</v>
      </c>
      <c r="EQ155" s="2" t="s">
        <v>89</v>
      </c>
      <c r="ER155" s="2" t="s">
        <v>89</v>
      </c>
      <c r="ES155" s="2" t="s">
        <v>89</v>
      </c>
      <c r="ET155" s="2" t="str">
        <f>HYPERLINK(".\links\REFSEQ-INVERTEBRATE\AGAP009184-PA-REFSEQ-INVERTEBRATE.txt","AGAP009184-PA")</f>
        <v>AGAP009184-PA</v>
      </c>
      <c r="EU155" s="2" t="str">
        <f>HYPERLINK("http://www.ncbi.nlm.nih.gov/sutils/blink.cgi?pid=XP_319956.4","0.0")</f>
        <v>0.0</v>
      </c>
      <c r="EV155" s="2" t="str">
        <f>HYPERLINK("http://www.ncbi.nlm.nih.gov/protein/XP_319956.4","XP_319956.4")</f>
        <v>XP_319956.4</v>
      </c>
      <c r="EW155" s="2">
        <v>100</v>
      </c>
      <c r="EX155" s="2">
        <v>100</v>
      </c>
      <c r="EY155" s="2">
        <v>100</v>
      </c>
      <c r="EZ155" s="2" t="s">
        <v>95</v>
      </c>
    </row>
    <row r="156" spans="1:156" x14ac:dyDescent="0.25">
      <c r="A156" s="2" t="s">
        <v>2986</v>
      </c>
      <c r="B156" s="2">
        <v>-0.897672191594311</v>
      </c>
      <c r="C156" s="2">
        <f t="shared" si="2"/>
        <v>0.53675208986841738</v>
      </c>
      <c r="D156" s="2">
        <v>6.5271884415612904</v>
      </c>
      <c r="E156" s="2">
        <v>14.100073348741301</v>
      </c>
      <c r="F156" s="2">
        <v>1.7333702275785799E-4</v>
      </c>
      <c r="G156" s="2">
        <v>1.29057292398805E-2</v>
      </c>
      <c r="H156" s="2" t="s">
        <v>2987</v>
      </c>
      <c r="I156" s="2" t="s">
        <v>87</v>
      </c>
      <c r="J156" s="2" t="str">
        <f>HYPERLINK("https://vectorbase.org/vectorbase/app/record/gene/AGAP013748","AGAP013748-RA")</f>
        <v>AGAP013748-RA</v>
      </c>
      <c r="K156" s="2" t="str">
        <f>HYPERLINK(".\links\pep\AGAP013748-PA-pep.txt","AGAP013748-PA")</f>
        <v>AGAP013748-PA</v>
      </c>
      <c r="L156" s="12" t="s">
        <v>88</v>
      </c>
      <c r="M156" s="2">
        <v>52</v>
      </c>
      <c r="N156" s="2">
        <v>0</v>
      </c>
      <c r="O156" s="2">
        <v>0</v>
      </c>
      <c r="P156" s="2" t="s">
        <v>2988</v>
      </c>
      <c r="Q156" s="9" t="s">
        <v>2988</v>
      </c>
      <c r="R156" s="2" t="s">
        <v>145</v>
      </c>
      <c r="S156" s="2" t="str">
        <f>HYPERLINK(".\links\REFSEQ-INVERTEBRATE\AGAP013748-PA-REFSEQ-INVERTEBRATE.txt","REFSEQ-INVERTEBRATE")</f>
        <v>REFSEQ-INVERTEBRATE</v>
      </c>
      <c r="T156" s="2">
        <v>2.0000000000000001E-17</v>
      </c>
      <c r="U156" s="2">
        <v>94.4</v>
      </c>
      <c r="V156" s="2" t="s">
        <v>2989</v>
      </c>
      <c r="W156" s="10" t="s">
        <v>2990</v>
      </c>
      <c r="X156" s="2" t="s">
        <v>145</v>
      </c>
      <c r="Y156" s="2" t="str">
        <f>HYPERLINK(".\links\ARTHORPODA\AGAP013748-PA-ARTHORPODA.txt","ARTHORPODA")</f>
        <v>ARTHORPODA</v>
      </c>
      <c r="Z156" s="13">
        <v>4.0000000000000003E-31</v>
      </c>
      <c r="AA156" s="2">
        <v>58.4</v>
      </c>
      <c r="AB156" s="14" t="s">
        <v>89</v>
      </c>
      <c r="AC156" s="14" t="str">
        <f>HYPERLINK(".\links\Sigp\AGAP013748-PA-SigP.txt","CYT")</f>
        <v>CYT</v>
      </c>
      <c r="AD156" s="2" t="s">
        <v>89</v>
      </c>
      <c r="AE156" s="2">
        <v>5.8780000000000001</v>
      </c>
      <c r="AF156" s="2">
        <v>9.52</v>
      </c>
      <c r="AG156" s="2" t="s">
        <v>89</v>
      </c>
      <c r="AH156" s="2" t="s">
        <v>89</v>
      </c>
      <c r="AI156" s="2" t="s">
        <v>2991</v>
      </c>
      <c r="AJ156" s="14">
        <v>0</v>
      </c>
      <c r="AK156" s="2" t="s">
        <v>89</v>
      </c>
      <c r="AL156" s="2" t="s">
        <v>89</v>
      </c>
      <c r="AM156" s="2" t="s">
        <v>89</v>
      </c>
      <c r="AN156" s="14" t="str">
        <f>HYPERLINK(".\links\gpi\AGAP013748-PA-gpi.txt","N")</f>
        <v>N</v>
      </c>
      <c r="AO156" s="15" t="str">
        <f>HYPERLINK(".\links\netoglyc\AGAP013748-PA-netoglyc.txt","0")</f>
        <v>0</v>
      </c>
      <c r="AP156" s="14">
        <v>9.6</v>
      </c>
      <c r="AQ156" s="2">
        <v>11.5</v>
      </c>
      <c r="AR156" s="2">
        <v>9.6</v>
      </c>
      <c r="AS156" s="2" t="s">
        <v>94</v>
      </c>
      <c r="AT156" s="9" t="str">
        <f>HYPERLINK(".\links\NR-LIGHT\AGAP013748-PA-NR-LIGHT.txt","AGAP010227-PA")</f>
        <v>AGAP010227-PA</v>
      </c>
      <c r="AU156" s="2" t="str">
        <f>HYPERLINK("http://www.ncbi.nlm.nih.gov/sutils/blink.cgi?pid=XP_001238152.1","1E-023")</f>
        <v>1E-023</v>
      </c>
      <c r="AV156" s="2" t="str">
        <f>HYPERLINK("http://www.ncbi.nlm.nih.gov/protein/XP_001238152.1","XP_001238152.1")</f>
        <v>XP_001238152.1</v>
      </c>
      <c r="AW156" s="2">
        <v>100</v>
      </c>
      <c r="AX156" s="2">
        <v>100</v>
      </c>
      <c r="AY156" s="2">
        <v>100</v>
      </c>
      <c r="AZ156" s="2" t="s">
        <v>95</v>
      </c>
      <c r="BA156" s="9" t="str">
        <f>HYPERLINK(".\links\REFSEQ-INVERTEBRATE\AGAP013748-PA-REFSEQ-INVERTEBRATE.txt","AGAP010227-PA")</f>
        <v>AGAP010227-PA</v>
      </c>
      <c r="BB156" s="2" t="str">
        <f>HYPERLINK("http://www.ncbi.nlm.nih.gov/sutils/blink.cgi?pid=XP_001238152.1","1E-023")</f>
        <v>1E-023</v>
      </c>
      <c r="BC156" s="2" t="str">
        <f>HYPERLINK("http://www.ncbi.nlm.nih.gov/protein/XP_001238152.1","XP_001238152.1")</f>
        <v>XP_001238152.1</v>
      </c>
      <c r="BD156" s="2">
        <v>100</v>
      </c>
      <c r="BE156" s="2">
        <v>100</v>
      </c>
      <c r="BF156" s="2">
        <v>100</v>
      </c>
      <c r="BG156" s="2" t="s">
        <v>95</v>
      </c>
      <c r="BH156" s="9" t="str">
        <f>HYPERLINK(".\links\REFSEQ-PROTOZOA\AGAP013748-PA-REFSEQ-PROTOZOA.txt","hypothetical protein PTSG_12160")</f>
        <v>hypothetical protein PTSG_12160</v>
      </c>
      <c r="BI156" s="2" t="str">
        <f>HYPERLINK("http://www.ncbi.nlm.nih.gov/sutils/blink.cgi?pid=XP_004994441.1","0.030")</f>
        <v>0.030</v>
      </c>
      <c r="BJ156" s="2" t="str">
        <f>HYPERLINK("http://www.ncbi.nlm.nih.gov/protein/XP_004994441.1","XP_004994441.1")</f>
        <v>XP_004994441.1</v>
      </c>
      <c r="BK156" s="2">
        <v>38</v>
      </c>
      <c r="BL156" s="2">
        <v>51</v>
      </c>
      <c r="BM156" s="2">
        <v>76</v>
      </c>
      <c r="BN156" s="2" t="s">
        <v>182</v>
      </c>
      <c r="BO156" s="9" t="str">
        <f>HYPERLINK(".\links\SWISSP\AGAP013748-PA-SWISSP.txt","Mitochondrial import receptor subunit TOM7 homolog")</f>
        <v>Mitochondrial import receptor subunit TOM7 homolog</v>
      </c>
      <c r="BP156" s="2" t="str">
        <f>HYPERLINK("http://www.uniprot.org/uniprot/Q9P0U1","2E-007")</f>
        <v>2E-007</v>
      </c>
      <c r="BQ156" s="2" t="str">
        <f>HYPERLINK("http://www.uniprot.org/uniprot/Q9P0U1#expression","Q9P0U1")</f>
        <v>Q9P0U1</v>
      </c>
      <c r="BR156" s="2">
        <v>43</v>
      </c>
      <c r="BS156" s="2">
        <v>70</v>
      </c>
      <c r="BT156" s="2">
        <v>93</v>
      </c>
      <c r="BU156" s="2" t="s">
        <v>115</v>
      </c>
      <c r="BV156" s="9" t="str">
        <f>HYPERLINK(".\links\FLYBASE\AGAP013748-PA-FLYBASE.txt","FBpp0308412")</f>
        <v>FBpp0308412</v>
      </c>
      <c r="BW156" s="2" t="str">
        <f>HYPERLINK("http://flybase.org/reports/FBgn0033357#alliance_summary_container","2E-20")</f>
        <v>2E-20</v>
      </c>
      <c r="BX156" s="2">
        <v>54</v>
      </c>
      <c r="BY156" s="2">
        <v>68</v>
      </c>
      <c r="BZ156" s="2">
        <v>82</v>
      </c>
      <c r="CA156" s="2">
        <v>94</v>
      </c>
      <c r="CB156" s="9" t="str">
        <f>HYPERLINK(".\links\CDD\AGAP013748-PA-CDD.txt","Tom7, TOM7 family")</f>
        <v>Tom7, TOM7 family</v>
      </c>
      <c r="CC156" s="13">
        <v>3E-10</v>
      </c>
      <c r="CD156" s="2">
        <v>109.8</v>
      </c>
      <c r="CE156" s="2" t="s">
        <v>2992</v>
      </c>
      <c r="CF156" s="2" t="s">
        <v>2993</v>
      </c>
      <c r="CG156" s="9" t="str">
        <f>HYPERLINK(".\links\KOG\AGAP013748-PA-KOG.txt","subunit TOM7")</f>
        <v>subunit TOM7</v>
      </c>
      <c r="CH156" s="13">
        <v>1.9999999999999999E-7</v>
      </c>
      <c r="CI156" s="2">
        <v>96.2</v>
      </c>
      <c r="CJ156" s="2" t="s">
        <v>2994</v>
      </c>
      <c r="CK156" s="2" t="s">
        <v>278</v>
      </c>
      <c r="CL156" s="9" t="str">
        <f>HYPERLINK(".\links\PFAM\AGAP013748-PA-PFAM.txt","Tom7, TOM7 family")</f>
        <v>Tom7, TOM7 family</v>
      </c>
      <c r="CM156" s="13">
        <v>7.9999999999999995E-11</v>
      </c>
      <c r="CN156" s="2">
        <v>109.8</v>
      </c>
      <c r="CO156" s="2" t="s">
        <v>2992</v>
      </c>
      <c r="CP156" s="9" t="str">
        <f>HYPERLINK(".\links\SMART\AGAP013748-PA-SMART.txt","PGA_cap, Bacterial capsule synthesis protein PGA_cap")</f>
        <v>PGA_cap, Bacterial capsule synthesis protein PGA_cap</v>
      </c>
      <c r="CQ156" s="13">
        <v>6.4</v>
      </c>
      <c r="CR156" s="2">
        <v>7.5</v>
      </c>
      <c r="CS156" s="2" t="s">
        <v>2995</v>
      </c>
      <c r="CT156" s="2" t="s">
        <v>2989</v>
      </c>
      <c r="CU156" s="2" t="s">
        <v>2989</v>
      </c>
      <c r="CV156" s="2" t="s">
        <v>2989</v>
      </c>
      <c r="CW156" s="2" t="str">
        <f>HYPERLINK(".\links\pep\AGAP013748-PA-pep.txt","AGAP013748-PA")</f>
        <v>AGAP013748-PA</v>
      </c>
      <c r="CX156" s="2" t="s">
        <v>88</v>
      </c>
      <c r="CY156" s="2">
        <v>52</v>
      </c>
      <c r="CZ156" s="2" t="s">
        <v>103</v>
      </c>
      <c r="DA156" s="2" t="s">
        <v>2996</v>
      </c>
      <c r="DB156" s="2">
        <v>0</v>
      </c>
      <c r="DC156" s="2">
        <v>0</v>
      </c>
      <c r="DD156" s="2" t="str">
        <f>HYPERLINK("https://www.kegg.jp/kegg-bin/search_pathway_text?map=aga&amp;keyword=AGAP013748&amp;mode=1&amp;viewImage=true","AGAP013748")</f>
        <v>AGAP013748</v>
      </c>
      <c r="DE156" s="2" t="s">
        <v>2986</v>
      </c>
      <c r="DF156" s="2" t="s">
        <v>2987</v>
      </c>
      <c r="DG156" s="2" t="s">
        <v>87</v>
      </c>
      <c r="DH156" s="2" t="str">
        <f>HYPERLINK("https://vectorbase.org/vectorbase/app/record/gene/AGAP013748","AGAP013748-RA")</f>
        <v>AGAP013748-RA</v>
      </c>
      <c r="DI156" s="2" t="s">
        <v>105</v>
      </c>
      <c r="DJ156" s="2">
        <v>297</v>
      </c>
      <c r="DK156" s="2" t="str">
        <f>HYPERLINK(".\links\netoglyc\AGAP013748-PA-netoglyc.txt","0")</f>
        <v>0</v>
      </c>
      <c r="DL156" s="2">
        <v>9.6</v>
      </c>
      <c r="DM156" s="2">
        <v>11.5</v>
      </c>
      <c r="DN156" s="2">
        <v>9.6</v>
      </c>
      <c r="DO156" s="2" t="s">
        <v>94</v>
      </c>
      <c r="DP156" s="2" t="s">
        <v>89</v>
      </c>
      <c r="DQ156" s="2" t="str">
        <f>HYPERLINK(".\links\Sigp\AGAP013748-PA-SigP.txt","CYT")</f>
        <v>CYT</v>
      </c>
      <c r="DR156" s="2" t="s">
        <v>89</v>
      </c>
      <c r="DS156" s="2">
        <v>5.8780000000000001</v>
      </c>
      <c r="DT156" s="2">
        <v>9.52</v>
      </c>
      <c r="DU156" s="2" t="s">
        <v>89</v>
      </c>
      <c r="DV156" s="2" t="s">
        <v>89</v>
      </c>
      <c r="DW156" s="2" t="s">
        <v>2991</v>
      </c>
      <c r="DX156" s="2">
        <v>52</v>
      </c>
      <c r="DY156" s="12">
        <v>0</v>
      </c>
      <c r="DZ156" s="2" t="s">
        <v>89</v>
      </c>
      <c r="EA156" s="2" t="s">
        <v>89</v>
      </c>
      <c r="EB156" s="2" t="s">
        <v>89</v>
      </c>
      <c r="EC156" s="2" t="str">
        <f>HYPERLINK(".\links\gpi\AGAP013748-PA-gpi.txt","N")</f>
        <v>N</v>
      </c>
      <c r="ED156" s="2">
        <v>0.56000000000000005</v>
      </c>
      <c r="EE156" s="2" t="s">
        <v>2997</v>
      </c>
      <c r="EF156" s="2">
        <v>0</v>
      </c>
      <c r="EG156" s="2" t="s">
        <v>89</v>
      </c>
      <c r="EH156" s="2" t="s">
        <v>89</v>
      </c>
      <c r="EI156" s="2">
        <v>9.6153846153846203</v>
      </c>
      <c r="EJ156" s="2">
        <v>9.6153846153846203</v>
      </c>
      <c r="EK156" s="2">
        <v>11.538461538461499</v>
      </c>
      <c r="EL156" s="2">
        <v>21.153846153846199</v>
      </c>
      <c r="EM156" s="2" t="s">
        <v>89</v>
      </c>
      <c r="EN156" s="2">
        <v>1</v>
      </c>
      <c r="EO156" s="2">
        <v>2</v>
      </c>
      <c r="EP156" s="2" t="s">
        <v>89</v>
      </c>
      <c r="EQ156" s="2" t="s">
        <v>89</v>
      </c>
      <c r="ER156" s="2" t="s">
        <v>89</v>
      </c>
      <c r="ES156" s="2" t="s">
        <v>89</v>
      </c>
      <c r="ET156" s="2" t="str">
        <f>HYPERLINK(".\links\REFSEQ-INVERTEBRATE\AGAP013748-PA-REFSEQ-INVERTEBRATE.txt","AGAP010227-PA")</f>
        <v>AGAP010227-PA</v>
      </c>
      <c r="EU156" s="2" t="str">
        <f>HYPERLINK("http://www.ncbi.nlm.nih.gov/sutils/blink.cgi?pid=XP_001238152.1","2E-30")</f>
        <v>2E-30</v>
      </c>
      <c r="EV156" s="2" t="str">
        <f>HYPERLINK("http://www.ncbi.nlm.nih.gov/protein/XP_001238152.1","XP_001238152.1")</f>
        <v>XP_001238152.1</v>
      </c>
      <c r="EW156" s="2">
        <v>100</v>
      </c>
      <c r="EX156" s="2">
        <v>100</v>
      </c>
      <c r="EY156" s="2">
        <v>100</v>
      </c>
      <c r="EZ156" s="2" t="s">
        <v>95</v>
      </c>
    </row>
    <row r="157" spans="1:156" x14ac:dyDescent="0.25">
      <c r="A157" s="2" t="s">
        <v>2663</v>
      </c>
      <c r="B157" s="2">
        <v>-0.89809606647690798</v>
      </c>
      <c r="C157" s="2">
        <f t="shared" si="2"/>
        <v>0.53659441114701878</v>
      </c>
      <c r="D157" s="2">
        <v>7.5826762068279301</v>
      </c>
      <c r="E157" s="2">
        <v>12.5400345122715</v>
      </c>
      <c r="F157" s="2">
        <v>3.9832494414593703E-4</v>
      </c>
      <c r="G157" s="2">
        <v>2.2744723335808702E-2</v>
      </c>
      <c r="H157" s="2" t="s">
        <v>2664</v>
      </c>
      <c r="I157" s="2" t="s">
        <v>89</v>
      </c>
      <c r="J157" s="2" t="str">
        <f>HYPERLINK("https://vectorbase.org/vectorbase/app/record/gene/AGAP011122","AGAP011122-RD")</f>
        <v>AGAP011122-RD</v>
      </c>
      <c r="K157" s="2" t="str">
        <f>HYPERLINK(".\links\pep\AGAP011122-PD-pep.txt","AGAP011122-PD")</f>
        <v>AGAP011122-PD</v>
      </c>
      <c r="Q157" s="9"/>
      <c r="V157" s="2" t="s">
        <v>2665</v>
      </c>
      <c r="W157" s="10" t="s">
        <v>2666</v>
      </c>
      <c r="X157" s="2" t="s">
        <v>209</v>
      </c>
      <c r="Y157" s="2" t="str">
        <f>HYPERLINK(".\links\COG\AGAP011122-PD-COG.txt","COG")</f>
        <v>COG</v>
      </c>
      <c r="Z157" s="13">
        <v>1.9999999999999999E-44</v>
      </c>
      <c r="AA157" s="2">
        <v>92.8</v>
      </c>
      <c r="AB157" s="9"/>
      <c r="AC157" s="9"/>
      <c r="AJ157" s="9"/>
      <c r="AN157" s="9"/>
      <c r="AO157" s="11"/>
      <c r="AP157" s="9"/>
      <c r="AT157" s="9"/>
      <c r="BA157" s="9"/>
      <c r="BH157" s="9"/>
      <c r="BO157" s="9"/>
      <c r="BV157" s="9"/>
      <c r="CB157" s="9"/>
      <c r="CG157" s="9"/>
      <c r="CL157" s="9"/>
      <c r="CP157" s="9"/>
      <c r="CW157" s="2" t="str">
        <f>HYPERLINK(".\links\pep\AGAP011122-PD-pep.txt","AGAP011122-PD")</f>
        <v>AGAP011122-PD</v>
      </c>
      <c r="CX157" s="2" t="s">
        <v>88</v>
      </c>
      <c r="CY157" s="2">
        <v>606</v>
      </c>
      <c r="CZ157" s="2" t="s">
        <v>103</v>
      </c>
      <c r="DA157" s="2">
        <v>0</v>
      </c>
      <c r="DB157" s="2">
        <v>2</v>
      </c>
      <c r="DD157" s="2" t="str">
        <f>HYPERLINK("https://www.kegg.jp/kegg-bin/search_pathway_text?map=aga&amp;keyword=AGAP011122&amp;mode=1&amp;viewImage=true","AGAP011122")</f>
        <v>AGAP011122</v>
      </c>
      <c r="DE157" s="2" t="s">
        <v>2663</v>
      </c>
      <c r="DF157" s="2" t="s">
        <v>2664</v>
      </c>
      <c r="DG157" s="2" t="s">
        <v>89</v>
      </c>
      <c r="DH157" s="2" t="str">
        <f>HYPERLINK("https://vectorbase.org/vectorbase/app/record/gene/AGAP011122","AGAP011122-RD")</f>
        <v>AGAP011122-RD</v>
      </c>
      <c r="DI157" s="2" t="s">
        <v>105</v>
      </c>
      <c r="DJ157" s="2">
        <v>3854</v>
      </c>
      <c r="DK157" s="2" t="str">
        <f>HYPERLINK(".\links\netoglyc\AGAP011122-PD-netoglyc.txt","3")</f>
        <v>3</v>
      </c>
      <c r="DL157" s="2">
        <v>18</v>
      </c>
      <c r="DM157" s="2">
        <v>5.8</v>
      </c>
      <c r="DN157" s="2">
        <v>5.4</v>
      </c>
      <c r="DO157" s="2" t="s">
        <v>94</v>
      </c>
      <c r="DP157" s="2" t="s">
        <v>2667</v>
      </c>
      <c r="DQ157" s="2" t="str">
        <f>HYPERLINK(".\links\Sigp\AGAP011122-PD-SigP.txt","CYT")</f>
        <v>CYT</v>
      </c>
      <c r="DR157" s="2" t="s">
        <v>89</v>
      </c>
      <c r="DS157" s="2">
        <v>67.111999999999995</v>
      </c>
      <c r="DT157" s="2">
        <v>6.68</v>
      </c>
      <c r="DU157" s="2" t="s">
        <v>89</v>
      </c>
      <c r="DV157" s="2" t="s">
        <v>89</v>
      </c>
      <c r="DW157" s="2" t="s">
        <v>501</v>
      </c>
      <c r="DX157" s="2">
        <v>606</v>
      </c>
      <c r="DY157" s="12">
        <v>0</v>
      </c>
      <c r="DZ157" s="2" t="s">
        <v>89</v>
      </c>
      <c r="EA157" s="2" t="s">
        <v>89</v>
      </c>
      <c r="EB157" s="2" t="s">
        <v>89</v>
      </c>
      <c r="EC157" s="2" t="str">
        <f>HYPERLINK(".\links\gpi\AGAP011122-PD-gpi.txt","Y-NoSP")</f>
        <v>Y-NoSP</v>
      </c>
      <c r="ED157" s="2">
        <v>0.2</v>
      </c>
      <c r="EF157" s="2">
        <v>8</v>
      </c>
      <c r="EG157" s="2" t="str">
        <f>HYPERLINK(".\links\pep\AGAP011122-PD-sulf.txt","1")</f>
        <v>1</v>
      </c>
      <c r="EH157" s="2" t="s">
        <v>89</v>
      </c>
      <c r="EI157" s="2">
        <v>17.986798679867999</v>
      </c>
      <c r="EJ157" s="2">
        <v>5.4455445544554504</v>
      </c>
      <c r="EK157" s="2">
        <v>5.7755775577557804</v>
      </c>
      <c r="EL157" s="2">
        <v>11.2211221122112</v>
      </c>
      <c r="EM157" s="2" t="s">
        <v>89</v>
      </c>
      <c r="EN157" s="2" t="s">
        <v>89</v>
      </c>
      <c r="EO157" s="2" t="s">
        <v>89</v>
      </c>
      <c r="EP157" s="2" t="s">
        <v>89</v>
      </c>
      <c r="EQ157" s="2" t="s">
        <v>89</v>
      </c>
      <c r="ER157" s="2" t="s">
        <v>89</v>
      </c>
      <c r="ES157" s="2" t="s">
        <v>89</v>
      </c>
      <c r="ET157" s="2" t="str">
        <f>HYPERLINK(".\links\REFSEQ-INVERTEBRATE\AGAP011122-PD-REFSEQ-INVERTEBRATE.txt","NAD kinase-like isoform X1")</f>
        <v>NAD kinase-like isoform X1</v>
      </c>
      <c r="EU157" s="2" t="str">
        <f>HYPERLINK("http://www.ncbi.nlm.nih.gov/sutils/blink.cgi?pid=XP_035903226.1","0.0")</f>
        <v>0.0</v>
      </c>
      <c r="EV157" s="2" t="str">
        <f>HYPERLINK("http://www.ncbi.nlm.nih.gov/protein/XP_035903226.1","XP_035903226.1")</f>
        <v>XP_035903226.1</v>
      </c>
      <c r="EW157" s="2">
        <v>87</v>
      </c>
      <c r="EX157" s="2">
        <v>90</v>
      </c>
      <c r="EY157" s="2">
        <v>103</v>
      </c>
      <c r="EZ157" s="2" t="s">
        <v>600</v>
      </c>
    </row>
    <row r="158" spans="1:156" x14ac:dyDescent="0.25">
      <c r="A158" s="2" t="s">
        <v>1023</v>
      </c>
      <c r="B158" s="2">
        <v>-0.89917639861664</v>
      </c>
      <c r="C158" s="2">
        <f t="shared" si="2"/>
        <v>0.5361927440046923</v>
      </c>
      <c r="D158" s="2">
        <v>4.6240477336383998</v>
      </c>
      <c r="E158" s="2">
        <v>16.791168194828501</v>
      </c>
      <c r="F158" s="2">
        <v>4.1727055512523501E-5</v>
      </c>
      <c r="G158" s="2">
        <v>5.0458718121086698E-3</v>
      </c>
      <c r="H158" s="2" t="s">
        <v>86</v>
      </c>
      <c r="I158" s="2" t="s">
        <v>87</v>
      </c>
      <c r="J158" s="2" t="str">
        <f>HYPERLINK("https://vectorbase.org/vectorbase/app/record/gene/AGAP003919","AGAP003919-RA")</f>
        <v>AGAP003919-RA</v>
      </c>
      <c r="K158" s="2" t="str">
        <f>HYPERLINK(".\links\pep\AGAP003919-PA-pep.txt","AGAP003919-PA")</f>
        <v>AGAP003919-PA</v>
      </c>
      <c r="L158" s="12" t="s">
        <v>88</v>
      </c>
      <c r="M158" s="2">
        <v>163</v>
      </c>
      <c r="N158" s="2">
        <v>0</v>
      </c>
      <c r="O158" s="2">
        <v>0</v>
      </c>
      <c r="P158" s="2" t="s">
        <v>89</v>
      </c>
      <c r="Q158" s="9" t="s">
        <v>1024</v>
      </c>
      <c r="R158" s="2" t="s">
        <v>91</v>
      </c>
      <c r="S158" s="2" t="str">
        <f>HYPERLINK(".\links\REFSEQ-INVERTEBRATE\AGAP003919-PA-REFSEQ-INVERTEBRATE.txt","REFSEQ-INVERTEBRATE")</f>
        <v>REFSEQ-INVERTEBRATE</v>
      </c>
      <c r="T158" s="2">
        <v>3.9999999999999998E-94</v>
      </c>
      <c r="U158" s="2">
        <v>100</v>
      </c>
      <c r="V158" s="2" t="s">
        <v>1024</v>
      </c>
      <c r="W158" s="10" t="s">
        <v>1025</v>
      </c>
      <c r="X158" s="2" t="s">
        <v>91</v>
      </c>
      <c r="Y158" s="2" t="str">
        <f>HYPERLINK(".\links\ARTHORPODA\AGAP003919-PA-ARTHORPODA.txt","ARTHORPODA")</f>
        <v>ARTHORPODA</v>
      </c>
      <c r="Z158" s="13">
        <v>0</v>
      </c>
      <c r="AA158" s="2">
        <v>1</v>
      </c>
      <c r="AB158" s="14" t="str">
        <f>HYPERLINK(".\links\pep\AGAP003919-PA-sulf.txt","2")</f>
        <v>2</v>
      </c>
      <c r="AC158" s="14" t="str">
        <f>HYPERLINK(".\links\Sigp\AGAP003919-PA-SigP.txt","CYT")</f>
        <v>CYT</v>
      </c>
      <c r="AD158" s="2" t="s">
        <v>89</v>
      </c>
      <c r="AE158" s="2">
        <v>18.797000000000001</v>
      </c>
      <c r="AF158" s="2">
        <v>5.0599999999999996</v>
      </c>
      <c r="AG158" s="2" t="s">
        <v>89</v>
      </c>
      <c r="AH158" s="2" t="s">
        <v>89</v>
      </c>
      <c r="AI158" s="2" t="s">
        <v>93</v>
      </c>
      <c r="AJ158" s="14">
        <v>0</v>
      </c>
      <c r="AK158" s="2" t="s">
        <v>89</v>
      </c>
      <c r="AL158" s="2" t="s">
        <v>89</v>
      </c>
      <c r="AM158" s="2" t="s">
        <v>89</v>
      </c>
      <c r="AN158" s="14" t="str">
        <f>HYPERLINK(".\links\gpi\AGAP003919-PA-gpi.txt","N")</f>
        <v>N</v>
      </c>
      <c r="AO158" s="15" t="str">
        <f>HYPERLINK(".\links\netoglyc\AGAP003919-PA-netoglyc.txt","0")</f>
        <v>0</v>
      </c>
      <c r="AP158" s="14">
        <v>12.9</v>
      </c>
      <c r="AQ158" s="2">
        <v>6.7</v>
      </c>
      <c r="AR158" s="2">
        <v>3.1</v>
      </c>
      <c r="AS158" s="2" t="s">
        <v>94</v>
      </c>
      <c r="AT158" s="9" t="str">
        <f>HYPERLINK(".\links\NR-LIGHT\AGAP003919-PA-NR-LIGHT.txt","AGAP003919-PA")</f>
        <v>AGAP003919-PA</v>
      </c>
      <c r="AU158" s="2" t="str">
        <f>HYPERLINK("http://www.ncbi.nlm.nih.gov/sutils/blink.cgi?pid=XP_318370.4","4E-094")</f>
        <v>4E-094</v>
      </c>
      <c r="AV158" s="2" t="str">
        <f>HYPERLINK("http://www.ncbi.nlm.nih.gov/protein/XP_318370.4","XP_318370.4")</f>
        <v>XP_318370.4</v>
      </c>
      <c r="AW158" s="2">
        <v>100</v>
      </c>
      <c r="AX158" s="2">
        <v>100</v>
      </c>
      <c r="AY158" s="2">
        <v>100</v>
      </c>
      <c r="AZ158" s="2" t="s">
        <v>95</v>
      </c>
      <c r="BA158" s="9" t="str">
        <f>HYPERLINK(".\links\REFSEQ-INVERTEBRATE\AGAP003919-PA-REFSEQ-INVERTEBRATE.txt","AGAP003919-PA")</f>
        <v>AGAP003919-PA</v>
      </c>
      <c r="BB158" s="2" t="str">
        <f>HYPERLINK("http://www.ncbi.nlm.nih.gov/sutils/blink.cgi?pid=XP_318370.4","4E-094")</f>
        <v>4E-094</v>
      </c>
      <c r="BC158" s="2" t="str">
        <f>HYPERLINK("http://www.ncbi.nlm.nih.gov/protein/XP_318370.4","XP_318370.4")</f>
        <v>XP_318370.4</v>
      </c>
      <c r="BD158" s="2">
        <v>100</v>
      </c>
      <c r="BE158" s="2">
        <v>100</v>
      </c>
      <c r="BF158" s="2">
        <v>100</v>
      </c>
      <c r="BG158" s="2" t="s">
        <v>95</v>
      </c>
      <c r="BH158" s="9" t="str">
        <f>HYPERLINK(".\links\REFSEQ-PROTOZOA\AGAP003919-PA-REFSEQ-PROTOZOA.txt","hypothetical protein CAOG_07855")</f>
        <v>hypothetical protein CAOG_07855</v>
      </c>
      <c r="BI158" s="2" t="str">
        <f>HYPERLINK("http://www.ncbi.nlm.nih.gov/sutils/blink.cgi?pid=XP_004342940.1","3E-024")</f>
        <v>3E-024</v>
      </c>
      <c r="BJ158" s="2" t="str">
        <f>HYPERLINK("http://www.ncbi.nlm.nih.gov/protein/XP_004342940.1","XP_004342940.1")</f>
        <v>XP_004342940.1</v>
      </c>
      <c r="BK158" s="2">
        <v>38</v>
      </c>
      <c r="BL158" s="2">
        <v>54</v>
      </c>
      <c r="BM158" s="2">
        <v>106</v>
      </c>
      <c r="BN158" s="2" t="s">
        <v>150</v>
      </c>
      <c r="BO158" s="9" t="str">
        <f>HYPERLINK(".\links\SWISSP\AGAP003919-PA-SWISSP.txt","UPF0587 protein CG4646")</f>
        <v>UPF0587 protein CG4646</v>
      </c>
      <c r="BP158" s="2" t="str">
        <f>HYPERLINK("http://www.uniprot.org/uniprot/A1Z9A2","9E-069")</f>
        <v>9E-069</v>
      </c>
      <c r="BQ158" s="2" t="str">
        <f>HYPERLINK("http://www.uniprot.org/uniprot/A1Z9A2#expression","A1Z9A2")</f>
        <v>A1Z9A2</v>
      </c>
      <c r="BR158" s="2">
        <v>69</v>
      </c>
      <c r="BS158" s="2">
        <v>83</v>
      </c>
      <c r="BT158" s="2">
        <v>100</v>
      </c>
      <c r="BU158" s="2" t="s">
        <v>151</v>
      </c>
      <c r="BV158" s="9" t="str">
        <f>HYPERLINK(".\links\FLYBASE\AGAP003919-PA-FLYBASE.txt","FBpp0311588")</f>
        <v>FBpp0311588</v>
      </c>
      <c r="BW158" s="2" t="str">
        <f>HYPERLINK("http://flybase.org/reports/FBgn0033810#alliance_summary_container","2E-89")</f>
        <v>2E-89</v>
      </c>
      <c r="BX158" s="2">
        <v>163</v>
      </c>
      <c r="BY158" s="2">
        <v>69</v>
      </c>
      <c r="BZ158" s="2">
        <v>83</v>
      </c>
      <c r="CA158" s="2">
        <v>100</v>
      </c>
      <c r="CB158" s="9" t="str">
        <f>HYPERLINK(".\links\CDD\AGAP003919-PA-CDD.txt","DUF866, Eukaryotic protein of unknown function (DUF866)")</f>
        <v>DUF866, Eukaryotic protein of unknown function (DUF866)</v>
      </c>
      <c r="CC158" s="13">
        <v>4.9999999999999997E-50</v>
      </c>
      <c r="CD158" s="2">
        <v>102</v>
      </c>
      <c r="CE158" s="2" t="s">
        <v>1026</v>
      </c>
      <c r="CF158" s="2" t="s">
        <v>1027</v>
      </c>
      <c r="CG158" s="9" t="str">
        <f>HYPERLINK(".\links\KOG\AGAP003919-PA-KOG.txt","Uncharacterized conserved protein")</f>
        <v>Uncharacterized conserved protein</v>
      </c>
      <c r="CH158" s="13">
        <v>4.0000000000000002E-56</v>
      </c>
      <c r="CI158" s="2">
        <v>101.2</v>
      </c>
      <c r="CJ158" s="2" t="s">
        <v>1028</v>
      </c>
      <c r="CK158" s="2" t="s">
        <v>101</v>
      </c>
      <c r="CL158" s="9" t="str">
        <f>HYPERLINK(".\links\PFAM\AGAP003919-PA-PFAM.txt","DUF866, Eukaryotic protein of unknown function (DUF866)")</f>
        <v>DUF866, Eukaryotic protein of unknown function (DUF866)</v>
      </c>
      <c r="CM158" s="13">
        <v>1E-50</v>
      </c>
      <c r="CN158" s="2">
        <v>102</v>
      </c>
      <c r="CO158" s="2" t="s">
        <v>1026</v>
      </c>
      <c r="CP158" s="9" t="str">
        <f>HYPERLINK(".\links\SMART\AGAP003919-PA-SMART.txt","MYSc, Myosin")</f>
        <v>MYSc, Myosin</v>
      </c>
      <c r="CQ158" s="13">
        <v>0.84</v>
      </c>
      <c r="CR158" s="2">
        <v>4.5999999999999996</v>
      </c>
      <c r="CS158" s="2" t="s">
        <v>1029</v>
      </c>
      <c r="CT158" s="2" t="s">
        <v>1024</v>
      </c>
      <c r="CU158" s="2" t="s">
        <v>1024</v>
      </c>
      <c r="CV158" s="2" t="s">
        <v>1024</v>
      </c>
      <c r="CW158" s="2" t="str">
        <f>HYPERLINK(".\links\pep\AGAP003919-PA-pep.txt","AGAP003919-PA")</f>
        <v>AGAP003919-PA</v>
      </c>
      <c r="CX158" s="2" t="s">
        <v>88</v>
      </c>
      <c r="CY158" s="2">
        <v>163</v>
      </c>
      <c r="CZ158" s="2" t="s">
        <v>103</v>
      </c>
      <c r="DA158" s="2" t="s">
        <v>1030</v>
      </c>
      <c r="DB158" s="2">
        <v>0</v>
      </c>
      <c r="DC158" s="2">
        <v>0</v>
      </c>
      <c r="DD158" s="2" t="str">
        <f>HYPERLINK("https://www.kegg.jp/kegg-bin/search_pathway_text?map=aga&amp;keyword=AGAP003919&amp;mode=1&amp;viewImage=true","AGAP003919")</f>
        <v>AGAP003919</v>
      </c>
      <c r="DE158" s="2" t="s">
        <v>1023</v>
      </c>
      <c r="DF158" s="2" t="s">
        <v>86</v>
      </c>
      <c r="DG158" s="2" t="s">
        <v>87</v>
      </c>
      <c r="DH158" s="2" t="str">
        <f>HYPERLINK("https://vectorbase.org/vectorbase/app/record/gene/AGAP003919","AGAP003919-RA")</f>
        <v>AGAP003919-RA</v>
      </c>
      <c r="DI158" s="2" t="s">
        <v>158</v>
      </c>
      <c r="DJ158" s="2">
        <v>743</v>
      </c>
      <c r="DK158" s="2" t="str">
        <f>HYPERLINK(".\links\netoglyc\AGAP003919-PA-netoglyc.txt","0")</f>
        <v>0</v>
      </c>
      <c r="DL158" s="2">
        <v>12.9</v>
      </c>
      <c r="DM158" s="2">
        <v>6.7</v>
      </c>
      <c r="DN158" s="2">
        <v>3.1</v>
      </c>
      <c r="DO158" s="2" t="s">
        <v>94</v>
      </c>
      <c r="DP158" s="2" t="s">
        <v>89</v>
      </c>
      <c r="DQ158" s="2" t="str">
        <f>HYPERLINK(".\links\Sigp\AGAP003919-PA-SigP.txt","CYT")</f>
        <v>CYT</v>
      </c>
      <c r="DR158" s="2" t="s">
        <v>89</v>
      </c>
      <c r="DS158" s="2">
        <v>18.797000000000001</v>
      </c>
      <c r="DT158" s="2">
        <v>5.0599999999999996</v>
      </c>
      <c r="DU158" s="2" t="s">
        <v>89</v>
      </c>
      <c r="DV158" s="2" t="s">
        <v>89</v>
      </c>
      <c r="DW158" s="2" t="s">
        <v>93</v>
      </c>
      <c r="DX158" s="2">
        <v>163</v>
      </c>
      <c r="DY158" s="12">
        <v>0</v>
      </c>
      <c r="DZ158" s="2" t="s">
        <v>89</v>
      </c>
      <c r="EA158" s="2" t="s">
        <v>89</v>
      </c>
      <c r="EB158" s="2" t="s">
        <v>89</v>
      </c>
      <c r="EC158" s="2" t="str">
        <f>HYPERLINK(".\links\gpi\AGAP003919-PA-gpi.txt","Y-NoSP")</f>
        <v>Y-NoSP</v>
      </c>
      <c r="ED158" s="2">
        <v>0.41</v>
      </c>
      <c r="EF158" s="2">
        <v>5</v>
      </c>
      <c r="EG158" s="2" t="str">
        <f>HYPERLINK(".\links\pep\AGAP003919-PA-sulf.txt","2")</f>
        <v>2</v>
      </c>
      <c r="EH158" s="2" t="s">
        <v>89</v>
      </c>
      <c r="EI158" s="2">
        <v>12.8834355828221</v>
      </c>
      <c r="EJ158" s="2">
        <v>3.0674846625766898</v>
      </c>
      <c r="EK158" s="2">
        <v>6.74846625766871</v>
      </c>
      <c r="EL158" s="2">
        <v>9.8159509202454007</v>
      </c>
      <c r="EM158" s="2" t="s">
        <v>89</v>
      </c>
      <c r="EN158" s="2">
        <v>1</v>
      </c>
      <c r="EO158" s="2">
        <v>1</v>
      </c>
      <c r="EP158" s="2" t="s">
        <v>89</v>
      </c>
      <c r="EQ158" s="2" t="s">
        <v>89</v>
      </c>
      <c r="ER158" s="2" t="s">
        <v>89</v>
      </c>
      <c r="ES158" s="2" t="s">
        <v>89</v>
      </c>
      <c r="ET158" s="2" t="str">
        <f>HYPERLINK(".\links\REFSEQ-INVERTEBRATE\AGAP003919-PA-REFSEQ-INVERTEBRATE.txt","AGAP003919-PA")</f>
        <v>AGAP003919-PA</v>
      </c>
      <c r="EU158" s="2" t="str">
        <f>HYPERLINK("http://www.ncbi.nlm.nih.gov/sutils/blink.cgi?pid=XP_318370.4","1E-120")</f>
        <v>1E-120</v>
      </c>
      <c r="EV158" s="2" t="str">
        <f>HYPERLINK("http://www.ncbi.nlm.nih.gov/protein/XP_318370.4","XP_318370.4")</f>
        <v>XP_318370.4</v>
      </c>
      <c r="EW158" s="2">
        <v>100</v>
      </c>
      <c r="EX158" s="2">
        <v>100</v>
      </c>
      <c r="EY158" s="2">
        <v>100</v>
      </c>
      <c r="EZ158" s="2" t="s">
        <v>95</v>
      </c>
    </row>
    <row r="159" spans="1:156" x14ac:dyDescent="0.25">
      <c r="A159" s="2" t="s">
        <v>2372</v>
      </c>
      <c r="B159" s="2">
        <v>-0.90357617841381799</v>
      </c>
      <c r="C159" s="2">
        <f t="shared" si="2"/>
        <v>0.53456001062973779</v>
      </c>
      <c r="D159" s="2">
        <v>10.9736495148867</v>
      </c>
      <c r="E159" s="2">
        <v>13.740934845137</v>
      </c>
      <c r="F159" s="2">
        <v>2.0983103896606399E-4</v>
      </c>
      <c r="G159" s="2">
        <v>1.4697835999155799E-2</v>
      </c>
      <c r="H159" s="2" t="s">
        <v>2373</v>
      </c>
      <c r="I159" s="2" t="s">
        <v>89</v>
      </c>
      <c r="J159" s="2" t="str">
        <f>HYPERLINK("https://vectorbase.org/vectorbase/app/record/gene/AGAP009998","AGAP009998-RA")</f>
        <v>AGAP009998-RA</v>
      </c>
      <c r="K159" s="2" t="str">
        <f>HYPERLINK(".\links\pep\AGAP009998-PA-pep.txt","AGAP009998-PA")</f>
        <v>AGAP009998-PA</v>
      </c>
      <c r="L159" s="12" t="s">
        <v>88</v>
      </c>
      <c r="M159" s="2">
        <v>153</v>
      </c>
      <c r="N159" s="2">
        <v>0</v>
      </c>
      <c r="O159" s="2">
        <v>0</v>
      </c>
      <c r="P159" s="2" t="s">
        <v>2374</v>
      </c>
      <c r="Q159" s="9" t="s">
        <v>2375</v>
      </c>
      <c r="R159" s="2" t="s">
        <v>245</v>
      </c>
      <c r="S159" s="2" t="str">
        <f>HYPERLINK(".\links\KOG\AGAP009998-PA-KOG.txt","KOG")</f>
        <v>KOG</v>
      </c>
      <c r="T159" s="2">
        <v>9.9999999999999994E-68</v>
      </c>
      <c r="U159" s="2">
        <v>100</v>
      </c>
      <c r="V159" s="2" t="s">
        <v>2376</v>
      </c>
      <c r="W159" s="10" t="s">
        <v>2377</v>
      </c>
      <c r="X159" s="2" t="s">
        <v>245</v>
      </c>
      <c r="Y159" s="2" t="str">
        <f>HYPERLINK(".\links\KOG\AGAP009998-PA-KOG.txt","KOG")</f>
        <v>KOG</v>
      </c>
      <c r="Z159" s="13">
        <v>3.9999999999999998E-81</v>
      </c>
      <c r="AA159" s="2">
        <v>97.4</v>
      </c>
      <c r="AB159" s="14" t="s">
        <v>89</v>
      </c>
      <c r="AC159" s="14" t="str">
        <f>HYPERLINK(".\links\Sigp\AGAP009998-PA-SigP.txt","CYT")</f>
        <v>CYT</v>
      </c>
      <c r="AD159" s="2" t="s">
        <v>89</v>
      </c>
      <c r="AE159" s="2">
        <v>17.843</v>
      </c>
      <c r="AF159" s="2">
        <v>11.07</v>
      </c>
      <c r="AG159" s="2" t="s">
        <v>89</v>
      </c>
      <c r="AH159" s="2" t="s">
        <v>89</v>
      </c>
      <c r="AI159" s="2" t="s">
        <v>93</v>
      </c>
      <c r="AJ159" s="14">
        <v>0</v>
      </c>
      <c r="AK159" s="2" t="s">
        <v>89</v>
      </c>
      <c r="AL159" s="2" t="s">
        <v>89</v>
      </c>
      <c r="AM159" s="2" t="s">
        <v>89</v>
      </c>
      <c r="AN159" s="14" t="str">
        <f>HYPERLINK(".\links\gpi\AGAP009998-PA-gpi.txt","N")</f>
        <v>N</v>
      </c>
      <c r="AO159" s="15" t="str">
        <f>HYPERLINK(".\links\netoglyc\AGAP009998-PA-netoglyc.txt","0")</f>
        <v>0</v>
      </c>
      <c r="AP159" s="14">
        <v>11.1</v>
      </c>
      <c r="AQ159" s="2">
        <v>7.2</v>
      </c>
      <c r="AR159" s="2">
        <v>2.6</v>
      </c>
      <c r="AS159" s="2" t="s">
        <v>94</v>
      </c>
      <c r="AT159" s="9" t="str">
        <f>HYPERLINK(".\links\NR-LIGHT\AGAP009998-PA-NR-LIGHT.txt","AGAP009998-PA")</f>
        <v>AGAP009998-PA</v>
      </c>
      <c r="AU159" s="2" t="str">
        <f>HYPERLINK("http://www.ncbi.nlm.nih.gov/sutils/blink.cgi?pid=XP_319141.3","7E-084")</f>
        <v>7E-084</v>
      </c>
      <c r="AV159" s="2" t="str">
        <f>HYPERLINK("http://www.ncbi.nlm.nih.gov/protein/XP_319141.3","XP_319141.3")</f>
        <v>XP_319141.3</v>
      </c>
      <c r="AW159" s="2">
        <v>100</v>
      </c>
      <c r="AX159" s="2">
        <v>100</v>
      </c>
      <c r="AY159" s="2">
        <v>100</v>
      </c>
      <c r="AZ159" s="2" t="s">
        <v>95</v>
      </c>
      <c r="BA159" s="9" t="str">
        <f>HYPERLINK(".\links\REFSEQ-INVERTEBRATE\AGAP009998-PA-REFSEQ-INVERTEBRATE.txt","AGAP009998-PA")</f>
        <v>AGAP009998-PA</v>
      </c>
      <c r="BB159" s="2" t="str">
        <f>HYPERLINK("http://www.ncbi.nlm.nih.gov/sutils/blink.cgi?pid=XP_319141.3","6E-084")</f>
        <v>6E-084</v>
      </c>
      <c r="BC159" s="2" t="str">
        <f>HYPERLINK("http://www.ncbi.nlm.nih.gov/protein/XP_319141.3","XP_319141.3")</f>
        <v>XP_319141.3</v>
      </c>
      <c r="BD159" s="2">
        <v>100</v>
      </c>
      <c r="BE159" s="2">
        <v>100</v>
      </c>
      <c r="BF159" s="2">
        <v>100</v>
      </c>
      <c r="BG159" s="2" t="s">
        <v>95</v>
      </c>
      <c r="BH159" s="9" t="str">
        <f>HYPERLINK(".\links\REFSEQ-PROTOZOA\AGAP009998-PA-REFSEQ-PROTOZOA.txt","hypothetical protein")</f>
        <v>hypothetical protein</v>
      </c>
      <c r="BI159" s="2" t="str">
        <f>HYPERLINK("http://www.ncbi.nlm.nih.gov/sutils/blink.cgi?pid=XP_001746988.1","1E-049")</f>
        <v>1E-049</v>
      </c>
      <c r="BJ159" s="2" t="str">
        <f>HYPERLINK("http://www.ncbi.nlm.nih.gov/protein/XP_001746988.1","XP_001746988.1")</f>
        <v>XP_001746988.1</v>
      </c>
      <c r="BK159" s="2">
        <v>62</v>
      </c>
      <c r="BL159" s="2">
        <v>79</v>
      </c>
      <c r="BM159" s="2">
        <v>96</v>
      </c>
      <c r="BN159" s="2" t="s">
        <v>389</v>
      </c>
      <c r="BO159" s="9" t="str">
        <f>HYPERLINK(".\links\SWISSP\AGAP009998-PA-SWISSP.txt","40S ribosomal protein S11")</f>
        <v>40S ribosomal protein S11</v>
      </c>
      <c r="BP159" s="2" t="str">
        <f>HYPERLINK("http://www.uniprot.org/uniprot/P52812","8E-085")</f>
        <v>8E-085</v>
      </c>
      <c r="BQ159" s="2" t="str">
        <f>HYPERLINK("http://www.uniprot.org/uniprot/P52812#expression","P52812")</f>
        <v>P52812</v>
      </c>
      <c r="BR159" s="2">
        <v>100</v>
      </c>
      <c r="BS159" s="2">
        <v>100</v>
      </c>
      <c r="BT159" s="2">
        <v>100</v>
      </c>
      <c r="BU159" s="2" t="s">
        <v>215</v>
      </c>
      <c r="BV159" s="9" t="str">
        <f>HYPERLINK(".\links\FLYBASE\AGAP009998-PA-FLYBASE.txt","FBpp0087115")</f>
        <v>FBpp0087115</v>
      </c>
      <c r="BW159" s="2" t="str">
        <f>HYPERLINK("http://flybase.org/reports/FBgn0033699#alliance_summary_container","6E-82")</f>
        <v>6E-82</v>
      </c>
      <c r="BX159" s="2">
        <v>155</v>
      </c>
      <c r="BY159" s="2">
        <v>76</v>
      </c>
      <c r="BZ159" s="2">
        <v>83</v>
      </c>
      <c r="CA159" s="2">
        <v>101</v>
      </c>
      <c r="CB159" s="9" t="str">
        <f>HYPERLINK(".\links\CDD\AGAP009998-PA-CDD.txt","PTZ00241, 40S ribosomal protein S11")</f>
        <v>PTZ00241, 40S ribosomal protein S11</v>
      </c>
      <c r="CC159" s="13">
        <v>9.9999999999999997E-61</v>
      </c>
      <c r="CD159" s="2">
        <v>100.6</v>
      </c>
      <c r="CE159" s="2" t="s">
        <v>2378</v>
      </c>
      <c r="CF159" s="2" t="s">
        <v>2379</v>
      </c>
      <c r="CG159" s="9" t="str">
        <f>HYPERLINK(".\links\KOG\AGAP009998-PA-KOG.txt","40S ribosomal protein S11")</f>
        <v>40S ribosomal protein S11</v>
      </c>
      <c r="CH159" s="13">
        <v>9.9999999999999994E-68</v>
      </c>
      <c r="CI159" s="2">
        <v>100</v>
      </c>
      <c r="CJ159" s="2" t="s">
        <v>2380</v>
      </c>
      <c r="CK159" s="2" t="s">
        <v>252</v>
      </c>
      <c r="CL159" s="9" t="str">
        <f>HYPERLINK(".\links\PFAM\AGAP009998-PA-PFAM.txt","Ribosomal_S17_N, Ribosomal_S17 N-terminal")</f>
        <v>Ribosomal_S17_N, Ribosomal_S17 N-terminal</v>
      </c>
      <c r="CM159" s="13">
        <v>3.0000000000000001E-26</v>
      </c>
      <c r="CN159" s="2">
        <v>100</v>
      </c>
      <c r="CO159" s="2" t="s">
        <v>2381</v>
      </c>
      <c r="CP159" s="9" t="str">
        <f>HYPERLINK(".\links\SMART\AGAP009998-PA-SMART.txt","SMI1_KNR4, SMI1 / KNR4 family")</f>
        <v>SMI1_KNR4, SMI1 / KNR4 family</v>
      </c>
      <c r="CQ159" s="13">
        <v>0.12</v>
      </c>
      <c r="CR159" s="2">
        <v>13.4</v>
      </c>
      <c r="CS159" s="2" t="s">
        <v>1964</v>
      </c>
      <c r="CT159" s="2" t="s">
        <v>2376</v>
      </c>
      <c r="CU159" s="2" t="s">
        <v>2376</v>
      </c>
      <c r="CV159" s="2" t="s">
        <v>2376</v>
      </c>
      <c r="CW159" s="2" t="str">
        <f>HYPERLINK(".\links\pep\AGAP009998-PA-pep.txt","AGAP009998-PA")</f>
        <v>AGAP009998-PA</v>
      </c>
      <c r="CX159" s="2" t="s">
        <v>88</v>
      </c>
      <c r="CY159" s="2">
        <v>153</v>
      </c>
      <c r="CZ159" s="2" t="s">
        <v>103</v>
      </c>
      <c r="DA159" s="2">
        <v>0</v>
      </c>
      <c r="DB159" s="2">
        <v>0</v>
      </c>
      <c r="DD159" s="2" t="str">
        <f>HYPERLINK("https://www.kegg.jp/kegg-bin/search_pathway_text?map=aga&amp;keyword=AGAP009998&amp;mode=1&amp;viewImage=true","AGAP009998")</f>
        <v>AGAP009998</v>
      </c>
      <c r="DE159" s="2" t="s">
        <v>2372</v>
      </c>
      <c r="DF159" s="2" t="s">
        <v>2373</v>
      </c>
      <c r="DG159" s="2" t="s">
        <v>89</v>
      </c>
      <c r="DH159" s="2" t="str">
        <f>HYPERLINK("https://vectorbase.org/vectorbase/app/record/gene/AGAP009998","AGAP009998-RA")</f>
        <v>AGAP009998-RA</v>
      </c>
      <c r="DI159" s="2" t="s">
        <v>158</v>
      </c>
      <c r="DJ159" s="2">
        <v>586</v>
      </c>
      <c r="DK159" s="2" t="str">
        <f>HYPERLINK(".\links\netoglyc\AGAP009998-PA-netoglyc.txt","0")</f>
        <v>0</v>
      </c>
      <c r="DL159" s="2">
        <v>11.1</v>
      </c>
      <c r="DM159" s="2">
        <v>7.2</v>
      </c>
      <c r="DN159" s="2">
        <v>2.6</v>
      </c>
      <c r="DO159" s="2" t="s">
        <v>94</v>
      </c>
      <c r="DP159" s="2" t="s">
        <v>89</v>
      </c>
      <c r="DQ159" s="2" t="str">
        <f>HYPERLINK(".\links\Sigp\AGAP009998-PA-SigP.txt","CYT")</f>
        <v>CYT</v>
      </c>
      <c r="DR159" s="2" t="s">
        <v>89</v>
      </c>
      <c r="DS159" s="2">
        <v>17.843</v>
      </c>
      <c r="DT159" s="2">
        <v>11.07</v>
      </c>
      <c r="DU159" s="2" t="s">
        <v>89</v>
      </c>
      <c r="DV159" s="2" t="s">
        <v>89</v>
      </c>
      <c r="DW159" s="2" t="s">
        <v>93</v>
      </c>
      <c r="DX159" s="2">
        <v>153</v>
      </c>
      <c r="DY159" s="12">
        <v>0</v>
      </c>
      <c r="DZ159" s="2" t="s">
        <v>89</v>
      </c>
      <c r="EA159" s="2" t="s">
        <v>89</v>
      </c>
      <c r="EB159" s="2" t="s">
        <v>89</v>
      </c>
      <c r="EC159" s="2" t="str">
        <f>HYPERLINK(".\links\gpi\AGAP009998-PA-gpi.txt","N")</f>
        <v>N</v>
      </c>
      <c r="ED159" s="2">
        <v>0.46</v>
      </c>
      <c r="EF159" s="2">
        <v>3</v>
      </c>
      <c r="EG159" s="2" t="s">
        <v>89</v>
      </c>
      <c r="EH159" s="2" t="s">
        <v>89</v>
      </c>
      <c r="EI159" s="2">
        <v>11.1111111111111</v>
      </c>
      <c r="EJ159" s="2">
        <v>2.6143790849673199</v>
      </c>
      <c r="EK159" s="2">
        <v>7.18954248366013</v>
      </c>
      <c r="EL159" s="2">
        <v>9.8039215686274499</v>
      </c>
      <c r="EM159" s="2" t="s">
        <v>89</v>
      </c>
      <c r="EN159" s="2">
        <v>1</v>
      </c>
      <c r="EO159" s="2">
        <v>1</v>
      </c>
      <c r="EP159" s="2" t="s">
        <v>89</v>
      </c>
      <c r="EQ159" s="2" t="s">
        <v>89</v>
      </c>
      <c r="ER159" s="2" t="s">
        <v>89</v>
      </c>
      <c r="ES159" s="2" t="s">
        <v>89</v>
      </c>
      <c r="ET159" s="2" t="str">
        <f>HYPERLINK(".\links\REFSEQ-INVERTEBRATE\AGAP009998-PA-REFSEQ-INVERTEBRATE.txt","AGAP009998-PA")</f>
        <v>AGAP009998-PA</v>
      </c>
      <c r="EU159" s="2" t="str">
        <f>HYPERLINK("http://www.ncbi.nlm.nih.gov/sutils/blink.cgi?pid=XP_319141.3","1E-109")</f>
        <v>1E-109</v>
      </c>
      <c r="EV159" s="2" t="str">
        <f>HYPERLINK("http://www.ncbi.nlm.nih.gov/protein/XP_319141.3","XP_319141.3")</f>
        <v>XP_319141.3</v>
      </c>
      <c r="EW159" s="2">
        <v>100</v>
      </c>
      <c r="EX159" s="2">
        <v>100</v>
      </c>
      <c r="EY159" s="2">
        <v>100</v>
      </c>
      <c r="EZ159" s="2" t="s">
        <v>95</v>
      </c>
    </row>
    <row r="160" spans="1:156" x14ac:dyDescent="0.25">
      <c r="A160" s="2" t="s">
        <v>1369</v>
      </c>
      <c r="B160" s="2">
        <v>-0.90385098515241402</v>
      </c>
      <c r="C160" s="2">
        <f t="shared" si="2"/>
        <v>0.53445819652565008</v>
      </c>
      <c r="D160" s="2">
        <v>10.981878165885499</v>
      </c>
      <c r="E160" s="2">
        <v>14.2730164374134</v>
      </c>
      <c r="F160" s="2">
        <v>1.5811535407467199E-4</v>
      </c>
      <c r="G160" s="2">
        <v>1.2024672677378801E-2</v>
      </c>
      <c r="H160" s="2" t="s">
        <v>1370</v>
      </c>
      <c r="I160" s="2" t="s">
        <v>89</v>
      </c>
      <c r="J160" s="2" t="str">
        <f>HYPERLINK("https://vectorbase.org/vectorbase/app/record/gene/AGAP004887","AGAP004887-RA")</f>
        <v>AGAP004887-RA</v>
      </c>
      <c r="K160" s="2" t="str">
        <f>HYPERLINK(".\links\pep\AGAP004887-PA-pep.txt","AGAP004887-PA")</f>
        <v>AGAP004887-PA</v>
      </c>
      <c r="L160" s="12" t="s">
        <v>88</v>
      </c>
      <c r="M160" s="2">
        <v>131</v>
      </c>
      <c r="N160" s="2">
        <v>0</v>
      </c>
      <c r="O160" s="2">
        <v>1</v>
      </c>
      <c r="P160" s="2" t="s">
        <v>1371</v>
      </c>
      <c r="Q160" s="9" t="s">
        <v>1372</v>
      </c>
      <c r="R160" s="2" t="s">
        <v>245</v>
      </c>
      <c r="S160" s="2" t="str">
        <f>HYPERLINK(".\links\PFAM\AGAP004887-PA-PFAM.txt","PFAM")</f>
        <v>PFAM</v>
      </c>
      <c r="T160" s="2">
        <v>6E-57</v>
      </c>
      <c r="U160" s="2">
        <v>99.1</v>
      </c>
      <c r="V160" s="2" t="s">
        <v>1373</v>
      </c>
      <c r="W160" s="10" t="s">
        <v>1374</v>
      </c>
      <c r="X160" s="2" t="s">
        <v>245</v>
      </c>
      <c r="Y160" s="2" t="str">
        <f>HYPERLINK(".\links\KOG\AGAP004887-PA-KOG.txt","KOG")</f>
        <v>KOG</v>
      </c>
      <c r="Z160" s="13">
        <v>1.9999999999999998E-65</v>
      </c>
      <c r="AA160" s="2">
        <v>91</v>
      </c>
      <c r="AB160" s="14" t="s">
        <v>89</v>
      </c>
      <c r="AC160" s="14" t="str">
        <f>HYPERLINK(".\links\Sigp\AGAP004887-PA-SigP.txt","CYT")</f>
        <v>CYT</v>
      </c>
      <c r="AD160" s="2" t="s">
        <v>89</v>
      </c>
      <c r="AE160" s="2">
        <v>15.38</v>
      </c>
      <c r="AF160" s="2">
        <v>9.77</v>
      </c>
      <c r="AG160" s="2" t="s">
        <v>89</v>
      </c>
      <c r="AH160" s="2" t="s">
        <v>89</v>
      </c>
      <c r="AI160" s="2" t="s">
        <v>273</v>
      </c>
      <c r="AJ160" s="14">
        <v>0</v>
      </c>
      <c r="AK160" s="2" t="s">
        <v>89</v>
      </c>
      <c r="AL160" s="2" t="s">
        <v>89</v>
      </c>
      <c r="AM160" s="2" t="s">
        <v>89</v>
      </c>
      <c r="AN160" s="14" t="str">
        <f>HYPERLINK(".\links\gpi\AGAP004887-PA-gpi.txt","N")</f>
        <v>N</v>
      </c>
      <c r="AO160" s="15" t="str">
        <f>HYPERLINK(".\links\netoglyc\AGAP004887-PA-netoglyc.txt","1")</f>
        <v>1</v>
      </c>
      <c r="AP160" s="14">
        <v>11.5</v>
      </c>
      <c r="AQ160" s="2">
        <v>3.1</v>
      </c>
      <c r="AR160" s="2">
        <v>4.5999999999999996</v>
      </c>
      <c r="AS160" s="2" t="s">
        <v>94</v>
      </c>
      <c r="AT160" s="9" t="str">
        <f>HYPERLINK(".\links\NR-LIGHT\AGAP004887-PA-NR-LIGHT.txt","AGAP004887-PA")</f>
        <v>AGAP004887-PA</v>
      </c>
      <c r="AU160" s="2" t="str">
        <f>HYPERLINK("http://www.ncbi.nlm.nih.gov/sutils/blink.cgi?pid=XP_314292.2","2E-068")</f>
        <v>2E-068</v>
      </c>
      <c r="AV160" s="2" t="str">
        <f>HYPERLINK("http://www.ncbi.nlm.nih.gov/protein/XP_314292.2","XP_314292.2")</f>
        <v>XP_314292.2</v>
      </c>
      <c r="AW160" s="2">
        <v>100</v>
      </c>
      <c r="AX160" s="2">
        <v>100</v>
      </c>
      <c r="AY160" s="2">
        <v>100</v>
      </c>
      <c r="AZ160" s="2" t="s">
        <v>95</v>
      </c>
      <c r="BA160" s="9" t="str">
        <f>HYPERLINK(".\links\REFSEQ-INVERTEBRATE\AGAP004887-PA-REFSEQ-INVERTEBRATE.txt","AGAP004887-PA")</f>
        <v>AGAP004887-PA</v>
      </c>
      <c r="BB160" s="2" t="str">
        <f>HYPERLINK("http://www.ncbi.nlm.nih.gov/sutils/blink.cgi?pid=XP_314292.2","2E-068")</f>
        <v>2E-068</v>
      </c>
      <c r="BC160" s="2" t="str">
        <f>HYPERLINK("http://www.ncbi.nlm.nih.gov/protein/XP_314292.2","XP_314292.2")</f>
        <v>XP_314292.2</v>
      </c>
      <c r="BD160" s="2">
        <v>100</v>
      </c>
      <c r="BE160" s="2">
        <v>100</v>
      </c>
      <c r="BF160" s="2">
        <v>100</v>
      </c>
      <c r="BG160" s="2" t="s">
        <v>95</v>
      </c>
      <c r="BH160" s="9" t="str">
        <f>HYPERLINK(".\links\REFSEQ-PROTOZOA\AGAP004887-PA-REFSEQ-PROTOZOA.txt","40S ribosomal protein S17")</f>
        <v>40S ribosomal protein S17</v>
      </c>
      <c r="BI160" s="2" t="str">
        <f>HYPERLINK("http://www.ncbi.nlm.nih.gov/sutils/blink.cgi?pid=XP_004343005.1","5E-044")</f>
        <v>5E-044</v>
      </c>
      <c r="BJ160" s="2" t="str">
        <f>HYPERLINK("http://www.ncbi.nlm.nih.gov/protein/XP_004343005.1","XP_004343005.1")</f>
        <v>XP_004343005.1</v>
      </c>
      <c r="BK160" s="2">
        <v>65</v>
      </c>
      <c r="BL160" s="2">
        <v>80</v>
      </c>
      <c r="BM160" s="2">
        <v>84</v>
      </c>
      <c r="BN160" s="2" t="s">
        <v>150</v>
      </c>
      <c r="BO160" s="9" t="str">
        <f>HYPERLINK(".\links\SWISSP\AGAP004887-PA-SWISSP.txt","40S ribosomal protein S17")</f>
        <v>40S ribosomal protein S17</v>
      </c>
      <c r="BP160" s="2" t="str">
        <f>HYPERLINK("http://www.uniprot.org/uniprot/Q9U9L1","2E-069")</f>
        <v>2E-069</v>
      </c>
      <c r="BQ160" s="2" t="str">
        <f>HYPERLINK("http://www.uniprot.org/uniprot/Q9U9L1#expression","Q9U9L1")</f>
        <v>Q9U9L1</v>
      </c>
      <c r="BR160" s="2">
        <v>100</v>
      </c>
      <c r="BS160" s="2">
        <v>100</v>
      </c>
      <c r="BT160" s="2">
        <v>100</v>
      </c>
      <c r="BU160" s="2" t="s">
        <v>215</v>
      </c>
      <c r="BV160" s="9" t="str">
        <f>HYPERLINK(".\links\FLYBASE\AGAP004887-PA-FLYBASE.txt","FBpp0076207")</f>
        <v>FBpp0076207</v>
      </c>
      <c r="BW160" s="2" t="str">
        <f>HYPERLINK("http://flybase.org/reports/FBgn0005533#alliance_summary_container","1E-72")</f>
        <v>1E-72</v>
      </c>
      <c r="BX160" s="2">
        <v>131</v>
      </c>
      <c r="BY160" s="2">
        <v>82</v>
      </c>
      <c r="BZ160" s="2">
        <v>88</v>
      </c>
      <c r="CA160" s="2">
        <v>99</v>
      </c>
      <c r="CB160" s="9" t="str">
        <f>HYPERLINK(".\links\CDD\AGAP004887-PA-CDD.txt","Ribosomal_S17e, Ribosomal S17")</f>
        <v>Ribosomal_S17e, Ribosomal S17</v>
      </c>
      <c r="CC160" s="13">
        <v>2.0000000000000001E-56</v>
      </c>
      <c r="CD160" s="2">
        <v>99.1</v>
      </c>
      <c r="CE160" s="2" t="s">
        <v>1375</v>
      </c>
      <c r="CF160" s="2" t="s">
        <v>1376</v>
      </c>
      <c r="CG160" s="9" t="str">
        <f>HYPERLINK(".\links\KOG\AGAP004887-PA-KOG.txt","40S ribosomal protein S17")</f>
        <v>40S ribosomal protein S17</v>
      </c>
      <c r="CH160" s="13">
        <v>3.0000000000000001E-54</v>
      </c>
      <c r="CI160" s="2">
        <v>91.8</v>
      </c>
      <c r="CJ160" s="2" t="s">
        <v>1377</v>
      </c>
      <c r="CK160" s="2" t="s">
        <v>252</v>
      </c>
      <c r="CL160" s="9" t="str">
        <f>HYPERLINK(".\links\PFAM\AGAP004887-PA-PFAM.txt","Ribosomal_S17e, Ribosomal S17")</f>
        <v>Ribosomal_S17e, Ribosomal S17</v>
      </c>
      <c r="CM160" s="13">
        <v>6E-57</v>
      </c>
      <c r="CN160" s="2">
        <v>99.1</v>
      </c>
      <c r="CO160" s="2" t="s">
        <v>1375</v>
      </c>
      <c r="CP160" s="9" t="str">
        <f>HYPERLINK(".\links\SMART\AGAP004887-PA-SMART.txt","Glyco_18, Glyco_18 domain")</f>
        <v>Glyco_18, Glyco_18 domain</v>
      </c>
      <c r="CQ160" s="13">
        <v>8.9999999999999993E-3</v>
      </c>
      <c r="CR160" s="2">
        <v>18.600000000000001</v>
      </c>
      <c r="CS160" s="2" t="s">
        <v>1378</v>
      </c>
      <c r="CT160" s="2" t="s">
        <v>1373</v>
      </c>
      <c r="CU160" s="2" t="s">
        <v>1373</v>
      </c>
      <c r="CV160" s="2" t="s">
        <v>1373</v>
      </c>
      <c r="CW160" s="2" t="str">
        <f>HYPERLINK(".\links\pep\AGAP004887-PA-pep.txt","AGAP004887-PA")</f>
        <v>AGAP004887-PA</v>
      </c>
      <c r="CX160" s="2" t="s">
        <v>88</v>
      </c>
      <c r="CY160" s="2">
        <v>131</v>
      </c>
      <c r="CZ160" s="2" t="s">
        <v>103</v>
      </c>
      <c r="DA160" s="2">
        <v>0</v>
      </c>
      <c r="DB160" s="2">
        <v>1</v>
      </c>
      <c r="DD160" s="2" t="str">
        <f>HYPERLINK("https://www.kegg.jp/kegg-bin/search_pathway_text?map=aga&amp;keyword=AGAP004887&amp;mode=1&amp;viewImage=true","AGAP004887")</f>
        <v>AGAP004887</v>
      </c>
      <c r="DE160" s="2" t="s">
        <v>1369</v>
      </c>
      <c r="DF160" s="2" t="s">
        <v>1370</v>
      </c>
      <c r="DG160" s="2" t="s">
        <v>89</v>
      </c>
      <c r="DH160" s="2" t="str">
        <f>HYPERLINK("https://vectorbase.org/vectorbase/app/record/gene/AGAP004887","AGAP004887-RA")</f>
        <v>AGAP004887-RA</v>
      </c>
      <c r="DI160" s="2" t="s">
        <v>105</v>
      </c>
      <c r="DJ160" s="2">
        <v>642</v>
      </c>
      <c r="DK160" s="2" t="str">
        <f>HYPERLINK(".\links\netoglyc\AGAP004887-PA-netoglyc.txt","1")</f>
        <v>1</v>
      </c>
      <c r="DL160" s="2">
        <v>11.5</v>
      </c>
      <c r="DM160" s="2">
        <v>3.1</v>
      </c>
      <c r="DN160" s="2">
        <v>4.5999999999999996</v>
      </c>
      <c r="DO160" s="2" t="s">
        <v>94</v>
      </c>
      <c r="DP160" s="2" t="s">
        <v>89</v>
      </c>
      <c r="DQ160" s="2" t="str">
        <f>HYPERLINK(".\links\Sigp\AGAP004887-PA-SigP.txt","CYT")</f>
        <v>CYT</v>
      </c>
      <c r="DR160" s="2" t="s">
        <v>89</v>
      </c>
      <c r="DS160" s="2">
        <v>15.38</v>
      </c>
      <c r="DT160" s="2">
        <v>9.77</v>
      </c>
      <c r="DU160" s="2" t="s">
        <v>89</v>
      </c>
      <c r="DV160" s="2" t="s">
        <v>89</v>
      </c>
      <c r="DW160" s="2" t="s">
        <v>273</v>
      </c>
      <c r="DX160" s="2">
        <v>131</v>
      </c>
      <c r="DY160" s="12">
        <v>0</v>
      </c>
      <c r="DZ160" s="2" t="s">
        <v>89</v>
      </c>
      <c r="EA160" s="2" t="s">
        <v>89</v>
      </c>
      <c r="EB160" s="2" t="s">
        <v>89</v>
      </c>
      <c r="EC160" s="2" t="str">
        <f>HYPERLINK(".\links\gpi\AGAP004887-PA-gpi.txt","N")</f>
        <v>N</v>
      </c>
      <c r="ED160" s="2">
        <v>0.42</v>
      </c>
      <c r="EF160" s="2">
        <v>0</v>
      </c>
      <c r="EG160" s="2" t="s">
        <v>89</v>
      </c>
      <c r="EH160" s="2" t="s">
        <v>89</v>
      </c>
      <c r="EI160" s="2">
        <v>11.450381679389301</v>
      </c>
      <c r="EJ160" s="2">
        <v>4.5801526717557204</v>
      </c>
      <c r="EK160" s="2">
        <v>3.0534351145038201</v>
      </c>
      <c r="EL160" s="2">
        <v>7.6335877862595396</v>
      </c>
      <c r="EM160" s="2">
        <v>1</v>
      </c>
      <c r="EN160" s="2" t="s">
        <v>89</v>
      </c>
      <c r="EO160" s="2">
        <v>1</v>
      </c>
      <c r="EP160" s="2" t="s">
        <v>89</v>
      </c>
      <c r="EQ160" s="2" t="s">
        <v>89</v>
      </c>
      <c r="ER160" s="2" t="s">
        <v>89</v>
      </c>
      <c r="ES160" s="2" t="s">
        <v>89</v>
      </c>
      <c r="ET160" s="2" t="str">
        <f>HYPERLINK(".\links\REFSEQ-INVERTEBRATE\AGAP004887-PA-REFSEQ-INVERTEBRATE.txt","AGAP004887-PA")</f>
        <v>AGAP004887-PA</v>
      </c>
      <c r="EU160" s="2" t="str">
        <f>HYPERLINK("http://www.ncbi.nlm.nih.gov/sutils/blink.cgi?pid=XP_314292.2","8E-92")</f>
        <v>8E-92</v>
      </c>
      <c r="EV160" s="2" t="str">
        <f>HYPERLINK("http://www.ncbi.nlm.nih.gov/protein/XP_314292.2","XP_314292.2")</f>
        <v>XP_314292.2</v>
      </c>
      <c r="EW160" s="2">
        <v>100</v>
      </c>
      <c r="EX160" s="2">
        <v>100</v>
      </c>
      <c r="EY160" s="2">
        <v>100</v>
      </c>
      <c r="EZ160" s="2" t="s">
        <v>95</v>
      </c>
    </row>
    <row r="161" spans="1:156" x14ac:dyDescent="0.25">
      <c r="A161" s="2" t="s">
        <v>329</v>
      </c>
      <c r="B161" s="2">
        <v>-0.90686000657798904</v>
      </c>
      <c r="C161" s="2">
        <f t="shared" si="2"/>
        <v>0.53334464156002481</v>
      </c>
      <c r="D161" s="2">
        <v>6.7893834436991103</v>
      </c>
      <c r="E161" s="2">
        <v>15.1182333201138</v>
      </c>
      <c r="F161" s="2">
        <v>1.00983223387939E-4</v>
      </c>
      <c r="G161" s="2">
        <v>9.1115964356896905E-3</v>
      </c>
      <c r="H161" s="2" t="s">
        <v>330</v>
      </c>
      <c r="I161" s="2" t="s">
        <v>87</v>
      </c>
      <c r="J161" s="2" t="str">
        <f>HYPERLINK("https://vectorbase.org/vectorbase/app/record/gene/AGAP001056","AGAP001056-RA")</f>
        <v>AGAP001056-RA</v>
      </c>
      <c r="K161" s="2" t="str">
        <f>HYPERLINK(".\links\pep\AGAP001056-PA-pep.txt","AGAP001056-PA")</f>
        <v>AGAP001056-PA</v>
      </c>
      <c r="L161" s="12" t="s">
        <v>88</v>
      </c>
      <c r="M161" s="2">
        <v>153</v>
      </c>
      <c r="N161" s="2">
        <v>0</v>
      </c>
      <c r="O161" s="2">
        <v>1</v>
      </c>
      <c r="P161" s="2" t="s">
        <v>331</v>
      </c>
      <c r="Q161" s="9" t="s">
        <v>332</v>
      </c>
      <c r="R161" s="2" t="s">
        <v>333</v>
      </c>
      <c r="S161" s="2" t="str">
        <f>HYPERLINK(".\links\NR-LIGHT\AGAP001056-PA-NR-LIGHT.txt","NR-LIGHT")</f>
        <v>NR-LIGHT</v>
      </c>
      <c r="T161" s="2">
        <v>1.9999999999999999E-82</v>
      </c>
      <c r="U161" s="2">
        <v>100</v>
      </c>
      <c r="V161" s="2" t="s">
        <v>334</v>
      </c>
      <c r="W161" s="10" t="s">
        <v>335</v>
      </c>
      <c r="X161" s="2" t="s">
        <v>333</v>
      </c>
      <c r="Y161" s="2" t="str">
        <f>HYPERLINK(".\links\REFSEQ-INVERTEBRATE\AGAP001056-PA-REFSEQ-INVERTEBRATE.txt","REFSEQ-INVERTEBRATE")</f>
        <v>REFSEQ-INVERTEBRATE</v>
      </c>
      <c r="Z161" s="2">
        <v>0</v>
      </c>
      <c r="AA161" s="2">
        <v>100</v>
      </c>
      <c r="AB161" s="14" t="s">
        <v>89</v>
      </c>
      <c r="AC161" s="14" t="str">
        <f>HYPERLINK(".\links\Sigp\AGAP001056-PA-SigP.txt","CYT")</f>
        <v>CYT</v>
      </c>
      <c r="AD161" s="2" t="s">
        <v>89</v>
      </c>
      <c r="AE161" s="2">
        <v>17.73</v>
      </c>
      <c r="AF161" s="2">
        <v>7.83</v>
      </c>
      <c r="AG161" s="2" t="s">
        <v>89</v>
      </c>
      <c r="AH161" s="2" t="s">
        <v>89</v>
      </c>
      <c r="AI161" s="2" t="s">
        <v>336</v>
      </c>
      <c r="AJ161" s="14">
        <v>0</v>
      </c>
      <c r="AK161" s="2" t="s">
        <v>89</v>
      </c>
      <c r="AL161" s="2" t="s">
        <v>89</v>
      </c>
      <c r="AM161" s="2" t="s">
        <v>89</v>
      </c>
      <c r="AN161" s="14" t="str">
        <f>HYPERLINK(".\links\gpi\AGAP001056-PA-gpi.txt","N")</f>
        <v>N</v>
      </c>
      <c r="AO161" s="15" t="str">
        <f>HYPERLINK(".\links\netoglyc\AGAP001056-PA-netoglyc.txt","0")</f>
        <v>0</v>
      </c>
      <c r="AP161" s="14">
        <v>9.1999999999999993</v>
      </c>
      <c r="AQ161" s="2">
        <v>2.6</v>
      </c>
      <c r="AR161" s="2">
        <v>8.5</v>
      </c>
      <c r="AS161" s="2" t="s">
        <v>94</v>
      </c>
      <c r="AT161" s="9" t="str">
        <f>HYPERLINK(".\links\NR-LIGHT\AGAP001056-PA-NR-LIGHT.txt","AGAP001056-PA")</f>
        <v>AGAP001056-PA</v>
      </c>
      <c r="AU161" s="2" t="str">
        <f>HYPERLINK("http://www.ncbi.nlm.nih.gov/sutils/blink.cgi?pid=XP_311779.4","1E-084")</f>
        <v>1E-084</v>
      </c>
      <c r="AV161" s="2" t="str">
        <f>HYPERLINK("http://www.ncbi.nlm.nih.gov/protein/XP_311779.4","XP_311779.4")</f>
        <v>XP_311779.4</v>
      </c>
      <c r="AW161" s="2">
        <v>100</v>
      </c>
      <c r="AX161" s="2">
        <v>100</v>
      </c>
      <c r="AY161" s="2">
        <v>100</v>
      </c>
      <c r="AZ161" s="2" t="s">
        <v>95</v>
      </c>
      <c r="BA161" s="9" t="str">
        <f>HYPERLINK(".\links\REFSEQ-INVERTEBRATE\AGAP001056-PA-REFSEQ-INVERTEBRATE.txt","AGAP001056-PA")</f>
        <v>AGAP001056-PA</v>
      </c>
      <c r="BB161" s="2" t="str">
        <f>HYPERLINK("http://www.ncbi.nlm.nih.gov/sutils/blink.cgi?pid=XP_311779.4","1E-084")</f>
        <v>1E-084</v>
      </c>
      <c r="BC161" s="2" t="str">
        <f>HYPERLINK("http://www.ncbi.nlm.nih.gov/protein/XP_311779.4","XP_311779.4")</f>
        <v>XP_311779.4</v>
      </c>
      <c r="BD161" s="2">
        <v>100</v>
      </c>
      <c r="BE161" s="2">
        <v>100</v>
      </c>
      <c r="BF161" s="2">
        <v>100</v>
      </c>
      <c r="BG161" s="2" t="s">
        <v>95</v>
      </c>
      <c r="BH161" s="9" t="str">
        <f>HYPERLINK(".\links\REFSEQ-PROTOZOA\AGAP001056-PA-REFSEQ-PROTOZOA.txt","ubiquitin-conjugating enzyme E2 l")</f>
        <v>ubiquitin-conjugating enzyme E2 l</v>
      </c>
      <c r="BI161" s="2" t="str">
        <f>HYPERLINK("http://www.ncbi.nlm.nih.gov/sutils/blink.cgi?pid=XP_004348850.1","1E-047")</f>
        <v>1E-047</v>
      </c>
      <c r="BJ161" s="2" t="str">
        <f>HYPERLINK("http://www.ncbi.nlm.nih.gov/protein/XP_004348850.1","XP_004348850.1")</f>
        <v>XP_004348850.1</v>
      </c>
      <c r="BK161" s="2">
        <v>53</v>
      </c>
      <c r="BL161" s="2">
        <v>75</v>
      </c>
      <c r="BM161" s="2">
        <v>99</v>
      </c>
      <c r="BN161" s="2" t="s">
        <v>150</v>
      </c>
      <c r="BO161" s="9" t="str">
        <f>HYPERLINK(".\links\SWISSP\AGAP001056-PA-SWISSP.txt","Ubiquitin-conjugating enzyme E2 L3")</f>
        <v>Ubiquitin-conjugating enzyme E2 L3</v>
      </c>
      <c r="BP161" s="2" t="str">
        <f>HYPERLINK("http://www.uniprot.org/uniprot/Q5R5I4","5E-071")</f>
        <v>5E-071</v>
      </c>
      <c r="BQ161" s="2" t="str">
        <f>HYPERLINK("http://www.uniprot.org/uniprot/Q5R5I4#expression","Q5R5I4")</f>
        <v>Q5R5I4</v>
      </c>
      <c r="BR161" s="2">
        <v>82</v>
      </c>
      <c r="BS161" s="2">
        <v>90</v>
      </c>
      <c r="BT161" s="2">
        <v>99</v>
      </c>
      <c r="BU161" s="2" t="s">
        <v>337</v>
      </c>
      <c r="BV161" s="9" t="str">
        <f>HYPERLINK(".\links\FLYBASE\AGAP001056-PA-FLYBASE.txt","FBpp0088522")</f>
        <v>FBpp0088522</v>
      </c>
      <c r="BW161" s="2" t="str">
        <f>HYPERLINK("http://flybase.org/reports/FBgn0026316#alliance_summary_container","4E-93")</f>
        <v>4E-93</v>
      </c>
      <c r="BX161" s="2">
        <v>154</v>
      </c>
      <c r="BY161" s="2">
        <v>80</v>
      </c>
      <c r="BZ161" s="2">
        <v>92</v>
      </c>
      <c r="CA161" s="2">
        <v>99</v>
      </c>
      <c r="CB161" s="9" t="str">
        <f>HYPERLINK(".\links\CDD\AGAP001056-PA-CDD.txt","UBCc, Ubiquitin-conjugating enzyme E2, catalytic domain homologues")</f>
        <v>UBCc, Ubiquitin-conjugating enzyme E2, catalytic domain homologues</v>
      </c>
      <c r="CC161" s="13">
        <v>4.0000000000000001E-46</v>
      </c>
      <c r="CD161" s="2">
        <v>100</v>
      </c>
      <c r="CE161" s="2" t="s">
        <v>338</v>
      </c>
      <c r="CF161" s="2" t="s">
        <v>339</v>
      </c>
      <c r="CG161" s="9" t="str">
        <f>HYPERLINK(".\links\KOG\AGAP001056-PA-KOG.txt","Ubiquitin-protein ligase")</f>
        <v>Ubiquitin-protein ligase</v>
      </c>
      <c r="CH161" s="13">
        <v>3.9999999999999999E-72</v>
      </c>
      <c r="CI161" s="2">
        <v>100</v>
      </c>
      <c r="CJ161" s="2" t="s">
        <v>340</v>
      </c>
      <c r="CK161" s="2" t="s">
        <v>264</v>
      </c>
      <c r="CL161" s="9" t="str">
        <f>HYPERLINK(".\links\PFAM\AGAP001056-PA-PFAM.txt","UQ_con, Ubiquitin-conjugating enzyme")</f>
        <v>UQ_con, Ubiquitin-conjugating enzyme</v>
      </c>
      <c r="CM161" s="13">
        <v>3.0000000000000001E-45</v>
      </c>
      <c r="CN161" s="2">
        <v>100.7</v>
      </c>
      <c r="CO161" s="2" t="s">
        <v>341</v>
      </c>
      <c r="CP161" s="9" t="str">
        <f>HYPERLINK(".\links\SMART\AGAP001056-PA-SMART.txt","UBCc, Ubiquitin-conjugating enzyme E2, catalytic domain homologues")</f>
        <v>UBCc, Ubiquitin-conjugating enzyme E2, catalytic domain homologues</v>
      </c>
      <c r="CQ161" s="13">
        <v>4.9999999999999999E-48</v>
      </c>
      <c r="CR161" s="2">
        <v>100</v>
      </c>
      <c r="CS161" s="2" t="s">
        <v>338</v>
      </c>
      <c r="CT161" s="2" t="s">
        <v>334</v>
      </c>
      <c r="CU161" s="2" t="s">
        <v>334</v>
      </c>
      <c r="CV161" s="2" t="s">
        <v>334</v>
      </c>
      <c r="CW161" s="2" t="str">
        <f>HYPERLINK(".\links\pep\AGAP001056-PA-pep.txt","AGAP001056-PA")</f>
        <v>AGAP001056-PA</v>
      </c>
      <c r="CX161" s="2" t="s">
        <v>88</v>
      </c>
      <c r="CY161" s="2">
        <v>153</v>
      </c>
      <c r="CZ161" s="2" t="s">
        <v>103</v>
      </c>
      <c r="DA161" s="2" t="s">
        <v>342</v>
      </c>
      <c r="DB161" s="2">
        <v>0</v>
      </c>
      <c r="DC161" s="2">
        <v>1</v>
      </c>
      <c r="DD161" s="2" t="str">
        <f>HYPERLINK("https://www.kegg.jp/kegg-bin/search_pathway_text?map=aga&amp;keyword=AGAP001056&amp;mode=1&amp;viewImage=true","AGAP001056")</f>
        <v>AGAP001056</v>
      </c>
      <c r="DE161" s="2" t="s">
        <v>329</v>
      </c>
      <c r="DF161" s="2" t="s">
        <v>330</v>
      </c>
      <c r="DG161" s="2" t="s">
        <v>87</v>
      </c>
      <c r="DH161" s="2" t="str">
        <f>HYPERLINK("https://vectorbase.org/vectorbase/app/record/gene/AGAP001056","AGAP001056-RA")</f>
        <v>AGAP001056-RA</v>
      </c>
      <c r="DI161" s="2" t="s">
        <v>158</v>
      </c>
      <c r="DJ161" s="2">
        <v>765</v>
      </c>
      <c r="DK161" s="2" t="str">
        <f>HYPERLINK(".\links\netoglyc\AGAP001056-PA-netoglyc.txt","0")</f>
        <v>0</v>
      </c>
      <c r="DL161" s="2">
        <v>9.1999999999999993</v>
      </c>
      <c r="DM161" s="2">
        <v>2.6</v>
      </c>
      <c r="DN161" s="2">
        <v>8.5</v>
      </c>
      <c r="DO161" s="2" t="s">
        <v>94</v>
      </c>
      <c r="DP161" s="2" t="s">
        <v>89</v>
      </c>
      <c r="DQ161" s="2" t="str">
        <f>HYPERLINK(".\links\Sigp\AGAP001056-PA-SigP.txt","CYT")</f>
        <v>CYT</v>
      </c>
      <c r="DR161" s="2" t="s">
        <v>89</v>
      </c>
      <c r="DS161" s="2">
        <v>17.73</v>
      </c>
      <c r="DT161" s="2">
        <v>7.83</v>
      </c>
      <c r="DU161" s="2" t="s">
        <v>89</v>
      </c>
      <c r="DV161" s="2" t="s">
        <v>89</v>
      </c>
      <c r="DW161" s="2" t="s">
        <v>336</v>
      </c>
      <c r="DX161" s="2">
        <v>153</v>
      </c>
      <c r="DY161" s="12">
        <v>0</v>
      </c>
      <c r="DZ161" s="2" t="s">
        <v>89</v>
      </c>
      <c r="EA161" s="2" t="s">
        <v>89</v>
      </c>
      <c r="EB161" s="2" t="s">
        <v>89</v>
      </c>
      <c r="EC161" s="2" t="str">
        <f>HYPERLINK(".\links\gpi\AGAP001056-PA-gpi.txt","N")</f>
        <v>N</v>
      </c>
      <c r="ED161" s="2">
        <v>0.36</v>
      </c>
      <c r="EF161" s="2">
        <v>1</v>
      </c>
      <c r="EG161" s="2" t="s">
        <v>89</v>
      </c>
      <c r="EH161" s="2" t="s">
        <v>89</v>
      </c>
      <c r="EI161" s="2">
        <v>9.1503267973856204</v>
      </c>
      <c r="EJ161" s="2">
        <v>8.4967320261437909</v>
      </c>
      <c r="EK161" s="2">
        <v>2.6143790849673199</v>
      </c>
      <c r="EL161" s="2">
        <v>11.1111111111111</v>
      </c>
      <c r="EM161" s="2" t="s">
        <v>89</v>
      </c>
      <c r="EN161" s="2">
        <v>2</v>
      </c>
      <c r="EO161" s="2">
        <v>2</v>
      </c>
      <c r="EP161" s="2" t="s">
        <v>89</v>
      </c>
      <c r="EQ161" s="2" t="s">
        <v>89</v>
      </c>
      <c r="ER161" s="2" t="s">
        <v>89</v>
      </c>
      <c r="ES161" s="2" t="s">
        <v>89</v>
      </c>
      <c r="ET161" s="2" t="str">
        <f>HYPERLINK(".\links\REFSEQ-INVERTEBRATE\AGAP001056-PA-REFSEQ-INVERTEBRATE.txt","AGAP001056-PA")</f>
        <v>AGAP001056-PA</v>
      </c>
      <c r="EU161" s="2" t="str">
        <f>HYPERLINK("http://www.ncbi.nlm.nih.gov/sutils/blink.cgi?pid=XP_311779.4","1E-110")</f>
        <v>1E-110</v>
      </c>
      <c r="EV161" s="2" t="str">
        <f>HYPERLINK("http://www.ncbi.nlm.nih.gov/protein/XP_311779.4","XP_311779.4")</f>
        <v>XP_311779.4</v>
      </c>
      <c r="EW161" s="2">
        <v>100</v>
      </c>
      <c r="EX161" s="2">
        <v>100</v>
      </c>
      <c r="EY161" s="2">
        <v>100</v>
      </c>
      <c r="EZ161" s="2" t="s">
        <v>95</v>
      </c>
    </row>
    <row r="162" spans="1:156" x14ac:dyDescent="0.25">
      <c r="A162" s="2" t="s">
        <v>851</v>
      </c>
      <c r="B162" s="2">
        <v>-0.90817244987765</v>
      </c>
      <c r="C162" s="2">
        <f t="shared" si="2"/>
        <v>0.53285966983405586</v>
      </c>
      <c r="D162" s="2">
        <v>5.6666589951235196</v>
      </c>
      <c r="E162" s="2">
        <v>11.468751406159701</v>
      </c>
      <c r="F162" s="2">
        <v>7.0776216096133098E-4</v>
      </c>
      <c r="G162" s="2">
        <v>3.3343113839625203E-2</v>
      </c>
      <c r="H162" s="2" t="s">
        <v>852</v>
      </c>
      <c r="I162" s="2" t="s">
        <v>87</v>
      </c>
      <c r="J162" s="2" t="str">
        <f>HYPERLINK("https://vectorbase.org/vectorbase/app/record/gene/AGAP003542","AGAP003542-RA")</f>
        <v>AGAP003542-RA</v>
      </c>
      <c r="K162" s="2" t="str">
        <f>HYPERLINK(".\links\pep\AGAP003542-PA-pep.txt","AGAP003542-PA")</f>
        <v>AGAP003542-PA</v>
      </c>
      <c r="L162" s="12" t="s">
        <v>88</v>
      </c>
      <c r="M162" s="2">
        <v>420</v>
      </c>
      <c r="N162" s="2">
        <v>0</v>
      </c>
      <c r="O162" s="2">
        <v>0</v>
      </c>
      <c r="P162" s="2" t="s">
        <v>853</v>
      </c>
      <c r="Q162" s="9" t="s">
        <v>854</v>
      </c>
      <c r="R162" s="2" t="s">
        <v>164</v>
      </c>
      <c r="S162" s="2" t="str">
        <f>HYPERLINK(".\links\KOG\AGAP003542-PA-KOG.txt","KOG")</f>
        <v>KOG</v>
      </c>
      <c r="T162" s="2">
        <v>5.9999999999999998E-50</v>
      </c>
      <c r="U162" s="2">
        <v>98.7</v>
      </c>
      <c r="V162" s="2" t="s">
        <v>855</v>
      </c>
      <c r="W162" s="10" t="s">
        <v>856</v>
      </c>
      <c r="X162" s="2" t="s">
        <v>164</v>
      </c>
      <c r="Y162" s="2" t="str">
        <f>HYPERLINK(".\links\REFSEQVERTEBRATE95\AGAP003542-PA-REFSEQVERTEBRATE95.txt","REFSEQVERTEBRATE95")</f>
        <v>REFSEQVERTEBRATE95</v>
      </c>
      <c r="Z162" s="13">
        <v>7.0000000000000001E-52</v>
      </c>
      <c r="AA162" s="2">
        <v>91.9</v>
      </c>
      <c r="AB162" s="14" t="s">
        <v>89</v>
      </c>
      <c r="AC162" s="14" t="str">
        <f>HYPERLINK(".\links\Sigp\AGAP003542-PA-SigP.txt","CYT")</f>
        <v>CYT</v>
      </c>
      <c r="AD162" s="2" t="s">
        <v>89</v>
      </c>
      <c r="AE162" s="2">
        <v>48.642000000000003</v>
      </c>
      <c r="AF162" s="2">
        <v>8.99</v>
      </c>
      <c r="AG162" s="2" t="s">
        <v>89</v>
      </c>
      <c r="AH162" s="2" t="s">
        <v>89</v>
      </c>
      <c r="AI162" s="2" t="s">
        <v>857</v>
      </c>
      <c r="AJ162" s="14">
        <v>0</v>
      </c>
      <c r="AK162" s="2" t="s">
        <v>89</v>
      </c>
      <c r="AL162" s="2" t="s">
        <v>89</v>
      </c>
      <c r="AM162" s="2" t="s">
        <v>89</v>
      </c>
      <c r="AN162" s="14" t="str">
        <f>HYPERLINK(".\links\gpi\AGAP003542-PA-gpi.txt","N")</f>
        <v>N</v>
      </c>
      <c r="AO162" s="15" t="str">
        <f>HYPERLINK(".\links\netoglyc\AGAP003542-PA-netoglyc.txt","1")</f>
        <v>1</v>
      </c>
      <c r="AP162" s="14">
        <v>11.4</v>
      </c>
      <c r="AQ162" s="2">
        <v>5.5</v>
      </c>
      <c r="AR162" s="2">
        <v>5.5</v>
      </c>
      <c r="AS162" s="2" t="s">
        <v>94</v>
      </c>
      <c r="AT162" s="9" t="str">
        <f>HYPERLINK(".\links\NR-LIGHT\AGAP003542-PA-NR-LIGHT.txt","AGAP003542-PA")</f>
        <v>AGAP003542-PA</v>
      </c>
      <c r="AU162" s="2" t="str">
        <f>HYPERLINK("http://www.ncbi.nlm.nih.gov/sutils/blink.cgi?pid=XP_313285.3","0.0")</f>
        <v>0.0</v>
      </c>
      <c r="AV162" s="2" t="str">
        <f>HYPERLINK("http://www.ncbi.nlm.nih.gov/protein/XP_313285.3","XP_313285.3")</f>
        <v>XP_313285.3</v>
      </c>
      <c r="AW162" s="2">
        <v>100</v>
      </c>
      <c r="AX162" s="2">
        <v>100</v>
      </c>
      <c r="AY162" s="2">
        <v>100</v>
      </c>
      <c r="AZ162" s="2" t="s">
        <v>95</v>
      </c>
      <c r="BA162" s="9" t="str">
        <f>HYPERLINK(".\links\REFSEQ-INVERTEBRATE\AGAP003542-PA-REFSEQ-INVERTEBRATE.txt","AGAP003542-PA")</f>
        <v>AGAP003542-PA</v>
      </c>
      <c r="BB162" s="2" t="str">
        <f>HYPERLINK("http://www.ncbi.nlm.nih.gov/sutils/blink.cgi?pid=XP_313285.3","0.0")</f>
        <v>0.0</v>
      </c>
      <c r="BC162" s="2" t="str">
        <f>HYPERLINK("http://www.ncbi.nlm.nih.gov/protein/XP_313285.3","XP_313285.3")</f>
        <v>XP_313285.3</v>
      </c>
      <c r="BD162" s="2">
        <v>100</v>
      </c>
      <c r="BE162" s="2">
        <v>100</v>
      </c>
      <c r="BF162" s="2">
        <v>100</v>
      </c>
      <c r="BG162" s="2" t="s">
        <v>95</v>
      </c>
      <c r="BH162" s="9" t="str">
        <f>HYPERLINK(".\links\REFSEQ-PROTOZOA\AGAP003542-PA-REFSEQ-PROTOZOA.txt","alpha/beta fold family Hydrolase")</f>
        <v>alpha/beta fold family Hydrolase</v>
      </c>
      <c r="BI162" s="2" t="str">
        <f>HYPERLINK("http://www.ncbi.nlm.nih.gov/sutils/blink.cgi?pid=XP_013761845.1","9E-029")</f>
        <v>9E-029</v>
      </c>
      <c r="BJ162" s="2" t="str">
        <f>HYPERLINK("http://www.ncbi.nlm.nih.gov/protein/XP_013761845.1","XP_013761845.1")</f>
        <v>XP_013761845.1</v>
      </c>
      <c r="BK162" s="2">
        <v>29</v>
      </c>
      <c r="BL162" s="2">
        <v>48</v>
      </c>
      <c r="BM162" s="2">
        <v>82</v>
      </c>
      <c r="BN162" s="2" t="s">
        <v>858</v>
      </c>
      <c r="BO162" s="9" t="str">
        <f>HYPERLINK(".\links\SWISSP\AGAP003542-PA-SWISSP.txt","Epoxide hydrolase 4")</f>
        <v>Epoxide hydrolase 4</v>
      </c>
      <c r="BP162" s="2" t="str">
        <f>HYPERLINK("http://www.uniprot.org/uniprot/Q8IUS5","2E-041")</f>
        <v>2E-041</v>
      </c>
      <c r="BQ162" s="2" t="str">
        <f>HYPERLINK("http://www.uniprot.org/uniprot/Q8IUS5#expression","Q8IUS5")</f>
        <v>Q8IUS5</v>
      </c>
      <c r="BR162" s="2">
        <v>30</v>
      </c>
      <c r="BS162" s="2">
        <v>48</v>
      </c>
      <c r="BT162" s="2">
        <v>94</v>
      </c>
      <c r="BU162" s="2" t="s">
        <v>115</v>
      </c>
      <c r="BV162" s="9" t="str">
        <f>HYPERLINK(".\links\FLYBASE\AGAP003542-PA-FLYBASE.txt","FBpp0072791")</f>
        <v>FBpp0072791</v>
      </c>
      <c r="BW162" s="2" t="str">
        <f>HYPERLINK("http://flybase.org/reports/FBgn0035312#alliance_summary_container","3E-05")</f>
        <v>3E-05</v>
      </c>
      <c r="BX162" s="2">
        <v>308</v>
      </c>
      <c r="BY162" s="2">
        <v>25</v>
      </c>
      <c r="BZ162" s="2">
        <v>44</v>
      </c>
      <c r="CA162" s="2">
        <v>37</v>
      </c>
      <c r="CB162" s="9" t="str">
        <f>HYPERLINK(".\links\CDD\AGAP003542-PA-CDD.txt","MhpC, Predicted hydrolases or acyltransferases (alpha/beta hydrolase superfamily)")</f>
        <v>MhpC, Predicted hydrolases or acyltransferases (alpha/beta hydrolase superfamily)</v>
      </c>
      <c r="CC162" s="13">
        <v>2.0000000000000001E-25</v>
      </c>
      <c r="CD162" s="2">
        <v>101.8</v>
      </c>
      <c r="CE162" s="2" t="s">
        <v>859</v>
      </c>
      <c r="CF162" s="2" t="s">
        <v>860</v>
      </c>
      <c r="CG162" s="9" t="str">
        <f>HYPERLINK(".\links\KOG\AGAP003542-PA-KOG.txt","Soluble epoxide hydrolase")</f>
        <v>Soluble epoxide hydrolase</v>
      </c>
      <c r="CH162" s="13">
        <v>5.9999999999999998E-50</v>
      </c>
      <c r="CI162" s="2">
        <v>98.8</v>
      </c>
      <c r="CJ162" s="2" t="s">
        <v>861</v>
      </c>
      <c r="CK162" s="2" t="s">
        <v>172</v>
      </c>
      <c r="CL162" s="9" t="str">
        <f>HYPERLINK(".\links\PFAM\AGAP003542-PA-PFAM.txt","Abhydrolase_1, alpha/beta hydrolase fold")</f>
        <v>Abhydrolase_1, alpha/beta hydrolase fold</v>
      </c>
      <c r="CM162" s="13">
        <v>5.9999999999999999E-24</v>
      </c>
      <c r="CN162" s="2">
        <v>104.1</v>
      </c>
      <c r="CO162" s="2" t="s">
        <v>862</v>
      </c>
      <c r="CP162" s="9" t="str">
        <f>HYPERLINK(".\links\SMART\AGAP003542-PA-SMART.txt","G2F, G2 nidogen domain and fibulin")</f>
        <v>G2F, G2 nidogen domain and fibulin</v>
      </c>
      <c r="CQ162" s="13">
        <v>0.26</v>
      </c>
      <c r="CR162" s="2">
        <v>8.8000000000000007</v>
      </c>
      <c r="CS162" s="2" t="s">
        <v>863</v>
      </c>
      <c r="CT162" s="2" t="s">
        <v>855</v>
      </c>
      <c r="CU162" s="2" t="s">
        <v>855</v>
      </c>
      <c r="CV162" s="2" t="s">
        <v>855</v>
      </c>
      <c r="CW162" s="2" t="str">
        <f>HYPERLINK(".\links\pep\AGAP003542-PA-pep.txt","AGAP003542-PA")</f>
        <v>AGAP003542-PA</v>
      </c>
      <c r="CX162" s="2" t="s">
        <v>88</v>
      </c>
      <c r="CY162" s="2">
        <v>420</v>
      </c>
      <c r="CZ162" s="2" t="s">
        <v>103</v>
      </c>
      <c r="DA162" s="2" t="s">
        <v>864</v>
      </c>
      <c r="DB162" s="2">
        <v>0</v>
      </c>
      <c r="DC162" s="2">
        <v>0</v>
      </c>
      <c r="DD162" s="2" t="str">
        <f>HYPERLINK("https://www.kegg.jp/kegg-bin/search_pathway_text?map=aga&amp;keyword=AGAP003542&amp;mode=1&amp;viewImage=true","AGAP003542")</f>
        <v>AGAP003542</v>
      </c>
      <c r="DE162" s="2" t="s">
        <v>851</v>
      </c>
      <c r="DF162" s="2" t="s">
        <v>852</v>
      </c>
      <c r="DG162" s="2" t="s">
        <v>87</v>
      </c>
      <c r="DH162" s="2" t="str">
        <f>HYPERLINK("https://vectorbase.org/vectorbase/app/record/gene/AGAP003542","AGAP003542-RA")</f>
        <v>AGAP003542-RA</v>
      </c>
      <c r="DI162" s="2" t="s">
        <v>158</v>
      </c>
      <c r="DJ162" s="2">
        <v>3002</v>
      </c>
      <c r="DK162" s="2" t="str">
        <f>HYPERLINK(".\links\netoglyc\AGAP003542-PA-netoglyc.txt","1")</f>
        <v>1</v>
      </c>
      <c r="DL162" s="2">
        <v>11.4</v>
      </c>
      <c r="DM162" s="2">
        <v>5.5</v>
      </c>
      <c r="DN162" s="2">
        <v>5.5</v>
      </c>
      <c r="DO162" s="2" t="s">
        <v>94</v>
      </c>
      <c r="DP162" s="2" t="s">
        <v>89</v>
      </c>
      <c r="DQ162" s="2" t="str">
        <f>HYPERLINK(".\links\Sigp\AGAP003542-PA-SigP.txt","CYT")</f>
        <v>CYT</v>
      </c>
      <c r="DR162" s="2" t="s">
        <v>89</v>
      </c>
      <c r="DS162" s="2">
        <v>48.642000000000003</v>
      </c>
      <c r="DT162" s="2">
        <v>8.99</v>
      </c>
      <c r="DU162" s="2" t="s">
        <v>89</v>
      </c>
      <c r="DV162" s="2" t="s">
        <v>89</v>
      </c>
      <c r="DW162" s="2" t="s">
        <v>857</v>
      </c>
      <c r="DX162" s="2">
        <v>420</v>
      </c>
      <c r="DY162" s="12">
        <v>0</v>
      </c>
      <c r="DZ162" s="2" t="s">
        <v>89</v>
      </c>
      <c r="EA162" s="2" t="s">
        <v>89</v>
      </c>
      <c r="EB162" s="2" t="s">
        <v>89</v>
      </c>
      <c r="EC162" s="2" t="str">
        <f>HYPERLINK(".\links\gpi\AGAP003542-PA-gpi.txt","N")</f>
        <v>N</v>
      </c>
      <c r="ED162" s="2">
        <v>0.26</v>
      </c>
      <c r="EF162" s="2">
        <v>10</v>
      </c>
      <c r="EG162" s="2" t="s">
        <v>89</v>
      </c>
      <c r="EH162" s="2" t="s">
        <v>89</v>
      </c>
      <c r="EI162" s="2">
        <v>11.4285714285714</v>
      </c>
      <c r="EJ162" s="2">
        <v>5.4761904761904798</v>
      </c>
      <c r="EK162" s="2">
        <v>5.4761904761904798</v>
      </c>
      <c r="EL162" s="2">
        <v>10.952380952381001</v>
      </c>
      <c r="EM162" s="2" t="s">
        <v>89</v>
      </c>
      <c r="EN162" s="2">
        <v>1</v>
      </c>
      <c r="EO162" s="2">
        <v>1</v>
      </c>
      <c r="EP162" s="2" t="s">
        <v>89</v>
      </c>
      <c r="EQ162" s="2" t="s">
        <v>89</v>
      </c>
      <c r="ER162" s="2" t="s">
        <v>89</v>
      </c>
      <c r="ES162" s="2" t="s">
        <v>89</v>
      </c>
      <c r="ET162" s="2" t="str">
        <f>HYPERLINK(".\links\REFSEQ-INVERTEBRATE\AGAP003542-PA-REFSEQ-INVERTEBRATE.txt","AGAP003542-PA")</f>
        <v>AGAP003542-PA</v>
      </c>
      <c r="EU162" s="2" t="str">
        <f>HYPERLINK("http://www.ncbi.nlm.nih.gov/sutils/blink.cgi?pid=XP_313285.3","0.0")</f>
        <v>0.0</v>
      </c>
      <c r="EV162" s="2" t="str">
        <f>HYPERLINK("http://www.ncbi.nlm.nih.gov/protein/XP_313285.3","XP_313285.3")</f>
        <v>XP_313285.3</v>
      </c>
      <c r="EW162" s="2">
        <v>100</v>
      </c>
      <c r="EX162" s="2">
        <v>100</v>
      </c>
      <c r="EY162" s="2">
        <v>100</v>
      </c>
      <c r="EZ162" s="2" t="s">
        <v>95</v>
      </c>
    </row>
    <row r="163" spans="1:156" x14ac:dyDescent="0.25">
      <c r="A163" s="2" t="s">
        <v>2315</v>
      </c>
      <c r="B163" s="2">
        <v>-0.91111145183023501</v>
      </c>
      <c r="C163" s="2">
        <f t="shared" si="2"/>
        <v>0.53177525388030289</v>
      </c>
      <c r="D163" s="2">
        <v>7.1104160380174104</v>
      </c>
      <c r="E163" s="2">
        <v>16.247120244405401</v>
      </c>
      <c r="F163" s="2">
        <v>5.55940306065311E-5</v>
      </c>
      <c r="G163" s="2">
        <v>5.8604915234429398E-3</v>
      </c>
      <c r="H163" s="2" t="s">
        <v>2316</v>
      </c>
      <c r="I163" s="2" t="s">
        <v>87</v>
      </c>
      <c r="J163" s="2" t="str">
        <f>HYPERLINK("https://vectorbase.org/vectorbase/app/record/gene/AGAP009652","AGAP009652-RA")</f>
        <v>AGAP009652-RA</v>
      </c>
      <c r="K163" s="2" t="str">
        <f>HYPERLINK(".\links\pep\AGAP009652-PA-pep.txt","AGAP009652-PA")</f>
        <v>AGAP009652-PA</v>
      </c>
      <c r="L163" s="12" t="s">
        <v>2317</v>
      </c>
      <c r="M163" s="2">
        <v>153</v>
      </c>
      <c r="N163" s="2">
        <v>0</v>
      </c>
      <c r="O163" s="2">
        <v>0</v>
      </c>
      <c r="P163" s="2" t="s">
        <v>2318</v>
      </c>
      <c r="Q163" s="9" t="s">
        <v>2319</v>
      </c>
      <c r="R163" s="2" t="s">
        <v>145</v>
      </c>
      <c r="S163" s="2" t="str">
        <f>HYPERLINK(".\links\KOG\AGAP009652-PA-KOG.txt","KOG")</f>
        <v>KOG</v>
      </c>
      <c r="T163" s="2">
        <v>3.9999999999999998E-38</v>
      </c>
      <c r="U163" s="2">
        <v>97.2</v>
      </c>
      <c r="V163" s="2" t="s">
        <v>2320</v>
      </c>
      <c r="W163" s="10" t="s">
        <v>2321</v>
      </c>
      <c r="X163" s="2" t="s">
        <v>1045</v>
      </c>
      <c r="Y163" s="2" t="str">
        <f>HYPERLINK(".\links\PFAM\AGAP009652-PA-PFAM.txt","PFAM")</f>
        <v>PFAM</v>
      </c>
      <c r="Z163" s="13">
        <v>4.0000000000000001E-53</v>
      </c>
      <c r="AA163" s="2">
        <v>96.9</v>
      </c>
      <c r="AB163" s="14" t="s">
        <v>89</v>
      </c>
      <c r="AC163" s="14" t="str">
        <f>HYPERLINK(".\links\Sigp\AGAP009652-PA-SigP.txt","CYT")</f>
        <v>CYT</v>
      </c>
      <c r="AD163" s="2" t="s">
        <v>89</v>
      </c>
      <c r="AE163" s="2">
        <v>18.129000000000001</v>
      </c>
      <c r="AF163" s="2">
        <v>9.1999999999999993</v>
      </c>
      <c r="AG163" s="2" t="s">
        <v>89</v>
      </c>
      <c r="AH163" s="2" t="s">
        <v>89</v>
      </c>
      <c r="AI163" s="2" t="s">
        <v>2322</v>
      </c>
      <c r="AJ163" s="14" t="str">
        <f>HYPERLINK(".\links\tmhmm\AGAP009652-PA-tmhmm.txt","1")</f>
        <v>1</v>
      </c>
      <c r="AK163" s="2">
        <v>14.4</v>
      </c>
      <c r="AL163" s="2">
        <v>22.9</v>
      </c>
      <c r="AM163" s="2">
        <v>62.7</v>
      </c>
      <c r="AN163" s="14" t="str">
        <f>HYPERLINK(".\links\gpi\AGAP009652-PA-gpi.txt","N")</f>
        <v>N</v>
      </c>
      <c r="AO163" s="15" t="str">
        <f>HYPERLINK(".\links\netoglyc\AGAP009652-PA-netoglyc.txt","0")</f>
        <v>0</v>
      </c>
      <c r="AP163" s="14">
        <v>7.2</v>
      </c>
      <c r="AQ163" s="2">
        <v>5.9</v>
      </c>
      <c r="AR163" s="2">
        <v>5.9</v>
      </c>
      <c r="AS163" s="2">
        <v>2</v>
      </c>
      <c r="AT163" s="9" t="str">
        <f>HYPERLINK(".\links\NR-LIGHT\AGAP009652-PA-NR-LIGHT.txt","AGAP009652-PA, partial")</f>
        <v>AGAP009652-PA, partial</v>
      </c>
      <c r="AU163" s="2" t="str">
        <f>HYPERLINK("http://www.ncbi.nlm.nih.gov/sutils/blink.cgi?pid=XP_318689.1","2E-086")</f>
        <v>2E-086</v>
      </c>
      <c r="AV163" s="2" t="str">
        <f>HYPERLINK("http://www.ncbi.nlm.nih.gov/protein/XP_318689.1","XP_318689.1")</f>
        <v>XP_318689.1</v>
      </c>
      <c r="AW163" s="2">
        <v>100</v>
      </c>
      <c r="AX163" s="2">
        <v>100</v>
      </c>
      <c r="AY163" s="2">
        <v>100</v>
      </c>
      <c r="AZ163" s="2" t="s">
        <v>95</v>
      </c>
      <c r="BA163" s="9" t="str">
        <f>HYPERLINK(".\links\REFSEQ-INVERTEBRATE\AGAP009652-PA-REFSEQ-INVERTEBRATE.txt","AGAP009652-PA, partial")</f>
        <v>AGAP009652-PA, partial</v>
      </c>
      <c r="BB163" s="2" t="str">
        <f>HYPERLINK("http://www.ncbi.nlm.nih.gov/sutils/blink.cgi?pid=XP_318689.1","2E-086")</f>
        <v>2E-086</v>
      </c>
      <c r="BC163" s="2" t="str">
        <f>HYPERLINK("http://www.ncbi.nlm.nih.gov/protein/XP_318689.1","XP_318689.1")</f>
        <v>XP_318689.1</v>
      </c>
      <c r="BD163" s="2">
        <v>100</v>
      </c>
      <c r="BE163" s="2">
        <v>100</v>
      </c>
      <c r="BF163" s="2">
        <v>100</v>
      </c>
      <c r="BG163" s="2" t="s">
        <v>95</v>
      </c>
      <c r="BH163" s="9" t="str">
        <f>HYPERLINK(".\links\REFSEQ-PROTOZOA\AGAP009652-PA-REFSEQ-PROTOZOA.txt","hypothetical protein SDRG_10243")</f>
        <v>hypothetical protein SDRG_10243</v>
      </c>
      <c r="BI163" s="2" t="str">
        <f>HYPERLINK("http://www.ncbi.nlm.nih.gov/sutils/blink.cgi?pid=XP_008614447.1","5E-012")</f>
        <v>5E-012</v>
      </c>
      <c r="BJ163" s="2" t="str">
        <f>HYPERLINK("http://www.ncbi.nlm.nih.gov/protein/XP_008614447.1","XP_008614447.1")</f>
        <v>XP_008614447.1</v>
      </c>
      <c r="BK163" s="2">
        <v>41</v>
      </c>
      <c r="BL163" s="2">
        <v>50</v>
      </c>
      <c r="BM163" s="2">
        <v>80</v>
      </c>
      <c r="BN163" s="2" t="s">
        <v>133</v>
      </c>
      <c r="BO163" s="9" t="str">
        <f>HYPERLINK(".\links\SWISSP\AGAP009652-PA-SWISSP.txt","NADH dehydrogenase [ubiquinone] 1 alpha subcomplex subunit 13")</f>
        <v>NADH dehydrogenase [ubiquinone] 1 alpha subcomplex subunit 13</v>
      </c>
      <c r="BP163" s="2" t="str">
        <f>HYPERLINK("http://www.uniprot.org/uniprot/Q95KV7","2E-015")</f>
        <v>2E-015</v>
      </c>
      <c r="BQ163" s="2" t="str">
        <f>HYPERLINK("http://www.uniprot.org/uniprot/Q95KV7#expression","Q95KV7")</f>
        <v>Q95KV7</v>
      </c>
      <c r="BR163" s="2">
        <v>41</v>
      </c>
      <c r="BS163" s="2">
        <v>54</v>
      </c>
      <c r="BT163" s="2">
        <v>94</v>
      </c>
      <c r="BU163" s="2" t="s">
        <v>183</v>
      </c>
      <c r="BV163" s="9" t="str">
        <f>HYPERLINK(".\links\FLYBASE\AGAP009652-PA-FLYBASE.txt","FBpp0312526")</f>
        <v>FBpp0312526</v>
      </c>
      <c r="BW163" s="2" t="str">
        <f>HYPERLINK("http://flybase.org/reports/FBgn0029868#alliance_summary_container","6E-69")</f>
        <v>6E-69</v>
      </c>
      <c r="BX163" s="2">
        <v>154</v>
      </c>
      <c r="BY163" s="2">
        <v>65</v>
      </c>
      <c r="BZ163" s="2">
        <v>82</v>
      </c>
      <c r="CA163" s="2">
        <v>92</v>
      </c>
      <c r="CB163" s="9" t="str">
        <f>HYPERLINK(".\links\CDD\AGAP009652-PA-CDD.txt","GRIM-19, GRIM-19 protein")</f>
        <v>GRIM-19, GRIM-19 protein</v>
      </c>
      <c r="CC163" s="13">
        <v>4E-55</v>
      </c>
      <c r="CD163" s="2">
        <v>100.8</v>
      </c>
      <c r="CE163" s="2" t="s">
        <v>2323</v>
      </c>
      <c r="CF163" s="2" t="s">
        <v>2324</v>
      </c>
      <c r="CG163" s="9" t="str">
        <f>HYPERLINK(".\links\KOG\AGAP009652-PA-KOG.txt","B16")</f>
        <v>B16</v>
      </c>
      <c r="CH163" s="13">
        <v>3.9999999999999998E-38</v>
      </c>
      <c r="CI163" s="2">
        <v>97.3</v>
      </c>
      <c r="CJ163" s="2" t="s">
        <v>2325</v>
      </c>
      <c r="CK163" s="2" t="s">
        <v>2326</v>
      </c>
      <c r="CL163" s="9" t="str">
        <f>HYPERLINK(".\links\PFAM\AGAP009652-PA-PFAM.txt","GRIM-19, GRIM-19 protein")</f>
        <v>GRIM-19, GRIM-19 protein</v>
      </c>
      <c r="CM163" s="13">
        <v>8.0000000000000003E-56</v>
      </c>
      <c r="CN163" s="2">
        <v>100.8</v>
      </c>
      <c r="CO163" s="2" t="s">
        <v>2323</v>
      </c>
      <c r="CP163" s="9" t="str">
        <f>HYPERLINK(".\links\SMART\AGAP009652-PA-SMART.txt","LNS2, This domain is found in Saccharomyces cerevisiae protein SMP2, proteins with an N-terminal lipin domain and phosphatidylinositol transfer proteins")</f>
        <v>LNS2, This domain is found in Saccharomyces cerevisiae protein SMP2, proteins with an N-terminal lipin domain and phosphatidylinositol transfer proteins</v>
      </c>
      <c r="CQ163" s="13">
        <v>3.1</v>
      </c>
      <c r="CR163" s="2">
        <v>15.9</v>
      </c>
      <c r="CS163" s="2" t="s">
        <v>2327</v>
      </c>
      <c r="CT163" s="2" t="s">
        <v>2320</v>
      </c>
      <c r="CU163" s="2" t="s">
        <v>2320</v>
      </c>
      <c r="CV163" s="2" t="s">
        <v>2320</v>
      </c>
      <c r="CW163" s="2" t="str">
        <f>HYPERLINK(".\links\pep\AGAP009652-PA-pep.txt","AGAP009652-PA")</f>
        <v>AGAP009652-PA</v>
      </c>
      <c r="CX163" s="2" t="s">
        <v>2317</v>
      </c>
      <c r="CY163" s="2">
        <v>153</v>
      </c>
      <c r="CZ163" s="2" t="s">
        <v>103</v>
      </c>
      <c r="DA163" s="2" t="s">
        <v>2328</v>
      </c>
      <c r="DB163" s="2">
        <v>0</v>
      </c>
      <c r="DC163" s="2">
        <v>0</v>
      </c>
      <c r="DD163" s="2" t="str">
        <f>HYPERLINK("https://www.kegg.jp/kegg-bin/search_pathway_text?map=aga&amp;keyword=AGAP009652&amp;mode=1&amp;viewImage=true","AGAP009652")</f>
        <v>AGAP009652</v>
      </c>
      <c r="DE163" s="2" t="s">
        <v>2315</v>
      </c>
      <c r="DF163" s="2" t="s">
        <v>2316</v>
      </c>
      <c r="DG163" s="2" t="s">
        <v>87</v>
      </c>
      <c r="DH163" s="2" t="str">
        <f>HYPERLINK("https://vectorbase.org/vectorbase/app/record/gene/AGAP009652","AGAP009652-RA")</f>
        <v>AGAP009652-RA</v>
      </c>
      <c r="DI163" s="2" t="s">
        <v>158</v>
      </c>
      <c r="DJ163" s="2">
        <v>638</v>
      </c>
      <c r="DK163" s="2" t="str">
        <f>HYPERLINK(".\links\netoglyc\AGAP009652-PA-netoglyc.txt","0")</f>
        <v>0</v>
      </c>
      <c r="DL163" s="2">
        <v>7.2</v>
      </c>
      <c r="DM163" s="2">
        <v>5.9</v>
      </c>
      <c r="DN163" s="2">
        <v>5.9</v>
      </c>
      <c r="DO163" s="2">
        <v>2</v>
      </c>
      <c r="DP163" s="2" t="s">
        <v>89</v>
      </c>
      <c r="DQ163" s="2" t="str">
        <f>HYPERLINK(".\links\Sigp\AGAP009652-PA-SigP.txt","CYT")</f>
        <v>CYT</v>
      </c>
      <c r="DR163" s="2" t="s">
        <v>89</v>
      </c>
      <c r="DS163" s="2">
        <v>18.129000000000001</v>
      </c>
      <c r="DT163" s="2">
        <v>9.1999999999999993</v>
      </c>
      <c r="DU163" s="2" t="s">
        <v>89</v>
      </c>
      <c r="DV163" s="2" t="s">
        <v>89</v>
      </c>
      <c r="DW163" s="2" t="s">
        <v>2322</v>
      </c>
      <c r="DX163" s="2">
        <v>153</v>
      </c>
      <c r="DY163" s="12" t="str">
        <f>HYPERLINK(".\links\tmhmm\AGAP009652-PA-tmhmm.txt","1")</f>
        <v>1</v>
      </c>
      <c r="DZ163" s="2">
        <v>14.4</v>
      </c>
      <c r="EA163" s="2">
        <v>22.9</v>
      </c>
      <c r="EB163" s="2">
        <v>62.7</v>
      </c>
      <c r="EC163" s="2" t="str">
        <f>HYPERLINK(".\links\gpi\AGAP009652-PA-gpi.txt","N")</f>
        <v>N</v>
      </c>
      <c r="ED163" s="2">
        <v>0.31</v>
      </c>
      <c r="EF163" s="2">
        <v>0</v>
      </c>
      <c r="EG163" s="2" t="s">
        <v>89</v>
      </c>
      <c r="EH163" s="2" t="s">
        <v>89</v>
      </c>
      <c r="EI163" s="2">
        <v>7.18954248366013</v>
      </c>
      <c r="EJ163" s="2">
        <v>5.8823529411764701</v>
      </c>
      <c r="EK163" s="2">
        <v>5.8823529411764701</v>
      </c>
      <c r="EL163" s="2">
        <v>11.764705882352899</v>
      </c>
      <c r="EM163" s="2" t="s">
        <v>89</v>
      </c>
      <c r="EN163" s="2">
        <v>2</v>
      </c>
      <c r="EO163" s="2">
        <v>2</v>
      </c>
      <c r="EP163" s="2" t="s">
        <v>89</v>
      </c>
      <c r="EQ163" s="2" t="s">
        <v>89</v>
      </c>
      <c r="ER163" s="2" t="s">
        <v>89</v>
      </c>
      <c r="ES163" s="2" t="s">
        <v>89</v>
      </c>
      <c r="ET163" s="2" t="str">
        <f>HYPERLINK(".\links\REFSEQ-INVERTEBRATE\AGAP009652-PA-REFSEQ-INVERTEBRATE.txt","AGAP009652-PA, partial")</f>
        <v>AGAP009652-PA, partial</v>
      </c>
      <c r="EU163" s="2" t="str">
        <f>HYPERLINK("http://www.ncbi.nlm.nih.gov/sutils/blink.cgi?pid=XP_318689.1","1E-112")</f>
        <v>1E-112</v>
      </c>
      <c r="EV163" s="2" t="str">
        <f>HYPERLINK("http://www.ncbi.nlm.nih.gov/protein/XP_318689.1","XP_318689.1")</f>
        <v>XP_318689.1</v>
      </c>
      <c r="EW163" s="2">
        <v>100</v>
      </c>
      <c r="EX163" s="2">
        <v>100</v>
      </c>
      <c r="EY163" s="2">
        <v>100</v>
      </c>
      <c r="EZ163" s="2" t="s">
        <v>95</v>
      </c>
    </row>
    <row r="164" spans="1:156" x14ac:dyDescent="0.25">
      <c r="A164" s="2" t="s">
        <v>2467</v>
      </c>
      <c r="B164" s="2">
        <v>-0.91166615749691204</v>
      </c>
      <c r="C164" s="2">
        <f t="shared" si="2"/>
        <v>0.53157082949604162</v>
      </c>
      <c r="D164" s="2">
        <v>6.2774339450080303</v>
      </c>
      <c r="E164" s="2">
        <v>22.520100429822801</v>
      </c>
      <c r="F164" s="2">
        <v>2.0795616702472799E-6</v>
      </c>
      <c r="G164" s="2">
        <v>6.5783709532741597E-4</v>
      </c>
      <c r="H164" s="2" t="s">
        <v>2468</v>
      </c>
      <c r="I164" s="2" t="s">
        <v>87</v>
      </c>
      <c r="J164" s="2" t="str">
        <f>HYPERLINK("https://vectorbase.org/vectorbase/app/record/gene/AGAP010212","AGAP010212-RA")</f>
        <v>AGAP010212-RA</v>
      </c>
      <c r="K164" s="2" t="str">
        <f>HYPERLINK(".\links\pep\AGAP010212-PA-pep.txt","AGAP010212-PA")</f>
        <v>AGAP010212-PA</v>
      </c>
      <c r="L164" s="12" t="s">
        <v>88</v>
      </c>
      <c r="M164" s="2">
        <v>128</v>
      </c>
      <c r="N164" s="2">
        <v>0</v>
      </c>
      <c r="O164" s="2">
        <v>0</v>
      </c>
      <c r="P164" s="2" t="s">
        <v>2469</v>
      </c>
      <c r="Q164" s="9" t="s">
        <v>2470</v>
      </c>
      <c r="R164" s="2" t="s">
        <v>303</v>
      </c>
      <c r="S164" s="2" t="str">
        <f>HYPERLINK(".\links\KOG\AGAP010212-PA-KOG.txt","KOG")</f>
        <v>KOG</v>
      </c>
      <c r="T164" s="2">
        <v>2.0000000000000001E-10</v>
      </c>
      <c r="U164" s="2">
        <v>100</v>
      </c>
      <c r="V164" s="2" t="s">
        <v>2471</v>
      </c>
      <c r="W164" s="10" t="s">
        <v>2472</v>
      </c>
      <c r="X164" s="2" t="s">
        <v>303</v>
      </c>
      <c r="Y164" s="2" t="str">
        <f>HYPERLINK(".\links\UNIPROTKB\AGAP010212-PA-UNIPROTKB.txt","UNIPROTKB")</f>
        <v>UNIPROTKB</v>
      </c>
      <c r="Z164" s="13">
        <v>5.9999999999999999E-19</v>
      </c>
      <c r="AA164" s="2">
        <v>96.7</v>
      </c>
      <c r="AB164" s="14" t="s">
        <v>89</v>
      </c>
      <c r="AC164" s="14" t="str">
        <f>HYPERLINK(".\links\Sigp\AGAP010212-PA-SigP.txt","CYT")</f>
        <v>CYT</v>
      </c>
      <c r="AD164" s="2" t="s">
        <v>89</v>
      </c>
      <c r="AE164" s="2">
        <v>14.926</v>
      </c>
      <c r="AF164" s="2">
        <v>7.8</v>
      </c>
      <c r="AG164" s="2" t="s">
        <v>89</v>
      </c>
      <c r="AH164" s="2" t="s">
        <v>89</v>
      </c>
      <c r="AI164" s="2" t="s">
        <v>93</v>
      </c>
      <c r="AJ164" s="14">
        <v>0</v>
      </c>
      <c r="AK164" s="2" t="s">
        <v>89</v>
      </c>
      <c r="AL164" s="2" t="s">
        <v>89</v>
      </c>
      <c r="AM164" s="2" t="s">
        <v>89</v>
      </c>
      <c r="AN164" s="14" t="str">
        <f>HYPERLINK(".\links\gpi\AGAP010212-PA-gpi.txt","N")</f>
        <v>N</v>
      </c>
      <c r="AO164" s="15" t="str">
        <f>HYPERLINK(".\links\netoglyc\AGAP010212-PA-netoglyc.txt","3")</f>
        <v>3</v>
      </c>
      <c r="AP164" s="14">
        <v>15.6</v>
      </c>
      <c r="AQ164" s="2">
        <v>1.6</v>
      </c>
      <c r="AR164" s="2">
        <v>2.2999999999999998</v>
      </c>
      <c r="AS164" s="2" t="s">
        <v>94</v>
      </c>
      <c r="AT164" s="9" t="str">
        <f>HYPERLINK(".\links\NR-LIGHT\AGAP010212-PA-NR-LIGHT.txt","AGAP010212-PA")</f>
        <v>AGAP010212-PA</v>
      </c>
      <c r="AU164" s="2" t="str">
        <f>HYPERLINK("http://www.ncbi.nlm.nih.gov/sutils/blink.cgi?pid=XP_319396.4","3E-065")</f>
        <v>3E-065</v>
      </c>
      <c r="AV164" s="2" t="str">
        <f>HYPERLINK("http://www.ncbi.nlm.nih.gov/protein/XP_319396.4","XP_319396.4")</f>
        <v>XP_319396.4</v>
      </c>
      <c r="AW164" s="2">
        <v>100</v>
      </c>
      <c r="AX164" s="2">
        <v>100</v>
      </c>
      <c r="AY164" s="2">
        <v>100</v>
      </c>
      <c r="AZ164" s="2" t="s">
        <v>95</v>
      </c>
      <c r="BA164" s="9" t="str">
        <f>HYPERLINK(".\links\REFSEQ-INVERTEBRATE\AGAP010212-PA-REFSEQ-INVERTEBRATE.txt","AGAP010212-PA")</f>
        <v>AGAP010212-PA</v>
      </c>
      <c r="BB164" s="2" t="str">
        <f>HYPERLINK("http://www.ncbi.nlm.nih.gov/sutils/blink.cgi?pid=XP_319396.4","3E-065")</f>
        <v>3E-065</v>
      </c>
      <c r="BC164" s="2" t="str">
        <f>HYPERLINK("http://www.ncbi.nlm.nih.gov/protein/XP_319396.4","XP_319396.4")</f>
        <v>XP_319396.4</v>
      </c>
      <c r="BD164" s="2">
        <v>100</v>
      </c>
      <c r="BE164" s="2">
        <v>100</v>
      </c>
      <c r="BF164" s="2">
        <v>100</v>
      </c>
      <c r="BG164" s="2" t="s">
        <v>95</v>
      </c>
      <c r="BH164" s="9" t="str">
        <f>HYPERLINK(".\links\REFSEQ-PROTOZOA\AGAP010212-PA-REFSEQ-PROTOZOA.txt","hypothetical protein SARC_07027")</f>
        <v>hypothetical protein SARC_07027</v>
      </c>
      <c r="BI164" s="2" t="str">
        <f>HYPERLINK("http://www.ncbi.nlm.nih.gov/sutils/blink.cgi?pid=XP_014154520.1","5E-012")</f>
        <v>5E-012</v>
      </c>
      <c r="BJ164" s="2" t="str">
        <f>HYPERLINK("http://www.ncbi.nlm.nih.gov/protein/XP_014154520.1","XP_014154520.1")</f>
        <v>XP_014154520.1</v>
      </c>
      <c r="BK164" s="2">
        <v>29</v>
      </c>
      <c r="BL164" s="2">
        <v>61</v>
      </c>
      <c r="BM164" s="2">
        <v>90</v>
      </c>
      <c r="BN164" s="2" t="s">
        <v>168</v>
      </c>
      <c r="BO164" s="9" t="str">
        <f>HYPERLINK(".\links\SWISSP\AGAP010212-PA-SWISSP.txt","Prefoldin subunit 1")</f>
        <v>Prefoldin subunit 1</v>
      </c>
      <c r="BP164" s="2" t="str">
        <f>HYPERLINK("http://www.uniprot.org/uniprot/Q5RAM7","1E-017")</f>
        <v>1E-017</v>
      </c>
      <c r="BQ164" s="2" t="str">
        <f>HYPERLINK("http://www.uniprot.org/uniprot/Q5RAM7#expression","Q5RAM7")</f>
        <v>Q5RAM7</v>
      </c>
      <c r="BR164" s="2">
        <v>34</v>
      </c>
      <c r="BS164" s="2">
        <v>63</v>
      </c>
      <c r="BT164" s="2">
        <v>97</v>
      </c>
      <c r="BU164" s="2" t="s">
        <v>337</v>
      </c>
      <c r="BV164" s="9" t="str">
        <f>HYPERLINK(".\links\FLYBASE\AGAP010212-PA-FLYBASE.txt","FBpp0309825")</f>
        <v>FBpp0309825</v>
      </c>
      <c r="BW164" s="2" t="str">
        <f>HYPERLINK("http://flybase.org/reports/FBgn0031776#alliance_summary_container","5E-39")</f>
        <v>5E-39</v>
      </c>
      <c r="BX164" s="2">
        <v>126</v>
      </c>
      <c r="BY164" s="2">
        <v>55</v>
      </c>
      <c r="BZ164" s="2">
        <v>74</v>
      </c>
      <c r="CA164" s="2">
        <v>92</v>
      </c>
      <c r="CB164" s="9" t="str">
        <f>HYPERLINK(".\links\CDD\AGAP010212-PA-CDD.txt","Prefoldin_2, Prefoldin subunit")</f>
        <v>Prefoldin_2, Prefoldin subunit</v>
      </c>
      <c r="CC164" s="13">
        <v>6E-11</v>
      </c>
      <c r="CD164" s="2">
        <v>100</v>
      </c>
      <c r="CE164" s="2" t="s">
        <v>1737</v>
      </c>
      <c r="CF164" s="2" t="s">
        <v>2473</v>
      </c>
      <c r="CG164" s="9" t="str">
        <f>HYPERLINK(".\links\KOG\AGAP010212-PA-KOG.txt","subunit 1")</f>
        <v>subunit 1</v>
      </c>
      <c r="CH164" s="13">
        <v>2.0000000000000001E-10</v>
      </c>
      <c r="CI164" s="2">
        <v>100</v>
      </c>
      <c r="CJ164" s="2" t="s">
        <v>2474</v>
      </c>
      <c r="CK164" s="2" t="s">
        <v>264</v>
      </c>
      <c r="CL164" s="9" t="str">
        <f>HYPERLINK(".\links\PFAM\AGAP010212-PA-PFAM.txt","Prefoldin_2, Prefoldin subunit")</f>
        <v>Prefoldin_2, Prefoldin subunit</v>
      </c>
      <c r="CM164" s="13">
        <v>1.9999999999999999E-11</v>
      </c>
      <c r="CN164" s="2">
        <v>100</v>
      </c>
      <c r="CO164" s="2" t="s">
        <v>1737</v>
      </c>
      <c r="CP164" s="9" t="str">
        <f>HYPERLINK(".\links\SMART\AGAP010212-PA-SMART.txt","MYSc, Myosin")</f>
        <v>MYSc, Myosin</v>
      </c>
      <c r="CQ164" s="13">
        <v>0.23</v>
      </c>
      <c r="CR164" s="2">
        <v>2.1</v>
      </c>
      <c r="CS164" s="2" t="s">
        <v>1029</v>
      </c>
      <c r="CT164" s="2" t="s">
        <v>2471</v>
      </c>
      <c r="CU164" s="2" t="s">
        <v>2471</v>
      </c>
      <c r="CV164" s="2" t="s">
        <v>2471</v>
      </c>
      <c r="CW164" s="2" t="str">
        <f>HYPERLINK(".\links\pep\AGAP010212-PA-pep.txt","AGAP010212-PA")</f>
        <v>AGAP010212-PA</v>
      </c>
      <c r="CX164" s="2" t="s">
        <v>88</v>
      </c>
      <c r="CY164" s="2">
        <v>128</v>
      </c>
      <c r="CZ164" s="2" t="s">
        <v>103</v>
      </c>
      <c r="DA164" s="2" t="s">
        <v>2475</v>
      </c>
      <c r="DB164" s="2">
        <v>0</v>
      </c>
      <c r="DC164" s="2">
        <v>0</v>
      </c>
      <c r="DD164" s="2" t="str">
        <f>HYPERLINK("https://www.kegg.jp/kegg-bin/search_pathway_text?map=aga&amp;keyword=AGAP010212&amp;mode=1&amp;viewImage=true","AGAP010212")</f>
        <v>AGAP010212</v>
      </c>
      <c r="DE164" s="2" t="s">
        <v>2467</v>
      </c>
      <c r="DF164" s="2" t="s">
        <v>2468</v>
      </c>
      <c r="DG164" s="2" t="s">
        <v>87</v>
      </c>
      <c r="DH164" s="2" t="str">
        <f>HYPERLINK("https://vectorbase.org/vectorbase/app/record/gene/AGAP010212","AGAP010212-RA")</f>
        <v>AGAP010212-RA</v>
      </c>
      <c r="DI164" s="2" t="s">
        <v>158</v>
      </c>
      <c r="DJ164" s="2">
        <v>676</v>
      </c>
      <c r="DK164" s="2" t="str">
        <f>HYPERLINK(".\links\netoglyc\AGAP010212-PA-netoglyc.txt","3")</f>
        <v>3</v>
      </c>
      <c r="DL164" s="2">
        <v>15.6</v>
      </c>
      <c r="DM164" s="2">
        <v>1.6</v>
      </c>
      <c r="DN164" s="2">
        <v>2.2999999999999998</v>
      </c>
      <c r="DO164" s="2" t="s">
        <v>94</v>
      </c>
      <c r="DP164" s="2" t="s">
        <v>89</v>
      </c>
      <c r="DQ164" s="2" t="str">
        <f>HYPERLINK(".\links\Sigp\AGAP010212-PA-SigP.txt","CYT")</f>
        <v>CYT</v>
      </c>
      <c r="DR164" s="2" t="s">
        <v>89</v>
      </c>
      <c r="DS164" s="2">
        <v>14.926</v>
      </c>
      <c r="DT164" s="2">
        <v>7.8</v>
      </c>
      <c r="DU164" s="2" t="s">
        <v>89</v>
      </c>
      <c r="DV164" s="2" t="s">
        <v>89</v>
      </c>
      <c r="DW164" s="2" t="s">
        <v>93</v>
      </c>
      <c r="DX164" s="2">
        <v>128</v>
      </c>
      <c r="DY164" s="12">
        <v>0</v>
      </c>
      <c r="DZ164" s="2" t="s">
        <v>89</v>
      </c>
      <c r="EA164" s="2" t="s">
        <v>89</v>
      </c>
      <c r="EB164" s="2" t="s">
        <v>89</v>
      </c>
      <c r="EC164" s="2" t="str">
        <f>HYPERLINK(".\links\gpi\AGAP010212-PA-gpi.txt","N")</f>
        <v>N</v>
      </c>
      <c r="ED164" s="2">
        <v>0.45</v>
      </c>
      <c r="EF164" s="2">
        <v>1</v>
      </c>
      <c r="EG164" s="2" t="s">
        <v>89</v>
      </c>
      <c r="EH164" s="2" t="s">
        <v>89</v>
      </c>
      <c r="EI164" s="2">
        <v>15.625</v>
      </c>
      <c r="EJ164" s="2">
        <v>2.34375</v>
      </c>
      <c r="EK164" s="2">
        <v>1.5625</v>
      </c>
      <c r="EL164" s="2">
        <v>3.90625</v>
      </c>
      <c r="EM164" s="2" t="s">
        <v>89</v>
      </c>
      <c r="EN164" s="2" t="s">
        <v>89</v>
      </c>
      <c r="EO164" s="2" t="s">
        <v>89</v>
      </c>
      <c r="EP164" s="2" t="s">
        <v>89</v>
      </c>
      <c r="EQ164" s="2" t="s">
        <v>89</v>
      </c>
      <c r="ER164" s="2" t="s">
        <v>89</v>
      </c>
      <c r="ES164" s="2" t="s">
        <v>89</v>
      </c>
      <c r="ET164" s="2" t="str">
        <f>HYPERLINK(".\links\REFSEQ-INVERTEBRATE\AGAP010212-PA-REFSEQ-INVERTEBRATE.txt","AGAP010212-PA")</f>
        <v>AGAP010212-PA</v>
      </c>
      <c r="EU164" s="2" t="str">
        <f>HYPERLINK("http://www.ncbi.nlm.nih.gov/sutils/blink.cgi?pid=XP_319396.4","8E-89")</f>
        <v>8E-89</v>
      </c>
      <c r="EV164" s="2" t="str">
        <f>HYPERLINK("http://www.ncbi.nlm.nih.gov/protein/XP_319396.4","XP_319396.4")</f>
        <v>XP_319396.4</v>
      </c>
      <c r="EW164" s="2">
        <v>100</v>
      </c>
      <c r="EX164" s="2">
        <v>100</v>
      </c>
      <c r="EY164" s="2">
        <v>100</v>
      </c>
      <c r="EZ164" s="2" t="s">
        <v>95</v>
      </c>
    </row>
    <row r="165" spans="1:156" x14ac:dyDescent="0.25">
      <c r="A165" s="2" t="s">
        <v>1092</v>
      </c>
      <c r="B165" s="2">
        <v>-0.91218114213016199</v>
      </c>
      <c r="C165" s="2">
        <f t="shared" si="2"/>
        <v>0.53138111375732633</v>
      </c>
      <c r="D165" s="2">
        <v>5.3088478532052497</v>
      </c>
      <c r="E165" s="2">
        <v>22.943814491082101</v>
      </c>
      <c r="F165" s="2">
        <v>1.66806086182694E-6</v>
      </c>
      <c r="G165" s="2">
        <v>5.7289819341520699E-4</v>
      </c>
      <c r="H165" s="2" t="s">
        <v>86</v>
      </c>
      <c r="I165" s="2" t="s">
        <v>87</v>
      </c>
      <c r="J165" s="2" t="str">
        <f>HYPERLINK("https://vectorbase.org/vectorbase/app/record/gene/AGAP004329","AGAP004329-RA")</f>
        <v>AGAP004329-RA</v>
      </c>
      <c r="K165" s="2" t="str">
        <f>HYPERLINK(".\links\pep\AGAP004329-PA-pep.txt","AGAP004329-PA")</f>
        <v>AGAP004329-PA</v>
      </c>
      <c r="L165" s="12" t="s">
        <v>88</v>
      </c>
      <c r="M165" s="2">
        <v>115</v>
      </c>
      <c r="N165" s="2">
        <v>0</v>
      </c>
      <c r="O165" s="2">
        <v>0</v>
      </c>
      <c r="P165" s="2" t="s">
        <v>89</v>
      </c>
      <c r="Q165" s="9" t="s">
        <v>1093</v>
      </c>
      <c r="R165" s="2" t="s">
        <v>1094</v>
      </c>
      <c r="S165" s="2" t="str">
        <f>HYPERLINK(".\links\KOG\AGAP004329-PA-KOG.txt","KOG")</f>
        <v>KOG</v>
      </c>
      <c r="T165" s="2">
        <v>1.9999999999999999E-60</v>
      </c>
      <c r="U165" s="2">
        <v>100</v>
      </c>
      <c r="V165" s="2" t="s">
        <v>1095</v>
      </c>
      <c r="W165" s="10" t="s">
        <v>1096</v>
      </c>
      <c r="X165" s="2" t="s">
        <v>1097</v>
      </c>
      <c r="Y165" s="2" t="str">
        <f>HYPERLINK(".\links\UNIPROTKB\AGAP004329-PA-UNIPROTKB.txt","UNIPROTKB")</f>
        <v>UNIPROTKB</v>
      </c>
      <c r="Z165" s="13">
        <v>6.9999999999999999E-35</v>
      </c>
      <c r="AA165" s="2">
        <v>87.2</v>
      </c>
      <c r="AB165" s="14" t="s">
        <v>89</v>
      </c>
      <c r="AC165" s="14" t="str">
        <f>HYPERLINK(".\links\Sigp\AGAP004329-PA-SigP.txt","ANC")</f>
        <v>ANC</v>
      </c>
      <c r="AD165" s="2" t="s">
        <v>89</v>
      </c>
      <c r="AE165" s="2">
        <v>13.169</v>
      </c>
      <c r="AF165" s="2">
        <v>9.4700000000000006</v>
      </c>
      <c r="AG165" s="2" t="s">
        <v>89</v>
      </c>
      <c r="AH165" s="2" t="s">
        <v>89</v>
      </c>
      <c r="AI165" s="2" t="s">
        <v>1098</v>
      </c>
      <c r="AJ165" s="14" t="str">
        <f>HYPERLINK(".\links\tmhmm\AGAP004329-PA-tmhmm.txt","2")</f>
        <v>2</v>
      </c>
      <c r="AK165" s="2">
        <v>38.299999999999997</v>
      </c>
      <c r="AL165" s="2">
        <v>43.5</v>
      </c>
      <c r="AM165" s="2">
        <v>18.3</v>
      </c>
      <c r="AN165" s="14" t="str">
        <f>HYPERLINK(".\links\gpi\AGAP004329-PA-gpi.txt","Y")</f>
        <v>Y</v>
      </c>
      <c r="AO165" s="15" t="str">
        <f>HYPERLINK(".\links\netoglyc\AGAP004329-PA-netoglyc.txt","3")</f>
        <v>3</v>
      </c>
      <c r="AP165" s="14">
        <v>20</v>
      </c>
      <c r="AQ165" s="2">
        <v>8.6999999999999993</v>
      </c>
      <c r="AR165" s="2" t="s">
        <v>274</v>
      </c>
      <c r="AS165" s="2" t="s">
        <v>94</v>
      </c>
      <c r="AT165" s="9" t="str">
        <f>HYPERLINK(".\links\NR-LIGHT\AGAP004329-PA-NR-LIGHT.txt","AGAP004329-PA")</f>
        <v>AGAP004329-PA</v>
      </c>
      <c r="AU165" s="2" t="str">
        <f>HYPERLINK("http://www.ncbi.nlm.nih.gov/sutils/blink.cgi?pid=XP_313607.4","2E-060")</f>
        <v>2E-060</v>
      </c>
      <c r="AV165" s="2" t="str">
        <f>HYPERLINK("http://www.ncbi.nlm.nih.gov/protein/XP_313607.4","XP_313607.4")</f>
        <v>XP_313607.4</v>
      </c>
      <c r="AW165" s="2">
        <v>100</v>
      </c>
      <c r="AX165" s="2">
        <v>100</v>
      </c>
      <c r="AY165" s="2">
        <v>100</v>
      </c>
      <c r="AZ165" s="2" t="s">
        <v>95</v>
      </c>
      <c r="BA165" s="9" t="str">
        <f>HYPERLINK(".\links\REFSEQ-INVERTEBRATE\AGAP004329-PA-REFSEQ-INVERTEBRATE.txt","AGAP004330-PA")</f>
        <v>AGAP004330-PA</v>
      </c>
      <c r="BB165" s="2" t="str">
        <f>HYPERLINK("http://www.ncbi.nlm.nih.gov/sutils/blink.cgi?pid=XP_562070.4","2E-060")</f>
        <v>2E-060</v>
      </c>
      <c r="BC165" s="2" t="str">
        <f>HYPERLINK("http://www.ncbi.nlm.nih.gov/protein/XP_562070.4","XP_562070.4")</f>
        <v>XP_562070.4</v>
      </c>
      <c r="BD165" s="2">
        <v>100</v>
      </c>
      <c r="BE165" s="2">
        <v>100</v>
      </c>
      <c r="BF165" s="2">
        <v>100</v>
      </c>
      <c r="BG165" s="2" t="s">
        <v>95</v>
      </c>
      <c r="BH165" s="9" t="str">
        <f>HYPERLINK(".\links\REFSEQ-PROTOZOA\AGAP004329-PA-REFSEQ-PROTOZOA.txt","hypothetical protein CAOG_07234")</f>
        <v>hypothetical protein CAOG_07234</v>
      </c>
      <c r="BI165" s="2" t="str">
        <f>HYPERLINK("http://www.ncbi.nlm.nih.gov/sutils/blink.cgi?pid=XP_004343093.1","5E-020")</f>
        <v>5E-020</v>
      </c>
      <c r="BJ165" s="2" t="str">
        <f>HYPERLINK("http://www.ncbi.nlm.nih.gov/protein/XP_004343093.1","XP_004343093.1")</f>
        <v>XP_004343093.1</v>
      </c>
      <c r="BK165" s="2">
        <v>47</v>
      </c>
      <c r="BL165" s="2">
        <v>64</v>
      </c>
      <c r="BM165" s="2">
        <v>86</v>
      </c>
      <c r="BN165" s="2" t="s">
        <v>150</v>
      </c>
      <c r="BO165" s="9" t="str">
        <f>HYPERLINK(".\links\SWISSP\AGAP004329-PA-SWISSP.txt","ER membrane protein complex subunit 6")</f>
        <v>ER membrane protein complex subunit 6</v>
      </c>
      <c r="BP165" s="2" t="str">
        <f>HYPERLINK("http://www.uniprot.org/uniprot/Q9CQW0","4E-031")</f>
        <v>4E-031</v>
      </c>
      <c r="BQ165" s="2" t="str">
        <f>HYPERLINK("http://www.uniprot.org/uniprot/Q9CQW0#expression","Q9CQW0")</f>
        <v>Q9CQW0</v>
      </c>
      <c r="BR165" s="2">
        <v>62</v>
      </c>
      <c r="BS165" s="2">
        <v>81</v>
      </c>
      <c r="BT165" s="2">
        <v>87</v>
      </c>
      <c r="BU165" s="2" t="s">
        <v>566</v>
      </c>
      <c r="BV165" s="9" t="str">
        <f>HYPERLINK(".\links\FLYBASE\AGAP004329-PA-FLYBASE.txt","FBpp0084172")</f>
        <v>FBpp0084172</v>
      </c>
      <c r="BW165" s="2" t="str">
        <f>HYPERLINK("http://flybase.org/reports/FBgn0039259#alliance_summary_container","6E-57")</f>
        <v>6E-57</v>
      </c>
      <c r="BX165" s="2">
        <v>113</v>
      </c>
      <c r="BY165" s="2">
        <v>71</v>
      </c>
      <c r="BZ165" s="2">
        <v>87</v>
      </c>
      <c r="CA165" s="2">
        <v>99</v>
      </c>
      <c r="CB165" s="9" t="str">
        <f>HYPERLINK(".\links\CDD\AGAP004329-PA-CDD.txt","Rab5ip, Rab5-interacting protein (Rab5ip)")</f>
        <v>Rab5ip, Rab5-interacting protein (Rab5ip)</v>
      </c>
      <c r="CC165" s="13">
        <v>1.0000000000000001E-15</v>
      </c>
      <c r="CD165" s="2">
        <v>100</v>
      </c>
      <c r="CE165" s="2" t="s">
        <v>1099</v>
      </c>
      <c r="CF165" s="2" t="s">
        <v>1100</v>
      </c>
      <c r="CG165" s="9" t="str">
        <f>HYPERLINK(".\links\KOG\AGAP004329-PA-KOG.txt","Uncharacterized conserved protein")</f>
        <v>Uncharacterized conserved protein</v>
      </c>
      <c r="CH165" s="13">
        <v>2.0000000000000001E-32</v>
      </c>
      <c r="CI165" s="2">
        <v>100</v>
      </c>
      <c r="CJ165" s="2" t="s">
        <v>100</v>
      </c>
      <c r="CK165" s="2" t="s">
        <v>101</v>
      </c>
      <c r="CL165" s="9" t="str">
        <f>HYPERLINK(".\links\PFAM\AGAP004329-PA-PFAM.txt","Rab5ip, Rab5-interacting protein (Rab5ip)")</f>
        <v>Rab5ip, Rab5-interacting protein (Rab5ip)</v>
      </c>
      <c r="CM165" s="13">
        <v>2E-16</v>
      </c>
      <c r="CN165" s="2">
        <v>100</v>
      </c>
      <c r="CO165" s="2" t="s">
        <v>1099</v>
      </c>
      <c r="CP165" s="9" t="str">
        <f>HYPERLINK(".\links\SMART\AGAP004329-PA-SMART.txt","ACTIN, Actin")</f>
        <v>ACTIN, Actin</v>
      </c>
      <c r="CQ165" s="13">
        <v>0.52</v>
      </c>
      <c r="CR165" s="2">
        <v>7.2</v>
      </c>
      <c r="CS165" s="2" t="s">
        <v>1101</v>
      </c>
      <c r="CT165" s="2" t="s">
        <v>1095</v>
      </c>
      <c r="CU165" s="2" t="s">
        <v>1095</v>
      </c>
      <c r="CV165" s="2" t="s">
        <v>1095</v>
      </c>
      <c r="CW165" s="2" t="str">
        <f>HYPERLINK(".\links\pep\AGAP004329-PA-pep.txt","AGAP004329-PA")</f>
        <v>AGAP004329-PA</v>
      </c>
      <c r="CX165" s="2" t="s">
        <v>88</v>
      </c>
      <c r="CY165" s="2">
        <v>115</v>
      </c>
      <c r="CZ165" s="2" t="s">
        <v>103</v>
      </c>
      <c r="DA165" s="2" t="s">
        <v>1102</v>
      </c>
      <c r="DB165" s="2">
        <v>0</v>
      </c>
      <c r="DC165" s="2">
        <v>0</v>
      </c>
      <c r="DD165" s="2" t="str">
        <f>HYPERLINK("https://www.kegg.jp/kegg-bin/search_pathway_text?map=aga&amp;keyword=AGAP004329&amp;mode=1&amp;viewImage=true","AGAP004329")</f>
        <v>AGAP004329</v>
      </c>
      <c r="DE165" s="2" t="s">
        <v>1092</v>
      </c>
      <c r="DF165" s="2" t="s">
        <v>86</v>
      </c>
      <c r="DG165" s="2" t="s">
        <v>87</v>
      </c>
      <c r="DH165" s="2" t="str">
        <f>HYPERLINK("https://vectorbase.org/vectorbase/app/record/gene/AGAP004329","AGAP004329-RA")</f>
        <v>AGAP004329-RA</v>
      </c>
      <c r="DI165" s="2" t="s">
        <v>140</v>
      </c>
      <c r="DJ165" s="2">
        <v>553</v>
      </c>
      <c r="DK165" s="2" t="str">
        <f>HYPERLINK(".\links\netoglyc\AGAP004329-PA-netoglyc.txt","3")</f>
        <v>3</v>
      </c>
      <c r="DL165" s="2">
        <v>20</v>
      </c>
      <c r="DM165" s="2">
        <v>8.6999999999999993</v>
      </c>
      <c r="DN165" s="2" t="s">
        <v>274</v>
      </c>
      <c r="DO165" s="2" t="s">
        <v>94</v>
      </c>
      <c r="DP165" s="2" t="s">
        <v>89</v>
      </c>
      <c r="DQ165" s="2" t="str">
        <f>HYPERLINK(".\links\Sigp\AGAP004329-PA-SigP.txt","ANC")</f>
        <v>ANC</v>
      </c>
      <c r="DR165" s="2" t="s">
        <v>89</v>
      </c>
      <c r="DS165" s="2">
        <v>13.169</v>
      </c>
      <c r="DT165" s="2">
        <v>9.4700000000000006</v>
      </c>
      <c r="DU165" s="2" t="s">
        <v>89</v>
      </c>
      <c r="DV165" s="2" t="s">
        <v>89</v>
      </c>
      <c r="DW165" s="2" t="s">
        <v>1098</v>
      </c>
      <c r="DX165" s="2">
        <v>115</v>
      </c>
      <c r="DY165" s="12" t="str">
        <f>HYPERLINK(".\links\tmhmm\AGAP004329-PA-tmhmm.txt","2")</f>
        <v>2</v>
      </c>
      <c r="DZ165" s="2">
        <v>38.299999999999997</v>
      </c>
      <c r="EA165" s="2">
        <v>43.5</v>
      </c>
      <c r="EB165" s="2">
        <v>18.3</v>
      </c>
      <c r="EC165" s="2" t="str">
        <f>HYPERLINK(".\links\gpi\AGAP004329-PA-gpi.txt","Y-NoSP")</f>
        <v>Y-NoSP</v>
      </c>
      <c r="ED165" s="2">
        <v>0.48</v>
      </c>
      <c r="EF165" s="2">
        <v>3</v>
      </c>
      <c r="EG165" s="2" t="s">
        <v>89</v>
      </c>
      <c r="EH165" s="2" t="s">
        <v>89</v>
      </c>
      <c r="EI165" s="2">
        <v>20</v>
      </c>
      <c r="EJ165" s="2">
        <v>0</v>
      </c>
      <c r="EK165" s="2">
        <v>8.6956521739130395</v>
      </c>
      <c r="EL165" s="2">
        <v>8.6956521739130395</v>
      </c>
      <c r="EM165" s="2" t="s">
        <v>89</v>
      </c>
      <c r="EN165" s="2" t="s">
        <v>89</v>
      </c>
      <c r="EO165" s="2" t="s">
        <v>89</v>
      </c>
      <c r="EP165" s="2" t="s">
        <v>89</v>
      </c>
      <c r="EQ165" s="2" t="s">
        <v>89</v>
      </c>
      <c r="ER165" s="2" t="s">
        <v>89</v>
      </c>
      <c r="ES165" s="2" t="s">
        <v>89</v>
      </c>
      <c r="ET165" s="2" t="str">
        <f>HYPERLINK(".\links\REFSEQ-INVERTEBRATE\AGAP004329-PA-REFSEQ-INVERTEBRATE.txt","AGAP004330-PA")</f>
        <v>AGAP004330-PA</v>
      </c>
      <c r="EU165" s="2" t="str">
        <f>HYPERLINK("http://www.ncbi.nlm.nih.gov/sutils/blink.cgi?pid=XP_562070.4","2E-78")</f>
        <v>2E-78</v>
      </c>
      <c r="EV165" s="2" t="str">
        <f>HYPERLINK("http://www.ncbi.nlm.nih.gov/protein/XP_562070.4","XP_562070.4")</f>
        <v>XP_562070.4</v>
      </c>
      <c r="EW165" s="2">
        <v>100</v>
      </c>
      <c r="EX165" s="2">
        <v>100</v>
      </c>
      <c r="EY165" s="2">
        <v>100</v>
      </c>
      <c r="EZ165" s="2" t="s">
        <v>95</v>
      </c>
    </row>
    <row r="166" spans="1:156" x14ac:dyDescent="0.25">
      <c r="A166" s="2" t="s">
        <v>1493</v>
      </c>
      <c r="B166" s="2">
        <v>-0.91692329359302105</v>
      </c>
      <c r="C166" s="2">
        <f t="shared" si="2"/>
        <v>0.52963732679017494</v>
      </c>
      <c r="D166" s="2">
        <v>5.0949691970625199</v>
      </c>
      <c r="E166" s="2">
        <v>10.623270368639201</v>
      </c>
      <c r="F166" s="2">
        <v>1.11673372080376E-3</v>
      </c>
      <c r="G166" s="2">
        <v>4.4036533057028197E-2</v>
      </c>
      <c r="H166" s="2" t="s">
        <v>86</v>
      </c>
      <c r="I166" s="2" t="s">
        <v>87</v>
      </c>
      <c r="J166" s="2" t="str">
        <f>HYPERLINK("https://vectorbase.org/vectorbase/app/record/gene/AGAP005422","AGAP005422-RA")</f>
        <v>AGAP005422-RA</v>
      </c>
      <c r="K166" s="2" t="str">
        <f>HYPERLINK(".\links\pep\AGAP005422-PA-pep.txt","AGAP005422-PA")</f>
        <v>AGAP005422-PA</v>
      </c>
      <c r="L166" s="12" t="s">
        <v>88</v>
      </c>
      <c r="M166" s="2">
        <v>156</v>
      </c>
      <c r="N166" s="2">
        <v>0</v>
      </c>
      <c r="O166" s="2">
        <v>2</v>
      </c>
      <c r="P166" s="2" t="s">
        <v>89</v>
      </c>
      <c r="Q166" s="9" t="s">
        <v>1494</v>
      </c>
      <c r="R166" s="2" t="s">
        <v>91</v>
      </c>
      <c r="S166" s="2" t="str">
        <f>HYPERLINK(".\links\REFSEQ-INVERTEBRATE\AGAP005422-PA-REFSEQ-INVERTEBRATE.txt","REFSEQ-INVERTEBRATE")</f>
        <v>REFSEQ-INVERTEBRATE</v>
      </c>
      <c r="T166" s="2">
        <v>3.0000000000000001E-84</v>
      </c>
      <c r="U166" s="2">
        <v>100</v>
      </c>
      <c r="V166" s="2" t="s">
        <v>1494</v>
      </c>
      <c r="W166" s="10" t="s">
        <v>1495</v>
      </c>
      <c r="X166" s="2" t="s">
        <v>145</v>
      </c>
      <c r="Y166" s="2" t="str">
        <f>HYPERLINK(".\links\UNIPROTKB\AGAP005422-PA-UNIPROTKB.txt","UNIPROTKB")</f>
        <v>UNIPROTKB</v>
      </c>
      <c r="Z166" s="13">
        <v>1.9999999999999999E-72</v>
      </c>
      <c r="AA166" s="2">
        <v>92</v>
      </c>
      <c r="AB166" s="14" t="s">
        <v>89</v>
      </c>
      <c r="AC166" s="14" t="str">
        <f>HYPERLINK(".\links\Sigp\AGAP005422-PA-SigP.txt","CYT")</f>
        <v>CYT</v>
      </c>
      <c r="AD166" s="2" t="s">
        <v>89</v>
      </c>
      <c r="AE166" s="2">
        <v>17.800999999999998</v>
      </c>
      <c r="AF166" s="2">
        <v>4.95</v>
      </c>
      <c r="AG166" s="2" t="s">
        <v>89</v>
      </c>
      <c r="AH166" s="2" t="s">
        <v>89</v>
      </c>
      <c r="AI166" s="2" t="s">
        <v>1496</v>
      </c>
      <c r="AJ166" s="14">
        <v>0</v>
      </c>
      <c r="AK166" s="2" t="s">
        <v>89</v>
      </c>
      <c r="AL166" s="2" t="s">
        <v>89</v>
      </c>
      <c r="AM166" s="2" t="s">
        <v>89</v>
      </c>
      <c r="AN166" s="14" t="str">
        <f>HYPERLINK(".\links\gpi\AGAP005422-PA-gpi.txt","N")</f>
        <v>N</v>
      </c>
      <c r="AO166" s="15" t="str">
        <f>HYPERLINK(".\links\netoglyc\AGAP005422-PA-netoglyc.txt","0")</f>
        <v>0</v>
      </c>
      <c r="AP166" s="14">
        <v>10.9</v>
      </c>
      <c r="AQ166" s="2">
        <v>1.9</v>
      </c>
      <c r="AR166" s="2">
        <v>6.4</v>
      </c>
      <c r="AS166" s="2" t="s">
        <v>94</v>
      </c>
      <c r="AT166" s="9" t="str">
        <f>HYPERLINK(".\links\NR-LIGHT\AGAP005422-PA-NR-LIGHT.txt","AGAP005422-PA")</f>
        <v>AGAP005422-PA</v>
      </c>
      <c r="AU166" s="2" t="str">
        <f>HYPERLINK("http://www.ncbi.nlm.nih.gov/sutils/blink.cgi?pid=XP_315430.3","3E-084")</f>
        <v>3E-084</v>
      </c>
      <c r="AV166" s="2" t="str">
        <f>HYPERLINK("http://www.ncbi.nlm.nih.gov/protein/XP_315430.3","XP_315430.3")</f>
        <v>XP_315430.3</v>
      </c>
      <c r="AW166" s="2">
        <v>100</v>
      </c>
      <c r="AX166" s="2">
        <v>100</v>
      </c>
      <c r="AY166" s="2">
        <v>100</v>
      </c>
      <c r="AZ166" s="2" t="s">
        <v>95</v>
      </c>
      <c r="BA166" s="9" t="str">
        <f>HYPERLINK(".\links\REFSEQ-INVERTEBRATE\AGAP005422-PA-REFSEQ-INVERTEBRATE.txt","AGAP005422-PA")</f>
        <v>AGAP005422-PA</v>
      </c>
      <c r="BB166" s="2" t="str">
        <f>HYPERLINK("http://www.ncbi.nlm.nih.gov/sutils/blink.cgi?pid=XP_315430.3","3E-084")</f>
        <v>3E-084</v>
      </c>
      <c r="BC166" s="2" t="str">
        <f>HYPERLINK("http://www.ncbi.nlm.nih.gov/protein/XP_315430.3","XP_315430.3")</f>
        <v>XP_315430.3</v>
      </c>
      <c r="BD166" s="2">
        <v>100</v>
      </c>
      <c r="BE166" s="2">
        <v>100</v>
      </c>
      <c r="BF166" s="2">
        <v>100</v>
      </c>
      <c r="BG166" s="2" t="s">
        <v>95</v>
      </c>
      <c r="BH166" s="9" t="str">
        <f>HYPERLINK(".\links\REFSEQ-PROTOZOA\AGAP005422-PA-REFSEQ-PROTOZOA.txt","hypothetical protein")</f>
        <v>hypothetical protein</v>
      </c>
      <c r="BI166" s="2" t="str">
        <f>HYPERLINK("http://www.ncbi.nlm.nih.gov/sutils/blink.cgi?pid=XP_001743590.1","9E-052")</f>
        <v>9E-052</v>
      </c>
      <c r="BJ166" s="2" t="str">
        <f>HYPERLINK("http://www.ncbi.nlm.nih.gov/protein/XP_001743590.1","XP_001743590.1")</f>
        <v>XP_001743590.1</v>
      </c>
      <c r="BK166" s="2">
        <v>65</v>
      </c>
      <c r="BL166" s="2">
        <v>80</v>
      </c>
      <c r="BM166" s="2">
        <v>94</v>
      </c>
      <c r="BN166" s="2" t="s">
        <v>389</v>
      </c>
      <c r="BO166" s="9" t="str">
        <f>HYPERLINK(".\links\SWISSP\AGAP005422-PA-SWISSP.txt","MIP18 family protein galla-2")</f>
        <v>MIP18 family protein galla-2</v>
      </c>
      <c r="BP166" s="2" t="str">
        <f>HYPERLINK("http://www.uniprot.org/uniprot/Q9VTC4","7E-063")</f>
        <v>7E-063</v>
      </c>
      <c r="BQ166" s="2" t="str">
        <f>HYPERLINK("http://www.uniprot.org/uniprot/Q9VTC4#expression","Q9VTC4")</f>
        <v>Q9VTC4</v>
      </c>
      <c r="BR166" s="2">
        <v>76</v>
      </c>
      <c r="BS166" s="2">
        <v>89</v>
      </c>
      <c r="BT166" s="2">
        <v>96</v>
      </c>
      <c r="BU166" s="2" t="s">
        <v>151</v>
      </c>
      <c r="BV166" s="9" t="str">
        <f>HYPERLINK(".\links\FLYBASE\AGAP005422-PA-FLYBASE.txt","FBpp0075999")</f>
        <v>FBpp0075999</v>
      </c>
      <c r="BW166" s="2" t="str">
        <f>HYPERLINK("http://flybase.org/reports/FBgn0036107#alliance_summary_container","8E-82")</f>
        <v>8E-82</v>
      </c>
      <c r="BX166" s="2">
        <v>156</v>
      </c>
      <c r="BY166" s="2">
        <v>75</v>
      </c>
      <c r="BZ166" s="2">
        <v>88</v>
      </c>
      <c r="CA166" s="2">
        <v>97</v>
      </c>
      <c r="CB166" s="9" t="str">
        <f>HYPERLINK(".\links\CDD\AGAP005422-PA-CDD.txt","COG5133, Uncharacterized conserved protein")</f>
        <v>COG5133, Uncharacterized conserved protein</v>
      </c>
      <c r="CC166" s="13">
        <v>4.9999999999999996E-35</v>
      </c>
      <c r="CD166" s="2">
        <v>98.9</v>
      </c>
      <c r="CE166" s="2" t="s">
        <v>1497</v>
      </c>
      <c r="CF166" s="2" t="s">
        <v>1498</v>
      </c>
      <c r="CG166" s="9" t="str">
        <f>HYPERLINK(".\links\KOG\AGAP005422-PA-KOG.txt","Uncharacterized conserved protein")</f>
        <v>Uncharacterized conserved protein</v>
      </c>
      <c r="CH166" s="13">
        <v>5E-56</v>
      </c>
      <c r="CI166" s="2">
        <v>99.4</v>
      </c>
      <c r="CJ166" s="2" t="s">
        <v>1499</v>
      </c>
      <c r="CK166" s="2" t="s">
        <v>101</v>
      </c>
      <c r="CL166" s="9" t="str">
        <f>HYPERLINK(".\links\PFAM\AGAP005422-PA-PFAM.txt","DUF59, Domain of unknown function DUF59")</f>
        <v>DUF59, Domain of unknown function DUF59</v>
      </c>
      <c r="CM166" s="13">
        <v>1.9999999999999999E-7</v>
      </c>
      <c r="CN166" s="2">
        <v>106.9</v>
      </c>
      <c r="CO166" s="2" t="s">
        <v>1500</v>
      </c>
      <c r="CP166" s="9" t="str">
        <f>HYPERLINK(".\links\SMART\AGAP005422-PA-SMART.txt","DSRM, Double-stranded RNA binding motif")</f>
        <v>DSRM, Double-stranded RNA binding motif</v>
      </c>
      <c r="CQ166" s="13">
        <v>0.3</v>
      </c>
      <c r="CR166" s="2">
        <v>55.2</v>
      </c>
      <c r="CS166" s="2" t="s">
        <v>1501</v>
      </c>
      <c r="CT166" s="2" t="s">
        <v>1494</v>
      </c>
      <c r="CU166" s="2" t="s">
        <v>1494</v>
      </c>
      <c r="CV166" s="2" t="s">
        <v>1494</v>
      </c>
      <c r="CW166" s="2" t="str">
        <f>HYPERLINK(".\links\pep\AGAP005422-PA-pep.txt","AGAP005422-PA")</f>
        <v>AGAP005422-PA</v>
      </c>
      <c r="CX166" s="2" t="s">
        <v>88</v>
      </c>
      <c r="CY166" s="2">
        <v>156</v>
      </c>
      <c r="CZ166" s="2" t="s">
        <v>103</v>
      </c>
      <c r="DA166" s="2" t="s">
        <v>1502</v>
      </c>
      <c r="DB166" s="2">
        <v>0</v>
      </c>
      <c r="DC166" s="2">
        <v>2</v>
      </c>
      <c r="DD166" s="2" t="str">
        <f>HYPERLINK("https://www.kegg.jp/kegg-bin/search_pathway_text?map=aga&amp;keyword=AGAP005422&amp;mode=1&amp;viewImage=true","AGAP005422")</f>
        <v>AGAP005422</v>
      </c>
      <c r="DE166" s="2" t="s">
        <v>1493</v>
      </c>
      <c r="DF166" s="2" t="s">
        <v>86</v>
      </c>
      <c r="DG166" s="2" t="s">
        <v>87</v>
      </c>
      <c r="DH166" s="2" t="str">
        <f>HYPERLINK("https://vectorbase.org/vectorbase/app/record/gene/AGAP005422","AGAP005422-RA")</f>
        <v>AGAP005422-RA</v>
      </c>
      <c r="DI166" s="2" t="s">
        <v>140</v>
      </c>
      <c r="DJ166" s="2">
        <v>596</v>
      </c>
      <c r="DK166" s="2" t="str">
        <f>HYPERLINK(".\links\netoglyc\AGAP005422-PA-netoglyc.txt","0")</f>
        <v>0</v>
      </c>
      <c r="DL166" s="2">
        <v>10.9</v>
      </c>
      <c r="DM166" s="2">
        <v>1.9</v>
      </c>
      <c r="DN166" s="2">
        <v>6.4</v>
      </c>
      <c r="DO166" s="2" t="s">
        <v>94</v>
      </c>
      <c r="DP166" s="2" t="s">
        <v>89</v>
      </c>
      <c r="DQ166" s="2" t="str">
        <f>HYPERLINK(".\links\Sigp\AGAP005422-PA-SigP.txt","CYT")</f>
        <v>CYT</v>
      </c>
      <c r="DR166" s="2" t="s">
        <v>89</v>
      </c>
      <c r="DS166" s="2">
        <v>17.800999999999998</v>
      </c>
      <c r="DT166" s="2">
        <v>4.95</v>
      </c>
      <c r="DU166" s="2" t="s">
        <v>89</v>
      </c>
      <c r="DV166" s="2" t="s">
        <v>89</v>
      </c>
      <c r="DW166" s="2" t="s">
        <v>1496</v>
      </c>
      <c r="DX166" s="2">
        <v>156</v>
      </c>
      <c r="DY166" s="12">
        <v>0</v>
      </c>
      <c r="DZ166" s="2" t="s">
        <v>89</v>
      </c>
      <c r="EA166" s="2" t="s">
        <v>89</v>
      </c>
      <c r="EB166" s="2" t="s">
        <v>89</v>
      </c>
      <c r="EC166" s="2" t="str">
        <f>HYPERLINK(".\links\gpi\AGAP005422-PA-gpi.txt","N")</f>
        <v>N</v>
      </c>
      <c r="ED166" s="2">
        <v>0.43</v>
      </c>
      <c r="EF166" s="2">
        <v>2</v>
      </c>
      <c r="EG166" s="2" t="s">
        <v>89</v>
      </c>
      <c r="EH166" s="2" t="s">
        <v>89</v>
      </c>
      <c r="EI166" s="2">
        <v>10.8974358974359</v>
      </c>
      <c r="EJ166" s="2">
        <v>6.4102564102564097</v>
      </c>
      <c r="EK166" s="2">
        <v>1.92307692307692</v>
      </c>
      <c r="EL166" s="2">
        <v>8.3333333333333304</v>
      </c>
      <c r="EM166" s="2" t="s">
        <v>89</v>
      </c>
      <c r="EN166" s="2" t="s">
        <v>89</v>
      </c>
      <c r="EO166" s="2">
        <v>1</v>
      </c>
      <c r="EP166" s="2" t="s">
        <v>89</v>
      </c>
      <c r="EQ166" s="2" t="s">
        <v>89</v>
      </c>
      <c r="ER166" s="2" t="s">
        <v>89</v>
      </c>
      <c r="ES166" s="2" t="s">
        <v>89</v>
      </c>
      <c r="ET166" s="2" t="str">
        <f>HYPERLINK(".\links\REFSEQ-INVERTEBRATE\AGAP005422-PA-REFSEQ-INVERTEBRATE.txt","AGAP005422-PA")</f>
        <v>AGAP005422-PA</v>
      </c>
      <c r="EU166" s="2" t="str">
        <f>HYPERLINK("http://www.ncbi.nlm.nih.gov/sutils/blink.cgi?pid=XP_315430.3","1E-109")</f>
        <v>1E-109</v>
      </c>
      <c r="EV166" s="2" t="str">
        <f>HYPERLINK("http://www.ncbi.nlm.nih.gov/protein/XP_315430.3","XP_315430.3")</f>
        <v>XP_315430.3</v>
      </c>
      <c r="EW166" s="2">
        <v>100</v>
      </c>
      <c r="EX166" s="2">
        <v>100</v>
      </c>
      <c r="EY166" s="2">
        <v>100</v>
      </c>
      <c r="EZ166" s="2" t="s">
        <v>95</v>
      </c>
    </row>
    <row r="167" spans="1:156" x14ac:dyDescent="0.25">
      <c r="A167" s="2" t="s">
        <v>2151</v>
      </c>
      <c r="B167" s="2">
        <v>-0.91789115876426897</v>
      </c>
      <c r="C167" s="2">
        <f t="shared" si="2"/>
        <v>0.52928212656054641</v>
      </c>
      <c r="D167" s="2">
        <v>6.7382649463471802</v>
      </c>
      <c r="E167" s="2">
        <v>11.0814157965034</v>
      </c>
      <c r="F167" s="2">
        <v>8.7197199487027105E-4</v>
      </c>
      <c r="G167" s="2">
        <v>3.7739373290177902E-2</v>
      </c>
      <c r="H167" s="2" t="s">
        <v>2152</v>
      </c>
      <c r="I167" s="2" t="s">
        <v>87</v>
      </c>
      <c r="J167" s="2" t="str">
        <f>HYPERLINK("https://vectorbase.org/vectorbase/app/record/gene/AGAP009072","AGAP009072-RA")</f>
        <v>AGAP009072-RA</v>
      </c>
      <c r="K167" s="2" t="str">
        <f>HYPERLINK(".\links\pep\AGAP009072-PA-pep.txt","AGAP009072-PA")</f>
        <v>AGAP009072-PA</v>
      </c>
      <c r="L167" s="12" t="s">
        <v>88</v>
      </c>
      <c r="M167" s="2">
        <v>125</v>
      </c>
      <c r="N167" s="2">
        <v>0</v>
      </c>
      <c r="O167" s="2">
        <v>1</v>
      </c>
      <c r="P167" s="2" t="s">
        <v>2153</v>
      </c>
      <c r="Q167" s="9" t="s">
        <v>2154</v>
      </c>
      <c r="R167" s="2" t="s">
        <v>145</v>
      </c>
      <c r="S167" s="2" t="str">
        <f>HYPERLINK(".\links\KOG\AGAP009072-PA-KOG.txt","KOG")</f>
        <v>KOG</v>
      </c>
      <c r="T167" s="2">
        <v>4E-35</v>
      </c>
      <c r="U167" s="2">
        <v>103.3</v>
      </c>
      <c r="V167" s="2" t="s">
        <v>2155</v>
      </c>
      <c r="W167" s="10" t="s">
        <v>2156</v>
      </c>
      <c r="X167" s="2" t="s">
        <v>145</v>
      </c>
      <c r="Y167" s="2" t="str">
        <f>HYPERLINK(".\links\KOG\AGAP009072-PA-KOG.txt","KOG")</f>
        <v>KOG</v>
      </c>
      <c r="Z167" s="13">
        <v>6.9999999999999999E-36</v>
      </c>
      <c r="AA167" s="2">
        <v>75</v>
      </c>
      <c r="AB167" s="14" t="s">
        <v>89</v>
      </c>
      <c r="AC167" s="14" t="str">
        <f>HYPERLINK(".\links\Sigp\AGAP009072-PA-SigP.txt","SIG")</f>
        <v>SIG</v>
      </c>
      <c r="AD167" s="2" t="s">
        <v>1656</v>
      </c>
      <c r="AE167" s="2">
        <v>13.945</v>
      </c>
      <c r="AF167" s="2">
        <v>8.65</v>
      </c>
      <c r="AG167" s="2">
        <v>10.907</v>
      </c>
      <c r="AH167" s="2">
        <v>6.54</v>
      </c>
      <c r="AI167" s="2" t="s">
        <v>93</v>
      </c>
      <c r="AJ167" s="14">
        <v>0</v>
      </c>
      <c r="AK167" s="2" t="s">
        <v>89</v>
      </c>
      <c r="AL167" s="2" t="s">
        <v>89</v>
      </c>
      <c r="AM167" s="2" t="s">
        <v>89</v>
      </c>
      <c r="AN167" s="14" t="str">
        <f>HYPERLINK(".\links\gpi\AGAP009072-PA-gpi.txt","N")</f>
        <v>N</v>
      </c>
      <c r="AO167" s="15" t="str">
        <f>HYPERLINK(".\links\netoglyc\AGAP009072-PA-netoglyc.txt","0")</f>
        <v>0</v>
      </c>
      <c r="AP167" s="14">
        <v>12</v>
      </c>
      <c r="AQ167" s="2">
        <v>5.6</v>
      </c>
      <c r="AR167" s="2">
        <v>4.8</v>
      </c>
      <c r="AS167" s="2" t="s">
        <v>94</v>
      </c>
      <c r="AT167" s="9" t="str">
        <f>HYPERLINK(".\links\NR-LIGHT\AGAP009072-PA-NR-LIGHT.txt","AGAP009072-PA")</f>
        <v>AGAP009072-PA</v>
      </c>
      <c r="AU167" s="2" t="str">
        <f>HYPERLINK("http://www.ncbi.nlm.nih.gov/sutils/blink.cgi?pid=XP_319821.3","8E-069")</f>
        <v>8E-069</v>
      </c>
      <c r="AV167" s="2" t="str">
        <f>HYPERLINK("http://www.ncbi.nlm.nih.gov/protein/XP_319821.3","XP_319821.3")</f>
        <v>XP_319821.3</v>
      </c>
      <c r="AW167" s="2">
        <v>100</v>
      </c>
      <c r="AX167" s="2">
        <v>100</v>
      </c>
      <c r="AY167" s="2">
        <v>100</v>
      </c>
      <c r="AZ167" s="2" t="s">
        <v>95</v>
      </c>
      <c r="BA167" s="9" t="str">
        <f>HYPERLINK(".\links\REFSEQ-INVERTEBRATE\AGAP009072-PA-REFSEQ-INVERTEBRATE.txt","AGAP009072-PA")</f>
        <v>AGAP009072-PA</v>
      </c>
      <c r="BB167" s="2" t="str">
        <f>HYPERLINK("http://www.ncbi.nlm.nih.gov/sutils/blink.cgi?pid=XP_319821.3","8E-069")</f>
        <v>8E-069</v>
      </c>
      <c r="BC167" s="2" t="str">
        <f>HYPERLINK("http://www.ncbi.nlm.nih.gov/protein/XP_319821.3","XP_319821.3")</f>
        <v>XP_319821.3</v>
      </c>
      <c r="BD167" s="2">
        <v>100</v>
      </c>
      <c r="BE167" s="2">
        <v>100</v>
      </c>
      <c r="BF167" s="2">
        <v>100</v>
      </c>
      <c r="BG167" s="2" t="s">
        <v>95</v>
      </c>
      <c r="BH167" s="9" t="str">
        <f>HYPERLINK(".\links\REFSEQ-PROTOZOA\AGAP009072-PA-REFSEQ-PROTOZOA.txt","hypothetical protein CAOG_03482")</f>
        <v>hypothetical protein CAOG_03482</v>
      </c>
      <c r="BI167" s="2" t="str">
        <f>HYPERLINK("http://www.ncbi.nlm.nih.gov/sutils/blink.cgi?pid=XP_004348387.1","4E-015")</f>
        <v>4E-015</v>
      </c>
      <c r="BJ167" s="2" t="str">
        <f>HYPERLINK("http://www.ncbi.nlm.nih.gov/protein/XP_004348387.1","XP_004348387.1")</f>
        <v>XP_004348387.1</v>
      </c>
      <c r="BK167" s="2">
        <v>38</v>
      </c>
      <c r="BL167" s="2">
        <v>48</v>
      </c>
      <c r="BM167" s="2">
        <v>80</v>
      </c>
      <c r="BN167" s="2" t="s">
        <v>150</v>
      </c>
      <c r="BO167" s="9" t="str">
        <f>HYPERLINK(".\links\SWISSP\AGAP009072-PA-SWISSP.txt","Probable NADH dehydrogenase [ubiquinone] iron-sulfur protein 6, mitochondrial")</f>
        <v>Probable NADH dehydrogenase [ubiquinone] iron-sulfur protein 6, mitochondrial</v>
      </c>
      <c r="BP167" s="2" t="str">
        <f>HYPERLINK("http://www.uniprot.org/uniprot/Q19724","2E-024")</f>
        <v>2E-024</v>
      </c>
      <c r="BQ167" s="2" t="str">
        <f>HYPERLINK("http://www.uniprot.org/uniprot/Q19724#expression","Q19724")</f>
        <v>Q19724</v>
      </c>
      <c r="BR167" s="2">
        <v>53</v>
      </c>
      <c r="BS167" s="2">
        <v>67</v>
      </c>
      <c r="BT167" s="2">
        <v>79</v>
      </c>
      <c r="BU167" s="2" t="s">
        <v>666</v>
      </c>
      <c r="BV167" s="9" t="str">
        <f>HYPERLINK(".\links\FLYBASE\AGAP009072-PA-FLYBASE.txt","FBpp0311490")</f>
        <v>FBpp0311490</v>
      </c>
      <c r="BW167" s="2" t="str">
        <f>HYPERLINK("http://flybase.org/reports/FBgn0031684#alliance_summary_container","1E-40")</f>
        <v>1E-40</v>
      </c>
      <c r="BX167" s="2">
        <v>126</v>
      </c>
      <c r="BY167" s="2">
        <v>52</v>
      </c>
      <c r="BZ167" s="2">
        <v>65</v>
      </c>
      <c r="CA167" s="2">
        <v>100</v>
      </c>
      <c r="CB167" s="9" t="str">
        <f>HYPERLINK(".\links\CDD\AGAP009072-PA-CDD.txt","zf-CHCC, Zinc-finger domain")</f>
        <v>zf-CHCC, Zinc-finger domain</v>
      </c>
      <c r="CC167" s="13">
        <v>2.9999999999999998E-14</v>
      </c>
      <c r="CD167" s="2">
        <v>102.7</v>
      </c>
      <c r="CE167" s="2" t="s">
        <v>2157</v>
      </c>
      <c r="CF167" s="2" t="s">
        <v>2158</v>
      </c>
      <c r="CG167" s="9" t="str">
        <f>HYPERLINK(".\links\KOG\AGAP009072-PA-KOG.txt","NDUFS6/13 kDa subunit")</f>
        <v>NDUFS6/13 kDa subunit</v>
      </c>
      <c r="CH167" s="13">
        <v>4E-35</v>
      </c>
      <c r="CI167" s="2">
        <v>103.3</v>
      </c>
      <c r="CJ167" s="2" t="s">
        <v>2159</v>
      </c>
      <c r="CK167" s="2" t="s">
        <v>155</v>
      </c>
      <c r="CL167" s="9" t="str">
        <f>HYPERLINK(".\links\PFAM\AGAP009072-PA-PFAM.txt","zf-CHCC, Zinc-finger domain")</f>
        <v>zf-CHCC, Zinc-finger domain</v>
      </c>
      <c r="CM167" s="13">
        <v>8.0000000000000006E-15</v>
      </c>
      <c r="CN167" s="2">
        <v>102.7</v>
      </c>
      <c r="CO167" s="2" t="s">
        <v>2157</v>
      </c>
      <c r="CP167" s="9" t="str">
        <f>HYPERLINK(".\links\SMART\AGAP009072-PA-SMART.txt","HAMP, HAMP (Histidine kinases, Adenylyl cyclases, Methyl binding proteins, Phosphatases) domain")</f>
        <v>HAMP, HAMP (Histidine kinases, Adenylyl cyclases, Methyl binding proteins, Phosphatases) domain</v>
      </c>
      <c r="CQ167" s="13">
        <v>1.9</v>
      </c>
      <c r="CR167" s="2">
        <v>67.900000000000006</v>
      </c>
      <c r="CS167" s="2" t="s">
        <v>2160</v>
      </c>
      <c r="CT167" s="2" t="s">
        <v>2155</v>
      </c>
      <c r="CU167" s="2" t="s">
        <v>2155</v>
      </c>
      <c r="CV167" s="2" t="s">
        <v>2155</v>
      </c>
      <c r="CW167" s="2" t="str">
        <f>HYPERLINK(".\links\pep\AGAP009072-PA-pep.txt","AGAP009072-PA")</f>
        <v>AGAP009072-PA</v>
      </c>
      <c r="CX167" s="2" t="s">
        <v>88</v>
      </c>
      <c r="CY167" s="2">
        <v>125</v>
      </c>
      <c r="CZ167" s="2" t="s">
        <v>103</v>
      </c>
      <c r="DA167" s="2" t="s">
        <v>2161</v>
      </c>
      <c r="DB167" s="2">
        <v>0</v>
      </c>
      <c r="DC167" s="2">
        <v>1</v>
      </c>
      <c r="DD167" s="2" t="str">
        <f>HYPERLINK("https://www.kegg.jp/kegg-bin/search_pathway_text?map=aga&amp;keyword=AGAP009072&amp;mode=1&amp;viewImage=true","AGAP009072")</f>
        <v>AGAP009072</v>
      </c>
      <c r="DE167" s="2" t="s">
        <v>2151</v>
      </c>
      <c r="DF167" s="2" t="s">
        <v>2152</v>
      </c>
      <c r="DG167" s="2" t="s">
        <v>87</v>
      </c>
      <c r="DH167" s="2" t="str">
        <f>HYPERLINK("https://vectorbase.org/vectorbase/app/record/gene/AGAP009072","AGAP009072-RA")</f>
        <v>AGAP009072-RA</v>
      </c>
      <c r="DI167" s="2" t="s">
        <v>140</v>
      </c>
      <c r="DJ167" s="2">
        <v>593</v>
      </c>
      <c r="DK167" s="2" t="str">
        <f>HYPERLINK(".\links\netoglyc\AGAP009072-PA-netoglyc.txt","0")</f>
        <v>0</v>
      </c>
      <c r="DL167" s="2">
        <v>12</v>
      </c>
      <c r="DM167" s="2">
        <v>5.6</v>
      </c>
      <c r="DN167" s="2">
        <v>4.8</v>
      </c>
      <c r="DO167" s="2" t="s">
        <v>94</v>
      </c>
      <c r="DP167" s="2" t="s">
        <v>89</v>
      </c>
      <c r="DQ167" s="2" t="str">
        <f>HYPERLINK(".\links\Sigp\AGAP009072-PA-SigP.txt","SIG")</f>
        <v>SIG</v>
      </c>
      <c r="DR167" s="2" t="s">
        <v>1656</v>
      </c>
      <c r="DS167" s="2">
        <v>13.945</v>
      </c>
      <c r="DT167" s="2">
        <v>8.65</v>
      </c>
      <c r="DU167" s="2">
        <v>10.907</v>
      </c>
      <c r="DV167" s="2">
        <v>6.54</v>
      </c>
      <c r="DW167" s="2" t="s">
        <v>93</v>
      </c>
      <c r="DX167" s="2">
        <v>125</v>
      </c>
      <c r="DY167" s="12">
        <v>0</v>
      </c>
      <c r="DZ167" s="2" t="s">
        <v>89</v>
      </c>
      <c r="EA167" s="2" t="s">
        <v>89</v>
      </c>
      <c r="EB167" s="2" t="s">
        <v>89</v>
      </c>
      <c r="EC167" s="2" t="str">
        <f>HYPERLINK(".\links\gpi\AGAP009072-PA-gpi.txt","Y-NoSP")</f>
        <v>Y-NoSP</v>
      </c>
      <c r="ED167" s="2">
        <v>0.27</v>
      </c>
      <c r="EF167" s="2">
        <v>5</v>
      </c>
      <c r="EG167" s="2" t="s">
        <v>89</v>
      </c>
      <c r="EH167" s="2" t="s">
        <v>89</v>
      </c>
      <c r="EI167" s="2">
        <v>12</v>
      </c>
      <c r="EJ167" s="2">
        <v>4.8</v>
      </c>
      <c r="EK167" s="2">
        <v>5.6</v>
      </c>
      <c r="EL167" s="2">
        <v>10.4</v>
      </c>
      <c r="EM167" s="2" t="s">
        <v>89</v>
      </c>
      <c r="EN167" s="2" t="s">
        <v>89</v>
      </c>
      <c r="EO167" s="2">
        <v>1</v>
      </c>
      <c r="EP167" s="2" t="s">
        <v>89</v>
      </c>
      <c r="EQ167" s="2" t="s">
        <v>89</v>
      </c>
      <c r="ER167" s="2" t="s">
        <v>89</v>
      </c>
      <c r="ES167" s="2" t="s">
        <v>89</v>
      </c>
      <c r="ET167" s="2" t="str">
        <f>HYPERLINK(".\links\REFSEQ-INVERTEBRATE\AGAP009072-PA-REFSEQ-INVERTEBRATE.txt","AGAP009072-PA")</f>
        <v>AGAP009072-PA</v>
      </c>
      <c r="EU167" s="2" t="str">
        <f>HYPERLINK("http://www.ncbi.nlm.nih.gov/sutils/blink.cgi?pid=XP_319821.3","4E-91")</f>
        <v>4E-91</v>
      </c>
      <c r="EV167" s="2" t="str">
        <f>HYPERLINK("http://www.ncbi.nlm.nih.gov/protein/XP_319821.3","XP_319821.3")</f>
        <v>XP_319821.3</v>
      </c>
      <c r="EW167" s="2">
        <v>100</v>
      </c>
      <c r="EX167" s="2">
        <v>100</v>
      </c>
      <c r="EY167" s="2">
        <v>100</v>
      </c>
      <c r="EZ167" s="2" t="s">
        <v>95</v>
      </c>
    </row>
    <row r="168" spans="1:156" x14ac:dyDescent="0.25">
      <c r="A168" s="2" t="s">
        <v>1307</v>
      </c>
      <c r="B168" s="2">
        <v>-0.92229234964737905</v>
      </c>
      <c r="C168" s="2">
        <f t="shared" si="2"/>
        <v>0.52766992024780701</v>
      </c>
      <c r="D168" s="2">
        <v>4.4742545497624597</v>
      </c>
      <c r="E168" s="2">
        <v>14.1939476830548</v>
      </c>
      <c r="F168" s="2">
        <v>1.6490005487642201E-4</v>
      </c>
      <c r="G168" s="2">
        <v>1.24517083990728E-2</v>
      </c>
      <c r="H168" s="2" t="s">
        <v>1308</v>
      </c>
      <c r="I168" s="2" t="s">
        <v>87</v>
      </c>
      <c r="J168" s="2" t="str">
        <f>HYPERLINK("https://vectorbase.org/vectorbase/app/record/gene/AGAP004759","AGAP004759-RA")</f>
        <v>AGAP004759-RA</v>
      </c>
      <c r="K168" s="2" t="str">
        <f>HYPERLINK(".\links\pep\AGAP004759-PA-pep.txt","AGAP004759-PA")</f>
        <v>AGAP004759-PA</v>
      </c>
      <c r="L168" s="12" t="s">
        <v>88</v>
      </c>
      <c r="M168" s="2">
        <v>228</v>
      </c>
      <c r="N168" s="2">
        <v>0</v>
      </c>
      <c r="O168" s="2">
        <v>0</v>
      </c>
      <c r="P168" s="2" t="s">
        <v>1309</v>
      </c>
      <c r="Q168" s="9" t="s">
        <v>1310</v>
      </c>
      <c r="R168" s="2" t="s">
        <v>562</v>
      </c>
      <c r="S168" s="2" t="str">
        <f>HYPERLINK(".\links\CDD\AGAP004759-PA-CDD.txt","CDD")</f>
        <v>CDD</v>
      </c>
      <c r="T168" s="2">
        <v>4.9999999999999997E-89</v>
      </c>
      <c r="U168" s="2">
        <v>100</v>
      </c>
      <c r="V168" s="2" t="s">
        <v>1311</v>
      </c>
      <c r="W168" s="10" t="s">
        <v>564</v>
      </c>
      <c r="X168" s="2" t="s">
        <v>562</v>
      </c>
      <c r="Y168" s="2" t="str">
        <f>HYPERLINK(".\links\COG\AGAP004759-PA-COG.txt","COG")</f>
        <v>COG</v>
      </c>
      <c r="Z168" s="13">
        <v>7.9999999999999998E-66</v>
      </c>
      <c r="AA168" s="2">
        <v>94.5</v>
      </c>
      <c r="AB168" s="14" t="s">
        <v>89</v>
      </c>
      <c r="AC168" s="14" t="str">
        <f>HYPERLINK(".\links\Sigp\AGAP004759-PA-SigP.txt","CYT")</f>
        <v>CYT</v>
      </c>
      <c r="AD168" s="2" t="s">
        <v>89</v>
      </c>
      <c r="AE168" s="2">
        <v>26.309000000000001</v>
      </c>
      <c r="AF168" s="2">
        <v>8.42</v>
      </c>
      <c r="AG168" s="2" t="s">
        <v>89</v>
      </c>
      <c r="AH168" s="2" t="s">
        <v>89</v>
      </c>
      <c r="AI168" s="2" t="s">
        <v>93</v>
      </c>
      <c r="AJ168" s="14">
        <v>0</v>
      </c>
      <c r="AK168" s="2" t="s">
        <v>89</v>
      </c>
      <c r="AL168" s="2" t="s">
        <v>89</v>
      </c>
      <c r="AM168" s="2" t="s">
        <v>89</v>
      </c>
      <c r="AN168" s="14" t="str">
        <f>HYPERLINK(".\links\gpi\AGAP004759-PA-gpi.txt","N")</f>
        <v>N</v>
      </c>
      <c r="AO168" s="15" t="str">
        <f>HYPERLINK(".\links\netoglyc\AGAP004759-PA-netoglyc.txt","0")</f>
        <v>0</v>
      </c>
      <c r="AP168" s="14">
        <v>14.5</v>
      </c>
      <c r="AQ168" s="2">
        <v>2.2000000000000002</v>
      </c>
      <c r="AR168" s="2">
        <v>3.5</v>
      </c>
      <c r="AS168" s="2" t="s">
        <v>94</v>
      </c>
      <c r="AT168" s="9" t="str">
        <f>HYPERLINK(".\links\NR-LIGHT\AGAP004759-PA-NR-LIGHT.txt","AGAP012804-PA")</f>
        <v>AGAP012804-PA</v>
      </c>
      <c r="AU168" s="2" t="str">
        <f>HYPERLINK("http://www.ncbi.nlm.nih.gov/sutils/blink.cgi?pid=XP_307582.4","1E-129")</f>
        <v>1E-129</v>
      </c>
      <c r="AV168" s="2" t="str">
        <f>HYPERLINK("http://www.ncbi.nlm.nih.gov/protein/XP_307582.4","XP_307582.4")</f>
        <v>XP_307582.4</v>
      </c>
      <c r="AW168" s="2">
        <v>100</v>
      </c>
      <c r="AX168" s="2">
        <v>100</v>
      </c>
      <c r="AY168" s="2">
        <v>100</v>
      </c>
      <c r="AZ168" s="2" t="s">
        <v>95</v>
      </c>
      <c r="BA168" s="9" t="str">
        <f>HYPERLINK(".\links\REFSEQ-INVERTEBRATE\AGAP004759-PA-REFSEQ-INVERTEBRATE.txt","AGAP012804-PA")</f>
        <v>AGAP012804-PA</v>
      </c>
      <c r="BB168" s="2" t="str">
        <f>HYPERLINK("http://www.ncbi.nlm.nih.gov/sutils/blink.cgi?pid=XP_307582.4","1E-129")</f>
        <v>1E-129</v>
      </c>
      <c r="BC168" s="2" t="str">
        <f>HYPERLINK("http://www.ncbi.nlm.nih.gov/protein/XP_307582.4","XP_307582.4")</f>
        <v>XP_307582.4</v>
      </c>
      <c r="BD168" s="2">
        <v>100</v>
      </c>
      <c r="BE168" s="2">
        <v>100</v>
      </c>
      <c r="BF168" s="2">
        <v>100</v>
      </c>
      <c r="BG168" s="2" t="s">
        <v>95</v>
      </c>
      <c r="BH168" s="9" t="str">
        <f>HYPERLINK(".\links\REFSEQ-PROTOZOA\AGAP004759-PA-REFSEQ-PROTOZOA.txt","hypothetical protein DICPUDRAFT_56059")</f>
        <v>hypothetical protein DICPUDRAFT_56059</v>
      </c>
      <c r="BI168" s="2" t="str">
        <f>HYPERLINK("http://www.ncbi.nlm.nih.gov/sutils/blink.cgi?pid=XP_003289380.1","3E-054")</f>
        <v>3E-054</v>
      </c>
      <c r="BJ168" s="2" t="str">
        <f>HYPERLINK("http://www.ncbi.nlm.nih.gov/protein/XP_003289380.1","XP_003289380.1")</f>
        <v>XP_003289380.1</v>
      </c>
      <c r="BK168" s="2">
        <v>51</v>
      </c>
      <c r="BL168" s="2">
        <v>74</v>
      </c>
      <c r="BM168" s="2">
        <v>99</v>
      </c>
      <c r="BN168" s="2" t="s">
        <v>1142</v>
      </c>
      <c r="BO168" s="9" t="str">
        <f>HYPERLINK(".\links\SWISSP\AGAP004759-PA-SWISSP.txt","Oligoribonuclease, mitochondrial")</f>
        <v>Oligoribonuclease, mitochondrial</v>
      </c>
      <c r="BP168" s="2" t="str">
        <f>HYPERLINK("http://www.uniprot.org/uniprot/Q9Y3B8","2E-059")</f>
        <v>2E-059</v>
      </c>
      <c r="BQ168" s="2" t="str">
        <f>HYPERLINK("http://www.uniprot.org/uniprot/Q9Y3B8#expression","Q9Y3B8")</f>
        <v>Q9Y3B8</v>
      </c>
      <c r="BR168" s="2">
        <v>55</v>
      </c>
      <c r="BS168" s="2">
        <v>76</v>
      </c>
      <c r="BT168" s="2">
        <v>79</v>
      </c>
      <c r="BU168" s="2" t="s">
        <v>115</v>
      </c>
      <c r="BV168" s="9" t="str">
        <f>HYPERLINK(".\links\FLYBASE\AGAP004759-PA-FLYBASE.txt","FBpp0083854")</f>
        <v>FBpp0083854</v>
      </c>
      <c r="BW168" s="2" t="str">
        <f>HYPERLINK("http://flybase.org/reports/FBgn0039115#alliance_summary_container","2E-71")</f>
        <v>2E-71</v>
      </c>
      <c r="BX168" s="2">
        <v>211</v>
      </c>
      <c r="BY168" s="2">
        <v>54</v>
      </c>
      <c r="BZ168" s="2">
        <v>73</v>
      </c>
      <c r="CA168" s="2">
        <v>82</v>
      </c>
      <c r="CB168" s="9" t="str">
        <f>HYPERLINK(".\links\CDD\AGAP004759-PA-CDD.txt","Orn, DEDDh 3'-5' exonuclease domain of oligoribonuclease and similar proteins")</f>
        <v>Orn, DEDDh 3'-5' exonuclease domain of oligoribonuclease and similar proteins</v>
      </c>
      <c r="CC168" s="13">
        <v>4.9999999999999997E-89</v>
      </c>
      <c r="CD168" s="2">
        <v>100</v>
      </c>
      <c r="CE168" s="2" t="s">
        <v>1312</v>
      </c>
      <c r="CF168" s="2" t="s">
        <v>1313</v>
      </c>
      <c r="CG168" s="9" t="str">
        <f>HYPERLINK(".\links\KOG\AGAP004759-PA-KOG.txt","Oligoribonuclease (3'-==&gt; 5' exoribonuclease)")</f>
        <v>Oligoribonuclease (3'-==&gt; 5' exoribonuclease)</v>
      </c>
      <c r="CH168" s="13">
        <v>6.9999999999999995E-73</v>
      </c>
      <c r="CI168" s="2">
        <v>84.1</v>
      </c>
      <c r="CJ168" s="2" t="s">
        <v>1314</v>
      </c>
      <c r="CK168" s="2" t="s">
        <v>692</v>
      </c>
      <c r="CL168" s="9" t="str">
        <f>HYPERLINK(".\links\PFAM\AGAP004759-PA-PFAM.txt","RNase_T, Exonuclease")</f>
        <v>RNase_T, Exonuclease</v>
      </c>
      <c r="CM168" s="13">
        <v>7.9999999999999994E-34</v>
      </c>
      <c r="CN168" s="2">
        <v>101.2</v>
      </c>
      <c r="CO168" s="2" t="s">
        <v>1315</v>
      </c>
      <c r="CP168" s="9" t="str">
        <f>HYPERLINK(".\links\SMART\AGAP004759-PA-SMART.txt","EXOIII, exonuclease domain in DNA-polymerase alpha and epsilon chain, ribonuclease T and other exonucleases")</f>
        <v>EXOIII, exonuclease domain in DNA-polymerase alpha and epsilon chain, ribonuclease T and other exonucleases</v>
      </c>
      <c r="CQ168" s="13">
        <v>8.9999999999999995E-23</v>
      </c>
      <c r="CR168" s="2">
        <v>111.2</v>
      </c>
      <c r="CS168" s="2" t="s">
        <v>1316</v>
      </c>
      <c r="CT168" s="2" t="s">
        <v>1311</v>
      </c>
      <c r="CU168" s="2" t="s">
        <v>1311</v>
      </c>
      <c r="CV168" s="2" t="s">
        <v>1311</v>
      </c>
      <c r="CW168" s="2" t="str">
        <f>HYPERLINK(".\links\pep\AGAP004759-PA-pep.txt","AGAP004759-PA")</f>
        <v>AGAP004759-PA</v>
      </c>
      <c r="CX168" s="2" t="s">
        <v>88</v>
      </c>
      <c r="CY168" s="2">
        <v>228</v>
      </c>
      <c r="CZ168" s="2" t="s">
        <v>103</v>
      </c>
      <c r="DA168" s="2" t="s">
        <v>1317</v>
      </c>
      <c r="DB168" s="2">
        <v>0</v>
      </c>
      <c r="DC168" s="2">
        <v>0</v>
      </c>
      <c r="DD168" s="2" t="str">
        <f>HYPERLINK("https://www.kegg.jp/kegg-bin/search_pathway_text?map=aga&amp;keyword=AGAP004759&amp;mode=1&amp;viewImage=true","AGAP004759")</f>
        <v>AGAP004759</v>
      </c>
      <c r="DE168" s="2" t="s">
        <v>1307</v>
      </c>
      <c r="DF168" s="2" t="s">
        <v>1308</v>
      </c>
      <c r="DG168" s="2" t="s">
        <v>87</v>
      </c>
      <c r="DH168" s="2" t="str">
        <f>HYPERLINK("https://vectorbase.org/vectorbase/app/record/gene/AGAP004759","AGAP004759-RA")</f>
        <v>AGAP004759-RA</v>
      </c>
      <c r="DI168" s="2" t="s">
        <v>140</v>
      </c>
      <c r="DJ168" s="2">
        <v>776</v>
      </c>
      <c r="DK168" s="2" t="str">
        <f>HYPERLINK(".\links\netoglyc\AGAP004759-PA-netoglyc.txt","0")</f>
        <v>0</v>
      </c>
      <c r="DL168" s="2">
        <v>14.5</v>
      </c>
      <c r="DM168" s="2">
        <v>2.2000000000000002</v>
      </c>
      <c r="DN168" s="2">
        <v>3.5</v>
      </c>
      <c r="DO168" s="2" t="s">
        <v>94</v>
      </c>
      <c r="DP168" s="2" t="s">
        <v>89</v>
      </c>
      <c r="DQ168" s="2" t="str">
        <f>HYPERLINK(".\links\Sigp\AGAP004759-PA-SigP.txt","CYT")</f>
        <v>CYT</v>
      </c>
      <c r="DR168" s="2" t="s">
        <v>89</v>
      </c>
      <c r="DS168" s="2">
        <v>26.309000000000001</v>
      </c>
      <c r="DT168" s="2">
        <v>8.42</v>
      </c>
      <c r="DU168" s="2" t="s">
        <v>89</v>
      </c>
      <c r="DV168" s="2" t="s">
        <v>89</v>
      </c>
      <c r="DW168" s="2" t="s">
        <v>93</v>
      </c>
      <c r="DX168" s="2">
        <v>228</v>
      </c>
      <c r="DY168" s="12">
        <v>0</v>
      </c>
      <c r="DZ168" s="2" t="s">
        <v>89</v>
      </c>
      <c r="EA168" s="2" t="s">
        <v>89</v>
      </c>
      <c r="EB168" s="2" t="s">
        <v>89</v>
      </c>
      <c r="EC168" s="2" t="str">
        <f>HYPERLINK(".\links\gpi\AGAP004759-PA-gpi.txt","N")</f>
        <v>N</v>
      </c>
      <c r="ED168" s="2">
        <v>0.36</v>
      </c>
      <c r="EF168" s="2">
        <v>6</v>
      </c>
      <c r="EG168" s="2" t="s">
        <v>89</v>
      </c>
      <c r="EH168" s="2" t="s">
        <v>89</v>
      </c>
      <c r="EI168" s="2">
        <v>14.473684210526301</v>
      </c>
      <c r="EJ168" s="2">
        <v>3.5087719298245599</v>
      </c>
      <c r="EK168" s="2">
        <v>2.1929824561403501</v>
      </c>
      <c r="EL168" s="2">
        <v>5.70175438596491</v>
      </c>
      <c r="EM168" s="2" t="s">
        <v>89</v>
      </c>
      <c r="EN168" s="2" t="s">
        <v>89</v>
      </c>
      <c r="EO168" s="2" t="s">
        <v>89</v>
      </c>
      <c r="EP168" s="2" t="s">
        <v>89</v>
      </c>
      <c r="EQ168" s="2" t="s">
        <v>89</v>
      </c>
      <c r="ER168" s="2" t="s">
        <v>89</v>
      </c>
      <c r="ES168" s="2" t="s">
        <v>89</v>
      </c>
      <c r="ET168" s="2" t="str">
        <f>HYPERLINK(".\links\REFSEQ-INVERTEBRATE\AGAP004759-PA-REFSEQ-INVERTEBRATE.txt","AGAP012804-PA")</f>
        <v>AGAP012804-PA</v>
      </c>
      <c r="EU168" s="2" t="str">
        <f>HYPERLINK("http://www.ncbi.nlm.nih.gov/sutils/blink.cgi?pid=XP_307582.4","1E-170")</f>
        <v>1E-170</v>
      </c>
      <c r="EV168" s="2" t="str">
        <f>HYPERLINK("http://www.ncbi.nlm.nih.gov/protein/XP_307582.4","XP_307582.4")</f>
        <v>XP_307582.4</v>
      </c>
      <c r="EW168" s="2">
        <v>100</v>
      </c>
      <c r="EX168" s="2">
        <v>100</v>
      </c>
      <c r="EY168" s="2">
        <v>100</v>
      </c>
      <c r="EZ168" s="2" t="s">
        <v>95</v>
      </c>
    </row>
    <row r="169" spans="1:156" x14ac:dyDescent="0.25">
      <c r="A169" s="2" t="s">
        <v>736</v>
      </c>
      <c r="B169" s="2">
        <v>-0.92489589558354701</v>
      </c>
      <c r="C169" s="2">
        <f t="shared" si="2"/>
        <v>0.5267185244477558</v>
      </c>
      <c r="D169" s="2">
        <v>5.0744520219191402</v>
      </c>
      <c r="E169" s="2">
        <v>21.650207744074098</v>
      </c>
      <c r="F169" s="2">
        <v>3.2717457387352501E-6</v>
      </c>
      <c r="G169" s="2">
        <v>8.4961650927595504E-4</v>
      </c>
      <c r="H169" s="2" t="s">
        <v>737</v>
      </c>
      <c r="I169" s="2" t="s">
        <v>87</v>
      </c>
      <c r="J169" s="2" t="str">
        <f>HYPERLINK("https://vectorbase.org/vectorbase/app/record/gene/AGAP003178","AGAP003178-RA")</f>
        <v>AGAP003178-RA</v>
      </c>
      <c r="K169" s="2" t="str">
        <f>HYPERLINK(".\links\pep\AGAP003178-PA-pep.txt","AGAP003178-PA")</f>
        <v>AGAP003178-PA</v>
      </c>
      <c r="L169" s="12" t="s">
        <v>88</v>
      </c>
      <c r="M169" s="2">
        <v>127</v>
      </c>
      <c r="N169" s="2">
        <v>0</v>
      </c>
      <c r="O169" s="2">
        <v>0</v>
      </c>
      <c r="P169" s="2" t="s">
        <v>738</v>
      </c>
      <c r="Q169" s="9" t="s">
        <v>739</v>
      </c>
      <c r="R169" s="2" t="s">
        <v>740</v>
      </c>
      <c r="S169" s="2" t="str">
        <f>HYPERLINK(".\links\REFSEQ-INVERTEBRATE\AGAP003178-PA-REFSEQ-INVERTEBRATE.txt","REFSEQ-INVERTEBRATE")</f>
        <v>REFSEQ-INVERTEBRATE</v>
      </c>
      <c r="T169" s="2">
        <v>9.9999999999999999E-56</v>
      </c>
      <c r="U169" s="2">
        <v>100.7</v>
      </c>
      <c r="V169" s="2" t="s">
        <v>741</v>
      </c>
      <c r="W169" s="10" t="s">
        <v>742</v>
      </c>
      <c r="X169" s="2" t="s">
        <v>740</v>
      </c>
      <c r="Y169" s="2" t="str">
        <f>HYPERLINK(".\links\ARTHORPODA\AGAP003178-PA-ARTHORPODA.txt","ARTHORPODA")</f>
        <v>ARTHORPODA</v>
      </c>
      <c r="Z169" s="13">
        <v>3.0000000000000001E-93</v>
      </c>
      <c r="AA169" s="2">
        <v>100</v>
      </c>
      <c r="AB169" s="14" t="s">
        <v>89</v>
      </c>
      <c r="AC169" s="14" t="str">
        <f>HYPERLINK(".\links\Sigp\AGAP003178-PA-SigP.txt","CYT")</f>
        <v>CYT</v>
      </c>
      <c r="AD169" s="2" t="s">
        <v>89</v>
      </c>
      <c r="AE169" s="2">
        <v>14.356</v>
      </c>
      <c r="AF169" s="2">
        <v>5.09</v>
      </c>
      <c r="AG169" s="2" t="s">
        <v>89</v>
      </c>
      <c r="AH169" s="2" t="s">
        <v>89</v>
      </c>
      <c r="AI169" s="2" t="s">
        <v>743</v>
      </c>
      <c r="AJ169" s="14">
        <v>0</v>
      </c>
      <c r="AK169" s="2" t="s">
        <v>89</v>
      </c>
      <c r="AL169" s="2" t="s">
        <v>89</v>
      </c>
      <c r="AM169" s="2" t="s">
        <v>89</v>
      </c>
      <c r="AN169" s="14" t="str">
        <f>HYPERLINK(".\links\gpi\AGAP003178-PA-gpi.txt","N")</f>
        <v>N</v>
      </c>
      <c r="AO169" s="15" t="str">
        <f>HYPERLINK(".\links\netoglyc\AGAP003178-PA-netoglyc.txt","0")</f>
        <v>0</v>
      </c>
      <c r="AP169" s="14">
        <v>7.9</v>
      </c>
      <c r="AQ169" s="2">
        <v>7.9</v>
      </c>
      <c r="AR169" s="2">
        <v>4.7</v>
      </c>
      <c r="AS169" s="2" t="s">
        <v>94</v>
      </c>
      <c r="AT169" s="9" t="str">
        <f>HYPERLINK(".\links\NR-LIGHT\AGAP003178-PA-NR-LIGHT.txt","AGAP003178-PA")</f>
        <v>AGAP003178-PA</v>
      </c>
      <c r="AU169" s="2" t="str">
        <f>HYPERLINK("http://www.ncbi.nlm.nih.gov/sutils/blink.cgi?pid=XP_312874.2","2E-072")</f>
        <v>2E-072</v>
      </c>
      <c r="AV169" s="2" t="str">
        <f>HYPERLINK("http://www.ncbi.nlm.nih.gov/protein/XP_312874.2","XP_312874.2")</f>
        <v>XP_312874.2</v>
      </c>
      <c r="AW169" s="2">
        <v>100</v>
      </c>
      <c r="AX169" s="2">
        <v>100</v>
      </c>
      <c r="AY169" s="2">
        <v>100</v>
      </c>
      <c r="AZ169" s="2" t="s">
        <v>95</v>
      </c>
      <c r="BA169" s="9" t="str">
        <f>HYPERLINK(".\links\REFSEQ-INVERTEBRATE\AGAP003178-PA-REFSEQ-INVERTEBRATE.txt","AGAP003178-PA")</f>
        <v>AGAP003178-PA</v>
      </c>
      <c r="BB169" s="2" t="str">
        <f>HYPERLINK("http://www.ncbi.nlm.nih.gov/sutils/blink.cgi?pid=XP_312874.2","1E-072")</f>
        <v>1E-072</v>
      </c>
      <c r="BC169" s="2" t="str">
        <f>HYPERLINK("http://www.ncbi.nlm.nih.gov/protein/XP_312874.2","XP_312874.2")</f>
        <v>XP_312874.2</v>
      </c>
      <c r="BD169" s="2">
        <v>100</v>
      </c>
      <c r="BE169" s="2">
        <v>100</v>
      </c>
      <c r="BF169" s="2">
        <v>100</v>
      </c>
      <c r="BG169" s="2" t="s">
        <v>95</v>
      </c>
      <c r="BH169" s="9" t="str">
        <f>HYPERLINK(".\links\REFSEQ-PROTOZOA\AGAP003178-PA-REFSEQ-PROTOZOA.txt","thioredoxin domain-containing protein 17")</f>
        <v>thioredoxin domain-containing protein 17</v>
      </c>
      <c r="BI169" s="2" t="str">
        <f>HYPERLINK("http://www.ncbi.nlm.nih.gov/sutils/blink.cgi?pid=XP_004991836.1","6E-016")</f>
        <v>6E-016</v>
      </c>
      <c r="BJ169" s="2" t="str">
        <f>HYPERLINK("http://www.ncbi.nlm.nih.gov/protein/XP_004991836.1","XP_004991836.1")</f>
        <v>XP_004991836.1</v>
      </c>
      <c r="BK169" s="2">
        <v>35</v>
      </c>
      <c r="BL169" s="2">
        <v>50</v>
      </c>
      <c r="BM169" s="2">
        <v>100</v>
      </c>
      <c r="BN169" s="2" t="s">
        <v>182</v>
      </c>
      <c r="BO169" s="9" t="str">
        <f>HYPERLINK(".\links\SWISSP\AGAP003178-PA-SWISSP.txt","Thioredoxin domain-containing protein 17")</f>
        <v>Thioredoxin domain-containing protein 17</v>
      </c>
      <c r="BP169" s="2" t="str">
        <f>HYPERLINK("http://www.uniprot.org/uniprot/Q6DBT3","4E-021")</f>
        <v>4E-021</v>
      </c>
      <c r="BQ169" s="2" t="str">
        <f>HYPERLINK("http://www.uniprot.org/uniprot/Q6DBT3#expression","Q6DBT3")</f>
        <v>Q6DBT3</v>
      </c>
      <c r="BR169" s="2">
        <v>44</v>
      </c>
      <c r="BS169" s="2">
        <v>60</v>
      </c>
      <c r="BT169" s="2">
        <v>98</v>
      </c>
      <c r="BU169" s="2" t="s">
        <v>744</v>
      </c>
      <c r="BV169" s="9" t="str">
        <f>HYPERLINK(".\links\FLYBASE\AGAP003178-PA-FLYBASE.txt","FBpp0303003")</f>
        <v>FBpp0303003</v>
      </c>
      <c r="BW169" s="2" t="str">
        <f>HYPERLINK("http://flybase.org/reports/FBgn0000318#alliance_summary_container","2E-45")</f>
        <v>2E-45</v>
      </c>
      <c r="BX169" s="2">
        <v>126</v>
      </c>
      <c r="BY169" s="2">
        <v>51</v>
      </c>
      <c r="BZ169" s="2">
        <v>69</v>
      </c>
      <c r="CA169" s="2">
        <v>101</v>
      </c>
      <c r="CB169" s="9" t="str">
        <f>HYPERLINK(".\links\CDD\AGAP003178-PA-CDD.txt","DUF953, Eukaryotic protein of unknown function (DUF953)")</f>
        <v>DUF953, Eukaryotic protein of unknown function (DUF953)</v>
      </c>
      <c r="CC169" s="13">
        <v>1.0000000000000001E-37</v>
      </c>
      <c r="CD169" s="2">
        <v>100</v>
      </c>
      <c r="CE169" s="2" t="s">
        <v>745</v>
      </c>
      <c r="CF169" s="2" t="s">
        <v>746</v>
      </c>
      <c r="CG169" s="9" t="str">
        <f>HYPERLINK(".\links\KOG\AGAP003178-PA-KOG.txt","Uncharacterized conserved protein")</f>
        <v>Uncharacterized conserved protein</v>
      </c>
      <c r="CH169" s="13">
        <v>6E-34</v>
      </c>
      <c r="CI169" s="2">
        <v>102.3</v>
      </c>
      <c r="CJ169" s="2" t="s">
        <v>747</v>
      </c>
      <c r="CK169" s="2" t="s">
        <v>101</v>
      </c>
      <c r="CL169" s="9" t="str">
        <f>HYPERLINK(".\links\PFAM\AGAP003178-PA-PFAM.txt","DUF953, Eukaryotic protein of unknown function (DUF953)")</f>
        <v>DUF953, Eukaryotic protein of unknown function (DUF953)</v>
      </c>
      <c r="CM169" s="13">
        <v>3.9999999999999998E-38</v>
      </c>
      <c r="CN169" s="2">
        <v>100</v>
      </c>
      <c r="CO169" s="2" t="s">
        <v>745</v>
      </c>
      <c r="CP169" s="9" t="str">
        <f>HYPERLINK(".\links\SMART\AGAP003178-PA-SMART.txt","Agro_virD5, Agrobacterium VirD5 protein")</f>
        <v>Agro_virD5, Agrobacterium VirD5 protein</v>
      </c>
      <c r="CQ169" s="13">
        <v>3.5999999999999997E-2</v>
      </c>
      <c r="CR169" s="2">
        <v>2.7</v>
      </c>
      <c r="CS169" s="2" t="s">
        <v>748</v>
      </c>
      <c r="CT169" s="2" t="s">
        <v>741</v>
      </c>
      <c r="CU169" s="2" t="s">
        <v>741</v>
      </c>
      <c r="CV169" s="2" t="s">
        <v>741</v>
      </c>
      <c r="CW169" s="2" t="str">
        <f>HYPERLINK(".\links\pep\AGAP003178-PA-pep.txt","AGAP003178-PA")</f>
        <v>AGAP003178-PA</v>
      </c>
      <c r="CX169" s="2" t="s">
        <v>88</v>
      </c>
      <c r="CY169" s="2">
        <v>127</v>
      </c>
      <c r="CZ169" s="2" t="s">
        <v>103</v>
      </c>
      <c r="DA169" s="2" t="s">
        <v>749</v>
      </c>
      <c r="DB169" s="2">
        <v>0</v>
      </c>
      <c r="DC169" s="2">
        <v>0</v>
      </c>
      <c r="DD169" s="2" t="str">
        <f>HYPERLINK("https://www.kegg.jp/kegg-bin/search_pathway_text?map=aga&amp;keyword=AGAP003178&amp;mode=1&amp;viewImage=true","AGAP003178")</f>
        <v>AGAP003178</v>
      </c>
      <c r="DE169" s="2" t="s">
        <v>736</v>
      </c>
      <c r="DF169" s="2" t="s">
        <v>737</v>
      </c>
      <c r="DG169" s="2" t="s">
        <v>87</v>
      </c>
      <c r="DH169" s="2" t="str">
        <f>HYPERLINK("https://vectorbase.org/vectorbase/app/record/gene/AGAP003178","AGAP003178-RA")</f>
        <v>AGAP003178-RA</v>
      </c>
      <c r="DI169" s="2" t="s">
        <v>105</v>
      </c>
      <c r="DJ169" s="2">
        <v>675</v>
      </c>
      <c r="DK169" s="2" t="str">
        <f>HYPERLINK(".\links\netoglyc\AGAP003178-PA-netoglyc.txt","0")</f>
        <v>0</v>
      </c>
      <c r="DL169" s="2">
        <v>7.9</v>
      </c>
      <c r="DM169" s="2">
        <v>7.9</v>
      </c>
      <c r="DN169" s="2">
        <v>4.7</v>
      </c>
      <c r="DO169" s="2" t="s">
        <v>94</v>
      </c>
      <c r="DP169" s="2" t="s">
        <v>89</v>
      </c>
      <c r="DQ169" s="2" t="str">
        <f>HYPERLINK(".\links\Sigp\AGAP003178-PA-SigP.txt","CYT")</f>
        <v>CYT</v>
      </c>
      <c r="DR169" s="2" t="s">
        <v>89</v>
      </c>
      <c r="DS169" s="2">
        <v>14.356</v>
      </c>
      <c r="DT169" s="2">
        <v>5.09</v>
      </c>
      <c r="DU169" s="2" t="s">
        <v>89</v>
      </c>
      <c r="DV169" s="2" t="s">
        <v>89</v>
      </c>
      <c r="DW169" s="2" t="s">
        <v>743</v>
      </c>
      <c r="DX169" s="2">
        <v>127</v>
      </c>
      <c r="DY169" s="12">
        <v>0</v>
      </c>
      <c r="DZ169" s="2" t="s">
        <v>89</v>
      </c>
      <c r="EA169" s="2" t="s">
        <v>89</v>
      </c>
      <c r="EB169" s="2" t="s">
        <v>89</v>
      </c>
      <c r="EC169" s="2" t="str">
        <f>HYPERLINK(".\links\gpi\AGAP003178-PA-gpi.txt","N")</f>
        <v>N</v>
      </c>
      <c r="ED169" s="2">
        <v>0.32</v>
      </c>
      <c r="EF169" s="2">
        <v>3</v>
      </c>
      <c r="EG169" s="2" t="s">
        <v>89</v>
      </c>
      <c r="EH169" s="2" t="s">
        <v>89</v>
      </c>
      <c r="EI169" s="2">
        <v>7.8740157480314998</v>
      </c>
      <c r="EJ169" s="2">
        <v>4.7244094488188999</v>
      </c>
      <c r="EK169" s="2">
        <v>7.8740157480314998</v>
      </c>
      <c r="EL169" s="2">
        <v>12.5984251968504</v>
      </c>
      <c r="EM169" s="2" t="s">
        <v>89</v>
      </c>
      <c r="EN169" s="2" t="s">
        <v>89</v>
      </c>
      <c r="EO169" s="2" t="s">
        <v>89</v>
      </c>
      <c r="EP169" s="2" t="s">
        <v>89</v>
      </c>
      <c r="EQ169" s="2" t="s">
        <v>89</v>
      </c>
      <c r="ER169" s="2" t="s">
        <v>89</v>
      </c>
      <c r="ES169" s="2" t="s">
        <v>89</v>
      </c>
      <c r="ET169" s="2" t="str">
        <f>HYPERLINK(".\links\REFSEQ-INVERTEBRATE\AGAP003178-PA-REFSEQ-INVERTEBRATE.txt","AGAP003178-PA")</f>
        <v>AGAP003178-PA</v>
      </c>
      <c r="EU169" s="2" t="str">
        <f>HYPERLINK("http://www.ncbi.nlm.nih.gov/sutils/blink.cgi?pid=XP_312874.2","5E-93")</f>
        <v>5E-93</v>
      </c>
      <c r="EV169" s="2" t="str">
        <f>HYPERLINK("http://www.ncbi.nlm.nih.gov/protein/XP_312874.2","XP_312874.2")</f>
        <v>XP_312874.2</v>
      </c>
      <c r="EW169" s="2">
        <v>100</v>
      </c>
      <c r="EX169" s="2">
        <v>100</v>
      </c>
      <c r="EY169" s="2">
        <v>100</v>
      </c>
      <c r="EZ169" s="2" t="s">
        <v>95</v>
      </c>
    </row>
    <row r="170" spans="1:156" x14ac:dyDescent="0.25">
      <c r="A170" s="2" t="s">
        <v>2741</v>
      </c>
      <c r="B170" s="2">
        <v>-0.935760793639414</v>
      </c>
      <c r="C170" s="2">
        <f t="shared" si="2"/>
        <v>0.52276672036535099</v>
      </c>
      <c r="D170" s="2">
        <v>7.6389541245257302</v>
      </c>
      <c r="E170" s="2">
        <v>15.943730319799901</v>
      </c>
      <c r="F170" s="2">
        <v>6.5253553374903999E-5</v>
      </c>
      <c r="G170" s="2">
        <v>6.4930334839495597E-3</v>
      </c>
      <c r="H170" s="2" t="s">
        <v>2742</v>
      </c>
      <c r="I170" s="2" t="s">
        <v>87</v>
      </c>
      <c r="J170" s="2" t="str">
        <f>HYPERLINK("https://vectorbase.org/vectorbase/app/record/gene/AGAP011829","AGAP011829-RA")</f>
        <v>AGAP011829-RA</v>
      </c>
      <c r="K170" s="2" t="str">
        <f>HYPERLINK(".\links\pep\AGAP011829-PA-pep.txt","AGAP011829-PA")</f>
        <v>AGAP011829-PA</v>
      </c>
      <c r="L170" s="12" t="s">
        <v>2743</v>
      </c>
      <c r="M170" s="2">
        <v>108</v>
      </c>
      <c r="N170" s="2">
        <v>0</v>
      </c>
      <c r="O170" s="2">
        <v>0</v>
      </c>
      <c r="P170" s="2" t="s">
        <v>2744</v>
      </c>
      <c r="Q170" s="9" t="s">
        <v>2745</v>
      </c>
      <c r="R170" s="2" t="s">
        <v>91</v>
      </c>
      <c r="S170" s="2" t="str">
        <f>HYPERLINK(".\links\REFSEQ-INVERTEBRATE\AGAP011829-PA-REFSEQ-INVERTEBRATE.txt","REFSEQ-INVERTEBRATE")</f>
        <v>REFSEQ-INVERTEBRATE</v>
      </c>
      <c r="T170" s="2">
        <v>1.9999999999999999E-57</v>
      </c>
      <c r="U170" s="2">
        <v>100</v>
      </c>
      <c r="V170" s="2" t="s">
        <v>2746</v>
      </c>
      <c r="W170" s="10" t="s">
        <v>2747</v>
      </c>
      <c r="X170" s="2" t="s">
        <v>91</v>
      </c>
      <c r="Y170" s="2" t="str">
        <f>HYPERLINK(".\links\ARTHORPODA\AGAP011829-PA-ARTHORPODA.txt","ARTHORPODA")</f>
        <v>ARTHORPODA</v>
      </c>
      <c r="Z170" s="13">
        <v>4.9999999999999996E-77</v>
      </c>
      <c r="AA170" s="2">
        <v>100</v>
      </c>
      <c r="AB170" s="14" t="s">
        <v>89</v>
      </c>
      <c r="AC170" s="14" t="str">
        <f>HYPERLINK(".\links\Sigp\AGAP011829-PA-SigP.txt","CYT")</f>
        <v>CYT</v>
      </c>
      <c r="AD170" s="2" t="s">
        <v>89</v>
      </c>
      <c r="AE170" s="2">
        <v>12.862</v>
      </c>
      <c r="AF170" s="2">
        <v>10.42</v>
      </c>
      <c r="AG170" s="2" t="s">
        <v>89</v>
      </c>
      <c r="AH170" s="2" t="s">
        <v>89</v>
      </c>
      <c r="AI170" s="2" t="s">
        <v>2748</v>
      </c>
      <c r="AJ170" s="14">
        <v>0</v>
      </c>
      <c r="AK170" s="2" t="s">
        <v>89</v>
      </c>
      <c r="AL170" s="2" t="s">
        <v>89</v>
      </c>
      <c r="AM170" s="2" t="s">
        <v>89</v>
      </c>
      <c r="AN170" s="14" t="str">
        <f>HYPERLINK(".\links\gpi\AGAP011829-PA-gpi.txt","N")</f>
        <v>N</v>
      </c>
      <c r="AO170" s="15" t="str">
        <f>HYPERLINK(".\links\netoglyc\AGAP011829-PA-netoglyc.txt","0")</f>
        <v>0</v>
      </c>
      <c r="AP170" s="14">
        <v>8.3000000000000007</v>
      </c>
      <c r="AQ170" s="2">
        <v>6.5</v>
      </c>
      <c r="AR170" s="2">
        <v>2.8</v>
      </c>
      <c r="AS170" s="2" t="s">
        <v>94</v>
      </c>
      <c r="AT170" s="9" t="str">
        <f>HYPERLINK(".\links\NR-LIGHT\AGAP011829-PA-NR-LIGHT.txt","AGAP011829-PA, partial")</f>
        <v>AGAP011829-PA, partial</v>
      </c>
      <c r="AU170" s="2" t="str">
        <f>HYPERLINK("http://www.ncbi.nlm.nih.gov/sutils/blink.cgi?pid=XP_320686.4","2E-057")</f>
        <v>2E-057</v>
      </c>
      <c r="AV170" s="2" t="str">
        <f>HYPERLINK("http://www.ncbi.nlm.nih.gov/protein/XP_320686.4","XP_320686.4")</f>
        <v>XP_320686.4</v>
      </c>
      <c r="AW170" s="2">
        <v>100</v>
      </c>
      <c r="AX170" s="2">
        <v>100</v>
      </c>
      <c r="AY170" s="2">
        <v>100</v>
      </c>
      <c r="AZ170" s="2" t="s">
        <v>95</v>
      </c>
      <c r="BA170" s="9" t="str">
        <f>HYPERLINK(".\links\REFSEQ-INVERTEBRATE\AGAP011829-PA-REFSEQ-INVERTEBRATE.txt","AGAP011829-PA, partial")</f>
        <v>AGAP011829-PA, partial</v>
      </c>
      <c r="BB170" s="2" t="str">
        <f>HYPERLINK("http://www.ncbi.nlm.nih.gov/sutils/blink.cgi?pid=XP_320686.4","2E-057")</f>
        <v>2E-057</v>
      </c>
      <c r="BC170" s="2" t="str">
        <f>HYPERLINK("http://www.ncbi.nlm.nih.gov/protein/XP_320686.4","XP_320686.4")</f>
        <v>XP_320686.4</v>
      </c>
      <c r="BD170" s="2">
        <v>100</v>
      </c>
      <c r="BE170" s="2">
        <v>100</v>
      </c>
      <c r="BF170" s="2">
        <v>100</v>
      </c>
      <c r="BG170" s="2" t="s">
        <v>95</v>
      </c>
      <c r="BH170" s="9" t="str">
        <f>HYPERLINK(".\links\REFSEQ-PROTOZOA\AGAP011829-PA-REFSEQ-PROTOZOA.txt","hypothetical protein, variant 2")</f>
        <v>hypothetical protein, variant 2</v>
      </c>
      <c r="BI170" s="2" t="str">
        <f>HYPERLINK("http://www.ncbi.nlm.nih.gov/sutils/blink.cgi?pid=XP_009820789.1","4.9")</f>
        <v>4.9</v>
      </c>
      <c r="BJ170" s="2" t="str">
        <f>HYPERLINK("http://www.ncbi.nlm.nih.gov/protein/XP_009820789.1","XP_009820789.1")</f>
        <v>XP_009820789.1</v>
      </c>
      <c r="BK170" s="2">
        <v>48</v>
      </c>
      <c r="BL170" s="2">
        <v>59</v>
      </c>
      <c r="BM170" s="2">
        <v>2</v>
      </c>
      <c r="BN170" s="2" t="s">
        <v>320</v>
      </c>
      <c r="BO170" s="9" t="str">
        <f>HYPERLINK(".\links\SWISSP\AGAP011829-PA-SWISSP.txt","NADH dehydrogenase [ubiquinone] 1 beta subcomplex subunit 4")</f>
        <v>NADH dehydrogenase [ubiquinone] 1 beta subcomplex subunit 4</v>
      </c>
      <c r="BP170" s="2" t="str">
        <f>HYPERLINK("http://www.uniprot.org/uniprot/Q0MQD5","2E-004")</f>
        <v>2E-004</v>
      </c>
      <c r="BQ170" s="2" t="str">
        <f>HYPERLINK("http://www.uniprot.org/uniprot/Q0MQD5#expression","Q0MQD5")</f>
        <v>Q0MQD5</v>
      </c>
      <c r="BR170" s="2">
        <v>29</v>
      </c>
      <c r="BS170" s="2">
        <v>51</v>
      </c>
      <c r="BT170" s="2">
        <v>82</v>
      </c>
      <c r="BU170" s="2" t="s">
        <v>2749</v>
      </c>
      <c r="BV170" s="9" t="str">
        <f>HYPERLINK(".\links\FLYBASE\AGAP011829-PA-FLYBASE.txt","FBpp0086570")</f>
        <v>FBpp0086570</v>
      </c>
      <c r="BW170" s="2" t="str">
        <f>HYPERLINK("http://flybase.org/reports/FBgn0033961#alliance_summary_container","1E-42")</f>
        <v>1E-42</v>
      </c>
      <c r="BX170" s="2">
        <v>113</v>
      </c>
      <c r="BY170" s="2">
        <v>65</v>
      </c>
      <c r="BZ170" s="2">
        <v>80</v>
      </c>
      <c r="CA170" s="2">
        <v>82</v>
      </c>
      <c r="CB170" s="9" t="str">
        <f>HYPERLINK(".\links\CDD\AGAP011829-PA-CDD.txt","NDUF_B4, NADH-ubiquinone oxidoreductase B15 subunit (NDUFB4)")</f>
        <v>NDUF_B4, NADH-ubiquinone oxidoreductase B15 subunit (NDUFB4)</v>
      </c>
      <c r="CC170" s="13">
        <v>2E-8</v>
      </c>
      <c r="CD170" s="2">
        <v>86.3</v>
      </c>
      <c r="CE170" s="2" t="s">
        <v>2750</v>
      </c>
      <c r="CF170" s="2" t="s">
        <v>2751</v>
      </c>
      <c r="CG170" s="9" t="str">
        <f>HYPERLINK(".\links\KOG\AGAP011829-PA-KOG.txt","Dehydrogenase kinase")</f>
        <v>Dehydrogenase kinase</v>
      </c>
      <c r="CH170" s="13">
        <v>7.9000000000000001E-2</v>
      </c>
      <c r="CI170" s="2">
        <v>13</v>
      </c>
      <c r="CJ170" s="2" t="s">
        <v>2752</v>
      </c>
      <c r="CK170" s="2" t="s">
        <v>410</v>
      </c>
      <c r="CL170" s="9" t="str">
        <f>HYPERLINK(".\links\PFAM\AGAP011829-PA-PFAM.txt","NDUF_B4, NADH-ubiquinone oxidoreductase B15 subunit (NDUFB4)")</f>
        <v>NDUF_B4, NADH-ubiquinone oxidoreductase B15 subunit (NDUFB4)</v>
      </c>
      <c r="CM170" s="13">
        <v>4.0000000000000002E-9</v>
      </c>
      <c r="CN170" s="2">
        <v>86.3</v>
      </c>
      <c r="CO170" s="2" t="s">
        <v>2750</v>
      </c>
      <c r="CP170" s="9" t="str">
        <f>HYPERLINK(".\links\SMART\AGAP011829-PA-SMART.txt","FIST, FIST N domain")</f>
        <v>FIST, FIST N domain</v>
      </c>
      <c r="CQ170" s="13">
        <v>1.9</v>
      </c>
      <c r="CR170" s="2">
        <v>20.399999999999999</v>
      </c>
      <c r="CS170" s="2" t="s">
        <v>2753</v>
      </c>
      <c r="CT170" s="2" t="s">
        <v>2746</v>
      </c>
      <c r="CU170" s="2" t="s">
        <v>2746</v>
      </c>
      <c r="CV170" s="2" t="s">
        <v>2746</v>
      </c>
      <c r="CW170" s="2" t="str">
        <f>HYPERLINK(".\links\pep\AGAP011829-PA-pep.txt","AGAP011829-PA")</f>
        <v>AGAP011829-PA</v>
      </c>
      <c r="CX170" s="2" t="s">
        <v>2743</v>
      </c>
      <c r="CY170" s="2">
        <v>108</v>
      </c>
      <c r="CZ170" s="2" t="s">
        <v>103</v>
      </c>
      <c r="DA170" s="2" t="s">
        <v>2754</v>
      </c>
      <c r="DB170" s="2">
        <v>0</v>
      </c>
      <c r="DC170" s="2">
        <v>0</v>
      </c>
      <c r="DD170" s="2" t="str">
        <f>HYPERLINK("https://www.kegg.jp/kegg-bin/search_pathway_text?map=aga&amp;keyword=AGAP011829&amp;mode=1&amp;viewImage=true","AGAP011829")</f>
        <v>AGAP011829</v>
      </c>
      <c r="DE170" s="2" t="s">
        <v>2741</v>
      </c>
      <c r="DF170" s="2" t="s">
        <v>2742</v>
      </c>
      <c r="DG170" s="2" t="s">
        <v>87</v>
      </c>
      <c r="DH170" s="2" t="str">
        <f>HYPERLINK("https://vectorbase.org/vectorbase/app/record/gene/AGAP011829","AGAP011829-RA")</f>
        <v>AGAP011829-RA</v>
      </c>
      <c r="DI170" s="2" t="s">
        <v>140</v>
      </c>
      <c r="DJ170" s="2">
        <v>504</v>
      </c>
      <c r="DK170" s="2" t="str">
        <f>HYPERLINK(".\links\netoglyc\AGAP011829-PA-netoglyc.txt","0")</f>
        <v>0</v>
      </c>
      <c r="DL170" s="2">
        <v>8.3000000000000007</v>
      </c>
      <c r="DM170" s="2">
        <v>6.5</v>
      </c>
      <c r="DN170" s="2">
        <v>2.8</v>
      </c>
      <c r="DO170" s="2" t="s">
        <v>94</v>
      </c>
      <c r="DP170" s="2" t="s">
        <v>89</v>
      </c>
      <c r="DQ170" s="2" t="str">
        <f>HYPERLINK(".\links\Sigp\AGAP011829-PA-SigP.txt","CYT")</f>
        <v>CYT</v>
      </c>
      <c r="DR170" s="2" t="s">
        <v>89</v>
      </c>
      <c r="DS170" s="2">
        <v>12.862</v>
      </c>
      <c r="DT170" s="2">
        <v>10.42</v>
      </c>
      <c r="DU170" s="2" t="s">
        <v>89</v>
      </c>
      <c r="DV170" s="2" t="s">
        <v>89</v>
      </c>
      <c r="DW170" s="2" t="s">
        <v>2748</v>
      </c>
      <c r="DX170" s="2">
        <v>108</v>
      </c>
      <c r="DY170" s="12">
        <v>0</v>
      </c>
      <c r="DZ170" s="2" t="s">
        <v>89</v>
      </c>
      <c r="EA170" s="2" t="s">
        <v>89</v>
      </c>
      <c r="EB170" s="2" t="s">
        <v>89</v>
      </c>
      <c r="EC170" s="2" t="str">
        <f>HYPERLINK(".\links\gpi\AGAP011829-PA-gpi.txt","N")</f>
        <v>N</v>
      </c>
      <c r="ED170" s="2">
        <v>0.38</v>
      </c>
      <c r="EF170" s="2">
        <v>0</v>
      </c>
      <c r="EG170" s="2" t="s">
        <v>89</v>
      </c>
      <c r="EH170" s="2" t="s">
        <v>89</v>
      </c>
      <c r="EI170" s="2">
        <v>8.3333333333333304</v>
      </c>
      <c r="EJ170" s="2">
        <v>2.7777777777777799</v>
      </c>
      <c r="EK170" s="2">
        <v>6.4814814814814801</v>
      </c>
      <c r="EL170" s="2">
        <v>9.2592592592592595</v>
      </c>
      <c r="EM170" s="2" t="s">
        <v>89</v>
      </c>
      <c r="EN170" s="2" t="s">
        <v>89</v>
      </c>
      <c r="EO170" s="2" t="s">
        <v>89</v>
      </c>
      <c r="EP170" s="2" t="s">
        <v>89</v>
      </c>
      <c r="EQ170" s="2" t="s">
        <v>89</v>
      </c>
      <c r="ER170" s="2" t="s">
        <v>89</v>
      </c>
      <c r="ES170" s="2" t="s">
        <v>89</v>
      </c>
      <c r="ET170" s="2" t="str">
        <f>HYPERLINK(".\links\REFSEQ-INVERTEBRATE\AGAP011829-PA-REFSEQ-INVERTEBRATE.txt","AGAP011829-PA, partial")</f>
        <v>AGAP011829-PA, partial</v>
      </c>
      <c r="EU170" s="2" t="str">
        <f>HYPERLINK("http://www.ncbi.nlm.nih.gov/sutils/blink.cgi?pid=XP_320686.4","7E-77")</f>
        <v>7E-77</v>
      </c>
      <c r="EV170" s="2" t="str">
        <f>HYPERLINK("http://www.ncbi.nlm.nih.gov/protein/XP_320686.4","XP_320686.4")</f>
        <v>XP_320686.4</v>
      </c>
      <c r="EW170" s="2">
        <v>100</v>
      </c>
      <c r="EX170" s="2">
        <v>100</v>
      </c>
      <c r="EY170" s="2">
        <v>100</v>
      </c>
      <c r="EZ170" s="2" t="s">
        <v>95</v>
      </c>
    </row>
    <row r="171" spans="1:156" x14ac:dyDescent="0.25">
      <c r="A171" s="2" t="s">
        <v>1183</v>
      </c>
      <c r="B171" s="2">
        <v>-0.93924784133170403</v>
      </c>
      <c r="C171" s="2">
        <f t="shared" si="2"/>
        <v>0.52150469950550427</v>
      </c>
      <c r="D171" s="2">
        <v>8.7407209584774304</v>
      </c>
      <c r="E171" s="2">
        <v>14.5473742012512</v>
      </c>
      <c r="F171" s="2">
        <v>1.36679002561552E-4</v>
      </c>
      <c r="G171" s="2">
        <v>1.09415138366379E-2</v>
      </c>
      <c r="H171" s="2" t="s">
        <v>1184</v>
      </c>
      <c r="I171" s="2" t="s">
        <v>87</v>
      </c>
      <c r="J171" s="2" t="str">
        <f>HYPERLINK("https://vectorbase.org/vectorbase/app/record/gene/AGAP004616","AGAP004616-RA")</f>
        <v>AGAP004616-RA</v>
      </c>
      <c r="K171" s="2" t="str">
        <f>HYPERLINK(".\links\pep\AGAP004616-PA-pep.txt","AGAP004616-PA")</f>
        <v>AGAP004616-PA</v>
      </c>
      <c r="L171" s="12" t="s">
        <v>88</v>
      </c>
      <c r="M171" s="2">
        <v>107</v>
      </c>
      <c r="N171" s="2">
        <v>0</v>
      </c>
      <c r="O171" s="2">
        <v>2</v>
      </c>
      <c r="P171" s="2" t="s">
        <v>1185</v>
      </c>
      <c r="Q171" s="9" t="s">
        <v>1186</v>
      </c>
      <c r="R171" s="2" t="s">
        <v>145</v>
      </c>
      <c r="S171" s="2" t="str">
        <f>HYPERLINK(".\links\NR-LIGHT\AGAP004616-PA-NR-LIGHT.txt","NR-LIGHT")</f>
        <v>NR-LIGHT</v>
      </c>
      <c r="T171" s="2">
        <v>2.9999999999999999E-48</v>
      </c>
      <c r="U171" s="2">
        <v>100</v>
      </c>
      <c r="V171" s="2" t="s">
        <v>1187</v>
      </c>
      <c r="W171" s="10" t="s">
        <v>1188</v>
      </c>
      <c r="X171" s="2" t="s">
        <v>145</v>
      </c>
      <c r="Y171" s="2" t="str">
        <f>HYPERLINK(".\links\ARTHORPODA\AGAP004616-PA-ARTHORPODA.txt","ARTHORPODA")</f>
        <v>ARTHORPODA</v>
      </c>
      <c r="Z171" s="13">
        <v>3.0000000000000001E-73</v>
      </c>
      <c r="AA171" s="2">
        <v>100</v>
      </c>
      <c r="AB171" s="14" t="s">
        <v>89</v>
      </c>
      <c r="AC171" s="14" t="str">
        <f>HYPERLINK(".\links\Sigp\AGAP004616-PA-SigP.txt","CYT")</f>
        <v>CYT</v>
      </c>
      <c r="AD171" s="2" t="s">
        <v>89</v>
      </c>
      <c r="AE171" s="2">
        <v>12.010999999999999</v>
      </c>
      <c r="AF171" s="2">
        <v>8.9600000000000009</v>
      </c>
      <c r="AG171" s="2" t="s">
        <v>89</v>
      </c>
      <c r="AH171" s="2" t="s">
        <v>89</v>
      </c>
      <c r="AI171" s="2" t="s">
        <v>1189</v>
      </c>
      <c r="AJ171" s="14">
        <v>0</v>
      </c>
      <c r="AK171" s="2" t="s">
        <v>89</v>
      </c>
      <c r="AL171" s="2" t="s">
        <v>89</v>
      </c>
      <c r="AM171" s="2" t="s">
        <v>89</v>
      </c>
      <c r="AN171" s="14" t="str">
        <f>HYPERLINK(".\links\gpi\AGAP004616-PA-gpi.txt","N")</f>
        <v>N</v>
      </c>
      <c r="AO171" s="15" t="str">
        <f>HYPERLINK(".\links\netoglyc\AGAP004616-PA-netoglyc.txt","2")</f>
        <v>2</v>
      </c>
      <c r="AP171" s="14">
        <v>11.2</v>
      </c>
      <c r="AQ171" s="2">
        <v>7.5</v>
      </c>
      <c r="AR171" s="2">
        <v>4.7</v>
      </c>
      <c r="AS171" s="2" t="s">
        <v>94</v>
      </c>
      <c r="AT171" s="9" t="str">
        <f>HYPERLINK(".\links\NR-LIGHT\AGAP004616-PA-NR-LIGHT.txt","AGAP004616-PA")</f>
        <v>AGAP004616-PA</v>
      </c>
      <c r="AU171" s="2" t="str">
        <f>HYPERLINK("http://www.ncbi.nlm.nih.gov/sutils/blink.cgi?pid=XP_315204.2","8E-053")</f>
        <v>8E-053</v>
      </c>
      <c r="AV171" s="2" t="str">
        <f>HYPERLINK("http://www.ncbi.nlm.nih.gov/protein/XP_315204.2","XP_315204.2")</f>
        <v>XP_315204.2</v>
      </c>
      <c r="AW171" s="2">
        <v>100</v>
      </c>
      <c r="AX171" s="2">
        <v>100</v>
      </c>
      <c r="AY171" s="2">
        <v>100</v>
      </c>
      <c r="AZ171" s="2" t="s">
        <v>95</v>
      </c>
      <c r="BA171" s="9" t="str">
        <f>HYPERLINK(".\links\REFSEQ-INVERTEBRATE\AGAP004616-PA-REFSEQ-INVERTEBRATE.txt","AGAP004616-PA")</f>
        <v>AGAP004616-PA</v>
      </c>
      <c r="BB171" s="2" t="str">
        <f>HYPERLINK("http://www.ncbi.nlm.nih.gov/sutils/blink.cgi?pid=XP_315204.2","8E-053")</f>
        <v>8E-053</v>
      </c>
      <c r="BC171" s="2" t="str">
        <f>HYPERLINK("http://www.ncbi.nlm.nih.gov/protein/XP_315204.2","XP_315204.2")</f>
        <v>XP_315204.2</v>
      </c>
      <c r="BD171" s="2">
        <v>100</v>
      </c>
      <c r="BE171" s="2">
        <v>100</v>
      </c>
      <c r="BF171" s="2">
        <v>100</v>
      </c>
      <c r="BG171" s="2" t="s">
        <v>95</v>
      </c>
      <c r="BH171" s="9" t="str">
        <f>HYPERLINK(".\links\REFSEQ-PROTOZOA\AGAP004616-PA-REFSEQ-PROTOZOA.txt","malate dehydrogenase, putative")</f>
        <v>malate dehydrogenase, putative</v>
      </c>
      <c r="BI171" s="2" t="str">
        <f>HYPERLINK("http://www.ncbi.nlm.nih.gov/sutils/blink.cgi?pid=XP_002778454.1","1.3")</f>
        <v>1.3</v>
      </c>
      <c r="BJ171" s="2" t="str">
        <f>HYPERLINK("http://www.ncbi.nlm.nih.gov/protein/XP_002778454.1","XP_002778454.1")</f>
        <v>XP_002778454.1</v>
      </c>
      <c r="BK171" s="2">
        <v>28</v>
      </c>
      <c r="BL171" s="2">
        <v>47</v>
      </c>
      <c r="BM171" s="2">
        <v>23</v>
      </c>
      <c r="BN171" s="2" t="s">
        <v>1190</v>
      </c>
      <c r="BO171" s="9" t="str">
        <f>HYPERLINK(".\links\SWISSP\AGAP004616-PA-SWISSP.txt","ATP synthase-coupling factor 6, mitochondrial")</f>
        <v>ATP synthase-coupling factor 6, mitochondrial</v>
      </c>
      <c r="BP171" s="2" t="str">
        <f>HYPERLINK("http://www.uniprot.org/uniprot/Q24407","1E-025")</f>
        <v>1E-025</v>
      </c>
      <c r="BQ171" s="2" t="str">
        <f>HYPERLINK("http://www.uniprot.org/uniprot/Q24407#expression","Q24407")</f>
        <v>Q24407</v>
      </c>
      <c r="BR171" s="2">
        <v>52</v>
      </c>
      <c r="BS171" s="2">
        <v>72</v>
      </c>
      <c r="BT171" s="2">
        <v>100</v>
      </c>
      <c r="BU171" s="2" t="s">
        <v>151</v>
      </c>
      <c r="BV171" s="9" t="str">
        <f>HYPERLINK(".\links\FLYBASE\AGAP004616-PA-FLYBASE.txt","FBpp0297124")</f>
        <v>FBpp0297124</v>
      </c>
      <c r="BW171" s="2" t="str">
        <f>HYPERLINK("http://flybase.org/reports/FBgn0016119#alliance_summary_container","6E-36")</f>
        <v>6E-36</v>
      </c>
      <c r="BX171" s="2">
        <v>106</v>
      </c>
      <c r="BY171" s="2">
        <v>52</v>
      </c>
      <c r="BZ171" s="2">
        <v>72</v>
      </c>
      <c r="CA171" s="2">
        <v>100</v>
      </c>
      <c r="CB171" s="9" t="str">
        <f>HYPERLINK(".\links\CDD\AGAP004616-PA-CDD.txt","ATP-synt_F6, Mitochondrial ATP synthase coupling factor 6")</f>
        <v>ATP-synt_F6, Mitochondrial ATP synthase coupling factor 6</v>
      </c>
      <c r="CC171" s="13">
        <v>3.0000000000000002E-33</v>
      </c>
      <c r="CD171" s="2">
        <v>89.6</v>
      </c>
      <c r="CE171" s="2" t="s">
        <v>1191</v>
      </c>
      <c r="CF171" s="2" t="s">
        <v>1192</v>
      </c>
      <c r="CG171" s="9" t="str">
        <f>HYPERLINK(".\links\KOG\AGAP004616-PA-KOG.txt","subunit Cf6 (coupling factor 6)")</f>
        <v>subunit Cf6 (coupling factor 6)</v>
      </c>
      <c r="CH171" s="13">
        <v>1.9999999999999998E-24</v>
      </c>
      <c r="CI171" s="2">
        <v>99</v>
      </c>
      <c r="CJ171" s="2" t="s">
        <v>1193</v>
      </c>
      <c r="CK171" s="2" t="s">
        <v>155</v>
      </c>
      <c r="CL171" s="9" t="str">
        <f>HYPERLINK(".\links\PFAM\AGAP004616-PA-PFAM.txt","ATP-synt_F6, Mitochondrial ATP synthase coupling factor 6")</f>
        <v>ATP-synt_F6, Mitochondrial ATP synthase coupling factor 6</v>
      </c>
      <c r="CM171" s="13">
        <v>6E-34</v>
      </c>
      <c r="CN171" s="2">
        <v>89.6</v>
      </c>
      <c r="CO171" s="2" t="s">
        <v>1191</v>
      </c>
      <c r="CP171" s="9" t="str">
        <f>HYPERLINK(".\links\SMART\AGAP004616-PA-SMART.txt","OmpH, Outer membrane protein (OmpH-like)")</f>
        <v>OmpH, Outer membrane protein (OmpH-like)</v>
      </c>
      <c r="CQ171" s="13">
        <v>0.82</v>
      </c>
      <c r="CR171" s="2">
        <v>40.700000000000003</v>
      </c>
      <c r="CS171" s="2" t="s">
        <v>1194</v>
      </c>
      <c r="CT171" s="2" t="s">
        <v>1187</v>
      </c>
      <c r="CU171" s="2" t="s">
        <v>1187</v>
      </c>
      <c r="CV171" s="2" t="s">
        <v>1187</v>
      </c>
      <c r="CW171" s="2" t="str">
        <f>HYPERLINK(".\links\pep\AGAP004616-PA-pep.txt","AGAP004616-PA")</f>
        <v>AGAP004616-PA</v>
      </c>
      <c r="CX171" s="2" t="s">
        <v>88</v>
      </c>
      <c r="CY171" s="2">
        <v>107</v>
      </c>
      <c r="CZ171" s="2" t="s">
        <v>103</v>
      </c>
      <c r="DA171" s="2" t="s">
        <v>1195</v>
      </c>
      <c r="DB171" s="2">
        <v>0</v>
      </c>
      <c r="DC171" s="2">
        <v>2</v>
      </c>
      <c r="DD171" s="2" t="str">
        <f>HYPERLINK("https://www.kegg.jp/kegg-bin/search_pathway_text?map=aga&amp;keyword=AGAP004616&amp;mode=1&amp;viewImage=true","AGAP004616")</f>
        <v>AGAP004616</v>
      </c>
      <c r="DE171" s="2" t="s">
        <v>1183</v>
      </c>
      <c r="DF171" s="2" t="s">
        <v>1184</v>
      </c>
      <c r="DG171" s="2" t="s">
        <v>87</v>
      </c>
      <c r="DH171" s="2" t="str">
        <f>HYPERLINK("https://vectorbase.org/vectorbase/app/record/gene/AGAP004616","AGAP004616-RA")</f>
        <v>AGAP004616-RA</v>
      </c>
      <c r="DI171" s="2" t="s">
        <v>140</v>
      </c>
      <c r="DJ171" s="2">
        <v>503</v>
      </c>
      <c r="DK171" s="2" t="str">
        <f>HYPERLINK(".\links\netoglyc\AGAP004616-PA-netoglyc.txt","2")</f>
        <v>2</v>
      </c>
      <c r="DL171" s="2">
        <v>11.2</v>
      </c>
      <c r="DM171" s="2">
        <v>7.5</v>
      </c>
      <c r="DN171" s="2">
        <v>4.7</v>
      </c>
      <c r="DO171" s="2" t="s">
        <v>94</v>
      </c>
      <c r="DP171" s="2" t="s">
        <v>89</v>
      </c>
      <c r="DQ171" s="2" t="str">
        <f>HYPERLINK(".\links\Sigp\AGAP004616-PA-SigP.txt","CYT")</f>
        <v>CYT</v>
      </c>
      <c r="DR171" s="2" t="s">
        <v>89</v>
      </c>
      <c r="DS171" s="2">
        <v>12.010999999999999</v>
      </c>
      <c r="DT171" s="2">
        <v>8.9600000000000009</v>
      </c>
      <c r="DU171" s="2" t="s">
        <v>89</v>
      </c>
      <c r="DV171" s="2" t="s">
        <v>89</v>
      </c>
      <c r="DW171" s="2" t="s">
        <v>1189</v>
      </c>
      <c r="DX171" s="2">
        <v>107</v>
      </c>
      <c r="DY171" s="12">
        <v>0</v>
      </c>
      <c r="DZ171" s="2" t="s">
        <v>89</v>
      </c>
      <c r="EA171" s="2" t="s">
        <v>89</v>
      </c>
      <c r="EB171" s="2" t="s">
        <v>89</v>
      </c>
      <c r="EC171" s="2" t="str">
        <f>HYPERLINK(".\links\gpi\AGAP004616-PA-gpi.txt","Y-NoSP")</f>
        <v>Y-NoSP</v>
      </c>
      <c r="ED171" s="2">
        <v>0.3</v>
      </c>
      <c r="EF171" s="2">
        <v>0</v>
      </c>
      <c r="EG171" s="2" t="s">
        <v>89</v>
      </c>
      <c r="EH171" s="2" t="s">
        <v>89</v>
      </c>
      <c r="EI171" s="2">
        <v>11.214953271028</v>
      </c>
      <c r="EJ171" s="2">
        <v>4.6728971962616797</v>
      </c>
      <c r="EK171" s="2">
        <v>7.4766355140186898</v>
      </c>
      <c r="EL171" s="2">
        <v>12.1495327102804</v>
      </c>
      <c r="EM171" s="2" t="s">
        <v>89</v>
      </c>
      <c r="EN171" s="2" t="s">
        <v>89</v>
      </c>
      <c r="EO171" s="2" t="s">
        <v>89</v>
      </c>
      <c r="EP171" s="2" t="s">
        <v>89</v>
      </c>
      <c r="EQ171" s="2" t="s">
        <v>89</v>
      </c>
      <c r="ER171" s="2" t="s">
        <v>89</v>
      </c>
      <c r="ES171" s="2" t="s">
        <v>89</v>
      </c>
      <c r="ET171" s="2" t="str">
        <f>HYPERLINK(".\links\REFSEQ-INVERTEBRATE\AGAP004616-PA-REFSEQ-INVERTEBRATE.txt","AGAP004616-PA")</f>
        <v>AGAP004616-PA</v>
      </c>
      <c r="EU171" s="2" t="str">
        <f>HYPERLINK("http://www.ncbi.nlm.nih.gov/sutils/blink.cgi?pid=XP_315204.2","5E-73")</f>
        <v>5E-73</v>
      </c>
      <c r="EV171" s="2" t="str">
        <f>HYPERLINK("http://www.ncbi.nlm.nih.gov/protein/XP_315204.2","XP_315204.2")</f>
        <v>XP_315204.2</v>
      </c>
      <c r="EW171" s="2">
        <v>100</v>
      </c>
      <c r="EX171" s="2">
        <v>100</v>
      </c>
      <c r="EY171" s="2">
        <v>100</v>
      </c>
      <c r="EZ171" s="2" t="s">
        <v>95</v>
      </c>
    </row>
    <row r="172" spans="1:156" x14ac:dyDescent="0.25">
      <c r="A172" s="2" t="s">
        <v>382</v>
      </c>
      <c r="B172" s="2">
        <v>-0.93959142416486097</v>
      </c>
      <c r="C172" s="2">
        <f t="shared" si="2"/>
        <v>0.52138051613854197</v>
      </c>
      <c r="D172" s="2">
        <v>7.5406516648684097</v>
      </c>
      <c r="E172" s="2">
        <v>12.5346240884547</v>
      </c>
      <c r="F172" s="2">
        <v>3.9947997217960201E-4</v>
      </c>
      <c r="G172" s="2">
        <v>2.2744723335808702E-2</v>
      </c>
      <c r="H172" s="2" t="s">
        <v>383</v>
      </c>
      <c r="I172" s="2" t="s">
        <v>87</v>
      </c>
      <c r="J172" s="2" t="str">
        <f>HYPERLINK("https://vectorbase.org/vectorbase/app/record/gene/AGAP001116","AGAP001116-RA")</f>
        <v>AGAP001116-RA</v>
      </c>
      <c r="K172" s="2" t="str">
        <f>HYPERLINK(".\links\pep\AGAP001116-PA-pep.txt","AGAP001116-PA")</f>
        <v>AGAP001116-PA</v>
      </c>
      <c r="L172" s="12" t="s">
        <v>88</v>
      </c>
      <c r="M172" s="2">
        <v>350</v>
      </c>
      <c r="N172" s="2">
        <v>0</v>
      </c>
      <c r="O172" s="2">
        <v>1</v>
      </c>
      <c r="P172" s="2" t="s">
        <v>384</v>
      </c>
      <c r="Q172" s="9" t="s">
        <v>385</v>
      </c>
      <c r="R172" s="2" t="s">
        <v>212</v>
      </c>
      <c r="S172" s="2" t="str">
        <f>HYPERLINK(".\links\KOG\AGAP001116-PA-KOG.txt","KOG")</f>
        <v>KOG</v>
      </c>
      <c r="T172" s="2">
        <v>8.9999999999999998E-89</v>
      </c>
      <c r="U172" s="2">
        <v>100</v>
      </c>
      <c r="V172" s="2" t="s">
        <v>386</v>
      </c>
      <c r="W172" s="10" t="s">
        <v>387</v>
      </c>
      <c r="X172" s="2" t="s">
        <v>212</v>
      </c>
      <c r="Y172" s="2" t="str">
        <f>HYPERLINK(".\links\KOG\AGAP001116-PA-KOG.txt","KOG")</f>
        <v>KOG</v>
      </c>
      <c r="Z172" s="13">
        <v>9.0000000000000004E-72</v>
      </c>
      <c r="AA172" s="2">
        <v>101.1</v>
      </c>
      <c r="AB172" s="14" t="str">
        <f>HYPERLINK(".\links\pep\AGAP001116-PA-sulf.txt","1")</f>
        <v>1</v>
      </c>
      <c r="AC172" s="14" t="str">
        <f>HYPERLINK(".\links\Sigp\AGAP001116-PA-SigP.txt","CYT")</f>
        <v>CYT</v>
      </c>
      <c r="AD172" s="2" t="s">
        <v>89</v>
      </c>
      <c r="AE172" s="2">
        <v>38.643999999999998</v>
      </c>
      <c r="AF172" s="2">
        <v>6.37</v>
      </c>
      <c r="AG172" s="2" t="s">
        <v>89</v>
      </c>
      <c r="AH172" s="2" t="s">
        <v>89</v>
      </c>
      <c r="AI172" s="2" t="s">
        <v>388</v>
      </c>
      <c r="AJ172" s="14">
        <v>0</v>
      </c>
      <c r="AK172" s="2" t="s">
        <v>89</v>
      </c>
      <c r="AL172" s="2" t="s">
        <v>89</v>
      </c>
      <c r="AM172" s="2" t="s">
        <v>89</v>
      </c>
      <c r="AN172" s="14" t="str">
        <f>HYPERLINK(".\links\gpi\AGAP001116-PA-gpi.txt","N")</f>
        <v>N</v>
      </c>
      <c r="AO172" s="15" t="str">
        <f>HYPERLINK(".\links\netoglyc\AGAP001116-PA-netoglyc.txt","1")</f>
        <v>1</v>
      </c>
      <c r="AP172" s="14">
        <v>12.9</v>
      </c>
      <c r="AQ172" s="2">
        <v>10.6</v>
      </c>
      <c r="AR172" s="2">
        <v>4.9000000000000004</v>
      </c>
      <c r="AS172" s="2">
        <v>0.9</v>
      </c>
      <c r="AT172" s="9" t="str">
        <f>HYPERLINK(".\links\NR-LIGHT\AGAP001116-PA-NR-LIGHT.txt","AGAP001116-PA")</f>
        <v>AGAP001116-PA</v>
      </c>
      <c r="AU172" s="2" t="str">
        <f>HYPERLINK("http://www.ncbi.nlm.nih.gov/sutils/blink.cgi?pid=XP_322047.5","0.0")</f>
        <v>0.0</v>
      </c>
      <c r="AV172" s="2" t="str">
        <f>HYPERLINK("http://www.ncbi.nlm.nih.gov/protein/XP_322047.5","XP_322047.5")</f>
        <v>XP_322047.5</v>
      </c>
      <c r="AW172" s="2">
        <v>100</v>
      </c>
      <c r="AX172" s="2">
        <v>100</v>
      </c>
      <c r="AY172" s="2">
        <v>100</v>
      </c>
      <c r="AZ172" s="2" t="s">
        <v>95</v>
      </c>
      <c r="BA172" s="9" t="str">
        <f>HYPERLINK(".\links\REFSEQ-INVERTEBRATE\AGAP001116-PA-REFSEQ-INVERTEBRATE.txt","AGAP001116-PA")</f>
        <v>AGAP001116-PA</v>
      </c>
      <c r="BB172" s="2" t="str">
        <f>HYPERLINK("http://www.ncbi.nlm.nih.gov/sutils/blink.cgi?pid=XP_322047.5","0.0")</f>
        <v>0.0</v>
      </c>
      <c r="BC172" s="2" t="str">
        <f>HYPERLINK("http://www.ncbi.nlm.nih.gov/protein/XP_322047.5","XP_322047.5")</f>
        <v>XP_322047.5</v>
      </c>
      <c r="BD172" s="2">
        <v>100</v>
      </c>
      <c r="BE172" s="2">
        <v>100</v>
      </c>
      <c r="BF172" s="2">
        <v>100</v>
      </c>
      <c r="BG172" s="2" t="s">
        <v>95</v>
      </c>
      <c r="BH172" s="9" t="str">
        <f>HYPERLINK(".\links\REFSEQ-PROTOZOA\AGAP001116-PA-REFSEQ-PROTOZOA.txt","hypothetical protein")</f>
        <v>hypothetical protein</v>
      </c>
      <c r="BI172" s="2" t="str">
        <f>HYPERLINK("http://www.ncbi.nlm.nih.gov/sutils/blink.cgi?pid=XP_001744283.1","8E-046")</f>
        <v>8E-046</v>
      </c>
      <c r="BJ172" s="2" t="str">
        <f>HYPERLINK("http://www.ncbi.nlm.nih.gov/protein/XP_001744283.1","XP_001744283.1")</f>
        <v>XP_001744283.1</v>
      </c>
      <c r="BK172" s="2">
        <v>32</v>
      </c>
      <c r="BL172" s="2">
        <v>49</v>
      </c>
      <c r="BM172" s="2">
        <v>102</v>
      </c>
      <c r="BN172" s="2" t="s">
        <v>389</v>
      </c>
      <c r="BO172" s="9" t="str">
        <f>HYPERLINK(".\links\SWISSP\AGAP001116-PA-SWISSP.txt","D-aspartate oxidase")</f>
        <v>D-aspartate oxidase</v>
      </c>
      <c r="BP172" s="2" t="str">
        <f>HYPERLINK("http://www.uniprot.org/uniprot/Q99489","1E-050")</f>
        <v>1E-050</v>
      </c>
      <c r="BQ172" s="2" t="str">
        <f>HYPERLINK("http://www.uniprot.org/uniprot/Q99489#expression","Q99489")</f>
        <v>Q99489</v>
      </c>
      <c r="BR172" s="2">
        <v>36</v>
      </c>
      <c r="BS172" s="2">
        <v>52</v>
      </c>
      <c r="BT172" s="2">
        <v>98</v>
      </c>
      <c r="BU172" s="2" t="s">
        <v>115</v>
      </c>
      <c r="BV172" s="9" t="str">
        <f>HYPERLINK(".\links\FLYBASE\AGAP001116-PA-FLYBASE.txt","FBpp0078967")</f>
        <v>FBpp0078967</v>
      </c>
      <c r="BW172" s="2" t="str">
        <f>HYPERLINK("http://flybase.org/reports/FBgn0031860#alliance_summary_container","1E-115")</f>
        <v>1E-115</v>
      </c>
      <c r="BX172" s="2">
        <v>341</v>
      </c>
      <c r="BY172" s="2">
        <v>48</v>
      </c>
      <c r="BZ172" s="2">
        <v>63</v>
      </c>
      <c r="CA172" s="2">
        <v>99</v>
      </c>
      <c r="CB172" s="9" t="str">
        <f>HYPERLINK(".\links\CDD\AGAP001116-PA-CDD.txt","DAO, FAD dependent oxidoreductase")</f>
        <v>DAO, FAD dependent oxidoreductase</v>
      </c>
      <c r="CC172" s="13">
        <v>2.0000000000000002E-31</v>
      </c>
      <c r="CD172" s="2">
        <v>105.9</v>
      </c>
      <c r="CE172" s="2" t="s">
        <v>390</v>
      </c>
      <c r="CF172" s="2" t="s">
        <v>391</v>
      </c>
      <c r="CG172" s="9" t="str">
        <f>HYPERLINK(".\links\KOG\AGAP001116-PA-KOG.txt","D-aspartate oxidase")</f>
        <v>D-aspartate oxidase</v>
      </c>
      <c r="CH172" s="13">
        <v>8.9999999999999998E-89</v>
      </c>
      <c r="CI172" s="2">
        <v>100</v>
      </c>
      <c r="CJ172" s="2" t="s">
        <v>392</v>
      </c>
      <c r="CK172" s="2" t="s">
        <v>393</v>
      </c>
      <c r="CL172" s="9" t="str">
        <f>HYPERLINK(".\links\PFAM\AGAP001116-PA-PFAM.txt","DAO, FAD dependent oxidoreductase")</f>
        <v>DAO, FAD dependent oxidoreductase</v>
      </c>
      <c r="CM172" s="13">
        <v>5.0000000000000004E-32</v>
      </c>
      <c r="CN172" s="2">
        <v>105.9</v>
      </c>
      <c r="CO172" s="2" t="s">
        <v>390</v>
      </c>
      <c r="CP172" s="9" t="str">
        <f>HYPERLINK(".\links\SMART\AGAP001116-PA-SMART.txt","PKS_KR, This enzymatic domain is part of bacterial polyketide synthases")</f>
        <v>PKS_KR, This enzymatic domain is part of bacterial polyketide synthases</v>
      </c>
      <c r="CQ172" s="13">
        <v>0.2</v>
      </c>
      <c r="CR172" s="2">
        <v>17.8</v>
      </c>
      <c r="CS172" s="2" t="s">
        <v>394</v>
      </c>
      <c r="CT172" s="2" t="s">
        <v>386</v>
      </c>
      <c r="CU172" s="2" t="s">
        <v>386</v>
      </c>
      <c r="CV172" s="2" t="s">
        <v>386</v>
      </c>
      <c r="CW172" s="2" t="str">
        <f>HYPERLINK(".\links\pep\AGAP001116-PA-pep.txt","AGAP001116-PA")</f>
        <v>AGAP001116-PA</v>
      </c>
      <c r="CX172" s="2" t="s">
        <v>88</v>
      </c>
      <c r="CY172" s="2">
        <v>350</v>
      </c>
      <c r="CZ172" s="2" t="s">
        <v>103</v>
      </c>
      <c r="DA172" s="2" t="s">
        <v>395</v>
      </c>
      <c r="DB172" s="2">
        <v>0</v>
      </c>
      <c r="DC172" s="2">
        <v>1</v>
      </c>
      <c r="DD172" s="2" t="str">
        <f>HYPERLINK("https://www.kegg.jp/kegg-bin/search_pathway_text?map=aga&amp;keyword=AGAP001116&amp;mode=1&amp;viewImage=true","AGAP001116")</f>
        <v>AGAP001116</v>
      </c>
      <c r="DE172" s="2" t="s">
        <v>382</v>
      </c>
      <c r="DF172" s="2" t="s">
        <v>383</v>
      </c>
      <c r="DG172" s="2" t="s">
        <v>87</v>
      </c>
      <c r="DH172" s="2" t="str">
        <f>HYPERLINK("https://vectorbase.org/vectorbase/app/record/gene/AGAP001116","AGAP001116-RA")</f>
        <v>AGAP001116-RA</v>
      </c>
      <c r="DI172" s="2" t="s">
        <v>105</v>
      </c>
      <c r="DJ172" s="2">
        <v>1169</v>
      </c>
      <c r="DK172" s="2" t="str">
        <f>HYPERLINK(".\links\netoglyc\AGAP001116-PA-netoglyc.txt","1")</f>
        <v>1</v>
      </c>
      <c r="DL172" s="2">
        <v>12.9</v>
      </c>
      <c r="DM172" s="2">
        <v>10.6</v>
      </c>
      <c r="DN172" s="2">
        <v>4.9000000000000004</v>
      </c>
      <c r="DO172" s="2">
        <v>0.9</v>
      </c>
      <c r="DP172" s="2" t="s">
        <v>89</v>
      </c>
      <c r="DQ172" s="2" t="str">
        <f>HYPERLINK(".\links\Sigp\AGAP001116-PA-SigP.txt","CYT")</f>
        <v>CYT</v>
      </c>
      <c r="DR172" s="2" t="s">
        <v>89</v>
      </c>
      <c r="DS172" s="2">
        <v>38.643999999999998</v>
      </c>
      <c r="DT172" s="2">
        <v>6.37</v>
      </c>
      <c r="DU172" s="2" t="s">
        <v>89</v>
      </c>
      <c r="DV172" s="2" t="s">
        <v>89</v>
      </c>
      <c r="DW172" s="2" t="s">
        <v>388</v>
      </c>
      <c r="DX172" s="2">
        <v>350</v>
      </c>
      <c r="DY172" s="12">
        <v>0</v>
      </c>
      <c r="DZ172" s="2" t="s">
        <v>89</v>
      </c>
      <c r="EA172" s="2" t="s">
        <v>89</v>
      </c>
      <c r="EB172" s="2" t="s">
        <v>89</v>
      </c>
      <c r="EC172" s="2" t="str">
        <f>HYPERLINK(".\links\gpi\AGAP001116-PA-gpi.txt","N")</f>
        <v>N</v>
      </c>
      <c r="ED172" s="2">
        <v>0.24</v>
      </c>
      <c r="EF172" s="2">
        <v>11</v>
      </c>
      <c r="EG172" s="2" t="str">
        <f>HYPERLINK(".\links\pep\AGAP001116-PA-sulf.txt","1")</f>
        <v>1</v>
      </c>
      <c r="EH172" s="2" t="s">
        <v>89</v>
      </c>
      <c r="EI172" s="2">
        <v>12.8571428571429</v>
      </c>
      <c r="EJ172" s="2">
        <v>4.8571428571428603</v>
      </c>
      <c r="EK172" s="2">
        <v>10.5714285714286</v>
      </c>
      <c r="EL172" s="2">
        <v>15.4285714285714</v>
      </c>
      <c r="EM172" s="2" t="s">
        <v>89</v>
      </c>
      <c r="EN172" s="2">
        <v>1</v>
      </c>
      <c r="EO172" s="2">
        <v>1</v>
      </c>
      <c r="EP172" s="2" t="s">
        <v>89</v>
      </c>
      <c r="EQ172" s="2" t="s">
        <v>89</v>
      </c>
      <c r="ER172" s="2" t="s">
        <v>89</v>
      </c>
      <c r="ES172" s="2" t="s">
        <v>89</v>
      </c>
      <c r="ET172" s="2" t="str">
        <f>HYPERLINK(".\links\REFSEQ-INVERTEBRATE\AGAP001116-PA-REFSEQ-INVERTEBRATE.txt","AGAP001116-PA")</f>
        <v>AGAP001116-PA</v>
      </c>
      <c r="EU172" s="2" t="str">
        <f>HYPERLINK("http://www.ncbi.nlm.nih.gov/sutils/blink.cgi?pid=XP_322047.5","0.0")</f>
        <v>0.0</v>
      </c>
      <c r="EV172" s="2" t="str">
        <f>HYPERLINK("http://www.ncbi.nlm.nih.gov/protein/XP_322047.5","XP_322047.5")</f>
        <v>XP_322047.5</v>
      </c>
      <c r="EW172" s="2">
        <v>100</v>
      </c>
      <c r="EX172" s="2">
        <v>100</v>
      </c>
      <c r="EY172" s="2">
        <v>100</v>
      </c>
      <c r="EZ172" s="2" t="s">
        <v>95</v>
      </c>
    </row>
    <row r="173" spans="1:156" x14ac:dyDescent="0.25">
      <c r="A173" s="2" t="s">
        <v>1357</v>
      </c>
      <c r="B173" s="2">
        <v>-0.94172099907033302</v>
      </c>
      <c r="C173" s="2">
        <f t="shared" si="2"/>
        <v>0.5206114694867946</v>
      </c>
      <c r="D173" s="2">
        <v>6.4343450832115403</v>
      </c>
      <c r="E173" s="2">
        <v>19.016695448899</v>
      </c>
      <c r="F173" s="2">
        <v>1.29579706989305E-5</v>
      </c>
      <c r="G173" s="2">
        <v>2.0288752063457802E-3</v>
      </c>
      <c r="H173" s="2" t="s">
        <v>1358</v>
      </c>
      <c r="I173" s="2" t="s">
        <v>87</v>
      </c>
      <c r="J173" s="2" t="str">
        <f>HYPERLINK("https://vectorbase.org/vectorbase/app/record/gene/AGAP004885","AGAP004885-RA")</f>
        <v>AGAP004885-RA</v>
      </c>
      <c r="K173" s="2" t="str">
        <f>HYPERLINK(".\links\pep\AGAP004885-PA-pep.txt","AGAP004885-PA")</f>
        <v>AGAP004885-PA</v>
      </c>
      <c r="L173" s="12" t="s">
        <v>88</v>
      </c>
      <c r="M173" s="2">
        <v>142</v>
      </c>
      <c r="N173" s="2">
        <v>0</v>
      </c>
      <c r="O173" s="2">
        <v>1</v>
      </c>
      <c r="P173" s="2" t="s">
        <v>1359</v>
      </c>
      <c r="Q173" s="9" t="s">
        <v>1360</v>
      </c>
      <c r="R173" s="2" t="s">
        <v>145</v>
      </c>
      <c r="S173" s="2" t="str">
        <f>HYPERLINK(".\links\REFSEQ-INVERTEBRATE\AGAP004885-PA-REFSEQ-INVERTEBRATE.txt","REFSEQ-INVERTEBRATE")</f>
        <v>REFSEQ-INVERTEBRATE</v>
      </c>
      <c r="T173" s="2">
        <v>2E-50</v>
      </c>
      <c r="U173" s="2">
        <v>77.5</v>
      </c>
      <c r="V173" s="2" t="s">
        <v>1361</v>
      </c>
      <c r="W173" s="10" t="s">
        <v>1362</v>
      </c>
      <c r="X173" s="2" t="s">
        <v>145</v>
      </c>
      <c r="Y173" s="2" t="str">
        <f>HYPERLINK(".\links\REFSEQ-INVERTEBRATE\AGAP004885-PA-REFSEQ-INVERTEBRATE.txt","REFSEQ-INVERTEBRATE")</f>
        <v>REFSEQ-INVERTEBRATE</v>
      </c>
      <c r="Z173" s="13">
        <v>3.9999999999999998E-81</v>
      </c>
      <c r="AA173" s="2">
        <v>92.9</v>
      </c>
      <c r="AB173" s="14" t="s">
        <v>89</v>
      </c>
      <c r="AC173" s="14" t="str">
        <f>HYPERLINK(".\links\Sigp\AGAP004885-PA-SigP.txt","CYT")</f>
        <v>CYT</v>
      </c>
      <c r="AD173" s="2" t="s">
        <v>89</v>
      </c>
      <c r="AE173" s="2">
        <v>16.38</v>
      </c>
      <c r="AF173" s="2">
        <v>9.34</v>
      </c>
      <c r="AG173" s="2" t="s">
        <v>89</v>
      </c>
      <c r="AH173" s="2" t="s">
        <v>89</v>
      </c>
      <c r="AI173" s="2" t="s">
        <v>336</v>
      </c>
      <c r="AJ173" s="14">
        <v>0</v>
      </c>
      <c r="AK173" s="2" t="s">
        <v>89</v>
      </c>
      <c r="AL173" s="2" t="s">
        <v>89</v>
      </c>
      <c r="AM173" s="2" t="s">
        <v>89</v>
      </c>
      <c r="AN173" s="14" t="str">
        <f>HYPERLINK(".\links\gpi\AGAP004885-PA-gpi.txt","N")</f>
        <v>N</v>
      </c>
      <c r="AO173" s="15" t="str">
        <f>HYPERLINK(".\links\netoglyc\AGAP004885-PA-netoglyc.txt","0")</f>
        <v>0</v>
      </c>
      <c r="AP173" s="14">
        <v>10.6</v>
      </c>
      <c r="AQ173" s="2">
        <v>8.5</v>
      </c>
      <c r="AR173" s="2">
        <v>4.9000000000000004</v>
      </c>
      <c r="AS173" s="2" t="s">
        <v>94</v>
      </c>
      <c r="AT173" s="9" t="str">
        <f>HYPERLINK(".\links\NR-LIGHT\AGAP004885-PA-NR-LIGHT.txt","AGAP004885-PA")</f>
        <v>AGAP004885-PA</v>
      </c>
      <c r="AU173" s="2" t="str">
        <f>HYPERLINK("http://www.ncbi.nlm.nih.gov/sutils/blink.cgi?pid=XP_314297.3","5E-083")</f>
        <v>5E-083</v>
      </c>
      <c r="AV173" s="2" t="str">
        <f>HYPERLINK("http://www.ncbi.nlm.nih.gov/protein/XP_314297.3","XP_314297.3")</f>
        <v>XP_314297.3</v>
      </c>
      <c r="AW173" s="2">
        <v>100</v>
      </c>
      <c r="AX173" s="2">
        <v>100</v>
      </c>
      <c r="AY173" s="2">
        <v>100</v>
      </c>
      <c r="AZ173" s="2" t="s">
        <v>95</v>
      </c>
      <c r="BA173" s="9" t="str">
        <f>HYPERLINK(".\links\REFSEQ-INVERTEBRATE\AGAP004885-PA-REFSEQ-INVERTEBRATE.txt","AGAP004885-PA")</f>
        <v>AGAP004885-PA</v>
      </c>
      <c r="BB173" s="2" t="str">
        <f>HYPERLINK("http://www.ncbi.nlm.nih.gov/sutils/blink.cgi?pid=XP_314297.3","4E-083")</f>
        <v>4E-083</v>
      </c>
      <c r="BC173" s="2" t="str">
        <f>HYPERLINK("http://www.ncbi.nlm.nih.gov/protein/XP_314297.3","XP_314297.3")</f>
        <v>XP_314297.3</v>
      </c>
      <c r="BD173" s="2">
        <v>100</v>
      </c>
      <c r="BE173" s="2">
        <v>100</v>
      </c>
      <c r="BF173" s="2">
        <v>100</v>
      </c>
      <c r="BG173" s="2" t="s">
        <v>95</v>
      </c>
      <c r="BH173" s="9" t="str">
        <f>HYPERLINK(".\links\REFSEQ-PROTOZOA\AGAP004885-PA-REFSEQ-PROTOZOA.txt","zinc finger CDGSH-type")</f>
        <v>zinc finger CDGSH-type</v>
      </c>
      <c r="BI173" s="2" t="str">
        <f>HYPERLINK("http://www.ncbi.nlm.nih.gov/sutils/blink.cgi?pid=XP_004988104.1","2E-016")</f>
        <v>2E-016</v>
      </c>
      <c r="BJ173" s="2" t="str">
        <f>HYPERLINK("http://www.ncbi.nlm.nih.gov/protein/XP_004988104.1","XP_004988104.1")</f>
        <v>XP_004988104.1</v>
      </c>
      <c r="BK173" s="2">
        <v>50</v>
      </c>
      <c r="BL173" s="2">
        <v>64</v>
      </c>
      <c r="BM173" s="2">
        <v>48</v>
      </c>
      <c r="BN173" s="2" t="s">
        <v>182</v>
      </c>
      <c r="BO173" s="9" t="str">
        <f>HYPERLINK(".\links\SWISSP\AGAP004885-PA-SWISSP.txt","CDGSH iron-sulfur domain-containing protein 3, mitochondrial")</f>
        <v>CDGSH iron-sulfur domain-containing protein 3, mitochondrial</v>
      </c>
      <c r="BP173" s="2" t="str">
        <f>HYPERLINK("http://www.uniprot.org/uniprot/B1AR13","3E-020")</f>
        <v>3E-020</v>
      </c>
      <c r="BQ173" s="2" t="str">
        <f>HYPERLINK("http://www.uniprot.org/uniprot/B1AR13#expression","B1AR13")</f>
        <v>B1AR13</v>
      </c>
      <c r="BR173" s="2">
        <v>50</v>
      </c>
      <c r="BS173" s="2">
        <v>68</v>
      </c>
      <c r="BT173" s="2">
        <v>61</v>
      </c>
      <c r="BU173" s="2" t="s">
        <v>566</v>
      </c>
      <c r="BV173" s="9" t="str">
        <f>HYPERLINK(".\links\FLYBASE\AGAP004885-PA-FLYBASE.txt","FBpp0305158")</f>
        <v>FBpp0305158</v>
      </c>
      <c r="BW173" s="2" t="str">
        <f>HYPERLINK("http://flybase.org/reports/FBgn0033100#alliance_summary_container","2E-45")</f>
        <v>2E-45</v>
      </c>
      <c r="BX173" s="2">
        <v>136</v>
      </c>
      <c r="BY173" s="2">
        <v>63</v>
      </c>
      <c r="BZ173" s="2">
        <v>77</v>
      </c>
      <c r="CA173" s="2">
        <v>74</v>
      </c>
      <c r="CB173" s="9" t="str">
        <f>HYPERLINK(".\links\CDD\AGAP004885-PA-CDD.txt","ZnF_CDGSH, CDGSH-type zinc finger")</f>
        <v>ZnF_CDGSH, CDGSH-type zinc finger</v>
      </c>
      <c r="CC173" s="13">
        <v>1E-8</v>
      </c>
      <c r="CD173" s="2">
        <v>86.8</v>
      </c>
      <c r="CE173" s="2" t="s">
        <v>1363</v>
      </c>
      <c r="CF173" s="2" t="s">
        <v>1364</v>
      </c>
      <c r="CG173" s="9" t="str">
        <f>HYPERLINK(".\links\KOG\AGAP004885-PA-KOG.txt","Uncharacterized conserved protein containing CDGSH-type Zn-finger")</f>
        <v>Uncharacterized conserved protein containing CDGSH-type Zn-finger</v>
      </c>
      <c r="CH173" s="13">
        <v>9.9999999999999993E-35</v>
      </c>
      <c r="CI173" s="2">
        <v>79.099999999999994</v>
      </c>
      <c r="CJ173" s="2" t="s">
        <v>1365</v>
      </c>
      <c r="CK173" s="2" t="s">
        <v>101</v>
      </c>
      <c r="CL173" s="9" t="str">
        <f>HYPERLINK(".\links\PFAM\AGAP004885-PA-PFAM.txt","zf-CDGSH, Iron-binding zinc finger CDGSH type")</f>
        <v>zf-CDGSH, Iron-binding zinc finger CDGSH type</v>
      </c>
      <c r="CM173" s="13">
        <v>2.0000000000000001E-4</v>
      </c>
      <c r="CN173" s="2">
        <v>40.4</v>
      </c>
      <c r="CO173" s="2" t="s">
        <v>1366</v>
      </c>
      <c r="CP173" s="9" t="str">
        <f>HYPERLINK(".\links\SMART\AGAP004885-PA-SMART.txt","ZnF_CDGSH, CDGSH-type zinc finger")</f>
        <v>ZnF_CDGSH, CDGSH-type zinc finger</v>
      </c>
      <c r="CQ173" s="13">
        <v>2.0000000000000001E-10</v>
      </c>
      <c r="CR173" s="2">
        <v>86.8</v>
      </c>
      <c r="CS173" s="2" t="s">
        <v>1363</v>
      </c>
      <c r="CT173" s="2" t="s">
        <v>1361</v>
      </c>
      <c r="CU173" s="2" t="s">
        <v>1361</v>
      </c>
      <c r="CV173" s="2" t="s">
        <v>1361</v>
      </c>
      <c r="CW173" s="2" t="str">
        <f>HYPERLINK(".\links\pep\AGAP004885-PA-pep.txt","AGAP004885-PA")</f>
        <v>AGAP004885-PA</v>
      </c>
      <c r="CX173" s="2" t="s">
        <v>88</v>
      </c>
      <c r="CY173" s="2">
        <v>142</v>
      </c>
      <c r="CZ173" s="2" t="s">
        <v>103</v>
      </c>
      <c r="DA173" s="2" t="s">
        <v>1367</v>
      </c>
      <c r="DB173" s="2">
        <v>0</v>
      </c>
      <c r="DC173" s="2">
        <v>1</v>
      </c>
      <c r="DD173" s="2" t="str">
        <f>HYPERLINK("https://www.kegg.jp/kegg-bin/search_pathway_text?map=aga&amp;keyword=AGAP004885&amp;mode=1&amp;viewImage=true","AGAP004885")</f>
        <v>AGAP004885</v>
      </c>
      <c r="DE173" s="2" t="s">
        <v>1357</v>
      </c>
      <c r="DF173" s="2" t="s">
        <v>1358</v>
      </c>
      <c r="DG173" s="2" t="s">
        <v>87</v>
      </c>
      <c r="DH173" s="2" t="str">
        <f>HYPERLINK("https://vectorbase.org/vectorbase/app/record/gene/AGAP004885","AGAP004885-RA")</f>
        <v>AGAP004885-RA</v>
      </c>
      <c r="DI173" s="2" t="s">
        <v>158</v>
      </c>
      <c r="DJ173" s="2">
        <v>639</v>
      </c>
      <c r="DK173" s="2" t="str">
        <f>HYPERLINK(".\links\netoglyc\AGAP004885-PA-netoglyc.txt","0")</f>
        <v>0</v>
      </c>
      <c r="DL173" s="2">
        <v>10.6</v>
      </c>
      <c r="DM173" s="2">
        <v>8.5</v>
      </c>
      <c r="DN173" s="2">
        <v>4.9000000000000004</v>
      </c>
      <c r="DO173" s="2" t="s">
        <v>94</v>
      </c>
      <c r="DP173" s="2" t="s">
        <v>89</v>
      </c>
      <c r="DQ173" s="2" t="str">
        <f>HYPERLINK(".\links\Sigp\AGAP004885-PA-SigP.txt","CYT")</f>
        <v>CYT</v>
      </c>
      <c r="DR173" s="2" t="s">
        <v>89</v>
      </c>
      <c r="DS173" s="2">
        <v>16.38</v>
      </c>
      <c r="DT173" s="2">
        <v>9.34</v>
      </c>
      <c r="DU173" s="2" t="s">
        <v>89</v>
      </c>
      <c r="DV173" s="2" t="s">
        <v>89</v>
      </c>
      <c r="DW173" s="2" t="s">
        <v>336</v>
      </c>
      <c r="DX173" s="2">
        <v>142</v>
      </c>
      <c r="DY173" s="12">
        <v>0</v>
      </c>
      <c r="DZ173" s="2" t="s">
        <v>89</v>
      </c>
      <c r="EA173" s="2" t="s">
        <v>89</v>
      </c>
      <c r="EB173" s="2" t="s">
        <v>89</v>
      </c>
      <c r="EC173" s="2" t="str">
        <f>HYPERLINK(".\links\gpi\AGAP004885-PA-gpi.txt","Y-NoSP")</f>
        <v>Y-NoSP</v>
      </c>
      <c r="ED173" s="2">
        <v>0.43</v>
      </c>
      <c r="EE173" s="2" t="s">
        <v>1368</v>
      </c>
      <c r="EF173" s="2">
        <v>9</v>
      </c>
      <c r="EG173" s="2" t="s">
        <v>89</v>
      </c>
      <c r="EH173" s="2" t="s">
        <v>89</v>
      </c>
      <c r="EI173" s="2">
        <v>10.563380281690099</v>
      </c>
      <c r="EJ173" s="2">
        <v>4.9295774647887303</v>
      </c>
      <c r="EK173" s="2">
        <v>8.4507042253521103</v>
      </c>
      <c r="EL173" s="2">
        <v>13.3802816901408</v>
      </c>
      <c r="EM173" s="2" t="s">
        <v>89</v>
      </c>
      <c r="EN173" s="2">
        <v>1</v>
      </c>
      <c r="EO173" s="2">
        <v>1</v>
      </c>
      <c r="EP173" s="2" t="s">
        <v>89</v>
      </c>
      <c r="EQ173" s="2" t="s">
        <v>89</v>
      </c>
      <c r="ER173" s="2" t="s">
        <v>89</v>
      </c>
      <c r="ES173" s="2" t="s">
        <v>89</v>
      </c>
      <c r="ET173" s="2" t="str">
        <f>HYPERLINK(".\links\REFSEQ-INVERTEBRATE\AGAP004885-PA-REFSEQ-INVERTEBRATE.txt","AGAP004885-PA")</f>
        <v>AGAP004885-PA</v>
      </c>
      <c r="EU173" s="2" t="str">
        <f>HYPERLINK("http://www.ncbi.nlm.nih.gov/sutils/blink.cgi?pid=XP_314297.3","1E-103")</f>
        <v>1E-103</v>
      </c>
      <c r="EV173" s="2" t="str">
        <f>HYPERLINK("http://www.ncbi.nlm.nih.gov/protein/XP_314297.3","XP_314297.3")</f>
        <v>XP_314297.3</v>
      </c>
      <c r="EW173" s="2">
        <v>100</v>
      </c>
      <c r="EX173" s="2">
        <v>100</v>
      </c>
      <c r="EY173" s="2">
        <v>100</v>
      </c>
      <c r="EZ173" s="2" t="s">
        <v>95</v>
      </c>
    </row>
    <row r="174" spans="1:156" x14ac:dyDescent="0.25">
      <c r="A174" s="2" t="s">
        <v>776</v>
      </c>
      <c r="B174" s="2">
        <v>-0.94232698140066995</v>
      </c>
      <c r="C174" s="2">
        <f t="shared" si="2"/>
        <v>0.52039284039664035</v>
      </c>
      <c r="D174" s="2">
        <v>7.1560105577279796</v>
      </c>
      <c r="E174" s="2">
        <v>15.020484165467099</v>
      </c>
      <c r="F174" s="2">
        <v>1.0635051940873701E-4</v>
      </c>
      <c r="G174" s="2">
        <v>9.28126213233464E-3</v>
      </c>
      <c r="H174" s="2" t="s">
        <v>777</v>
      </c>
      <c r="I174" s="2" t="s">
        <v>87</v>
      </c>
      <c r="J174" s="2" t="str">
        <f>HYPERLINK("https://vectorbase.org/vectorbase/app/record/gene/AGAP003372","AGAP003372-RB")</f>
        <v>AGAP003372-RB</v>
      </c>
      <c r="K174" s="2" t="str">
        <f>HYPERLINK(".\links\pep\AGAP003372-PB-pep.txt","AGAP003372-PB")</f>
        <v>AGAP003372-PB</v>
      </c>
      <c r="L174" s="12" t="s">
        <v>88</v>
      </c>
      <c r="M174" s="2">
        <v>248</v>
      </c>
      <c r="N174" s="2">
        <v>0</v>
      </c>
      <c r="O174" s="2">
        <v>2</v>
      </c>
      <c r="P174" s="2" t="s">
        <v>778</v>
      </c>
      <c r="Q174" s="9" t="s">
        <v>779</v>
      </c>
      <c r="R174" s="2" t="s">
        <v>91</v>
      </c>
      <c r="S174" s="2" t="str">
        <f>HYPERLINK(".\links\REFSEQ-INVERTEBRATE\AGAP003372-PB-REFSEQ-INVERTEBRATE.txt","REFSEQ-INVERTEBRATE")</f>
        <v>REFSEQ-INVERTEBRATE</v>
      </c>
      <c r="T174" s="2">
        <v>0</v>
      </c>
      <c r="U174" s="2">
        <v>100</v>
      </c>
      <c r="V174" s="2" t="s">
        <v>779</v>
      </c>
      <c r="W174" s="10" t="s">
        <v>780</v>
      </c>
      <c r="X174" s="2" t="s">
        <v>212</v>
      </c>
      <c r="Y174" s="2" t="str">
        <f>HYPERLINK(".\links\CDD\AGAP003372-PB-CDD.txt","CDD")</f>
        <v>CDD</v>
      </c>
      <c r="Z174" s="13">
        <v>3E-68</v>
      </c>
      <c r="AA174" s="2">
        <v>100.5</v>
      </c>
      <c r="AB174" s="14" t="s">
        <v>89</v>
      </c>
      <c r="AC174" s="14" t="str">
        <f>HYPERLINK(".\links\Sigp\AGAP003372-PB-SigP.txt","CYT")</f>
        <v>CYT</v>
      </c>
      <c r="AD174" s="2" t="s">
        <v>89</v>
      </c>
      <c r="AE174" s="2">
        <v>27.58</v>
      </c>
      <c r="AF174" s="2">
        <v>6.2</v>
      </c>
      <c r="AG174" s="2" t="s">
        <v>89</v>
      </c>
      <c r="AH174" s="2" t="s">
        <v>89</v>
      </c>
      <c r="AI174" s="2" t="s">
        <v>93</v>
      </c>
      <c r="AJ174" s="14">
        <v>0</v>
      </c>
      <c r="AK174" s="2" t="s">
        <v>89</v>
      </c>
      <c r="AL174" s="2" t="s">
        <v>89</v>
      </c>
      <c r="AM174" s="2" t="s">
        <v>89</v>
      </c>
      <c r="AN174" s="14" t="str">
        <f>HYPERLINK(".\links\gpi\AGAP003372-PB-gpi.txt","N")</f>
        <v>N</v>
      </c>
      <c r="AO174" s="15" t="str">
        <f>HYPERLINK(".\links\netoglyc\AGAP003372-PB-netoglyc.txt","2")</f>
        <v>2</v>
      </c>
      <c r="AP174" s="14">
        <v>12.5</v>
      </c>
      <c r="AQ174" s="2">
        <v>6</v>
      </c>
      <c r="AR174" s="2">
        <v>7.3</v>
      </c>
      <c r="AS174" s="2" t="s">
        <v>94</v>
      </c>
      <c r="AT174" s="9" t="str">
        <f>HYPERLINK(".\links\NR-LIGHT\AGAP003372-PB-NR-LIGHT.txt","AGAP003372-PB")</f>
        <v>AGAP003372-PB</v>
      </c>
      <c r="AU174" s="2" t="str">
        <f>HYPERLINK("http://www.ncbi.nlm.nih.gov/sutils/blink.cgi?pid=XP_003436463.1","1E-141")</f>
        <v>1E-141</v>
      </c>
      <c r="AV174" s="2" t="str">
        <f>HYPERLINK("http://www.ncbi.nlm.nih.gov/protein/XP_003436463.1","XP_003436463.1")</f>
        <v>XP_003436463.1</v>
      </c>
      <c r="AW174" s="2">
        <v>100</v>
      </c>
      <c r="AX174" s="2">
        <v>100</v>
      </c>
      <c r="AY174" s="2">
        <v>100</v>
      </c>
      <c r="AZ174" s="2" t="s">
        <v>95</v>
      </c>
      <c r="BA174" s="9" t="str">
        <f>HYPERLINK(".\links\REFSEQ-INVERTEBRATE\AGAP003372-PB-REFSEQ-INVERTEBRATE.txt","AGAP003372-PB")</f>
        <v>AGAP003372-PB</v>
      </c>
      <c r="BB174" s="2" t="str">
        <f>HYPERLINK("http://www.ncbi.nlm.nih.gov/sutils/blink.cgi?pid=XP_003436463.1","1E-141")</f>
        <v>1E-141</v>
      </c>
      <c r="BC174" s="2" t="str">
        <f>HYPERLINK("http://www.ncbi.nlm.nih.gov/protein/XP_003436463.1","XP_003436463.1")</f>
        <v>XP_003436463.1</v>
      </c>
      <c r="BD174" s="2">
        <v>100</v>
      </c>
      <c r="BE174" s="2">
        <v>100</v>
      </c>
      <c r="BF174" s="2">
        <v>100</v>
      </c>
      <c r="BG174" s="2" t="s">
        <v>95</v>
      </c>
      <c r="BH174" s="9" t="str">
        <f>HYPERLINK(".\links\REFSEQ-PROTOZOA\AGAP003372-PB-REFSEQ-PROTOZOA.txt","hypothetical protein SARC_08369, partial")</f>
        <v>hypothetical protein SARC_08369, partial</v>
      </c>
      <c r="BI174" s="2" t="str">
        <f>HYPERLINK("http://www.ncbi.nlm.nih.gov/sutils/blink.cgi?pid=XP_014153122.1","9E-044")</f>
        <v>9E-044</v>
      </c>
      <c r="BJ174" s="2" t="str">
        <f>HYPERLINK("http://www.ncbi.nlm.nih.gov/protein/XP_014153122.1","XP_014153122.1")</f>
        <v>XP_014153122.1</v>
      </c>
      <c r="BK174" s="2">
        <v>43</v>
      </c>
      <c r="BL174" s="2">
        <v>59</v>
      </c>
      <c r="BM174" s="2">
        <v>100</v>
      </c>
      <c r="BN174" s="2" t="s">
        <v>168</v>
      </c>
      <c r="BO174" s="9" t="str">
        <f>HYPERLINK(".\links\SWISSP\AGAP003372-PB-SWISSP.txt","Probable pseudouridine-5'-phosphatase")</f>
        <v>Probable pseudouridine-5'-phosphatase</v>
      </c>
      <c r="BP174" s="2" t="str">
        <f>HYPERLINK("http://www.uniprot.org/uniprot/Q94529","8E-068")</f>
        <v>8E-068</v>
      </c>
      <c r="BQ174" s="2" t="str">
        <f>HYPERLINK("http://www.uniprot.org/uniprot/Q94529#expression","Q94529")</f>
        <v>Q94529</v>
      </c>
      <c r="BR174" s="2">
        <v>57</v>
      </c>
      <c r="BS174" s="2">
        <v>69</v>
      </c>
      <c r="BT174" s="2">
        <v>97</v>
      </c>
      <c r="BU174" s="2" t="s">
        <v>151</v>
      </c>
      <c r="BV174" s="9" t="str">
        <f>HYPERLINK(".\links\FLYBASE\AGAP003372-PB-FLYBASE.txt","FBpp0110109")</f>
        <v>FBpp0110109</v>
      </c>
      <c r="BW174" s="2" t="str">
        <f>HYPERLINK("http://flybase.org/reports/FBgn0019982#alliance_summary_container","6E-97")</f>
        <v>6E-97</v>
      </c>
      <c r="BX174" s="2">
        <v>231</v>
      </c>
      <c r="BY174" s="2">
        <v>60</v>
      </c>
      <c r="BZ174" s="2">
        <v>72</v>
      </c>
      <c r="CA174" s="2">
        <v>98</v>
      </c>
      <c r="CB174" s="9" t="str">
        <f>HYPERLINK(".\links\CDD\AGAP003372-PB-CDD.txt","HAD_AtGPP-like, subfamily of beta-phosphoglucomutase-like family, similar to Arabidopsis thaliana Gpp1 and Gpp2")</f>
        <v>HAD_AtGPP-like, subfamily of beta-phosphoglucomutase-like family, similar to Arabidopsis thaliana Gpp1 and Gpp2</v>
      </c>
      <c r="CC174" s="13">
        <v>4.9999999999999996E-66</v>
      </c>
      <c r="CD174" s="2">
        <v>100</v>
      </c>
      <c r="CE174" s="2" t="s">
        <v>781</v>
      </c>
      <c r="CF174" s="2" t="s">
        <v>782</v>
      </c>
      <c r="CG174" s="9" t="str">
        <f>HYPERLINK(".\links\KOG\AGAP003372-PB-KOG.txt","Predicted haloacid-halidohydrolase and related hydrolases")</f>
        <v>Predicted haloacid-halidohydrolase and related hydrolases</v>
      </c>
      <c r="CH174" s="13">
        <v>9.0000000000000002E-64</v>
      </c>
      <c r="CI174" s="2">
        <v>97.3</v>
      </c>
      <c r="CJ174" s="2" t="s">
        <v>783</v>
      </c>
      <c r="CK174" s="2" t="s">
        <v>187</v>
      </c>
      <c r="CL174" s="9" t="str">
        <f>HYPERLINK(".\links\PFAM\AGAP003372-PB-PFAM.txt","HAD_2, Haloacid dehalogenase-like hydrolase")</f>
        <v>HAD_2, Haloacid dehalogenase-like hydrolase</v>
      </c>
      <c r="CM174" s="13">
        <v>1.0000000000000001E-18</v>
      </c>
      <c r="CN174" s="2">
        <v>107.9</v>
      </c>
      <c r="CO174" s="2" t="s">
        <v>784</v>
      </c>
      <c r="CP174" s="9" t="str">
        <f>HYPERLINK(".\links\SMART\AGAP003372-PB-SMART.txt","EB_dh, Ethylbenzene dehydrogenase")</f>
        <v>EB_dh, Ethylbenzene dehydrogenase</v>
      </c>
      <c r="CQ174" s="13">
        <v>5.3999999999999999E-2</v>
      </c>
      <c r="CR174" s="2">
        <v>43.1</v>
      </c>
      <c r="CS174" s="2" t="s">
        <v>785</v>
      </c>
      <c r="CT174" s="2" t="s">
        <v>779</v>
      </c>
      <c r="CU174" s="2" t="s">
        <v>779</v>
      </c>
      <c r="CV174" s="2" t="s">
        <v>779</v>
      </c>
      <c r="CW174" s="2" t="str">
        <f>HYPERLINK(".\links\pep\AGAP003372-PB-pep.txt","AGAP003372-PB")</f>
        <v>AGAP003372-PB</v>
      </c>
      <c r="CX174" s="2" t="s">
        <v>88</v>
      </c>
      <c r="CY174" s="2">
        <v>248</v>
      </c>
      <c r="CZ174" s="2" t="s">
        <v>103</v>
      </c>
      <c r="DA174" s="2" t="s">
        <v>786</v>
      </c>
      <c r="DB174" s="2">
        <v>0</v>
      </c>
      <c r="DC174" s="2">
        <v>2</v>
      </c>
      <c r="DD174" s="2" t="str">
        <f>HYPERLINK("https://www.kegg.jp/kegg-bin/search_pathway_text?map=aga&amp;keyword=AGAP003372&amp;mode=1&amp;viewImage=true","AGAP003372")</f>
        <v>AGAP003372</v>
      </c>
      <c r="DE174" s="2" t="s">
        <v>776</v>
      </c>
      <c r="DF174" s="2" t="s">
        <v>777</v>
      </c>
      <c r="DG174" s="2" t="s">
        <v>87</v>
      </c>
      <c r="DH174" s="2" t="str">
        <f>HYPERLINK("https://vectorbase.org/vectorbase/app/record/gene/AGAP003372","AGAP003372-RB")</f>
        <v>AGAP003372-RB</v>
      </c>
      <c r="DI174" s="2" t="s">
        <v>105</v>
      </c>
      <c r="DJ174" s="2">
        <v>1679</v>
      </c>
      <c r="DK174" s="2" t="str">
        <f>HYPERLINK(".\links\netoglyc\AGAP003372-PB-netoglyc.txt","2")</f>
        <v>2</v>
      </c>
      <c r="DL174" s="2">
        <v>12.5</v>
      </c>
      <c r="DM174" s="2">
        <v>6</v>
      </c>
      <c r="DN174" s="2">
        <v>7.3</v>
      </c>
      <c r="DO174" s="2" t="s">
        <v>94</v>
      </c>
      <c r="DP174" s="2" t="s">
        <v>89</v>
      </c>
      <c r="DQ174" s="2" t="str">
        <f>HYPERLINK(".\links\Sigp\AGAP003372-PB-SigP.txt","CYT")</f>
        <v>CYT</v>
      </c>
      <c r="DR174" s="2" t="s">
        <v>89</v>
      </c>
      <c r="DS174" s="2">
        <v>27.58</v>
      </c>
      <c r="DT174" s="2">
        <v>6.2</v>
      </c>
      <c r="DU174" s="2" t="s">
        <v>89</v>
      </c>
      <c r="DV174" s="2" t="s">
        <v>89</v>
      </c>
      <c r="DW174" s="2" t="s">
        <v>93</v>
      </c>
      <c r="DX174" s="2">
        <v>248</v>
      </c>
      <c r="DY174" s="12">
        <v>0</v>
      </c>
      <c r="DZ174" s="2" t="s">
        <v>89</v>
      </c>
      <c r="EA174" s="2" t="s">
        <v>89</v>
      </c>
      <c r="EB174" s="2" t="s">
        <v>89</v>
      </c>
      <c r="EC174" s="2" t="str">
        <f>HYPERLINK(".\links\gpi\AGAP003372-PB-gpi.txt","N")</f>
        <v>N</v>
      </c>
      <c r="ED174" s="2">
        <v>0.23</v>
      </c>
      <c r="EF174" s="2">
        <v>4</v>
      </c>
      <c r="EG174" s="2" t="s">
        <v>89</v>
      </c>
      <c r="EH174" s="2" t="s">
        <v>89</v>
      </c>
      <c r="EI174" s="2">
        <v>12.5</v>
      </c>
      <c r="EJ174" s="2">
        <v>7.2580645161290303</v>
      </c>
      <c r="EK174" s="2">
        <v>6.0483870967741904</v>
      </c>
      <c r="EL174" s="2">
        <v>13.306451612903199</v>
      </c>
      <c r="EM174" s="2" t="s">
        <v>89</v>
      </c>
      <c r="EN174" s="2" t="s">
        <v>89</v>
      </c>
      <c r="EO174" s="2" t="s">
        <v>89</v>
      </c>
      <c r="EP174" s="2" t="s">
        <v>89</v>
      </c>
      <c r="EQ174" s="2" t="s">
        <v>89</v>
      </c>
      <c r="ER174" s="2" t="s">
        <v>89</v>
      </c>
      <c r="ES174" s="2" t="s">
        <v>89</v>
      </c>
      <c r="ET174" s="2" t="str">
        <f>HYPERLINK(".\links\REFSEQ-INVERTEBRATE\AGAP003372-PB-REFSEQ-INVERTEBRATE.txt","AGAP003372-PB")</f>
        <v>AGAP003372-PB</v>
      </c>
      <c r="EU174" s="2" t="str">
        <f>HYPERLINK("http://www.ncbi.nlm.nih.gov/sutils/blink.cgi?pid=XP_003436463.1","0.0")</f>
        <v>0.0</v>
      </c>
      <c r="EV174" s="2" t="str">
        <f>HYPERLINK("http://www.ncbi.nlm.nih.gov/protein/XP_003436463.1","XP_003436463.1")</f>
        <v>XP_003436463.1</v>
      </c>
      <c r="EW174" s="2">
        <v>100</v>
      </c>
      <c r="EX174" s="2">
        <v>100</v>
      </c>
      <c r="EY174" s="2">
        <v>100</v>
      </c>
      <c r="EZ174" s="2" t="s">
        <v>95</v>
      </c>
    </row>
    <row r="175" spans="1:156" x14ac:dyDescent="0.25">
      <c r="A175" s="2" t="s">
        <v>1379</v>
      </c>
      <c r="B175" s="2">
        <v>-0.943013290238504</v>
      </c>
      <c r="C175" s="2">
        <f t="shared" si="2"/>
        <v>0.52014534161252124</v>
      </c>
      <c r="D175" s="2">
        <v>4.92519738372755</v>
      </c>
      <c r="E175" s="2">
        <v>19.113508287537002</v>
      </c>
      <c r="F175" s="2">
        <v>1.23170026458022E-5</v>
      </c>
      <c r="G175" s="2">
        <v>1.9573004055202302E-3</v>
      </c>
      <c r="H175" s="2" t="s">
        <v>86</v>
      </c>
      <c r="I175" s="2" t="s">
        <v>87</v>
      </c>
      <c r="J175" s="2" t="str">
        <f>HYPERLINK("https://vectorbase.org/vectorbase/app/record/gene/AGAP004903","AGAP004903-RA")</f>
        <v>AGAP004903-RA</v>
      </c>
      <c r="K175" s="2" t="str">
        <f>HYPERLINK(".\links\pep\AGAP004903-PA-pep.txt","AGAP004903-PA")</f>
        <v>AGAP004903-PA</v>
      </c>
      <c r="L175" s="12" t="s">
        <v>88</v>
      </c>
      <c r="M175" s="2">
        <v>240</v>
      </c>
      <c r="N175" s="2">
        <v>0</v>
      </c>
      <c r="O175" s="2">
        <v>3</v>
      </c>
      <c r="P175" s="2" t="s">
        <v>89</v>
      </c>
      <c r="Q175" s="9" t="s">
        <v>1380</v>
      </c>
      <c r="R175" s="2" t="s">
        <v>663</v>
      </c>
      <c r="S175" s="2" t="str">
        <f>HYPERLINK(".\links\REFSEQ-INVERTEBRATE\AGAP004903-PA-REFSEQ-INVERTEBRATE.txt","REFSEQ-INVERTEBRATE")</f>
        <v>REFSEQ-INVERTEBRATE</v>
      </c>
      <c r="T175" s="2">
        <v>8E-73</v>
      </c>
      <c r="U175" s="2">
        <v>85</v>
      </c>
      <c r="V175" s="2" t="s">
        <v>1381</v>
      </c>
      <c r="W175" s="10" t="s">
        <v>1382</v>
      </c>
      <c r="X175" s="2" t="s">
        <v>663</v>
      </c>
      <c r="Y175" s="2" t="str">
        <f>HYPERLINK(".\links\REFSEQ-INVERTEBRATE\AGAP004903-PA-REFSEQ-INVERTEBRATE.txt","REFSEQ-INVERTEBRATE")</f>
        <v>REFSEQ-INVERTEBRATE</v>
      </c>
      <c r="Z175" s="13">
        <v>0</v>
      </c>
      <c r="AA175" s="2">
        <v>102.5</v>
      </c>
      <c r="AB175" s="14" t="s">
        <v>89</v>
      </c>
      <c r="AC175" s="14" t="str">
        <f>HYPERLINK(".\links\Sigp\AGAP004903-PA-SigP.txt","BL")</f>
        <v>BL</v>
      </c>
      <c r="AD175" s="2" t="s">
        <v>1383</v>
      </c>
      <c r="AE175" s="2">
        <v>27.158000000000001</v>
      </c>
      <c r="AF175" s="2">
        <v>9.51</v>
      </c>
      <c r="AG175" s="2">
        <v>25.335000000000001</v>
      </c>
      <c r="AH175" s="2">
        <v>9.1999999999999993</v>
      </c>
      <c r="AI175" s="2" t="s">
        <v>1384</v>
      </c>
      <c r="AJ175" s="14" t="str">
        <f>HYPERLINK(".\links\tmhmm\AGAP004903-PA-tmhmm.txt","2")</f>
        <v>2</v>
      </c>
      <c r="AK175" s="2">
        <v>18.3</v>
      </c>
      <c r="AL175" s="2">
        <v>4.2</v>
      </c>
      <c r="AM175" s="2">
        <v>77.5</v>
      </c>
      <c r="AN175" s="14" t="str">
        <f>HYPERLINK(".\links\gpi\AGAP004903-PA-gpi.txt","N")</f>
        <v>N</v>
      </c>
      <c r="AO175" s="15" t="str">
        <f>HYPERLINK(".\links\netoglyc\AGAP004903-PA-netoglyc.txt","1")</f>
        <v>1</v>
      </c>
      <c r="AP175" s="14">
        <v>15.8</v>
      </c>
      <c r="AQ175" s="2">
        <v>5</v>
      </c>
      <c r="AR175" s="2">
        <v>6.3</v>
      </c>
      <c r="AS175" s="2" t="s">
        <v>94</v>
      </c>
      <c r="AT175" s="9" t="str">
        <f>HYPERLINK(".\links\NR-LIGHT\AGAP004903-PA-NR-LIGHT.txt","AGAP004903-PA")</f>
        <v>AGAP004903-PA</v>
      </c>
      <c r="AU175" s="2" t="str">
        <f>HYPERLINK("http://www.ncbi.nlm.nih.gov/sutils/blink.cgi?pid=XP_314994.4","1E-133")</f>
        <v>1E-133</v>
      </c>
      <c r="AV175" s="2" t="str">
        <f>HYPERLINK("http://www.ncbi.nlm.nih.gov/protein/XP_314994.4","XP_314994.4")</f>
        <v>XP_314994.4</v>
      </c>
      <c r="AW175" s="2">
        <v>100</v>
      </c>
      <c r="AX175" s="2">
        <v>100</v>
      </c>
      <c r="AY175" s="2">
        <v>100</v>
      </c>
      <c r="AZ175" s="2" t="s">
        <v>95</v>
      </c>
      <c r="BA175" s="9" t="str">
        <f>HYPERLINK(".\links\REFSEQ-INVERTEBRATE\AGAP004903-PA-REFSEQ-INVERTEBRATE.txt","AGAP004903-PA")</f>
        <v>AGAP004903-PA</v>
      </c>
      <c r="BB175" s="2" t="str">
        <f>HYPERLINK("http://www.ncbi.nlm.nih.gov/sutils/blink.cgi?pid=XP_314994.4","1E-133")</f>
        <v>1E-133</v>
      </c>
      <c r="BC175" s="2" t="str">
        <f>HYPERLINK("http://www.ncbi.nlm.nih.gov/protein/XP_314994.4","XP_314994.4")</f>
        <v>XP_314994.4</v>
      </c>
      <c r="BD175" s="2">
        <v>100</v>
      </c>
      <c r="BE175" s="2">
        <v>100</v>
      </c>
      <c r="BF175" s="2">
        <v>100</v>
      </c>
      <c r="BG175" s="2" t="s">
        <v>95</v>
      </c>
      <c r="BH175" s="9" t="str">
        <f>HYPERLINK(".\links\REFSEQ-PROTOZOA\AGAP004903-PA-REFSEQ-PROTOZOA.txt","hypothetical protein CAOG_04747")</f>
        <v>hypothetical protein CAOG_04747</v>
      </c>
      <c r="BI175" s="2" t="str">
        <f>HYPERLINK("http://www.ncbi.nlm.nih.gov/sutils/blink.cgi?pid=XP_004347498.1","1E-009")</f>
        <v>1E-009</v>
      </c>
      <c r="BJ175" s="2" t="str">
        <f>HYPERLINK("http://www.ncbi.nlm.nih.gov/protein/XP_004347498.1","XP_004347498.1")</f>
        <v>XP_004347498.1</v>
      </c>
      <c r="BK175" s="2">
        <v>32</v>
      </c>
      <c r="BL175" s="2">
        <v>46</v>
      </c>
      <c r="BM175" s="2">
        <v>65</v>
      </c>
      <c r="BN175" s="2" t="s">
        <v>150</v>
      </c>
      <c r="BO175" s="9" t="str">
        <f>HYPERLINK(".\links\SWISSP\AGAP004903-PA-SWISSP.txt","Transmembrane protein 70 homolog, mitochondrial")</f>
        <v>Transmembrane protein 70 homolog, mitochondrial</v>
      </c>
      <c r="BP175" s="2" t="str">
        <f>HYPERLINK("http://www.uniprot.org/uniprot/Q95SS8","3E-055")</f>
        <v>3E-055</v>
      </c>
      <c r="BQ175" s="2" t="str">
        <f>HYPERLINK("http://www.uniprot.org/uniprot/Q95SS8#expression","Q95SS8")</f>
        <v>Q95SS8</v>
      </c>
      <c r="BR175" s="2">
        <v>48</v>
      </c>
      <c r="BS175" s="2">
        <v>64</v>
      </c>
      <c r="BT175" s="2">
        <v>100</v>
      </c>
      <c r="BU175" s="2" t="s">
        <v>151</v>
      </c>
      <c r="BV175" s="9" t="str">
        <f>HYPERLINK(".\links\FLYBASE\AGAP004903-PA-FLYBASE.txt","FBpp0076533")</f>
        <v>FBpp0076533</v>
      </c>
      <c r="BW175" s="2" t="str">
        <f>HYPERLINK("http://flybase.org/reports/FBgn0035805#alliance_summary_container","1E-70")</f>
        <v>1E-70</v>
      </c>
      <c r="BX175" s="2">
        <v>236</v>
      </c>
      <c r="BY175" s="2">
        <v>56</v>
      </c>
      <c r="BZ175" s="2">
        <v>73</v>
      </c>
      <c r="CA175" s="2">
        <v>76</v>
      </c>
      <c r="CB175" s="9" t="str">
        <f>HYPERLINK(".\links\CDD\AGAP004903-PA-CDD.txt","TMEM70, Assembly, mitochondrial proton-transport ATP synth complex")</f>
        <v>TMEM70, Assembly, mitochondrial proton-transport ATP synth complex</v>
      </c>
      <c r="CC175" s="13">
        <v>5.9999999999999997E-46</v>
      </c>
      <c r="CD175" s="2">
        <v>100</v>
      </c>
      <c r="CE175" s="2" t="s">
        <v>1385</v>
      </c>
      <c r="CF175" s="2" t="s">
        <v>1386</v>
      </c>
      <c r="CG175" s="9" t="str">
        <f>HYPERLINK(".\links\KOG\AGAP004903-PA-KOG.txt","Uncharacterized membrane protein")</f>
        <v>Uncharacterized membrane protein</v>
      </c>
      <c r="CH175" s="13">
        <v>1E-41</v>
      </c>
      <c r="CI175" s="2">
        <v>75.099999999999994</v>
      </c>
      <c r="CJ175" s="2" t="s">
        <v>1387</v>
      </c>
      <c r="CK175" s="2" t="s">
        <v>101</v>
      </c>
      <c r="CL175" s="9" t="str">
        <f>HYPERLINK(".\links\PFAM\AGAP004903-PA-PFAM.txt","TMEM70, Assembly, mitochondrial proton-transport ATP synth complex")</f>
        <v>TMEM70, Assembly, mitochondrial proton-transport ATP synth complex</v>
      </c>
      <c r="CM175" s="13">
        <v>1E-46</v>
      </c>
      <c r="CN175" s="2">
        <v>100</v>
      </c>
      <c r="CO175" s="2" t="s">
        <v>1385</v>
      </c>
      <c r="CP175" s="9" t="str">
        <f>HYPERLINK(".\links\SMART\AGAP004903-PA-SMART.txt","RNB, This domain is the catalytic domain of ribonuclease II")</f>
        <v>RNB, This domain is the catalytic domain of ribonuclease II</v>
      </c>
      <c r="CQ175" s="13">
        <v>0.24</v>
      </c>
      <c r="CR175" s="2">
        <v>10.1</v>
      </c>
      <c r="CS175" s="2" t="s">
        <v>1388</v>
      </c>
      <c r="CT175" s="2" t="s">
        <v>1381</v>
      </c>
      <c r="CU175" s="2" t="s">
        <v>1381</v>
      </c>
      <c r="CV175" s="2" t="s">
        <v>1381</v>
      </c>
      <c r="CW175" s="2" t="str">
        <f>HYPERLINK(".\links\pep\AGAP004903-PA-pep.txt","AGAP004903-PA")</f>
        <v>AGAP004903-PA</v>
      </c>
      <c r="CX175" s="2" t="s">
        <v>88</v>
      </c>
      <c r="CY175" s="2">
        <v>240</v>
      </c>
      <c r="CZ175" s="2" t="s">
        <v>103</v>
      </c>
      <c r="DA175" s="2" t="s">
        <v>1389</v>
      </c>
      <c r="DB175" s="2">
        <v>0</v>
      </c>
      <c r="DC175" s="2">
        <v>3</v>
      </c>
      <c r="DD175" s="2" t="str">
        <f>HYPERLINK("https://www.kegg.jp/kegg-bin/search_pathway_text?map=aga&amp;keyword=AGAP004903&amp;mode=1&amp;viewImage=true","AGAP004903")</f>
        <v>AGAP004903</v>
      </c>
      <c r="DE175" s="2" t="s">
        <v>1379</v>
      </c>
      <c r="DF175" s="2" t="s">
        <v>86</v>
      </c>
      <c r="DG175" s="2" t="s">
        <v>87</v>
      </c>
      <c r="DH175" s="2" t="str">
        <f>HYPERLINK("https://vectorbase.org/vectorbase/app/record/gene/AGAP004903","AGAP004903-RA")</f>
        <v>AGAP004903-RA</v>
      </c>
      <c r="DI175" s="2" t="s">
        <v>105</v>
      </c>
      <c r="DJ175" s="2">
        <v>843</v>
      </c>
      <c r="DK175" s="2" t="str">
        <f>HYPERLINK(".\links\netoglyc\AGAP004903-PA-netoglyc.txt","1")</f>
        <v>1</v>
      </c>
      <c r="DL175" s="2">
        <v>15.8</v>
      </c>
      <c r="DM175" s="2">
        <v>5</v>
      </c>
      <c r="DN175" s="2">
        <v>6.3</v>
      </c>
      <c r="DO175" s="2" t="s">
        <v>94</v>
      </c>
      <c r="DP175" s="2" t="s">
        <v>89</v>
      </c>
      <c r="DQ175" s="2" t="str">
        <f>HYPERLINK(".\links\Sigp\AGAP004903-PA-SigP.txt","BL")</f>
        <v>BL</v>
      </c>
      <c r="DR175" s="2" t="s">
        <v>1383</v>
      </c>
      <c r="DS175" s="2">
        <v>27.158000000000001</v>
      </c>
      <c r="DT175" s="2">
        <v>9.51</v>
      </c>
      <c r="DU175" s="2">
        <v>25.335000000000001</v>
      </c>
      <c r="DV175" s="2">
        <v>9.1999999999999993</v>
      </c>
      <c r="DW175" s="2" t="s">
        <v>1384</v>
      </c>
      <c r="DX175" s="2">
        <v>240</v>
      </c>
      <c r="DY175" s="12" t="str">
        <f>HYPERLINK(".\links\tmhmm\AGAP004903-PA-tmhmm.txt","2")</f>
        <v>2</v>
      </c>
      <c r="DZ175" s="2">
        <v>18.3</v>
      </c>
      <c r="EA175" s="2">
        <v>4.2</v>
      </c>
      <c r="EB175" s="2">
        <v>77.5</v>
      </c>
      <c r="EC175" s="2" t="str">
        <f>HYPERLINK(".\links\gpi\AGAP004903-PA-gpi.txt","N")</f>
        <v>N</v>
      </c>
      <c r="ED175" s="2">
        <v>0.22</v>
      </c>
      <c r="EF175" s="2">
        <v>3</v>
      </c>
      <c r="EG175" s="2" t="s">
        <v>89</v>
      </c>
      <c r="EH175" s="2" t="s">
        <v>89</v>
      </c>
      <c r="EI175" s="2">
        <v>15.8333333333333</v>
      </c>
      <c r="EJ175" s="2">
        <v>6.25</v>
      </c>
      <c r="EK175" s="2">
        <v>5</v>
      </c>
      <c r="EL175" s="2">
        <v>11.25</v>
      </c>
      <c r="EM175" s="2" t="s">
        <v>89</v>
      </c>
      <c r="EN175" s="2" t="s">
        <v>89</v>
      </c>
      <c r="EO175" s="2" t="s">
        <v>89</v>
      </c>
      <c r="EP175" s="2" t="s">
        <v>89</v>
      </c>
      <c r="EQ175" s="2" t="s">
        <v>89</v>
      </c>
      <c r="ER175" s="2" t="s">
        <v>89</v>
      </c>
      <c r="ES175" s="2" t="s">
        <v>89</v>
      </c>
      <c r="ET175" s="2" t="str">
        <f>HYPERLINK(".\links\REFSEQ-INVERTEBRATE\AGAP004903-PA-REFSEQ-INVERTEBRATE.txt","AGAP004903-PA")</f>
        <v>AGAP004903-PA</v>
      </c>
      <c r="EU175" s="2" t="str">
        <f>HYPERLINK("http://www.ncbi.nlm.nih.gov/sutils/blink.cgi?pid=XP_314994.4","1E-179")</f>
        <v>1E-179</v>
      </c>
      <c r="EV175" s="2" t="str">
        <f>HYPERLINK("http://www.ncbi.nlm.nih.gov/protein/XP_314994.4","XP_314994.4")</f>
        <v>XP_314994.4</v>
      </c>
      <c r="EW175" s="2">
        <v>100</v>
      </c>
      <c r="EX175" s="2">
        <v>100</v>
      </c>
      <c r="EY175" s="2">
        <v>100</v>
      </c>
      <c r="EZ175" s="2" t="s">
        <v>95</v>
      </c>
    </row>
    <row r="176" spans="1:156" x14ac:dyDescent="0.25">
      <c r="A176" s="2" t="s">
        <v>2049</v>
      </c>
      <c r="B176" s="2">
        <v>-0.94693535149649699</v>
      </c>
      <c r="C176" s="2">
        <f t="shared" si="2"/>
        <v>0.51873321267860883</v>
      </c>
      <c r="D176" s="2">
        <v>6.8266168725686498</v>
      </c>
      <c r="E176" s="2">
        <v>18.081122689799699</v>
      </c>
      <c r="F176" s="2">
        <v>2.11689815737449E-5</v>
      </c>
      <c r="G176" s="2">
        <v>2.9270928157878202E-3</v>
      </c>
      <c r="H176" s="2" t="s">
        <v>2050</v>
      </c>
      <c r="I176" s="2" t="s">
        <v>87</v>
      </c>
      <c r="J176" s="2" t="str">
        <f>HYPERLINK("https://vectorbase.org/vectorbase/app/record/gene/AGAP008208","AGAP008208-RA")</f>
        <v>AGAP008208-RA</v>
      </c>
      <c r="K176" s="2" t="str">
        <f>HYPERLINK(".\links\pep\AGAP008208-PA-pep.txt","AGAP008208-PA")</f>
        <v>AGAP008208-PA</v>
      </c>
      <c r="L176" s="12" t="s">
        <v>88</v>
      </c>
      <c r="M176" s="2">
        <v>504</v>
      </c>
      <c r="N176" s="2">
        <v>0</v>
      </c>
      <c r="O176" s="2">
        <v>3</v>
      </c>
      <c r="P176" s="2" t="s">
        <v>2051</v>
      </c>
      <c r="Q176" s="9" t="s">
        <v>2052</v>
      </c>
      <c r="R176" s="2" t="s">
        <v>2053</v>
      </c>
      <c r="S176" s="2" t="str">
        <f>HYPERLINK(".\links\PFAM\AGAP008208-PA-PFAM.txt","PFAM")</f>
        <v>PFAM</v>
      </c>
      <c r="T176" s="2">
        <v>8.0000000000000003E-84</v>
      </c>
      <c r="U176" s="2">
        <v>104.1</v>
      </c>
      <c r="V176" s="2" t="s">
        <v>2054</v>
      </c>
      <c r="W176" s="10" t="s">
        <v>2055</v>
      </c>
      <c r="X176" s="2" t="s">
        <v>2053</v>
      </c>
      <c r="Y176" s="2" t="str">
        <f>HYPERLINK(".\links\REFSEQVERTEBRATE95\AGAP008208-PA-REFSEQVERTEBRATE95.txt","REFSEQVERTEBRATE95")</f>
        <v>REFSEQVERTEBRATE95</v>
      </c>
      <c r="Z176" s="13">
        <v>0</v>
      </c>
      <c r="AA176" s="2">
        <v>99</v>
      </c>
      <c r="AB176" s="14" t="str">
        <f>HYPERLINK(".\links\pep\AGAP008208-PA-sulf.txt","1")</f>
        <v>1</v>
      </c>
      <c r="AC176" s="14" t="str">
        <f>HYPERLINK(".\links\Sigp\AGAP008208-PA-SigP.txt","SIG")</f>
        <v>SIG</v>
      </c>
      <c r="AD176" s="2" t="s">
        <v>877</v>
      </c>
      <c r="AE176" s="2">
        <v>58.511000000000003</v>
      </c>
      <c r="AF176" s="2">
        <v>8.39</v>
      </c>
      <c r="AG176" s="2">
        <v>56.640999999999998</v>
      </c>
      <c r="AH176" s="2">
        <v>8.44</v>
      </c>
      <c r="AI176" s="2" t="s">
        <v>2056</v>
      </c>
      <c r="AJ176" s="14" t="str">
        <f>HYPERLINK(".\links\tmhmm\AGAP008208-PA-tmhmm.txt","2")</f>
        <v>2</v>
      </c>
      <c r="AK176" s="2">
        <v>6.7</v>
      </c>
      <c r="AL176" s="2">
        <v>83.9</v>
      </c>
      <c r="AM176" s="2">
        <v>9.3000000000000007</v>
      </c>
      <c r="AN176" s="14" t="str">
        <f>HYPERLINK(".\links\gpi\AGAP008208-PA-gpi.txt","N")</f>
        <v>N</v>
      </c>
      <c r="AO176" s="15" t="str">
        <f>HYPERLINK(".\links\netoglyc\AGAP008208-PA-netoglyc.txt","0")</f>
        <v>0</v>
      </c>
      <c r="AP176" s="14">
        <v>9.3000000000000007</v>
      </c>
      <c r="AQ176" s="2">
        <v>5.4</v>
      </c>
      <c r="AR176" s="2">
        <v>5.2</v>
      </c>
      <c r="AS176" s="2" t="s">
        <v>94</v>
      </c>
      <c r="AT176" s="9" t="str">
        <f>HYPERLINK(".\links\NR-LIGHT\AGAP008208-PA-NR-LIGHT.txt","AGAP008208-PA")</f>
        <v>AGAP008208-PA</v>
      </c>
      <c r="AU176" s="2" t="str">
        <f>HYPERLINK("http://www.ncbi.nlm.nih.gov/sutils/blink.cgi?pid=XP_317260.1","0.0")</f>
        <v>0.0</v>
      </c>
      <c r="AV176" s="2" t="str">
        <f>HYPERLINK("http://www.ncbi.nlm.nih.gov/protein/XP_317260.1","XP_317260.1")</f>
        <v>XP_317260.1</v>
      </c>
      <c r="AW176" s="2">
        <v>100</v>
      </c>
      <c r="AX176" s="2">
        <v>100</v>
      </c>
      <c r="AY176" s="2">
        <v>100</v>
      </c>
      <c r="AZ176" s="2" t="s">
        <v>95</v>
      </c>
      <c r="BA176" s="9" t="str">
        <f>HYPERLINK(".\links\REFSEQ-INVERTEBRATE\AGAP008208-PA-REFSEQ-INVERTEBRATE.txt","AGAP008208-PA")</f>
        <v>AGAP008208-PA</v>
      </c>
      <c r="BB176" s="2" t="str">
        <f>HYPERLINK("http://www.ncbi.nlm.nih.gov/sutils/blink.cgi?pid=XP_317260.1","0.0")</f>
        <v>0.0</v>
      </c>
      <c r="BC176" s="2" t="str">
        <f>HYPERLINK("http://www.ncbi.nlm.nih.gov/protein/XP_317260.1","XP_317260.1")</f>
        <v>XP_317260.1</v>
      </c>
      <c r="BD176" s="2">
        <v>100</v>
      </c>
      <c r="BE176" s="2">
        <v>100</v>
      </c>
      <c r="BF176" s="2">
        <v>100</v>
      </c>
      <c r="BG176" s="2" t="s">
        <v>95</v>
      </c>
      <c r="BH176" s="9" t="str">
        <f>HYPERLINK(".\links\REFSEQ-PROTOZOA\AGAP008208-PA-REFSEQ-PROTOZOA.txt","cytochrome p450")</f>
        <v>cytochrome p450</v>
      </c>
      <c r="BI176" s="2" t="str">
        <f>HYPERLINK("http://www.ncbi.nlm.nih.gov/sutils/blink.cgi?pid=XP_005704852.1","3E-040")</f>
        <v>3E-040</v>
      </c>
      <c r="BJ176" s="2" t="str">
        <f>HYPERLINK("http://www.ncbi.nlm.nih.gov/protein/XP_005704852.1","XP_005704852.1")</f>
        <v>XP_005704852.1</v>
      </c>
      <c r="BK176" s="2">
        <v>26</v>
      </c>
      <c r="BL176" s="2">
        <v>46</v>
      </c>
      <c r="BM176" s="2">
        <v>94</v>
      </c>
      <c r="BN176" s="2" t="s">
        <v>96</v>
      </c>
      <c r="BO176" s="9" t="str">
        <f>HYPERLINK(".\links\SWISSP\AGAP008208-PA-SWISSP.txt","Cytochrome P450 6a8")</f>
        <v>Cytochrome P450 6a8</v>
      </c>
      <c r="BP176" s="2" t="str">
        <f>HYPERLINK("http://www.uniprot.org/uniprot/Q27593","1E-124")</f>
        <v>1E-124</v>
      </c>
      <c r="BQ176" s="2" t="str">
        <f>HYPERLINK("http://www.uniprot.org/uniprot/Q27593#expression","Q27593")</f>
        <v>Q27593</v>
      </c>
      <c r="BR176" s="2">
        <v>42</v>
      </c>
      <c r="BS176" s="2">
        <v>65</v>
      </c>
      <c r="BT176" s="2">
        <v>99</v>
      </c>
      <c r="BU176" s="2" t="s">
        <v>151</v>
      </c>
      <c r="BV176" s="9" t="str">
        <f>HYPERLINK(".\links\FLYBASE\AGAP008208-PA-FLYBASE.txt","FBpp0086585")</f>
        <v>FBpp0086585</v>
      </c>
      <c r="BW176" s="2" t="str">
        <f>HYPERLINK("http://flybase.org/reports/FBgn0013772#alliance_summary_container","1E-157")</f>
        <v>1E-157</v>
      </c>
      <c r="BX176" s="2">
        <v>506</v>
      </c>
      <c r="BY176" s="2">
        <v>42</v>
      </c>
      <c r="BZ176" s="2">
        <v>65</v>
      </c>
      <c r="CA176" s="2">
        <v>99</v>
      </c>
      <c r="CB176" s="9" t="str">
        <f>HYPERLINK(".\links\CDD\AGAP008208-PA-CDD.txt","p450, Cytochrome P450")</f>
        <v>p450, Cytochrome P450</v>
      </c>
      <c r="CC176" s="13">
        <v>4.0000000000000001E-83</v>
      </c>
      <c r="CD176" s="2">
        <v>104.1</v>
      </c>
      <c r="CE176" s="2" t="s">
        <v>2057</v>
      </c>
      <c r="CF176" s="2" t="s">
        <v>2058</v>
      </c>
      <c r="CG176" s="9" t="str">
        <f>HYPERLINK(".\links\KOG\AGAP008208-PA-KOG.txt","Cytochrome P450 CYP3/CYP5/CYP6/CYP9 subfamilies")</f>
        <v>Cytochrome P450 CYP3/CYP5/CYP6/CYP9 subfamilies</v>
      </c>
      <c r="CH176" s="13">
        <v>1.0000000000000001E-158</v>
      </c>
      <c r="CI176" s="2">
        <v>100.8</v>
      </c>
      <c r="CJ176" s="2" t="s">
        <v>2059</v>
      </c>
      <c r="CK176" s="2" t="s">
        <v>2060</v>
      </c>
      <c r="CL176" s="9" t="str">
        <f>HYPERLINK(".\links\PFAM\AGAP008208-PA-PFAM.txt","p450, Cytochrome P450")</f>
        <v>p450, Cytochrome P450</v>
      </c>
      <c r="CM176" s="13">
        <v>8.0000000000000003E-84</v>
      </c>
      <c r="CN176" s="2">
        <v>104.1</v>
      </c>
      <c r="CO176" s="2" t="s">
        <v>2057</v>
      </c>
      <c r="CP176" s="9" t="str">
        <f>HYPERLINK(".\links\SMART\AGAP008208-PA-SMART.txt","B561, Cytochrome b-561 / ferric reductase transmembrane domain")</f>
        <v>B561, Cytochrome b-561 / ferric reductase transmembrane domain</v>
      </c>
      <c r="CQ176" s="13">
        <v>0.22</v>
      </c>
      <c r="CR176" s="2">
        <v>24</v>
      </c>
      <c r="CS176" s="2" t="s">
        <v>813</v>
      </c>
      <c r="CT176" s="2" t="s">
        <v>2054</v>
      </c>
      <c r="CU176" s="2" t="s">
        <v>2054</v>
      </c>
      <c r="CV176" s="2" t="s">
        <v>2054</v>
      </c>
      <c r="CW176" s="2" t="str">
        <f>HYPERLINK(".\links\pep\AGAP008208-PA-pep.txt","AGAP008208-PA")</f>
        <v>AGAP008208-PA</v>
      </c>
      <c r="CX176" s="2" t="s">
        <v>88</v>
      </c>
      <c r="CY176" s="2">
        <v>504</v>
      </c>
      <c r="CZ176" s="2" t="s">
        <v>103</v>
      </c>
      <c r="DA176" s="2" t="s">
        <v>2061</v>
      </c>
      <c r="DB176" s="2">
        <v>0</v>
      </c>
      <c r="DC176" s="2">
        <v>3</v>
      </c>
      <c r="DD176" s="2" t="str">
        <f>HYPERLINK("https://www.kegg.jp/kegg-bin/search_pathway_text?map=aga&amp;keyword=AGAP008208&amp;mode=1&amp;viewImage=true","AGAP008208")</f>
        <v>AGAP008208</v>
      </c>
      <c r="DE176" s="2" t="s">
        <v>2049</v>
      </c>
      <c r="DF176" s="2" t="s">
        <v>2050</v>
      </c>
      <c r="DG176" s="2" t="s">
        <v>87</v>
      </c>
      <c r="DH176" s="2" t="str">
        <f>HYPERLINK("https://vectorbase.org/vectorbase/app/record/gene/AGAP008208","AGAP008208-RA")</f>
        <v>AGAP008208-RA</v>
      </c>
      <c r="DI176" s="2" t="s">
        <v>158</v>
      </c>
      <c r="DJ176" s="2">
        <v>1635</v>
      </c>
      <c r="DK176" s="2" t="str">
        <f>HYPERLINK(".\links\netoglyc\AGAP008208-PA-netoglyc.txt","0")</f>
        <v>0</v>
      </c>
      <c r="DL176" s="2">
        <v>9.3000000000000007</v>
      </c>
      <c r="DM176" s="2">
        <v>5.4</v>
      </c>
      <c r="DN176" s="2">
        <v>5.2</v>
      </c>
      <c r="DO176" s="2" t="s">
        <v>94</v>
      </c>
      <c r="DP176" s="2" t="s">
        <v>89</v>
      </c>
      <c r="DQ176" s="2" t="str">
        <f>HYPERLINK(".\links\Sigp\AGAP008208-PA-SigP.txt","SIG")</f>
        <v>SIG</v>
      </c>
      <c r="DR176" s="2" t="s">
        <v>877</v>
      </c>
      <c r="DS176" s="2">
        <v>58.511000000000003</v>
      </c>
      <c r="DT176" s="2">
        <v>8.39</v>
      </c>
      <c r="DU176" s="2">
        <v>56.640999999999998</v>
      </c>
      <c r="DV176" s="2">
        <v>8.44</v>
      </c>
      <c r="DW176" s="2" t="s">
        <v>2056</v>
      </c>
      <c r="DX176" s="2">
        <v>504</v>
      </c>
      <c r="DY176" s="12" t="str">
        <f>HYPERLINK(".\links\tmhmm\AGAP008208-PA-tmhmm.txt","2")</f>
        <v>2</v>
      </c>
      <c r="DZ176" s="2">
        <v>6.7</v>
      </c>
      <c r="EA176" s="2">
        <v>83.9</v>
      </c>
      <c r="EB176" s="2">
        <v>9.3000000000000007</v>
      </c>
      <c r="EC176" s="2" t="str">
        <f>HYPERLINK(".\links\gpi\AGAP008208-PA-gpi.txt","N")</f>
        <v>N</v>
      </c>
      <c r="ED176" s="2">
        <v>0.22</v>
      </c>
      <c r="EF176" s="2">
        <v>10</v>
      </c>
      <c r="EG176" s="2" t="str">
        <f>HYPERLINK(".\links\pep\AGAP008208-PA-sulf.txt","1")</f>
        <v>1</v>
      </c>
      <c r="EH176" s="2" t="s">
        <v>89</v>
      </c>
      <c r="EI176" s="2">
        <v>9.3253968253968296</v>
      </c>
      <c r="EJ176" s="2">
        <v>5.1587301587301599</v>
      </c>
      <c r="EK176" s="2">
        <v>5.3571428571428603</v>
      </c>
      <c r="EL176" s="2">
        <v>10.515873015873</v>
      </c>
      <c r="EM176" s="2" t="s">
        <v>89</v>
      </c>
      <c r="EN176" s="2" t="s">
        <v>89</v>
      </c>
      <c r="EO176" s="2" t="s">
        <v>89</v>
      </c>
      <c r="EP176" s="2" t="s">
        <v>89</v>
      </c>
      <c r="EQ176" s="2" t="s">
        <v>89</v>
      </c>
      <c r="ER176" s="2" t="s">
        <v>89</v>
      </c>
      <c r="ES176" s="2" t="s">
        <v>89</v>
      </c>
      <c r="ET176" s="2" t="str">
        <f>HYPERLINK(".\links\REFSEQ-INVERTEBRATE\AGAP008208-PA-REFSEQ-INVERTEBRATE.txt","AGAP008208-PA")</f>
        <v>AGAP008208-PA</v>
      </c>
      <c r="EU176" s="2" t="str">
        <f>HYPERLINK("http://www.ncbi.nlm.nih.gov/sutils/blink.cgi?pid=XP_317260.1","0.0")</f>
        <v>0.0</v>
      </c>
      <c r="EV176" s="2" t="str">
        <f>HYPERLINK("http://www.ncbi.nlm.nih.gov/protein/XP_317260.1","XP_317260.1")</f>
        <v>XP_317260.1</v>
      </c>
      <c r="EW176" s="2">
        <v>100</v>
      </c>
      <c r="EX176" s="2">
        <v>100</v>
      </c>
      <c r="EY176" s="2">
        <v>100</v>
      </c>
      <c r="EZ176" s="2" t="s">
        <v>95</v>
      </c>
    </row>
    <row r="177" spans="1:156" x14ac:dyDescent="0.25">
      <c r="A177" s="2" t="s">
        <v>897</v>
      </c>
      <c r="B177" s="2">
        <v>-0.95113631414075295</v>
      </c>
      <c r="C177" s="2">
        <f t="shared" si="2"/>
        <v>0.5172249180599231</v>
      </c>
      <c r="D177" s="2">
        <v>4.0331866943165799</v>
      </c>
      <c r="E177" s="2">
        <v>12.184194885597799</v>
      </c>
      <c r="F177" s="2">
        <v>4.8196136585465098E-4</v>
      </c>
      <c r="G177" s="2">
        <v>2.5657213311272398E-2</v>
      </c>
      <c r="H177" s="2" t="s">
        <v>898</v>
      </c>
      <c r="I177" s="2" t="s">
        <v>87</v>
      </c>
      <c r="J177" s="2" t="str">
        <f>HYPERLINK("https://vectorbase.org/vectorbase/app/record/gene/AGAP003567","AGAP003567-RA")</f>
        <v>AGAP003567-RA</v>
      </c>
      <c r="K177" s="2" t="str">
        <f>HYPERLINK(".\links\pep\AGAP003567-PA-pep.txt","AGAP003567-PA")</f>
        <v>AGAP003567-PA</v>
      </c>
      <c r="L177" s="12" t="s">
        <v>88</v>
      </c>
      <c r="M177" s="2">
        <v>90</v>
      </c>
      <c r="N177" s="2">
        <v>0</v>
      </c>
      <c r="O177" s="2">
        <v>1</v>
      </c>
      <c r="P177" s="2" t="s">
        <v>899</v>
      </c>
      <c r="Q177" s="9" t="s">
        <v>900</v>
      </c>
      <c r="R177" s="2" t="s">
        <v>91</v>
      </c>
      <c r="S177" s="2" t="str">
        <f>HYPERLINK(".\links\REFSEQ-INVERTEBRATE\AGAP003567-PA-REFSEQ-INVERTEBRATE.txt","REFSEQ-INVERTEBRATE")</f>
        <v>REFSEQ-INVERTEBRATE</v>
      </c>
      <c r="T177" s="2">
        <v>1.0000000000000001E-43</v>
      </c>
      <c r="U177" s="2">
        <v>100</v>
      </c>
      <c r="V177" s="2" t="s">
        <v>900</v>
      </c>
      <c r="W177" s="10" t="s">
        <v>901</v>
      </c>
      <c r="X177" s="2" t="s">
        <v>902</v>
      </c>
      <c r="Y177" s="2" t="str">
        <f>HYPERLINK(".\links\ARTHORPODA\AGAP003567-PA-ARTHORPODA.txt","ARTHORPODA")</f>
        <v>ARTHORPODA</v>
      </c>
      <c r="Z177" s="13">
        <v>4.0000000000000001E-58</v>
      </c>
      <c r="AA177" s="2">
        <v>100</v>
      </c>
      <c r="AB177" s="14" t="s">
        <v>89</v>
      </c>
      <c r="AC177" s="14" t="str">
        <f>HYPERLINK(".\links\Sigp\AGAP003567-PA-SigP.txt","CYT")</f>
        <v>CYT</v>
      </c>
      <c r="AD177" s="2" t="s">
        <v>89</v>
      </c>
      <c r="AE177" s="2">
        <v>9.3889999999999993</v>
      </c>
      <c r="AF177" s="2">
        <v>5.07</v>
      </c>
      <c r="AG177" s="2" t="s">
        <v>89</v>
      </c>
      <c r="AH177" s="2" t="s">
        <v>89</v>
      </c>
      <c r="AI177" s="2" t="s">
        <v>903</v>
      </c>
      <c r="AJ177" s="14">
        <v>0</v>
      </c>
      <c r="AK177" s="2" t="s">
        <v>89</v>
      </c>
      <c r="AL177" s="2" t="s">
        <v>89</v>
      </c>
      <c r="AM177" s="2" t="s">
        <v>89</v>
      </c>
      <c r="AN177" s="14" t="str">
        <f>HYPERLINK(".\links\gpi\AGAP003567-PA-gpi.txt","N")</f>
        <v>N</v>
      </c>
      <c r="AO177" s="15" t="str">
        <f>HYPERLINK(".\links\netoglyc\AGAP003567-PA-netoglyc.txt","0")</f>
        <v>0</v>
      </c>
      <c r="AP177" s="14">
        <v>12.2</v>
      </c>
      <c r="AQ177" s="2">
        <v>10</v>
      </c>
      <c r="AR177" s="2">
        <v>3.3</v>
      </c>
      <c r="AS177" s="2" t="s">
        <v>94</v>
      </c>
      <c r="AT177" s="9" t="str">
        <f>HYPERLINK(".\links\NR-LIGHT\AGAP003567-PA-NR-LIGHT.txt","AGAP003567-PA")</f>
        <v>AGAP003567-PA</v>
      </c>
      <c r="AU177" s="2" t="str">
        <f>HYPERLINK("http://www.ncbi.nlm.nih.gov/sutils/blink.cgi?pid=XP_313313.2","1E-043")</f>
        <v>1E-043</v>
      </c>
      <c r="AV177" s="2" t="str">
        <f>HYPERLINK("http://www.ncbi.nlm.nih.gov/protein/XP_313313.2","XP_313313.2")</f>
        <v>XP_313313.2</v>
      </c>
      <c r="AW177" s="2">
        <v>100</v>
      </c>
      <c r="AX177" s="2">
        <v>100</v>
      </c>
      <c r="AY177" s="2">
        <v>100</v>
      </c>
      <c r="AZ177" s="2" t="s">
        <v>95</v>
      </c>
      <c r="BA177" s="9" t="str">
        <f>HYPERLINK(".\links\REFSEQ-INVERTEBRATE\AGAP003567-PA-REFSEQ-INVERTEBRATE.txt","AGAP003567-PA")</f>
        <v>AGAP003567-PA</v>
      </c>
      <c r="BB177" s="2" t="str">
        <f>HYPERLINK("http://www.ncbi.nlm.nih.gov/sutils/blink.cgi?pid=XP_313313.2","1E-043")</f>
        <v>1E-043</v>
      </c>
      <c r="BC177" s="2" t="str">
        <f>HYPERLINK("http://www.ncbi.nlm.nih.gov/protein/XP_313313.2","XP_313313.2")</f>
        <v>XP_313313.2</v>
      </c>
      <c r="BD177" s="2">
        <v>100</v>
      </c>
      <c r="BE177" s="2">
        <v>100</v>
      </c>
      <c r="BF177" s="2">
        <v>100</v>
      </c>
      <c r="BG177" s="2" t="s">
        <v>95</v>
      </c>
      <c r="BH177" s="9" t="str">
        <f>HYPERLINK(".\links\REFSEQ-PROTOZOA\AGAP003567-PA-REFSEQ-PROTOZOA.txt","hypothetical protein CAOG_02515")</f>
        <v>hypothetical protein CAOG_02515</v>
      </c>
      <c r="BI177" s="2" t="str">
        <f>HYPERLINK("http://www.ncbi.nlm.nih.gov/sutils/blink.cgi?pid=XP_004349265.2","6E-006")</f>
        <v>6E-006</v>
      </c>
      <c r="BJ177" s="2" t="str">
        <f>HYPERLINK("http://www.ncbi.nlm.nih.gov/protein/XP_004349265.2","XP_004349265.2")</f>
        <v>XP_004349265.2</v>
      </c>
      <c r="BK177" s="2">
        <v>30</v>
      </c>
      <c r="BL177" s="2">
        <v>57</v>
      </c>
      <c r="BM177" s="2">
        <v>81</v>
      </c>
      <c r="BN177" s="2" t="s">
        <v>150</v>
      </c>
      <c r="BO177" s="9" t="str">
        <f>HYPERLINK(".\links\SWISSP\AGAP003567-PA-SWISSP.txt","Ragulator complex protein LAMTOR5")</f>
        <v>Ragulator complex protein LAMTOR5</v>
      </c>
      <c r="BP177" s="2" t="str">
        <f>HYPERLINK("http://www.uniprot.org/uniprot/Q66X52","6E-008")</f>
        <v>6E-008</v>
      </c>
      <c r="BQ177" s="2" t="str">
        <f>HYPERLINK("http://www.uniprot.org/uniprot/Q66X52#expression","Q66X52")</f>
        <v>Q66X52</v>
      </c>
      <c r="BR177" s="2">
        <v>39</v>
      </c>
      <c r="BS177" s="2">
        <v>60</v>
      </c>
      <c r="BT177" s="2">
        <v>98</v>
      </c>
      <c r="BU177" s="2" t="s">
        <v>904</v>
      </c>
      <c r="BV177" s="9" t="str">
        <f>HYPERLINK(".\links\FLYBASE\AGAP003567-PA-FLYBASE.txt","FBpp0305695")</f>
        <v>FBpp0305695</v>
      </c>
      <c r="BW177" s="2" t="str">
        <f>HYPERLINK("http://flybase.org/reports/FBgn0026090#alliance_summary_container","9E-18")</f>
        <v>9E-18</v>
      </c>
      <c r="BX177" s="2">
        <v>100</v>
      </c>
      <c r="BY177" s="2">
        <v>44</v>
      </c>
      <c r="BZ177" s="2">
        <v>66</v>
      </c>
      <c r="CA177" s="2">
        <v>89</v>
      </c>
      <c r="CB177" s="9" t="str">
        <f>HYPERLINK(".\links\CDD\AGAP003567-PA-CDD.txt","LAMTOR5, Ragulator complex protein LAMTOR5")</f>
        <v>LAMTOR5, Ragulator complex protein LAMTOR5</v>
      </c>
      <c r="CC177" s="13">
        <v>2.9999999999999998E-25</v>
      </c>
      <c r="CD177" s="2">
        <v>100</v>
      </c>
      <c r="CE177" s="2" t="s">
        <v>905</v>
      </c>
      <c r="CF177" s="2" t="s">
        <v>906</v>
      </c>
      <c r="CG177" s="9" t="str">
        <f>HYPERLINK(".\links\KOG\AGAP003567-PA-KOG.txt","C1-tetrahydrofolate synthase")</f>
        <v>C1-tetrahydrofolate synthase</v>
      </c>
      <c r="CH177" s="13">
        <v>2.2999999999999998</v>
      </c>
      <c r="CI177" s="2">
        <v>2.1</v>
      </c>
      <c r="CJ177" s="2" t="s">
        <v>907</v>
      </c>
      <c r="CK177" s="2" t="s">
        <v>219</v>
      </c>
      <c r="CL177" s="9" t="str">
        <f>HYPERLINK(".\links\PFAM\AGAP003567-PA-PFAM.txt","LAMTOR5, Ragulator complex protein LAMTOR5")</f>
        <v>LAMTOR5, Ragulator complex protein LAMTOR5</v>
      </c>
      <c r="CM177" s="13">
        <v>6.0000000000000002E-26</v>
      </c>
      <c r="CN177" s="2">
        <v>100</v>
      </c>
      <c r="CO177" s="2" t="s">
        <v>905</v>
      </c>
      <c r="CP177" s="9" t="str">
        <f>HYPERLINK(".\links\SMART\AGAP003567-PA-SMART.txt","Robl_LC7, Roadblock/LC7 domain")</f>
        <v>Robl_LC7, Roadblock/LC7 domain</v>
      </c>
      <c r="CQ177" s="13">
        <v>9.0999999999999998E-2</v>
      </c>
      <c r="CR177" s="2">
        <v>56.8</v>
      </c>
      <c r="CS177" s="2" t="s">
        <v>908</v>
      </c>
      <c r="CT177" s="2" t="s">
        <v>900</v>
      </c>
      <c r="CU177" s="2" t="s">
        <v>900</v>
      </c>
      <c r="CV177" s="2" t="s">
        <v>900</v>
      </c>
      <c r="CW177" s="2" t="str">
        <f>HYPERLINK(".\links\pep\AGAP003567-PA-pep.txt","AGAP003567-PA")</f>
        <v>AGAP003567-PA</v>
      </c>
      <c r="CX177" s="2" t="s">
        <v>88</v>
      </c>
      <c r="CY177" s="2">
        <v>90</v>
      </c>
      <c r="CZ177" s="2" t="s">
        <v>103</v>
      </c>
      <c r="DA177" s="2" t="s">
        <v>909</v>
      </c>
      <c r="DB177" s="2">
        <v>0</v>
      </c>
      <c r="DC177" s="2">
        <v>1</v>
      </c>
      <c r="DD177" s="2" t="str">
        <f>HYPERLINK("https://www.kegg.jp/kegg-bin/search_pathway_text?map=aga&amp;keyword=AGAP003567&amp;mode=1&amp;viewImage=true","AGAP003567")</f>
        <v>AGAP003567</v>
      </c>
      <c r="DE177" s="2" t="s">
        <v>897</v>
      </c>
      <c r="DF177" s="2" t="s">
        <v>898</v>
      </c>
      <c r="DG177" s="2" t="s">
        <v>87</v>
      </c>
      <c r="DH177" s="2" t="str">
        <f>HYPERLINK("https://vectorbase.org/vectorbase/app/record/gene/AGAP003567","AGAP003567-RA")</f>
        <v>AGAP003567-RA</v>
      </c>
      <c r="DI177" s="2" t="s">
        <v>122</v>
      </c>
      <c r="DJ177" s="2">
        <v>458</v>
      </c>
      <c r="DK177" s="2" t="str">
        <f>HYPERLINK(".\links\netoglyc\AGAP003567-PA-netoglyc.txt","0")</f>
        <v>0</v>
      </c>
      <c r="DL177" s="2">
        <v>12.2</v>
      </c>
      <c r="DM177" s="2">
        <v>10</v>
      </c>
      <c r="DN177" s="2">
        <v>3.3</v>
      </c>
      <c r="DO177" s="2" t="s">
        <v>94</v>
      </c>
      <c r="DP177" s="2" t="s">
        <v>89</v>
      </c>
      <c r="DQ177" s="2" t="str">
        <f>HYPERLINK(".\links\Sigp\AGAP003567-PA-SigP.txt","CYT")</f>
        <v>CYT</v>
      </c>
      <c r="DR177" s="2" t="s">
        <v>89</v>
      </c>
      <c r="DS177" s="2">
        <v>9.3889999999999993</v>
      </c>
      <c r="DT177" s="2">
        <v>5.07</v>
      </c>
      <c r="DU177" s="2" t="s">
        <v>89</v>
      </c>
      <c r="DV177" s="2" t="s">
        <v>89</v>
      </c>
      <c r="DW177" s="2" t="s">
        <v>903</v>
      </c>
      <c r="DX177" s="2">
        <v>90</v>
      </c>
      <c r="DY177" s="12">
        <v>0</v>
      </c>
      <c r="DZ177" s="2" t="s">
        <v>89</v>
      </c>
      <c r="EA177" s="2" t="s">
        <v>89</v>
      </c>
      <c r="EB177" s="2" t="s">
        <v>89</v>
      </c>
      <c r="EC177" s="2" t="str">
        <f>HYPERLINK(".\links\gpi\AGAP003567-PA-gpi.txt","Y-NoSP")</f>
        <v>Y-NoSP</v>
      </c>
      <c r="ED177" s="2">
        <v>0.49</v>
      </c>
      <c r="EF177" s="2">
        <v>3</v>
      </c>
      <c r="EG177" s="2" t="s">
        <v>89</v>
      </c>
      <c r="EH177" s="2" t="s">
        <v>89</v>
      </c>
      <c r="EI177" s="2">
        <v>12.2222222222222</v>
      </c>
      <c r="EJ177" s="2">
        <v>3.3333333333333299</v>
      </c>
      <c r="EK177" s="2">
        <v>10</v>
      </c>
      <c r="EL177" s="2">
        <v>13.3333333333333</v>
      </c>
      <c r="EM177" s="2" t="s">
        <v>89</v>
      </c>
      <c r="EN177" s="2">
        <v>1</v>
      </c>
      <c r="EO177" s="2">
        <v>1</v>
      </c>
      <c r="EP177" s="2" t="s">
        <v>89</v>
      </c>
      <c r="EQ177" s="2" t="s">
        <v>89</v>
      </c>
      <c r="ER177" s="2" t="s">
        <v>89</v>
      </c>
      <c r="ES177" s="2" t="s">
        <v>89</v>
      </c>
      <c r="ET177" s="2" t="str">
        <f>HYPERLINK(".\links\REFSEQ-INVERTEBRATE\AGAP003567-PA-REFSEQ-INVERTEBRATE.txt","AGAP003567-PA")</f>
        <v>AGAP003567-PA</v>
      </c>
      <c r="EU177" s="2" t="str">
        <f>HYPERLINK("http://www.ncbi.nlm.nih.gov/sutils/blink.cgi?pid=XP_313313.2","6E-58")</f>
        <v>6E-58</v>
      </c>
      <c r="EV177" s="2" t="str">
        <f>HYPERLINK("http://www.ncbi.nlm.nih.gov/protein/XP_313313.2","XP_313313.2")</f>
        <v>XP_313313.2</v>
      </c>
      <c r="EW177" s="2">
        <v>100</v>
      </c>
      <c r="EX177" s="2">
        <v>100</v>
      </c>
      <c r="EY177" s="2">
        <v>100</v>
      </c>
      <c r="EZ177" s="2" t="s">
        <v>95</v>
      </c>
    </row>
    <row r="178" spans="1:156" x14ac:dyDescent="0.25">
      <c r="A178" s="2" t="s">
        <v>572</v>
      </c>
      <c r="B178" s="2">
        <v>-0.95433263500356802</v>
      </c>
      <c r="C178" s="2">
        <f t="shared" si="2"/>
        <v>0.51608026396935414</v>
      </c>
      <c r="D178" s="2">
        <v>3.97637229604987</v>
      </c>
      <c r="E178" s="2">
        <v>13.656364519832801</v>
      </c>
      <c r="F178" s="2">
        <v>2.19496059921888E-4</v>
      </c>
      <c r="G178" s="2">
        <v>1.4980606089668801E-2</v>
      </c>
      <c r="H178" s="2" t="s">
        <v>573</v>
      </c>
      <c r="I178" s="2" t="s">
        <v>87</v>
      </c>
      <c r="J178" s="2" t="str">
        <f>HYPERLINK("https://vectorbase.org/vectorbase/app/record/gene/AGAP002406","AGAP002406-RA")</f>
        <v>AGAP002406-RA</v>
      </c>
      <c r="K178" s="2" t="str">
        <f>HYPERLINK(".\links\pep\AGAP002406-PA-pep.txt","AGAP002406-PA")</f>
        <v>AGAP002406-PA</v>
      </c>
      <c r="L178" s="12" t="s">
        <v>88</v>
      </c>
      <c r="M178" s="2">
        <v>228</v>
      </c>
      <c r="N178" s="2">
        <v>0</v>
      </c>
      <c r="O178" s="2">
        <v>1</v>
      </c>
      <c r="P178" s="2" t="s">
        <v>574</v>
      </c>
      <c r="Q178" s="9" t="s">
        <v>575</v>
      </c>
      <c r="R178" s="2" t="s">
        <v>91</v>
      </c>
      <c r="S178" s="2" t="str">
        <f>HYPERLINK(".\links\REFSEQ-INVERTEBRATE\AGAP002406-PA-REFSEQ-INVERTEBRATE.txt","REFSEQ-INVERTEBRATE")</f>
        <v>REFSEQ-INVERTEBRATE</v>
      </c>
      <c r="T178" s="2">
        <v>0</v>
      </c>
      <c r="U178" s="2">
        <v>100</v>
      </c>
      <c r="V178" s="2" t="s">
        <v>575</v>
      </c>
      <c r="W178" s="10" t="s">
        <v>576</v>
      </c>
      <c r="X178" s="2" t="s">
        <v>333</v>
      </c>
      <c r="Y178" s="2" t="str">
        <f>HYPERLINK(".\links\UNIPROTKB\AGAP002406-PA-UNIPROTKB.txt","UNIPROTKB")</f>
        <v>UNIPROTKB</v>
      </c>
      <c r="Z178" s="13">
        <v>2.9999999999999999E-21</v>
      </c>
      <c r="AA178" s="2">
        <v>109</v>
      </c>
      <c r="AB178" s="14" t="s">
        <v>89</v>
      </c>
      <c r="AC178" s="14" t="str">
        <f>HYPERLINK(".\links\Sigp\AGAP002406-PA-SigP.txt","CYT")</f>
        <v>CYT</v>
      </c>
      <c r="AD178" s="2" t="s">
        <v>89</v>
      </c>
      <c r="AE178" s="2">
        <v>26.321999999999999</v>
      </c>
      <c r="AF178" s="2">
        <v>6.34</v>
      </c>
      <c r="AG178" s="2" t="s">
        <v>89</v>
      </c>
      <c r="AH178" s="2" t="s">
        <v>89</v>
      </c>
      <c r="AI178" s="2" t="s">
        <v>93</v>
      </c>
      <c r="AJ178" s="14">
        <v>0</v>
      </c>
      <c r="AK178" s="2" t="s">
        <v>89</v>
      </c>
      <c r="AL178" s="2" t="s">
        <v>89</v>
      </c>
      <c r="AM178" s="2" t="s">
        <v>89</v>
      </c>
      <c r="AN178" s="14" t="str">
        <f>HYPERLINK(".\links\gpi\AGAP002406-PA-gpi.txt","N")</f>
        <v>N</v>
      </c>
      <c r="AO178" s="15" t="str">
        <f>HYPERLINK(".\links\netoglyc\AGAP002406-PA-netoglyc.txt","6")</f>
        <v>6</v>
      </c>
      <c r="AP178" s="14">
        <v>13.2</v>
      </c>
      <c r="AQ178" s="2">
        <v>1.3</v>
      </c>
      <c r="AR178" s="2">
        <v>4.8</v>
      </c>
      <c r="AS178" s="2" t="s">
        <v>94</v>
      </c>
      <c r="AT178" s="9" t="str">
        <f>HYPERLINK(".\links\NR-LIGHT\AGAP002406-PA-NR-LIGHT.txt","AGAP002406-PA")</f>
        <v>AGAP002406-PA</v>
      </c>
      <c r="AU178" s="2" t="str">
        <f>HYPERLINK("http://www.ncbi.nlm.nih.gov/sutils/blink.cgi?pid=XP_312546.4","1E-125")</f>
        <v>1E-125</v>
      </c>
      <c r="AV178" s="2" t="str">
        <f>HYPERLINK("http://www.ncbi.nlm.nih.gov/protein/XP_312546.4","XP_312546.4")</f>
        <v>XP_312546.4</v>
      </c>
      <c r="AW178" s="2">
        <v>100</v>
      </c>
      <c r="AX178" s="2">
        <v>100</v>
      </c>
      <c r="AY178" s="2">
        <v>100</v>
      </c>
      <c r="AZ178" s="2" t="s">
        <v>95</v>
      </c>
      <c r="BA178" s="9" t="str">
        <f>HYPERLINK(".\links\REFSEQ-INVERTEBRATE\AGAP002406-PA-REFSEQ-INVERTEBRATE.txt","AGAP002406-PA")</f>
        <v>AGAP002406-PA</v>
      </c>
      <c r="BB178" s="2" t="str">
        <f>HYPERLINK("http://www.ncbi.nlm.nih.gov/sutils/blink.cgi?pid=XP_312546.4","1E-125")</f>
        <v>1E-125</v>
      </c>
      <c r="BC178" s="2" t="str">
        <f>HYPERLINK("http://www.ncbi.nlm.nih.gov/protein/XP_312546.4","XP_312546.4")</f>
        <v>XP_312546.4</v>
      </c>
      <c r="BD178" s="2">
        <v>100</v>
      </c>
      <c r="BE178" s="2">
        <v>100</v>
      </c>
      <c r="BF178" s="2">
        <v>100</v>
      </c>
      <c r="BG178" s="2" t="s">
        <v>95</v>
      </c>
      <c r="BH178" s="9" t="str">
        <f>HYPERLINK(".\links\REFSEQ-PROTOZOA\AGAP002406-PA-REFSEQ-PROTOZOA.txt","COMM domain containing 2")</f>
        <v>COMM domain containing 2</v>
      </c>
      <c r="BI178" s="2" t="str">
        <f>HYPERLINK("http://www.ncbi.nlm.nih.gov/sutils/blink.cgi?pid=XP_004995255.1","3E-018")</f>
        <v>3E-018</v>
      </c>
      <c r="BJ178" s="2" t="str">
        <f>HYPERLINK("http://www.ncbi.nlm.nih.gov/protein/XP_004995255.1","XP_004995255.1")</f>
        <v>XP_004995255.1</v>
      </c>
      <c r="BK178" s="2">
        <v>27</v>
      </c>
      <c r="BL178" s="2">
        <v>47</v>
      </c>
      <c r="BM178" s="2">
        <v>114</v>
      </c>
      <c r="BN178" s="2" t="s">
        <v>182</v>
      </c>
      <c r="BO178" s="9" t="str">
        <f>HYPERLINK(".\links\SWISSP\AGAP002406-PA-SWISSP.txt","COMM domain-containing protein 2")</f>
        <v>COMM domain-containing protein 2</v>
      </c>
      <c r="BP178" s="2" t="str">
        <f>HYPERLINK("http://www.uniprot.org/uniprot/Q5R610","4E-020")</f>
        <v>4E-020</v>
      </c>
      <c r="BQ178" s="2" t="str">
        <f>HYPERLINK("http://www.uniprot.org/uniprot/Q5R610#expression","Q5R610")</f>
        <v>Q5R610</v>
      </c>
      <c r="BR178" s="2">
        <v>30</v>
      </c>
      <c r="BS178" s="2">
        <v>50</v>
      </c>
      <c r="BT178" s="2">
        <v>109</v>
      </c>
      <c r="BU178" s="2" t="s">
        <v>337</v>
      </c>
      <c r="BV178" s="9" t="str">
        <f>HYPERLINK(".\links\FLYBASE\AGAP002406-PA-FLYBASE.txt","FBpp0083028")</f>
        <v>FBpp0083028</v>
      </c>
      <c r="BW178" s="2" t="str">
        <f>HYPERLINK("http://flybase.org/reports/FBgn0038586#alliance_summary_container","9E-32")</f>
        <v>9E-32</v>
      </c>
      <c r="BX178" s="2">
        <v>233</v>
      </c>
      <c r="BY178" s="2">
        <v>33</v>
      </c>
      <c r="BZ178" s="2">
        <v>56</v>
      </c>
      <c r="CA178" s="2">
        <v>97</v>
      </c>
      <c r="CB178" s="9" t="str">
        <f>HYPERLINK(".\links\CDD\AGAP002406-PA-CDD.txt","Commd2, COMM_Domain containing protein 2")</f>
        <v>Commd2, COMM_Domain containing protein 2</v>
      </c>
      <c r="CC178" s="13">
        <v>5E-53</v>
      </c>
      <c r="CD178" s="2">
        <v>101.2</v>
      </c>
      <c r="CE178" s="2" t="s">
        <v>577</v>
      </c>
      <c r="CF178" s="2" t="s">
        <v>578</v>
      </c>
      <c r="CG178" s="9" t="str">
        <f>HYPERLINK(".\links\KOG\AGAP002406-PA-KOG.txt","GTP-binding protein")</f>
        <v>GTP-binding protein</v>
      </c>
      <c r="CH178" s="13">
        <v>2.1999999999999999E-2</v>
      </c>
      <c r="CI178" s="2">
        <v>24.6</v>
      </c>
      <c r="CJ178" s="2" t="s">
        <v>579</v>
      </c>
      <c r="CK178" s="2" t="s">
        <v>187</v>
      </c>
      <c r="CL178" s="9" t="str">
        <f>HYPERLINK(".\links\PFAM\AGAP002406-PA-PFAM.txt","COMM_domain, COMM domain")</f>
        <v>COMM_domain, COMM domain</v>
      </c>
      <c r="CM178" s="13">
        <v>6.0000000000000002E-5</v>
      </c>
      <c r="CN178" s="2">
        <v>119.7</v>
      </c>
      <c r="CO178" s="2" t="s">
        <v>580</v>
      </c>
      <c r="CP178" s="9" t="str">
        <f>HYPERLINK(".\links\SMART\AGAP002406-PA-SMART.txt","PXA, Domain associated with PX domains")</f>
        <v>PXA, Domain associated with PX domains</v>
      </c>
      <c r="CQ178" s="13">
        <v>4.0999999999999996</v>
      </c>
      <c r="CR178" s="2">
        <v>14.8</v>
      </c>
      <c r="CS178" s="2" t="s">
        <v>581</v>
      </c>
      <c r="CT178" s="2" t="s">
        <v>575</v>
      </c>
      <c r="CU178" s="2" t="s">
        <v>575</v>
      </c>
      <c r="CV178" s="2" t="s">
        <v>575</v>
      </c>
      <c r="CW178" s="2" t="str">
        <f>HYPERLINK(".\links\pep\AGAP002406-PA-pep.txt","AGAP002406-PA")</f>
        <v>AGAP002406-PA</v>
      </c>
      <c r="CX178" s="2" t="s">
        <v>88</v>
      </c>
      <c r="CY178" s="2">
        <v>228</v>
      </c>
      <c r="CZ178" s="2" t="s">
        <v>103</v>
      </c>
      <c r="DA178" s="2" t="s">
        <v>582</v>
      </c>
      <c r="DB178" s="2">
        <v>0</v>
      </c>
      <c r="DC178" s="2">
        <v>1</v>
      </c>
      <c r="DD178" s="2" t="str">
        <f>HYPERLINK("https://www.kegg.jp/kegg-bin/search_pathway_text?map=aga&amp;keyword=AGAP002406&amp;mode=1&amp;viewImage=true","AGAP002406")</f>
        <v>AGAP002406</v>
      </c>
      <c r="DE178" s="2" t="s">
        <v>572</v>
      </c>
      <c r="DF178" s="2" t="s">
        <v>573</v>
      </c>
      <c r="DG178" s="2" t="s">
        <v>87</v>
      </c>
      <c r="DH178" s="2" t="str">
        <f>HYPERLINK("https://vectorbase.org/vectorbase/app/record/gene/AGAP002406","AGAP002406-RA")</f>
        <v>AGAP002406-RA</v>
      </c>
      <c r="DI178" s="2" t="s">
        <v>140</v>
      </c>
      <c r="DJ178" s="2">
        <v>844</v>
      </c>
      <c r="DK178" s="2" t="str">
        <f>HYPERLINK(".\links\netoglyc\AGAP002406-PA-netoglyc.txt","6")</f>
        <v>6</v>
      </c>
      <c r="DL178" s="2">
        <v>13.2</v>
      </c>
      <c r="DM178" s="2">
        <v>1.3</v>
      </c>
      <c r="DN178" s="2">
        <v>4.8</v>
      </c>
      <c r="DO178" s="2" t="s">
        <v>94</v>
      </c>
      <c r="DP178" s="2" t="s">
        <v>89</v>
      </c>
      <c r="DQ178" s="2" t="str">
        <f>HYPERLINK(".\links\Sigp\AGAP002406-PA-SigP.txt","CYT")</f>
        <v>CYT</v>
      </c>
      <c r="DR178" s="2" t="s">
        <v>89</v>
      </c>
      <c r="DS178" s="2">
        <v>26.321999999999999</v>
      </c>
      <c r="DT178" s="2">
        <v>6.34</v>
      </c>
      <c r="DU178" s="2" t="s">
        <v>89</v>
      </c>
      <c r="DV178" s="2" t="s">
        <v>89</v>
      </c>
      <c r="DW178" s="2" t="s">
        <v>93</v>
      </c>
      <c r="DX178" s="2">
        <v>228</v>
      </c>
      <c r="DY178" s="12">
        <v>0</v>
      </c>
      <c r="DZ178" s="2" t="s">
        <v>89</v>
      </c>
      <c r="EA178" s="2" t="s">
        <v>89</v>
      </c>
      <c r="EB178" s="2" t="s">
        <v>89</v>
      </c>
      <c r="EC178" s="2" t="str">
        <f>HYPERLINK(".\links\gpi\AGAP002406-PA-gpi.txt","N")</f>
        <v>N</v>
      </c>
      <c r="ED178" s="2">
        <v>0.32</v>
      </c>
      <c r="EF178" s="2">
        <v>4</v>
      </c>
      <c r="EG178" s="2" t="s">
        <v>89</v>
      </c>
      <c r="EH178" s="2" t="s">
        <v>89</v>
      </c>
      <c r="EI178" s="2">
        <v>13.157894736842101</v>
      </c>
      <c r="EJ178" s="2">
        <v>4.8245614035087696</v>
      </c>
      <c r="EK178" s="2">
        <v>1.31578947368421</v>
      </c>
      <c r="EL178" s="2">
        <v>6.1403508771929802</v>
      </c>
      <c r="EM178" s="2" t="s">
        <v>89</v>
      </c>
      <c r="EN178" s="2" t="s">
        <v>89</v>
      </c>
      <c r="EO178" s="2" t="s">
        <v>89</v>
      </c>
      <c r="EP178" s="2" t="s">
        <v>89</v>
      </c>
      <c r="EQ178" s="2" t="s">
        <v>89</v>
      </c>
      <c r="ER178" s="2" t="s">
        <v>89</v>
      </c>
      <c r="ES178" s="2" t="s">
        <v>89</v>
      </c>
      <c r="ET178" s="2" t="str">
        <f>HYPERLINK(".\links\REFSEQ-INVERTEBRATE\AGAP002406-PA-REFSEQ-INVERTEBRATE.txt","AGAP002406-PA")</f>
        <v>AGAP002406-PA</v>
      </c>
      <c r="EU178" s="2" t="str">
        <f>HYPERLINK("http://www.ncbi.nlm.nih.gov/sutils/blink.cgi?pid=XP_312546.4","1E-167")</f>
        <v>1E-167</v>
      </c>
      <c r="EV178" s="2" t="str">
        <f>HYPERLINK("http://www.ncbi.nlm.nih.gov/protein/XP_312546.4","XP_312546.4")</f>
        <v>XP_312546.4</v>
      </c>
      <c r="EW178" s="2">
        <v>100</v>
      </c>
      <c r="EX178" s="2">
        <v>100</v>
      </c>
      <c r="EY178" s="2">
        <v>100</v>
      </c>
      <c r="EZ178" s="2" t="s">
        <v>95</v>
      </c>
    </row>
    <row r="179" spans="1:156" x14ac:dyDescent="0.25">
      <c r="A179" s="2" t="s">
        <v>3196</v>
      </c>
      <c r="B179" s="2">
        <v>-0.95464130853440199</v>
      </c>
      <c r="C179" s="2">
        <f t="shared" si="2"/>
        <v>0.51596985721509925</v>
      </c>
      <c r="D179" s="2">
        <v>5.8154065853699901</v>
      </c>
      <c r="E179" s="2">
        <v>14.8875631726519</v>
      </c>
      <c r="F179" s="2">
        <v>1.14112835366174E-4</v>
      </c>
      <c r="G179" s="2">
        <v>9.7980593398681905E-3</v>
      </c>
      <c r="H179" s="2" t="s">
        <v>86</v>
      </c>
      <c r="I179" s="2" t="s">
        <v>87</v>
      </c>
      <c r="J179" s="2" t="str">
        <f>HYPERLINK("https://vectorbase.org/vectorbase/app/record/gene/AGAP029688","AGAP029688-RA")</f>
        <v>AGAP029688-RA</v>
      </c>
      <c r="K179" s="2" t="str">
        <f>HYPERLINK(".\links\pep\AGAP029688-PA-pep.txt","AGAP029688-PA")</f>
        <v>AGAP029688-PA</v>
      </c>
      <c r="L179" s="12" t="s">
        <v>88</v>
      </c>
      <c r="M179" s="2">
        <v>52</v>
      </c>
      <c r="N179" s="2">
        <v>0</v>
      </c>
      <c r="O179" s="2">
        <v>0</v>
      </c>
      <c r="P179" s="2" t="s">
        <v>89</v>
      </c>
      <c r="Q179" s="9" t="s">
        <v>3197</v>
      </c>
      <c r="R179" s="2" t="s">
        <v>91</v>
      </c>
      <c r="S179" s="2" t="str">
        <f>HYPERLINK(".\links\NR-LIGHT\AGAP029688-PA-NR-LIGHT.txt","NR-LIGHT")</f>
        <v>NR-LIGHT</v>
      </c>
      <c r="T179" s="2">
        <v>2.0000000000000002E-15</v>
      </c>
      <c r="U179" s="2">
        <v>100</v>
      </c>
      <c r="V179" s="2" t="s">
        <v>3198</v>
      </c>
      <c r="W179" s="10" t="s">
        <v>2492</v>
      </c>
      <c r="X179" s="2" t="s">
        <v>91</v>
      </c>
      <c r="Y179" s="2" t="str">
        <f>HYPERLINK(".\links\ARTHORPODA\AGAP029688-PA-ARTHORPODA.txt","ARTHORPODA")</f>
        <v>ARTHORPODA</v>
      </c>
      <c r="Z179" s="13">
        <v>6.0000000000000001E-32</v>
      </c>
      <c r="AA179" s="2">
        <v>100</v>
      </c>
      <c r="AB179" s="14" t="s">
        <v>89</v>
      </c>
      <c r="AC179" s="14" t="str">
        <f>HYPERLINK(".\links\Sigp\AGAP029688-PA-SigP.txt","BL")</f>
        <v>BL</v>
      </c>
      <c r="AD179" s="2" t="s">
        <v>3199</v>
      </c>
      <c r="AE179" s="2">
        <v>5.87</v>
      </c>
      <c r="AF179" s="2">
        <v>6.52</v>
      </c>
      <c r="AG179" s="2">
        <v>1.5189999999999999</v>
      </c>
      <c r="AH179" s="2">
        <v>4.51</v>
      </c>
      <c r="AI179" s="2" t="s">
        <v>3200</v>
      </c>
      <c r="AJ179" s="14">
        <v>0</v>
      </c>
      <c r="AK179" s="2" t="s">
        <v>89</v>
      </c>
      <c r="AL179" s="2" t="s">
        <v>89</v>
      </c>
      <c r="AM179" s="2" t="s">
        <v>89</v>
      </c>
      <c r="AN179" s="9" t="str">
        <f>HYPERLINK(".\links\gpi\AGAP029688-PA-gpi.txt","N")</f>
        <v>N</v>
      </c>
      <c r="AO179" s="15" t="str">
        <f>HYPERLINK(".\links\netoglyc\AGAP029688-PA-netoglyc.txt","0")</f>
        <v>0</v>
      </c>
      <c r="AP179" s="14">
        <v>11.5</v>
      </c>
      <c r="AQ179" s="2">
        <v>7.7</v>
      </c>
      <c r="AR179" s="2">
        <v>1.9</v>
      </c>
      <c r="AS179" s="2" t="s">
        <v>94</v>
      </c>
      <c r="AT179" s="9" t="str">
        <f>HYPERLINK(".\links\NR-LIGHT\AGAP029688-PA-NR-LIGHT.txt","AAEL004454-PA")</f>
        <v>AAEL004454-PA</v>
      </c>
      <c r="AU179" s="2" t="str">
        <f>HYPERLINK("http://www.ncbi.nlm.nih.gov/sutils/blink.cgi?pid=EAT44149.1","2E-015")</f>
        <v>2E-015</v>
      </c>
      <c r="AV179" s="2" t="str">
        <f>HYPERLINK("http://www.ncbi.nlm.nih.gov/protein/EAT44149.1","EAT44149.1")</f>
        <v>EAT44149.1</v>
      </c>
      <c r="AW179" s="2">
        <v>73</v>
      </c>
      <c r="AX179" s="2">
        <v>86</v>
      </c>
      <c r="AY179" s="2">
        <v>100</v>
      </c>
      <c r="AZ179" s="2" t="s">
        <v>233</v>
      </c>
      <c r="BA179" s="9" t="str">
        <f>HYPERLINK(".\links\REFSEQ-INVERTEBRATE\AGAP029688-PA-REFSEQ-INVERTEBRATE.txt","hypothetical protein CpipJ_CPIJ000746")</f>
        <v>hypothetical protein CpipJ_CPIJ000746</v>
      </c>
      <c r="BB179" s="2" t="str">
        <f>HYPERLINK("http://www.ncbi.nlm.nih.gov/sutils/blink.cgi?pid=XP_001842311.1","5E-015")</f>
        <v>5E-015</v>
      </c>
      <c r="BC179" s="2" t="str">
        <f>HYPERLINK("http://www.ncbi.nlm.nih.gov/protein/XP_001842311.1","XP_001842311.1")</f>
        <v>XP_001842311.1</v>
      </c>
      <c r="BD179" s="2">
        <v>71</v>
      </c>
      <c r="BE179" s="2">
        <v>84</v>
      </c>
      <c r="BF179" s="2">
        <v>100</v>
      </c>
      <c r="BG179" s="2" t="s">
        <v>487</v>
      </c>
      <c r="BH179" s="9" t="str">
        <f>HYPERLINK(".\links\REFSEQ-PROTOZOA\AGAP029688-PA-REFSEQ-PROTOZOA.txt","hypothetical protein EMIHUDRAFT_446206")</f>
        <v>hypothetical protein EMIHUDRAFT_446206</v>
      </c>
      <c r="BI179" s="2" t="str">
        <f>HYPERLINK("http://www.ncbi.nlm.nih.gov/sutils/blink.cgi?pid=XP_005762775.1","53")</f>
        <v>53</v>
      </c>
      <c r="BJ179" s="2" t="str">
        <f>HYPERLINK("http://www.ncbi.nlm.nih.gov/protein/XP_005762775.1","XP_005762775.1")</f>
        <v>XP_005762775.1</v>
      </c>
      <c r="BK179" s="2">
        <v>43</v>
      </c>
      <c r="BL179" s="2">
        <v>60</v>
      </c>
      <c r="BM179" s="2">
        <v>11</v>
      </c>
      <c r="BN179" s="2" t="s">
        <v>757</v>
      </c>
      <c r="BO179" s="9" t="str">
        <f>HYPERLINK(".\links\SWISSP\AGAP029688-PA-SWISSP.txt","CASP-like protein 1U2")</f>
        <v>CASP-like protein 1U2</v>
      </c>
      <c r="BP179" s="2" t="str">
        <f>HYPERLINK("http://www.uniprot.org/uniprot/A9STS7","13")</f>
        <v>13</v>
      </c>
      <c r="BQ179" s="2" t="str">
        <f>HYPERLINK("http://www.uniprot.org/uniprot/A9STS7#expression","A9STS7")</f>
        <v>A9STS7</v>
      </c>
      <c r="BR179" s="2">
        <v>34</v>
      </c>
      <c r="BS179" s="2">
        <v>55</v>
      </c>
      <c r="BT179" s="2">
        <v>19</v>
      </c>
      <c r="BU179" s="2" t="s">
        <v>3201</v>
      </c>
      <c r="BV179" s="9" t="str">
        <f>HYPERLINK(".\links\FLYBASE\AGAP029688-PA-FLYBASE.txt","FBpp0111308")</f>
        <v>FBpp0111308</v>
      </c>
      <c r="BW179" s="2" t="str">
        <f>HYPERLINK("http://flybase.org/reports/FBgn0085229#alliance_summary_container","2E-12")</f>
        <v>2E-12</v>
      </c>
      <c r="BX179" s="2">
        <v>52</v>
      </c>
      <c r="BY179" s="2">
        <v>53</v>
      </c>
      <c r="BZ179" s="2">
        <v>74</v>
      </c>
      <c r="CA179" s="2">
        <v>90</v>
      </c>
      <c r="CB179" s="9" t="str">
        <f>HYPERLINK(".\links\CDD\AGAP029688-PA-CDD.txt","PpCmtC_N, N-terminal domain of 2,3-dihydroxy-p-cumate-3,4-dioxygenase (PpCmtC)")</f>
        <v>PpCmtC_N, N-terminal domain of 2,3-dihydroxy-p-cumate-3,4-dioxygenase (PpCmtC)</v>
      </c>
      <c r="CC179" s="13">
        <v>1.3</v>
      </c>
      <c r="CD179" s="2">
        <v>10.5</v>
      </c>
      <c r="CE179" s="2" t="s">
        <v>3202</v>
      </c>
      <c r="CF179" s="2" t="s">
        <v>3203</v>
      </c>
      <c r="CG179" s="9" t="str">
        <f>HYPERLINK(".\links\KOG\AGAP029688-PA-KOG.txt","Calcyclin-binding protein CacyBP")</f>
        <v>Calcyclin-binding protein CacyBP</v>
      </c>
      <c r="CH179" s="13">
        <v>5.4</v>
      </c>
      <c r="CI179" s="2">
        <v>6.3</v>
      </c>
      <c r="CJ179" s="2" t="s">
        <v>3204</v>
      </c>
      <c r="CK179" s="2" t="s">
        <v>410</v>
      </c>
      <c r="CL179" s="9" t="str">
        <f>HYPERLINK(".\links\PFAM\AGAP029688-PA-PFAM.txt","VipB, Type VI secretion protein, EvpB/VC_A0108, tail sheath")</f>
        <v>VipB, Type VI secretion protein, EvpB/VC_A0108, tail sheath</v>
      </c>
      <c r="CM179" s="13">
        <v>4.0999999999999996</v>
      </c>
      <c r="CN179" s="2">
        <v>2.6</v>
      </c>
      <c r="CO179" s="2" t="s">
        <v>3205</v>
      </c>
      <c r="CP179" s="9" t="str">
        <f>HYPERLINK(".\links\SMART\AGAP029688-PA-SMART.txt","PA2c, Phospholipase A2")</f>
        <v>PA2c, Phospholipase A2</v>
      </c>
      <c r="CQ179" s="13">
        <v>4.8</v>
      </c>
      <c r="CR179" s="2">
        <v>10.3</v>
      </c>
      <c r="CS179" s="2" t="s">
        <v>3206</v>
      </c>
      <c r="CT179" s="2" t="s">
        <v>3198</v>
      </c>
      <c r="CU179" s="2" t="s">
        <v>3198</v>
      </c>
      <c r="CV179" s="2" t="s">
        <v>3198</v>
      </c>
      <c r="CW179" s="2" t="str">
        <f>HYPERLINK(".\links\pep\AGAP029688-PA-pep.txt","AGAP029688-PA")</f>
        <v>AGAP029688-PA</v>
      </c>
      <c r="CX179" s="2" t="s">
        <v>88</v>
      </c>
      <c r="CY179" s="2">
        <v>52</v>
      </c>
      <c r="CZ179" s="2" t="s">
        <v>103</v>
      </c>
      <c r="DA179" s="2" t="s">
        <v>3207</v>
      </c>
      <c r="DB179" s="2">
        <v>0</v>
      </c>
      <c r="DC179" s="2">
        <v>0</v>
      </c>
      <c r="DD179" s="2" t="str">
        <f>HYPERLINK("https://www.kegg.jp/kegg-bin/search_pathway_text?map=aga&amp;keyword=AGAP029688&amp;mode=1&amp;viewImage=true","AGAP029688")</f>
        <v>AGAP029688</v>
      </c>
      <c r="DE179" s="2" t="s">
        <v>3196</v>
      </c>
      <c r="DF179" s="2" t="s">
        <v>86</v>
      </c>
      <c r="DG179" s="2" t="s">
        <v>87</v>
      </c>
      <c r="DH179" s="2" t="str">
        <f>HYPERLINK("https://vectorbase.org/vectorbase/app/record/gene/AGAP029688","AGAP029688-RA")</f>
        <v>AGAP029688-RA</v>
      </c>
      <c r="DI179" s="2" t="s">
        <v>105</v>
      </c>
      <c r="DJ179" s="2">
        <v>322</v>
      </c>
      <c r="DK179" s="2" t="str">
        <f>HYPERLINK(".\links\netoglyc\AGAP029688-PA-netoglyc.txt","0")</f>
        <v>0</v>
      </c>
      <c r="DL179" s="2">
        <v>11.5</v>
      </c>
      <c r="DM179" s="2">
        <v>7.7</v>
      </c>
      <c r="DN179" s="2">
        <v>1.9</v>
      </c>
      <c r="DO179" s="2" t="s">
        <v>94</v>
      </c>
      <c r="DP179" s="2" t="s">
        <v>89</v>
      </c>
      <c r="DQ179" s="2" t="str">
        <f>HYPERLINK(".\links\Sigp\AGAP029688-PA-SigP.txt","BL")</f>
        <v>BL</v>
      </c>
      <c r="DR179" s="2" t="s">
        <v>3199</v>
      </c>
      <c r="DS179" s="2">
        <v>5.87</v>
      </c>
      <c r="DT179" s="2">
        <v>6.52</v>
      </c>
      <c r="DU179" s="2">
        <v>1.5189999999999999</v>
      </c>
      <c r="DV179" s="2">
        <v>4.51</v>
      </c>
      <c r="DW179" s="2" t="s">
        <v>3200</v>
      </c>
      <c r="DX179" s="2">
        <v>52</v>
      </c>
      <c r="DY179" s="12">
        <v>0</v>
      </c>
      <c r="DZ179" s="2" t="s">
        <v>89</v>
      </c>
      <c r="EA179" s="2" t="s">
        <v>89</v>
      </c>
      <c r="EB179" s="2" t="s">
        <v>89</v>
      </c>
      <c r="EC179" s="2" t="str">
        <f>HYPERLINK(".\links\gpi\AGAP029688-PA-gpi.txt","Y-NoSP")</f>
        <v>Y-NoSP</v>
      </c>
      <c r="ED179" s="2">
        <v>0.4</v>
      </c>
      <c r="EF179" s="2">
        <v>1</v>
      </c>
      <c r="EG179" s="2" t="s">
        <v>89</v>
      </c>
      <c r="EH179" s="2" t="s">
        <v>89</v>
      </c>
      <c r="EI179" s="2">
        <v>11.538461538461499</v>
      </c>
      <c r="EJ179" s="2">
        <v>1.92307692307692</v>
      </c>
      <c r="EK179" s="2">
        <v>7.6923076923076898</v>
      </c>
      <c r="EL179" s="2">
        <v>9.6153846153846203</v>
      </c>
      <c r="EM179" s="2" t="s">
        <v>89</v>
      </c>
      <c r="EN179" s="2" t="s">
        <v>89</v>
      </c>
      <c r="EO179" s="2" t="s">
        <v>89</v>
      </c>
      <c r="EP179" s="2" t="s">
        <v>89</v>
      </c>
      <c r="EQ179" s="2" t="s">
        <v>89</v>
      </c>
      <c r="ER179" s="2" t="s">
        <v>89</v>
      </c>
      <c r="ES179" s="2" t="s">
        <v>89</v>
      </c>
      <c r="ET179" s="2" t="str">
        <f>HYPERLINK(".\links\REFSEQ-INVERTEBRATE\AGAP029688-PA-REFSEQ-INVERTEBRATE.txt","uncharacterized protein LOC118462486")</f>
        <v>uncharacterized protein LOC118462486</v>
      </c>
      <c r="EU179" s="2" t="str">
        <f>HYPERLINK("http://www.ncbi.nlm.nih.gov/sutils/blink.cgi?pid=XP_035784086.1","1E-25")</f>
        <v>1E-25</v>
      </c>
      <c r="EV179" s="2" t="str">
        <f>HYPERLINK("http://www.ncbi.nlm.nih.gov/protein/XP_035784086.1","XP_035784086.1")</f>
        <v>XP_035784086.1</v>
      </c>
      <c r="EW179" s="2">
        <v>85</v>
      </c>
      <c r="EX179" s="2">
        <v>95</v>
      </c>
      <c r="EY179" s="2">
        <v>94</v>
      </c>
      <c r="EZ179" s="2" t="s">
        <v>2650</v>
      </c>
    </row>
    <row r="180" spans="1:156" x14ac:dyDescent="0.25">
      <c r="A180" s="2" t="s">
        <v>2416</v>
      </c>
      <c r="B180" s="2">
        <v>-0.96045078786422799</v>
      </c>
      <c r="C180" s="2">
        <f t="shared" si="2"/>
        <v>0.51389631499525379</v>
      </c>
      <c r="D180" s="2">
        <v>9.8770010165724695</v>
      </c>
      <c r="E180" s="2">
        <v>27.251734005202302</v>
      </c>
      <c r="F180" s="2">
        <v>1.7861487174330701E-7</v>
      </c>
      <c r="G180" s="2">
        <v>1.7655003523677201E-4</v>
      </c>
      <c r="H180" s="2" t="s">
        <v>2417</v>
      </c>
      <c r="I180" s="2" t="s">
        <v>87</v>
      </c>
      <c r="J180" s="2" t="str">
        <f>HYPERLINK("https://vectorbase.org/vectorbase/app/record/gene/AGAP010131","AGAP010131-RA")</f>
        <v>AGAP010131-RA</v>
      </c>
      <c r="K180" s="2" t="str">
        <f>HYPERLINK(".\links\pep\AGAP010131-PA-pep.txt","AGAP010131-PA")</f>
        <v>AGAP010131-PA</v>
      </c>
      <c r="L180" s="12" t="s">
        <v>88</v>
      </c>
      <c r="M180" s="2">
        <v>253</v>
      </c>
      <c r="N180" s="2">
        <v>0</v>
      </c>
      <c r="O180" s="2">
        <v>0</v>
      </c>
      <c r="P180" s="2" t="s">
        <v>2418</v>
      </c>
      <c r="Q180" s="9" t="s">
        <v>2419</v>
      </c>
      <c r="R180" s="2" t="s">
        <v>212</v>
      </c>
      <c r="S180" s="2" t="str">
        <f>HYPERLINK(".\links\REFSEQ-INVERTEBRATE\AGAP010131-PA-REFSEQ-INVERTEBRATE.txt","REFSEQ-INVERTEBRATE")</f>
        <v>REFSEQ-INVERTEBRATE</v>
      </c>
      <c r="T180" s="2">
        <v>0</v>
      </c>
      <c r="U180" s="2">
        <v>101.5</v>
      </c>
      <c r="V180" s="2" t="s">
        <v>2420</v>
      </c>
      <c r="W180" s="10" t="s">
        <v>2421</v>
      </c>
      <c r="X180" s="2" t="s">
        <v>212</v>
      </c>
      <c r="Y180" s="2" t="str">
        <f>HYPERLINK(".\links\ARTHORPODA\AGAP010131-PA-ARTHORPODA.txt","ARTHORPODA")</f>
        <v>ARTHORPODA</v>
      </c>
      <c r="Z180" s="13">
        <v>0</v>
      </c>
      <c r="AA180" s="2">
        <v>100</v>
      </c>
      <c r="AB180" s="14" t="str">
        <f>HYPERLINK(".\links\pep\AGAP010131-PA-sulf.txt","3")</f>
        <v>3</v>
      </c>
      <c r="AC180" s="14" t="str">
        <f>HYPERLINK(".\links\Sigp\AGAP010131-PA-SigP.txt","CYT")</f>
        <v>CYT</v>
      </c>
      <c r="AD180" s="2" t="s">
        <v>89</v>
      </c>
      <c r="AE180" s="2">
        <v>28.457000000000001</v>
      </c>
      <c r="AF180" s="2">
        <v>5.46</v>
      </c>
      <c r="AG180" s="2" t="s">
        <v>89</v>
      </c>
      <c r="AH180" s="2" t="s">
        <v>89</v>
      </c>
      <c r="AI180" s="2" t="s">
        <v>93</v>
      </c>
      <c r="AJ180" s="14">
        <v>0</v>
      </c>
      <c r="AK180" s="2" t="s">
        <v>89</v>
      </c>
      <c r="AL180" s="2" t="s">
        <v>89</v>
      </c>
      <c r="AM180" s="2" t="s">
        <v>89</v>
      </c>
      <c r="AN180" s="14" t="str">
        <f>HYPERLINK(".\links\gpi\AGAP010131-PA-gpi.txt","N")</f>
        <v>N</v>
      </c>
      <c r="AO180" s="15" t="str">
        <f>HYPERLINK(".\links\netoglyc\AGAP010131-PA-netoglyc.txt","9")</f>
        <v>9</v>
      </c>
      <c r="AP180" s="14">
        <v>22.9</v>
      </c>
      <c r="AQ180" s="2">
        <v>1.6</v>
      </c>
      <c r="AR180" s="2">
        <v>7.5</v>
      </c>
      <c r="AS180" s="2" t="s">
        <v>94</v>
      </c>
      <c r="AT180" s="9" t="str">
        <f>HYPERLINK(".\links\NR-LIGHT\AGAP010131-PA-NR-LIGHT.txt","AGAP010131-PA, partial")</f>
        <v>AGAP010131-PA, partial</v>
      </c>
      <c r="AU180" s="2" t="str">
        <f>HYPERLINK("http://www.ncbi.nlm.nih.gov/sutils/blink.cgi?pid=XP_554017.1","1E-115")</f>
        <v>1E-115</v>
      </c>
      <c r="AV180" s="2" t="str">
        <f>HYPERLINK("http://www.ncbi.nlm.nih.gov/protein/XP_554017.1","XP_554017.1")</f>
        <v>XP_554017.1</v>
      </c>
      <c r="AW180" s="2">
        <v>97</v>
      </c>
      <c r="AX180" s="2">
        <v>97</v>
      </c>
      <c r="AY180" s="2">
        <v>92</v>
      </c>
      <c r="AZ180" s="2" t="s">
        <v>95</v>
      </c>
      <c r="BA180" s="9" t="str">
        <f>HYPERLINK(".\links\REFSEQ-INVERTEBRATE\AGAP010131-PA-REFSEQ-INVERTEBRATE.txt","AGAP010131-PA, partial")</f>
        <v>AGAP010131-PA, partial</v>
      </c>
      <c r="BB180" s="2" t="str">
        <f>HYPERLINK("http://www.ncbi.nlm.nih.gov/sutils/blink.cgi?pid=XP_554017.1","1E-115")</f>
        <v>1E-115</v>
      </c>
      <c r="BC180" s="2" t="str">
        <f>HYPERLINK("http://www.ncbi.nlm.nih.gov/protein/XP_554017.1","XP_554017.1")</f>
        <v>XP_554017.1</v>
      </c>
      <c r="BD180" s="2">
        <v>97</v>
      </c>
      <c r="BE180" s="2">
        <v>97</v>
      </c>
      <c r="BF180" s="2">
        <v>92</v>
      </c>
      <c r="BG180" s="2" t="s">
        <v>95</v>
      </c>
      <c r="BH180" s="9" t="str">
        <f>HYPERLINK(".\links\REFSEQ-PROTOZOA\AGAP010131-PA-REFSEQ-PROTOZOA.txt","hypothetical protein Gasu_59690")</f>
        <v>hypothetical protein Gasu_59690</v>
      </c>
      <c r="BI180" s="2" t="str">
        <f>HYPERLINK("http://www.ncbi.nlm.nih.gov/sutils/blink.cgi?pid=XP_005702927.1","0.001")</f>
        <v>0.001</v>
      </c>
      <c r="BJ180" s="2" t="str">
        <f>HYPERLINK("http://www.ncbi.nlm.nih.gov/protein/XP_005702927.1","XP_005702927.1")</f>
        <v>XP_005702927.1</v>
      </c>
      <c r="BK180" s="2">
        <v>27</v>
      </c>
      <c r="BL180" s="2">
        <v>45</v>
      </c>
      <c r="BM180" s="2">
        <v>83</v>
      </c>
      <c r="BN180" s="2" t="s">
        <v>96</v>
      </c>
      <c r="BO180" s="9" t="str">
        <f>HYPERLINK(".\links\SWISSP\AGAP010131-PA-SWISSP.txt","Ornithine decarboxylase antizyme")</f>
        <v>Ornithine decarboxylase antizyme</v>
      </c>
      <c r="BP180" s="2" t="str">
        <f>HYPERLINK("http://www.uniprot.org/uniprot/Q95P51","5E-092")</f>
        <v>5E-092</v>
      </c>
      <c r="BQ180" s="2" t="str">
        <f>HYPERLINK("http://www.uniprot.org/uniprot/Q95P51#expression","Q95P51")</f>
        <v>Q95P51</v>
      </c>
      <c r="BR180" s="2">
        <v>76</v>
      </c>
      <c r="BS180" s="2">
        <v>84</v>
      </c>
      <c r="BT180" s="2">
        <v>97</v>
      </c>
      <c r="BU180" s="2" t="s">
        <v>233</v>
      </c>
      <c r="BV180" s="9" t="str">
        <f>HYPERLINK(".\links\FLYBASE\AGAP010131-PA-FLYBASE.txt","FBpp0087122")</f>
        <v>FBpp0087122</v>
      </c>
      <c r="BW180" s="2" t="str">
        <f>HYPERLINK("http://flybase.org/reports/FBgn0014184#alliance_summary_container","1E-43")</f>
        <v>1E-43</v>
      </c>
      <c r="BX180" s="2">
        <v>270</v>
      </c>
      <c r="BY180" s="2">
        <v>39</v>
      </c>
      <c r="BZ180" s="2">
        <v>55</v>
      </c>
      <c r="CA180" s="2">
        <v>97</v>
      </c>
      <c r="CB180" s="9" t="str">
        <f>HYPERLINK(".\links\CDD\AGAP010131-PA-CDD.txt","ODC_AZ, Ornithine decarboxylase antizyme")</f>
        <v>ODC_AZ, Ornithine decarboxylase antizyme</v>
      </c>
      <c r="CC180" s="13">
        <v>4.0000000000000002E-27</v>
      </c>
      <c r="CD180" s="2">
        <v>96.8</v>
      </c>
      <c r="CE180" s="2" t="s">
        <v>2422</v>
      </c>
      <c r="CF180" s="2" t="s">
        <v>2423</v>
      </c>
      <c r="CG180" s="9" t="str">
        <f>HYPERLINK(".\links\KOG\AGAP010131-PA-KOG.txt","Ornithine decarboxylase antizyme")</f>
        <v>Ornithine decarboxylase antizyme</v>
      </c>
      <c r="CH180" s="13">
        <v>2.9999999999999999E-19</v>
      </c>
      <c r="CI180" s="2">
        <v>56</v>
      </c>
      <c r="CJ180" s="2" t="s">
        <v>2424</v>
      </c>
      <c r="CK180" s="2" t="s">
        <v>393</v>
      </c>
      <c r="CL180" s="9" t="str">
        <f>HYPERLINK(".\links\PFAM\AGAP010131-PA-PFAM.txt","ODC_AZ, Ornithine decarboxylase antizyme")</f>
        <v>ODC_AZ, Ornithine decarboxylase antizyme</v>
      </c>
      <c r="CM180" s="13">
        <v>8.9999999999999996E-28</v>
      </c>
      <c r="CN180" s="2">
        <v>96.8</v>
      </c>
      <c r="CO180" s="2" t="s">
        <v>2422</v>
      </c>
      <c r="CP180" s="9" t="str">
        <f>HYPERLINK(".\links\SMART\AGAP010131-PA-SMART.txt","Pro_CA, Carbonic anhydrase")</f>
        <v>Pro_CA, Carbonic anhydrase</v>
      </c>
      <c r="CQ180" s="13">
        <v>0.56999999999999995</v>
      </c>
      <c r="CR180" s="2">
        <v>14.3</v>
      </c>
      <c r="CS180" s="2" t="s">
        <v>2425</v>
      </c>
      <c r="CT180" s="2" t="s">
        <v>2420</v>
      </c>
      <c r="CU180" s="2" t="s">
        <v>2420</v>
      </c>
      <c r="CV180" s="2" t="s">
        <v>2420</v>
      </c>
      <c r="CW180" s="2" t="str">
        <f>HYPERLINK(".\links\pep\AGAP010131-PA-pep.txt","AGAP010131-PA")</f>
        <v>AGAP010131-PA</v>
      </c>
      <c r="CX180" s="2" t="s">
        <v>88</v>
      </c>
      <c r="CY180" s="2">
        <v>253</v>
      </c>
      <c r="CZ180" s="2" t="s">
        <v>103</v>
      </c>
      <c r="DA180" s="2" t="s">
        <v>2426</v>
      </c>
      <c r="DB180" s="2">
        <v>0</v>
      </c>
      <c r="DC180" s="2">
        <v>0</v>
      </c>
      <c r="DD180" s="2" t="str">
        <f>HYPERLINK("https://www.kegg.jp/kegg-bin/search_pathway_text?map=aga&amp;keyword=AGAP010131&amp;mode=1&amp;viewImage=true","AGAP010131")</f>
        <v>AGAP010131</v>
      </c>
      <c r="DE180" s="2" t="s">
        <v>2416</v>
      </c>
      <c r="DF180" s="2" t="s">
        <v>2417</v>
      </c>
      <c r="DG180" s="2" t="s">
        <v>87</v>
      </c>
      <c r="DH180" s="2" t="str">
        <f>HYPERLINK("https://vectorbase.org/vectorbase/app/record/gene/AGAP010131","AGAP010131-RA")</f>
        <v>AGAP010131-RA</v>
      </c>
      <c r="DI180" s="2" t="s">
        <v>105</v>
      </c>
      <c r="DJ180" s="2">
        <v>1672</v>
      </c>
      <c r="DK180" s="2" t="str">
        <f>HYPERLINK(".\links\netoglyc\AGAP010131-PA-netoglyc.txt","9")</f>
        <v>9</v>
      </c>
      <c r="DL180" s="2">
        <v>22.9</v>
      </c>
      <c r="DM180" s="2">
        <v>1.6</v>
      </c>
      <c r="DN180" s="2">
        <v>7.5</v>
      </c>
      <c r="DO180" s="2" t="s">
        <v>94</v>
      </c>
      <c r="DP180" s="2" t="s">
        <v>89</v>
      </c>
      <c r="DQ180" s="2" t="str">
        <f>HYPERLINK(".\links\Sigp\AGAP010131-PA-SigP.txt","CYT")</f>
        <v>CYT</v>
      </c>
      <c r="DR180" s="2" t="s">
        <v>89</v>
      </c>
      <c r="DS180" s="2">
        <v>28.457000000000001</v>
      </c>
      <c r="DT180" s="2">
        <v>5.46</v>
      </c>
      <c r="DU180" s="2" t="s">
        <v>89</v>
      </c>
      <c r="DV180" s="2" t="s">
        <v>89</v>
      </c>
      <c r="DW180" s="2" t="s">
        <v>93</v>
      </c>
      <c r="DX180" s="2">
        <v>253</v>
      </c>
      <c r="DY180" s="12">
        <v>0</v>
      </c>
      <c r="DZ180" s="2" t="s">
        <v>89</v>
      </c>
      <c r="EA180" s="2" t="s">
        <v>89</v>
      </c>
      <c r="EB180" s="2" t="s">
        <v>89</v>
      </c>
      <c r="EC180" s="2" t="str">
        <f>HYPERLINK(".\links\gpi\AGAP010131-PA-gpi.txt","N")</f>
        <v>N</v>
      </c>
      <c r="ED180" s="2">
        <v>0.28999999999999998</v>
      </c>
      <c r="EF180" s="2">
        <v>5</v>
      </c>
      <c r="EG180" s="2" t="str">
        <f>HYPERLINK(".\links\pep\AGAP010131-PA-sulf.txt","3")</f>
        <v>3</v>
      </c>
      <c r="EH180" s="2" t="s">
        <v>89</v>
      </c>
      <c r="EI180" s="2">
        <v>22.9249011857708</v>
      </c>
      <c r="EJ180" s="2">
        <v>7.5098814229248996</v>
      </c>
      <c r="EK180" s="2">
        <v>1.5810276679841899</v>
      </c>
      <c r="EL180" s="2">
        <v>9.0909090909090899</v>
      </c>
      <c r="EM180" s="2" t="s">
        <v>89</v>
      </c>
      <c r="EN180" s="2" t="s">
        <v>89</v>
      </c>
      <c r="EO180" s="2" t="s">
        <v>89</v>
      </c>
      <c r="EP180" s="2" t="s">
        <v>89</v>
      </c>
      <c r="EQ180" s="2" t="s">
        <v>89</v>
      </c>
      <c r="ER180" s="2" t="s">
        <v>89</v>
      </c>
      <c r="ES180" s="2" t="s">
        <v>89</v>
      </c>
      <c r="ET180" s="2" t="str">
        <f>HYPERLINK(".\links\REFSEQ-INVERTEBRATE\AGAP010131-PA-REFSEQ-INVERTEBRATE.txt","AGAP010131-PA, partial")</f>
        <v>AGAP010131-PA, partial</v>
      </c>
      <c r="EU180" s="2" t="str">
        <f>HYPERLINK("http://www.ncbi.nlm.nih.gov/sutils/blink.cgi?pid=XP_554017.1","1E-142")</f>
        <v>1E-142</v>
      </c>
      <c r="EV180" s="2" t="str">
        <f>HYPERLINK("http://www.ncbi.nlm.nih.gov/protein/XP_554017.1","XP_554017.1")</f>
        <v>XP_554017.1</v>
      </c>
      <c r="EW180" s="2">
        <v>97</v>
      </c>
      <c r="EX180" s="2">
        <v>97</v>
      </c>
      <c r="EY180" s="2">
        <v>92</v>
      </c>
      <c r="EZ180" s="2" t="s">
        <v>95</v>
      </c>
    </row>
    <row r="181" spans="1:156" x14ac:dyDescent="0.25">
      <c r="A181" s="2" t="s">
        <v>2566</v>
      </c>
      <c r="B181" s="2">
        <v>-0.96262863933166398</v>
      </c>
      <c r="C181" s="2">
        <f t="shared" si="2"/>
        <v>0.5131211369511548</v>
      </c>
      <c r="D181" s="2">
        <v>4.6553874372615498</v>
      </c>
      <c r="E181" s="2">
        <v>22.213720253684201</v>
      </c>
      <c r="F181" s="2">
        <v>2.4392446883946599E-6</v>
      </c>
      <c r="G181" s="2">
        <v>7.4201823420965503E-4</v>
      </c>
      <c r="H181" s="2" t="s">
        <v>2567</v>
      </c>
      <c r="I181" s="2" t="s">
        <v>87</v>
      </c>
      <c r="J181" s="2" t="str">
        <f>HYPERLINK("https://vectorbase.org/vectorbase/app/record/gene/AGAP010443","AGAP010443-RA")</f>
        <v>AGAP010443-RA</v>
      </c>
      <c r="K181" s="2" t="str">
        <f>HYPERLINK(".\links\pep\AGAP010443-PA-pep.txt","AGAP010443-PA")</f>
        <v>AGAP010443-PA</v>
      </c>
      <c r="L181" s="12" t="s">
        <v>88</v>
      </c>
      <c r="M181" s="2">
        <v>235</v>
      </c>
      <c r="N181" s="2">
        <v>0</v>
      </c>
      <c r="O181" s="2">
        <v>2</v>
      </c>
      <c r="P181" s="2" t="s">
        <v>2568</v>
      </c>
      <c r="Q181" s="9" t="s">
        <v>2569</v>
      </c>
      <c r="R181" s="2" t="s">
        <v>663</v>
      </c>
      <c r="S181" s="2" t="str">
        <f>HYPERLINK(".\links\NR-LIGHT\AGAP010443-PA-NR-LIGHT.txt","NR-LIGHT")</f>
        <v>NR-LIGHT</v>
      </c>
      <c r="T181" s="2">
        <v>0</v>
      </c>
      <c r="U181" s="2">
        <v>100.8</v>
      </c>
      <c r="V181" s="2" t="s">
        <v>2570</v>
      </c>
      <c r="W181" s="10" t="s">
        <v>2571</v>
      </c>
      <c r="X181" s="2" t="s">
        <v>663</v>
      </c>
      <c r="Y181" s="2" t="str">
        <f>HYPERLINK(".\links\REFSEQ-INVERTEBRATE\AGAP010443-PA-REFSEQ-INVERTEBRATE.txt","REFSEQ-INVERTEBRATE")</f>
        <v>REFSEQ-INVERTEBRATE</v>
      </c>
      <c r="Z181" s="13">
        <v>0</v>
      </c>
      <c r="AA181" s="2">
        <v>101.2</v>
      </c>
      <c r="AB181" s="14" t="s">
        <v>89</v>
      </c>
      <c r="AC181" s="14" t="str">
        <f>HYPERLINK(".\links\Sigp\AGAP010443-PA-SigP.txt","CYT")</f>
        <v>CYT</v>
      </c>
      <c r="AD181" s="2" t="s">
        <v>89</v>
      </c>
      <c r="AE181" s="2">
        <v>26.655000000000001</v>
      </c>
      <c r="AF181" s="2">
        <v>6.89</v>
      </c>
      <c r="AG181" s="2" t="s">
        <v>89</v>
      </c>
      <c r="AH181" s="2" t="s">
        <v>89</v>
      </c>
      <c r="AI181" s="2" t="s">
        <v>2572</v>
      </c>
      <c r="AJ181" s="14" t="str">
        <f>HYPERLINK(".\links\tmhmm\AGAP010443-PA-tmhmm.txt","1")</f>
        <v>1</v>
      </c>
      <c r="AK181" s="2">
        <v>9.4</v>
      </c>
      <c r="AL181" s="2">
        <v>69.400000000000006</v>
      </c>
      <c r="AM181" s="2">
        <v>21.3</v>
      </c>
      <c r="AN181" s="14" t="str">
        <f>HYPERLINK(".\links\gpi\AGAP010443-PA-gpi.txt","N")</f>
        <v>N</v>
      </c>
      <c r="AO181" s="15" t="str">
        <f>HYPERLINK(".\links\netoglyc\AGAP010443-PA-netoglyc.txt","0")</f>
        <v>0</v>
      </c>
      <c r="AP181" s="14">
        <v>11.1</v>
      </c>
      <c r="AQ181" s="2">
        <v>6.4</v>
      </c>
      <c r="AR181" s="2">
        <v>6.4</v>
      </c>
      <c r="AS181" s="2" t="s">
        <v>94</v>
      </c>
      <c r="AT181" s="9" t="str">
        <f>HYPERLINK(".\links\NR-LIGHT\AGAP010443-PA-NR-LIGHT.txt","AGAP010443-PA")</f>
        <v>AGAP010443-PA</v>
      </c>
      <c r="AU181" s="2" t="str">
        <f>HYPERLINK("http://www.ncbi.nlm.nih.gov/sutils/blink.cgi?pid=XP_311504.3","1E-136")</f>
        <v>1E-136</v>
      </c>
      <c r="AV181" s="2" t="str">
        <f>HYPERLINK("http://www.ncbi.nlm.nih.gov/protein/XP_311504.3","XP_311504.3")</f>
        <v>XP_311504.3</v>
      </c>
      <c r="AW181" s="2">
        <v>100</v>
      </c>
      <c r="AX181" s="2">
        <v>100</v>
      </c>
      <c r="AY181" s="2">
        <v>100</v>
      </c>
      <c r="AZ181" s="2" t="s">
        <v>95</v>
      </c>
      <c r="BA181" s="9" t="str">
        <f>HYPERLINK(".\links\REFSEQ-INVERTEBRATE\AGAP010443-PA-REFSEQ-INVERTEBRATE.txt","AGAP010443-PA")</f>
        <v>AGAP010443-PA</v>
      </c>
      <c r="BB181" s="2" t="str">
        <f>HYPERLINK("http://www.ncbi.nlm.nih.gov/sutils/blink.cgi?pid=XP_311504.3","1E-136")</f>
        <v>1E-136</v>
      </c>
      <c r="BC181" s="2" t="str">
        <f>HYPERLINK("http://www.ncbi.nlm.nih.gov/protein/XP_311504.3","XP_311504.3")</f>
        <v>XP_311504.3</v>
      </c>
      <c r="BD181" s="2">
        <v>100</v>
      </c>
      <c r="BE181" s="2">
        <v>100</v>
      </c>
      <c r="BF181" s="2">
        <v>100</v>
      </c>
      <c r="BG181" s="2" t="s">
        <v>95</v>
      </c>
      <c r="BH181" s="9" t="str">
        <f>HYPERLINK(".\links\REFSEQ-PROTOZOA\AGAP010443-PA-REFSEQ-PROTOZOA.txt","cytochrome c oxidase assembly protein COX11")</f>
        <v>cytochrome c oxidase assembly protein COX11</v>
      </c>
      <c r="BI181" s="2" t="str">
        <f>HYPERLINK("http://www.ncbi.nlm.nih.gov/sutils/blink.cgi?pid=XP_004342654.2","1E-063")</f>
        <v>1E-063</v>
      </c>
      <c r="BJ181" s="2" t="str">
        <f>HYPERLINK("http://www.ncbi.nlm.nih.gov/protein/XP_004342654.2","XP_004342654.2")</f>
        <v>XP_004342654.2</v>
      </c>
      <c r="BK181" s="2">
        <v>61</v>
      </c>
      <c r="BL181" s="2">
        <v>73</v>
      </c>
      <c r="BM181" s="2">
        <v>57</v>
      </c>
      <c r="BN181" s="2" t="s">
        <v>150</v>
      </c>
      <c r="BO181" s="9" t="str">
        <f>HYPERLINK(".\links\SWISSP\AGAP010443-PA-SWISSP.txt","Cytochrome c oxidase assembly protein COX11, mitochondrial")</f>
        <v>Cytochrome c oxidase assembly protein COX11, mitochondrial</v>
      </c>
      <c r="BP181" s="2" t="str">
        <f>HYPERLINK("http://www.uniprot.org/uniprot/Q9Y6N1","1E-073")</f>
        <v>1E-073</v>
      </c>
      <c r="BQ181" s="2" t="str">
        <f>HYPERLINK("http://www.uniprot.org/uniprot/Q9Y6N1#expression","Q9Y6N1")</f>
        <v>Q9Y6N1</v>
      </c>
      <c r="BR181" s="2">
        <v>61</v>
      </c>
      <c r="BS181" s="2">
        <v>75</v>
      </c>
      <c r="BT181" s="2">
        <v>80</v>
      </c>
      <c r="BU181" s="2" t="s">
        <v>115</v>
      </c>
      <c r="BV181" s="9" t="str">
        <f>HYPERLINK(".\links\FLYBASE\AGAP010443-PA-FLYBASE.txt","FBpp0078731")</f>
        <v>FBpp0078731</v>
      </c>
      <c r="BW181" s="2" t="str">
        <f>HYPERLINK("http://flybase.org/reports/FBgn0051648#alliance_summary_container","1E-116")</f>
        <v>1E-116</v>
      </c>
      <c r="BX181" s="2">
        <v>241</v>
      </c>
      <c r="BY181" s="2">
        <v>75</v>
      </c>
      <c r="BZ181" s="2">
        <v>87</v>
      </c>
      <c r="CA181" s="2">
        <v>81</v>
      </c>
      <c r="CB181" s="9" t="str">
        <f>HYPERLINK(".\links\CDD\AGAP010443-PA-CDD.txt","CtaG_Cox11, Cytochrome c oxidase assembly protein CtaG/Cox11")</f>
        <v>CtaG_Cox11, Cytochrome c oxidase assembly protein CtaG/Cox11</v>
      </c>
      <c r="CC181" s="13">
        <v>3.9999999999999997E-71</v>
      </c>
      <c r="CD181" s="2">
        <v>103.4</v>
      </c>
      <c r="CE181" s="2" t="s">
        <v>2573</v>
      </c>
      <c r="CF181" s="2" t="s">
        <v>2574</v>
      </c>
      <c r="CG181" s="9" t="str">
        <f>HYPERLINK(".\links\KOG\AGAP010443-PA-KOG.txt","Cytochrome oxidase assembly factor COX11")</f>
        <v>Cytochrome oxidase assembly factor COX11</v>
      </c>
      <c r="CH181" s="13">
        <v>1E-83</v>
      </c>
      <c r="CI181" s="2">
        <v>72.099999999999994</v>
      </c>
      <c r="CJ181" s="2" t="s">
        <v>2575</v>
      </c>
      <c r="CK181" s="2" t="s">
        <v>264</v>
      </c>
      <c r="CL181" s="9" t="str">
        <f>HYPERLINK(".\links\PFAM\AGAP010443-PA-PFAM.txt","CtaG_Cox11, Cytochrome c oxidase assembly protein CtaG/Cox11")</f>
        <v>CtaG_Cox11, Cytochrome c oxidase assembly protein CtaG/Cox11</v>
      </c>
      <c r="CM181" s="13">
        <v>9.0000000000000004E-72</v>
      </c>
      <c r="CN181" s="2">
        <v>103.4</v>
      </c>
      <c r="CO181" s="2" t="s">
        <v>2573</v>
      </c>
      <c r="CP181" s="9" t="str">
        <f>HYPERLINK(".\links\SMART\AGAP010443-PA-SMART.txt","Catalase, Catalases are antioxidant enzymes that catalyse the conversion of hydrogen peroxide to water and molecular oxygen, serving to protect cells from its toxic effects")</f>
        <v>Catalase, Catalases are antioxidant enzymes that catalyse the conversion of hydrogen peroxide to water and molecular oxygen, serving to protect cells from its toxic effects</v>
      </c>
      <c r="CQ181" s="13">
        <v>2.9</v>
      </c>
      <c r="CR181" s="2">
        <v>8</v>
      </c>
      <c r="CS181" s="2" t="s">
        <v>2576</v>
      </c>
      <c r="CT181" s="2" t="s">
        <v>2570</v>
      </c>
      <c r="CU181" s="2" t="s">
        <v>2570</v>
      </c>
      <c r="CV181" s="2" t="s">
        <v>2570</v>
      </c>
      <c r="CW181" s="2" t="str">
        <f>HYPERLINK(".\links\pep\AGAP010443-PA-pep.txt","AGAP010443-PA")</f>
        <v>AGAP010443-PA</v>
      </c>
      <c r="CX181" s="2" t="s">
        <v>88</v>
      </c>
      <c r="CY181" s="2">
        <v>235</v>
      </c>
      <c r="CZ181" s="2" t="s">
        <v>103</v>
      </c>
      <c r="DA181" s="2" t="s">
        <v>2577</v>
      </c>
      <c r="DB181" s="2">
        <v>0</v>
      </c>
      <c r="DC181" s="2">
        <v>2</v>
      </c>
      <c r="DD181" s="2" t="str">
        <f>HYPERLINK("https://www.kegg.jp/kegg-bin/search_pathway_text?map=aga&amp;keyword=AGAP010443&amp;mode=1&amp;viewImage=true","AGAP010443")</f>
        <v>AGAP010443</v>
      </c>
      <c r="DE181" s="2" t="s">
        <v>2566</v>
      </c>
      <c r="DF181" s="2" t="s">
        <v>2567</v>
      </c>
      <c r="DG181" s="2" t="s">
        <v>87</v>
      </c>
      <c r="DH181" s="2" t="str">
        <f>HYPERLINK("https://vectorbase.org/vectorbase/app/record/gene/AGAP010443","AGAP010443-RA")</f>
        <v>AGAP010443-RA</v>
      </c>
      <c r="DI181" s="2" t="s">
        <v>158</v>
      </c>
      <c r="DJ181" s="2">
        <v>844</v>
      </c>
      <c r="DK181" s="2" t="str">
        <f>HYPERLINK(".\links\netoglyc\AGAP010443-PA-netoglyc.txt","0")</f>
        <v>0</v>
      </c>
      <c r="DL181" s="2">
        <v>11.1</v>
      </c>
      <c r="DM181" s="2">
        <v>6.4</v>
      </c>
      <c r="DN181" s="2">
        <v>6.4</v>
      </c>
      <c r="DO181" s="2" t="s">
        <v>94</v>
      </c>
      <c r="DP181" s="2" t="s">
        <v>89</v>
      </c>
      <c r="DQ181" s="2" t="str">
        <f>HYPERLINK(".\links\Sigp\AGAP010443-PA-SigP.txt","CYT")</f>
        <v>CYT</v>
      </c>
      <c r="DR181" s="2" t="s">
        <v>89</v>
      </c>
      <c r="DS181" s="2">
        <v>26.655000000000001</v>
      </c>
      <c r="DT181" s="2">
        <v>6.89</v>
      </c>
      <c r="DU181" s="2" t="s">
        <v>89</v>
      </c>
      <c r="DV181" s="2" t="s">
        <v>89</v>
      </c>
      <c r="DW181" s="2" t="s">
        <v>2572</v>
      </c>
      <c r="DX181" s="2">
        <v>235</v>
      </c>
      <c r="DY181" s="12" t="str">
        <f>HYPERLINK(".\links\tmhmm\AGAP010443-PA-tmhmm.txt","1")</f>
        <v>1</v>
      </c>
      <c r="DZ181" s="2">
        <v>9.4</v>
      </c>
      <c r="EA181" s="2">
        <v>69.400000000000006</v>
      </c>
      <c r="EB181" s="2">
        <v>21.3</v>
      </c>
      <c r="EC181" s="2" t="str">
        <f>HYPERLINK(".\links\gpi\AGAP010443-PA-gpi.txt","N")</f>
        <v>N</v>
      </c>
      <c r="ED181" s="2">
        <v>0.24</v>
      </c>
      <c r="EF181" s="2">
        <v>5</v>
      </c>
      <c r="EG181" s="2" t="s">
        <v>89</v>
      </c>
      <c r="EH181" s="2" t="s">
        <v>89</v>
      </c>
      <c r="EI181" s="2">
        <v>11.063829787234001</v>
      </c>
      <c r="EJ181" s="2">
        <v>6.3829787234042596</v>
      </c>
      <c r="EK181" s="2">
        <v>6.3829787234042596</v>
      </c>
      <c r="EL181" s="2">
        <v>12.7659574468085</v>
      </c>
      <c r="EM181" s="2" t="s">
        <v>89</v>
      </c>
      <c r="EN181" s="2">
        <v>1</v>
      </c>
      <c r="EO181" s="2">
        <v>2</v>
      </c>
      <c r="EP181" s="2" t="s">
        <v>89</v>
      </c>
      <c r="EQ181" s="2" t="s">
        <v>89</v>
      </c>
      <c r="ER181" s="2" t="s">
        <v>89</v>
      </c>
      <c r="ES181" s="2" t="s">
        <v>89</v>
      </c>
      <c r="ET181" s="2" t="str">
        <f>HYPERLINK(".\links\REFSEQ-INVERTEBRATE\AGAP010443-PA-REFSEQ-INVERTEBRATE.txt","AGAP010443-PA")</f>
        <v>AGAP010443-PA</v>
      </c>
      <c r="EU181" s="2" t="str">
        <f>HYPERLINK("http://www.ncbi.nlm.nih.gov/sutils/blink.cgi?pid=XP_311504.3","1E-178")</f>
        <v>1E-178</v>
      </c>
      <c r="EV181" s="2" t="str">
        <f>HYPERLINK("http://www.ncbi.nlm.nih.gov/protein/XP_311504.3","XP_311504.3")</f>
        <v>XP_311504.3</v>
      </c>
      <c r="EW181" s="2">
        <v>100</v>
      </c>
      <c r="EX181" s="2">
        <v>100</v>
      </c>
      <c r="EY181" s="2">
        <v>100</v>
      </c>
      <c r="EZ181" s="2" t="s">
        <v>95</v>
      </c>
    </row>
    <row r="182" spans="1:156" x14ac:dyDescent="0.25">
      <c r="A182" s="2" t="s">
        <v>1079</v>
      </c>
      <c r="B182" s="2">
        <v>-0.962799499887524</v>
      </c>
      <c r="C182" s="2">
        <f t="shared" si="2"/>
        <v>0.51306037083715994</v>
      </c>
      <c r="D182" s="2">
        <v>5.2390120267269102</v>
      </c>
      <c r="E182" s="2">
        <v>21.884285755582798</v>
      </c>
      <c r="F182" s="2">
        <v>2.89595718507495E-6</v>
      </c>
      <c r="G182" s="2">
        <v>8.2613320460505702E-4</v>
      </c>
      <c r="H182" s="2" t="s">
        <v>1080</v>
      </c>
      <c r="I182" s="2" t="s">
        <v>87</v>
      </c>
      <c r="J182" s="2" t="str">
        <f>HYPERLINK("https://vectorbase.org/vectorbase/app/record/gene/AGAP004296","AGAP004296-RA")</f>
        <v>AGAP004296-RA</v>
      </c>
      <c r="K182" s="2" t="str">
        <f>HYPERLINK(".\links\pep\AGAP004296-PA-pep.txt","AGAP004296-PA")</f>
        <v>AGAP004296-PA</v>
      </c>
      <c r="L182" s="12" t="s">
        <v>88</v>
      </c>
      <c r="M182" s="2">
        <v>96</v>
      </c>
      <c r="N182" s="2">
        <v>0</v>
      </c>
      <c r="O182" s="2">
        <v>0</v>
      </c>
      <c r="P182" s="2" t="s">
        <v>1081</v>
      </c>
      <c r="Q182" s="9" t="s">
        <v>1082</v>
      </c>
      <c r="R182" s="2" t="s">
        <v>924</v>
      </c>
      <c r="S182" s="2" t="str">
        <f>HYPERLINK(".\links\NR-LIGHT\AGAP004296-PA-NR-LIGHT.txt","NR-LIGHT")</f>
        <v>NR-LIGHT</v>
      </c>
      <c r="T182" s="2">
        <v>1E-41</v>
      </c>
      <c r="U182" s="2">
        <v>100</v>
      </c>
      <c r="V182" s="2" t="s">
        <v>1083</v>
      </c>
      <c r="W182" s="10" t="s">
        <v>1084</v>
      </c>
      <c r="X182" s="2" t="s">
        <v>924</v>
      </c>
      <c r="Y182" s="2" t="str">
        <f>HYPERLINK(".\links\ARTHORPODA\AGAP004296-PA-ARTHORPODA.txt","ARTHORPODA")</f>
        <v>ARTHORPODA</v>
      </c>
      <c r="Z182" s="13">
        <v>1.9999999999999998E-65</v>
      </c>
      <c r="AA182" s="2">
        <v>100</v>
      </c>
      <c r="AB182" s="14" t="s">
        <v>89</v>
      </c>
      <c r="AC182" s="14" t="str">
        <f>HYPERLINK(".\links\Sigp\AGAP004296-PA-SigP.txt","ANC")</f>
        <v>ANC</v>
      </c>
      <c r="AD182" s="2" t="s">
        <v>89</v>
      </c>
      <c r="AE182" s="2">
        <v>10.962999999999999</v>
      </c>
      <c r="AF182" s="2">
        <v>9.99</v>
      </c>
      <c r="AG182" s="2">
        <v>7.0220000000000002</v>
      </c>
      <c r="AH182" s="2">
        <v>10.08</v>
      </c>
      <c r="AI182" s="2" t="s">
        <v>1085</v>
      </c>
      <c r="AJ182" s="14" t="str">
        <f>HYPERLINK(".\links\tmhmm\AGAP004296-PA-tmhmm.txt","2")</f>
        <v>2</v>
      </c>
      <c r="AK182" s="2">
        <v>42.7</v>
      </c>
      <c r="AL182" s="2">
        <v>5.2</v>
      </c>
      <c r="AM182" s="2">
        <v>52.1</v>
      </c>
      <c r="AN182" s="14" t="str">
        <f>HYPERLINK(".\links\gpi\AGAP004296-PA-gpi.txt","N")</f>
        <v>N</v>
      </c>
      <c r="AO182" s="15" t="str">
        <f>HYPERLINK(".\links\netoglyc\AGAP004296-PA-netoglyc.txt","1")</f>
        <v>1</v>
      </c>
      <c r="AP182" s="14">
        <v>12.5</v>
      </c>
      <c r="AQ182" s="2">
        <v>7.3</v>
      </c>
      <c r="AR182" s="2">
        <v>6.3</v>
      </c>
      <c r="AS182" s="2" t="s">
        <v>94</v>
      </c>
      <c r="AT182" s="9" t="str">
        <f>HYPERLINK(".\links\NR-LIGHT\AGAP004296-PA-NR-LIGHT.txt","AGAP004296-PA")</f>
        <v>AGAP004296-PA</v>
      </c>
      <c r="AU182" s="2" t="str">
        <f>HYPERLINK("http://www.ncbi.nlm.nih.gov/sutils/blink.cgi?pid=XP_313570.3","2E-049")</f>
        <v>2E-049</v>
      </c>
      <c r="AV182" s="2" t="str">
        <f>HYPERLINK("http://www.ncbi.nlm.nih.gov/protein/XP_313570.3","XP_313570.3")</f>
        <v>XP_313570.3</v>
      </c>
      <c r="AW182" s="2">
        <v>100</v>
      </c>
      <c r="AX182" s="2">
        <v>100</v>
      </c>
      <c r="AY182" s="2">
        <v>100</v>
      </c>
      <c r="AZ182" s="2" t="s">
        <v>95</v>
      </c>
      <c r="BA182" s="9" t="str">
        <f>HYPERLINK(".\links\REFSEQ-INVERTEBRATE\AGAP004296-PA-REFSEQ-INVERTEBRATE.txt","AGAP004296-PA")</f>
        <v>AGAP004296-PA</v>
      </c>
      <c r="BB182" s="2" t="str">
        <f>HYPERLINK("http://www.ncbi.nlm.nih.gov/sutils/blink.cgi?pid=XP_313570.3","2E-049")</f>
        <v>2E-049</v>
      </c>
      <c r="BC182" s="2" t="str">
        <f>HYPERLINK("http://www.ncbi.nlm.nih.gov/protein/XP_313570.3","XP_313570.3")</f>
        <v>XP_313570.3</v>
      </c>
      <c r="BD182" s="2">
        <v>100</v>
      </c>
      <c r="BE182" s="2">
        <v>100</v>
      </c>
      <c r="BF182" s="2">
        <v>100</v>
      </c>
      <c r="BG182" s="2" t="s">
        <v>95</v>
      </c>
      <c r="BH182" s="9" t="str">
        <f>HYPERLINK(".\links\REFSEQ-PROTOZOA\AGAP004296-PA-REFSEQ-PROTOZOA.txt","signal peptidase complex subunit 1")</f>
        <v>signal peptidase complex subunit 1</v>
      </c>
      <c r="BI182" s="2" t="str">
        <f>HYPERLINK("http://www.ncbi.nlm.nih.gov/sutils/blink.cgi?pid=XP_004994248.1","8E-016")</f>
        <v>8E-016</v>
      </c>
      <c r="BJ182" s="2" t="str">
        <f>HYPERLINK("http://www.ncbi.nlm.nih.gov/protein/XP_004994248.1","XP_004994248.1")</f>
        <v>XP_004994248.1</v>
      </c>
      <c r="BK182" s="2">
        <v>44</v>
      </c>
      <c r="BL182" s="2">
        <v>63</v>
      </c>
      <c r="BM182" s="2">
        <v>93</v>
      </c>
      <c r="BN182" s="2" t="s">
        <v>182</v>
      </c>
      <c r="BO182" s="9" t="str">
        <f>HYPERLINK(".\links\SWISSP\AGAP004296-PA-SWISSP.txt","Signal peptidase complex subunit 1")</f>
        <v>Signal peptidase complex subunit 1</v>
      </c>
      <c r="BP182" s="2" t="str">
        <f>HYPERLINK("http://www.uniprot.org/uniprot/Q9VAL0","2E-029")</f>
        <v>2E-029</v>
      </c>
      <c r="BQ182" s="2" t="str">
        <f>HYPERLINK("http://www.uniprot.org/uniprot/Q9VAL0#expression","Q9VAL0")</f>
        <v>Q9VAL0</v>
      </c>
      <c r="BR182" s="2">
        <v>64</v>
      </c>
      <c r="BS182" s="2">
        <v>81</v>
      </c>
      <c r="BT182" s="2">
        <v>99</v>
      </c>
      <c r="BU182" s="2" t="s">
        <v>151</v>
      </c>
      <c r="BV182" s="9" t="str">
        <f>HYPERLINK(".\links\FLYBASE\AGAP004296-PA-FLYBASE.txt","FBpp0084801")</f>
        <v>FBpp0084801</v>
      </c>
      <c r="BW182" s="2" t="str">
        <f>HYPERLINK("http://flybase.org/reports/FBgn0040623#alliance_summary_container","4E-39")</f>
        <v>4E-39</v>
      </c>
      <c r="BX182" s="2">
        <v>98</v>
      </c>
      <c r="BY182" s="2">
        <v>63</v>
      </c>
      <c r="BZ182" s="2">
        <v>79</v>
      </c>
      <c r="CA182" s="2">
        <v>100</v>
      </c>
      <c r="CB182" s="9" t="str">
        <f>HYPERLINK(".\links\CDD\AGAP004296-PA-CDD.txt","SPC12, Microsomal signal peptidase 12 kDa subunit (SPC12)")</f>
        <v>SPC12, Microsomal signal peptidase 12 kDa subunit (SPC12)</v>
      </c>
      <c r="CC182" s="13">
        <v>1E-25</v>
      </c>
      <c r="CD182" s="2">
        <v>100</v>
      </c>
      <c r="CE182" s="2" t="s">
        <v>1086</v>
      </c>
      <c r="CF182" s="2" t="s">
        <v>1087</v>
      </c>
      <c r="CG182" s="9" t="str">
        <f>HYPERLINK(".\links\KOG\AGAP004296-PA-KOG.txt","Signal peptidase subunit")</f>
        <v>Signal peptidase subunit</v>
      </c>
      <c r="CH182" s="13">
        <v>3.9999999999999998E-23</v>
      </c>
      <c r="CI182" s="2">
        <v>88.1</v>
      </c>
      <c r="CJ182" s="2" t="s">
        <v>1088</v>
      </c>
      <c r="CK182" s="2" t="s">
        <v>278</v>
      </c>
      <c r="CL182" s="9" t="str">
        <f>HYPERLINK(".\links\PFAM\AGAP004296-PA-PFAM.txt","SPC12, Microsomal signal peptidase 12 kDa subunit (SPC12)")</f>
        <v>SPC12, Microsomal signal peptidase 12 kDa subunit (SPC12)</v>
      </c>
      <c r="CM182" s="13">
        <v>4.0000000000000002E-26</v>
      </c>
      <c r="CN182" s="2">
        <v>100</v>
      </c>
      <c r="CO182" s="2" t="s">
        <v>1086</v>
      </c>
      <c r="CP182" s="9" t="str">
        <f>HYPERLINK(".\links\SMART\AGAP004296-PA-SMART.txt","vertebrate formins have been assigned functions within the nucleus")</f>
        <v>vertebrate formins have been assigned functions within the nucleus</v>
      </c>
      <c r="CQ182" s="13">
        <v>0.43</v>
      </c>
      <c r="CR182" s="2">
        <v>3.1</v>
      </c>
      <c r="CS182" s="2" t="s">
        <v>1089</v>
      </c>
      <c r="CT182" s="2" t="s">
        <v>1083</v>
      </c>
      <c r="CU182" s="2" t="s">
        <v>1083</v>
      </c>
      <c r="CV182" s="2" t="s">
        <v>1083</v>
      </c>
      <c r="CW182" s="2" t="str">
        <f>HYPERLINK(".\links\pep\AGAP004296-PA-pep.txt","AGAP004296-PA")</f>
        <v>AGAP004296-PA</v>
      </c>
      <c r="CX182" s="2" t="s">
        <v>88</v>
      </c>
      <c r="CY182" s="2">
        <v>96</v>
      </c>
      <c r="CZ182" s="2" t="s">
        <v>103</v>
      </c>
      <c r="DA182" s="2" t="s">
        <v>1090</v>
      </c>
      <c r="DB182" s="2">
        <v>0</v>
      </c>
      <c r="DC182" s="2">
        <v>0</v>
      </c>
      <c r="DD182" s="2" t="str">
        <f>HYPERLINK("https://www.kegg.jp/kegg-bin/search_pathway_text?map=aga&amp;keyword=AGAP004296&amp;mode=1&amp;viewImage=true","AGAP004296")</f>
        <v>AGAP004296</v>
      </c>
      <c r="DE182" s="2" t="s">
        <v>1079</v>
      </c>
      <c r="DF182" s="2" t="s">
        <v>1080</v>
      </c>
      <c r="DG182" s="2" t="s">
        <v>87</v>
      </c>
      <c r="DH182" s="2" t="str">
        <f>HYPERLINK("https://vectorbase.org/vectorbase/app/record/gene/AGAP004296","AGAP004296-RA")</f>
        <v>AGAP004296-RA</v>
      </c>
      <c r="DI182" s="2" t="s">
        <v>158</v>
      </c>
      <c r="DJ182" s="2">
        <v>483</v>
      </c>
      <c r="DK182" s="2" t="str">
        <f>HYPERLINK(".\links\netoglyc\AGAP004296-PA-netoglyc.txt","1")</f>
        <v>1</v>
      </c>
      <c r="DL182" s="2">
        <v>12.5</v>
      </c>
      <c r="DM182" s="2">
        <v>7.3</v>
      </c>
      <c r="DN182" s="2">
        <v>6.3</v>
      </c>
      <c r="DO182" s="2" t="s">
        <v>94</v>
      </c>
      <c r="DP182" s="2" t="s">
        <v>89</v>
      </c>
      <c r="DQ182" s="2" t="str">
        <f>HYPERLINK(".\links\Sigp\AGAP004296-PA-SigP.txt","ANC")</f>
        <v>ANC</v>
      </c>
      <c r="DR182" s="2" t="s">
        <v>89</v>
      </c>
      <c r="DS182" s="2">
        <v>10.962999999999999</v>
      </c>
      <c r="DT182" s="2">
        <v>9.99</v>
      </c>
      <c r="DU182" s="2">
        <v>7.0220000000000002</v>
      </c>
      <c r="DV182" s="2">
        <v>10.08</v>
      </c>
      <c r="DW182" s="2" t="s">
        <v>1085</v>
      </c>
      <c r="DX182" s="2">
        <v>96</v>
      </c>
      <c r="DY182" s="12" t="str">
        <f>HYPERLINK(".\links\tmhmm\AGAP004296-PA-tmhmm.txt","2")</f>
        <v>2</v>
      </c>
      <c r="DZ182" s="2">
        <v>42.7</v>
      </c>
      <c r="EA182" s="2">
        <v>5.2</v>
      </c>
      <c r="EB182" s="2">
        <v>52.1</v>
      </c>
      <c r="EC182" s="2" t="str">
        <f>HYPERLINK(".\links\gpi\AGAP004296-PA-gpi.txt","N")</f>
        <v>N</v>
      </c>
      <c r="ED182" s="2">
        <v>0.39</v>
      </c>
      <c r="EE182" s="2" t="s">
        <v>1091</v>
      </c>
      <c r="EF182" s="2">
        <v>0</v>
      </c>
      <c r="EG182" s="2" t="s">
        <v>89</v>
      </c>
      <c r="EH182" s="2" t="s">
        <v>89</v>
      </c>
      <c r="EI182" s="2">
        <v>12.5</v>
      </c>
      <c r="EJ182" s="2">
        <v>6.25</v>
      </c>
      <c r="EK182" s="2">
        <v>7.2916666666666696</v>
      </c>
      <c r="EL182" s="2">
        <v>13.5416666666667</v>
      </c>
      <c r="EM182" s="2" t="s">
        <v>89</v>
      </c>
      <c r="EN182" s="2" t="s">
        <v>89</v>
      </c>
      <c r="EO182" s="2" t="s">
        <v>89</v>
      </c>
      <c r="EP182" s="2" t="s">
        <v>89</v>
      </c>
      <c r="EQ182" s="2" t="s">
        <v>89</v>
      </c>
      <c r="ER182" s="2" t="s">
        <v>89</v>
      </c>
      <c r="ES182" s="2" t="s">
        <v>89</v>
      </c>
      <c r="ET182" s="2" t="str">
        <f>HYPERLINK(".\links\REFSEQ-INVERTEBRATE\AGAP004296-PA-REFSEQ-INVERTEBRATE.txt","AGAP004296-PA")</f>
        <v>AGAP004296-PA</v>
      </c>
      <c r="EU182" s="2" t="str">
        <f>HYPERLINK("http://www.ncbi.nlm.nih.gov/sutils/blink.cgi?pid=XP_313570.3","3E-65")</f>
        <v>3E-65</v>
      </c>
      <c r="EV182" s="2" t="str">
        <f>HYPERLINK("http://www.ncbi.nlm.nih.gov/protein/XP_313570.3","XP_313570.3")</f>
        <v>XP_313570.3</v>
      </c>
      <c r="EW182" s="2">
        <v>100</v>
      </c>
      <c r="EX182" s="2">
        <v>100</v>
      </c>
      <c r="EY182" s="2">
        <v>100</v>
      </c>
      <c r="EZ182" s="2" t="s">
        <v>95</v>
      </c>
    </row>
    <row r="183" spans="1:156" x14ac:dyDescent="0.25">
      <c r="A183" s="2" t="s">
        <v>2532</v>
      </c>
      <c r="B183" s="2">
        <v>-0.96508414552844402</v>
      </c>
      <c r="C183" s="2">
        <f t="shared" si="2"/>
        <v>0.51224853362858092</v>
      </c>
      <c r="D183" s="2">
        <v>5.1024797187726199</v>
      </c>
      <c r="E183" s="2">
        <v>21.248698607146999</v>
      </c>
      <c r="F183" s="2">
        <v>4.0338415496672503E-6</v>
      </c>
      <c r="G183" s="2">
        <v>9.7494966936311097E-4</v>
      </c>
      <c r="H183" s="2" t="s">
        <v>2533</v>
      </c>
      <c r="I183" s="2" t="s">
        <v>87</v>
      </c>
      <c r="J183" s="2" t="str">
        <f>HYPERLINK("https://vectorbase.org/vectorbase/app/record/gene/AGAP010337","AGAP010337-RB")</f>
        <v>AGAP010337-RB</v>
      </c>
      <c r="K183" s="2" t="str">
        <f>HYPERLINK(".\links\pep\AGAP010337-PB-pep.txt","AGAP010337-PB")</f>
        <v>AGAP010337-PB</v>
      </c>
      <c r="L183" s="12" t="s">
        <v>88</v>
      </c>
      <c r="M183" s="2">
        <v>82</v>
      </c>
      <c r="N183" s="2">
        <v>0</v>
      </c>
      <c r="O183" s="2">
        <v>0</v>
      </c>
      <c r="P183" s="2" t="s">
        <v>2534</v>
      </c>
      <c r="Q183" s="9" t="s">
        <v>2535</v>
      </c>
      <c r="R183" s="2" t="s">
        <v>145</v>
      </c>
      <c r="S183" s="2" t="str">
        <f>HYPERLINK(".\links\REFSEQ-INVERTEBRATE\AGAP010337-PB-REFSEQ-INVERTEBRATE.txt","REFSEQ-INVERTEBRATE")</f>
        <v>REFSEQ-INVERTEBRATE</v>
      </c>
      <c r="T183" s="2">
        <v>7.9999999999999994E-34</v>
      </c>
      <c r="U183" s="2">
        <v>100</v>
      </c>
      <c r="V183" s="2" t="s">
        <v>2536</v>
      </c>
      <c r="W183" s="10" t="s">
        <v>2537</v>
      </c>
      <c r="X183" s="2" t="s">
        <v>145</v>
      </c>
      <c r="Y183" s="2" t="str">
        <f>HYPERLINK(".\links\REFSEQ-INVERTEBRATE\AGAP010337-PB-REFSEQ-INVERTEBRATE.txt","REFSEQ-INVERTEBRATE")</f>
        <v>REFSEQ-INVERTEBRATE</v>
      </c>
      <c r="Z183" s="13">
        <v>6.0000000000000002E-54</v>
      </c>
      <c r="AA183" s="2">
        <v>100</v>
      </c>
      <c r="AB183" s="14" t="s">
        <v>89</v>
      </c>
      <c r="AC183" s="14" t="str">
        <f>HYPERLINK(".\links\Sigp\AGAP010337-PB-SigP.txt","CYT")</f>
        <v>CYT</v>
      </c>
      <c r="AD183" s="2" t="s">
        <v>89</v>
      </c>
      <c r="AE183" s="2">
        <v>9.3759999999999994</v>
      </c>
      <c r="AF183" s="2">
        <v>9.86</v>
      </c>
      <c r="AG183" s="2" t="s">
        <v>89</v>
      </c>
      <c r="AH183" s="2" t="s">
        <v>89</v>
      </c>
      <c r="AI183" s="2" t="s">
        <v>2538</v>
      </c>
      <c r="AJ183" s="14" t="str">
        <f>HYPERLINK(".\links\tmhmm\AGAP010337-PB-tmhmm.txt","1")</f>
        <v>1</v>
      </c>
      <c r="AK183" s="2">
        <v>20.7</v>
      </c>
      <c r="AL183" s="2">
        <v>56.1</v>
      </c>
      <c r="AM183" s="2">
        <v>23.2</v>
      </c>
      <c r="AN183" s="14" t="str">
        <f>HYPERLINK(".\links\gpi\AGAP010337-PB-gpi.txt","N")</f>
        <v>N</v>
      </c>
      <c r="AO183" s="15" t="str">
        <f>HYPERLINK(".\links\netoglyc\AGAP010337-PB-netoglyc.txt","0")</f>
        <v>0</v>
      </c>
      <c r="AP183" s="14">
        <v>8.5</v>
      </c>
      <c r="AQ183" s="2">
        <v>7.3</v>
      </c>
      <c r="AR183" s="2">
        <v>6.1</v>
      </c>
      <c r="AS183" s="2" t="s">
        <v>94</v>
      </c>
      <c r="AT183" s="9" t="str">
        <f>HYPERLINK(".\links\NR-LIGHT\AGAP010337-PB-NR-LIGHT.txt","AGAP010337-PA, partial")</f>
        <v>AGAP010337-PA, partial</v>
      </c>
      <c r="AU183" s="2" t="str">
        <f>HYPERLINK("http://www.ncbi.nlm.nih.gov/sutils/blink.cgi?pid=XP_311607.2","4E-041")</f>
        <v>4E-041</v>
      </c>
      <c r="AV183" s="2" t="str">
        <f>HYPERLINK("http://www.ncbi.nlm.nih.gov/protein/XP_311607.2","XP_311607.2")</f>
        <v>XP_311607.2</v>
      </c>
      <c r="AW183" s="2">
        <v>100</v>
      </c>
      <c r="AX183" s="2">
        <v>100</v>
      </c>
      <c r="AY183" s="2">
        <v>94</v>
      </c>
      <c r="AZ183" s="2" t="s">
        <v>95</v>
      </c>
      <c r="BA183" s="9" t="str">
        <f>HYPERLINK(".\links\REFSEQ-INVERTEBRATE\AGAP010337-PB-REFSEQ-INVERTEBRATE.txt","AGAP010337-PA, partial")</f>
        <v>AGAP010337-PA, partial</v>
      </c>
      <c r="BB183" s="2" t="str">
        <f>HYPERLINK("http://www.ncbi.nlm.nih.gov/sutils/blink.cgi?pid=XP_311607.2","4E-041")</f>
        <v>4E-041</v>
      </c>
      <c r="BC183" s="2" t="str">
        <f>HYPERLINK("http://www.ncbi.nlm.nih.gov/protein/XP_311607.2","XP_311607.2")</f>
        <v>XP_311607.2</v>
      </c>
      <c r="BD183" s="2">
        <v>100</v>
      </c>
      <c r="BE183" s="2">
        <v>100</v>
      </c>
      <c r="BF183" s="2">
        <v>94</v>
      </c>
      <c r="BG183" s="2" t="s">
        <v>95</v>
      </c>
      <c r="BH183" s="9" t="str">
        <f>HYPERLINK(".\links\REFSEQ-PROTOZOA\AGAP010337-PB-REFSEQ-PROTOZOA.txt","UcrQ family protein")</f>
        <v>UcrQ family protein</v>
      </c>
      <c r="BI183" s="2" t="str">
        <f>HYPERLINK("http://www.ncbi.nlm.nih.gov/sutils/blink.cgi?pid=XP_014151257.1","6E-011")</f>
        <v>6E-011</v>
      </c>
      <c r="BJ183" s="2" t="str">
        <f>HYPERLINK("http://www.ncbi.nlm.nih.gov/protein/XP_014151257.1","XP_014151257.1")</f>
        <v>XP_014151257.1</v>
      </c>
      <c r="BK183" s="2">
        <v>42</v>
      </c>
      <c r="BL183" s="2">
        <v>58</v>
      </c>
      <c r="BM183" s="2">
        <v>97</v>
      </c>
      <c r="BN183" s="2" t="s">
        <v>168</v>
      </c>
      <c r="BO183" s="9" t="str">
        <f>HYPERLINK(".\links\SWISSP\AGAP010337-PB-SWISSP.txt","Cytochrome b-c1 complex subunit 8")</f>
        <v>Cytochrome b-c1 complex subunit 8</v>
      </c>
      <c r="BP183" s="2" t="str">
        <f>HYPERLINK("http://www.uniprot.org/uniprot/Q7TQ16","3E-019")</f>
        <v>3E-019</v>
      </c>
      <c r="BQ183" s="2" t="str">
        <f>HYPERLINK("http://www.uniprot.org/uniprot/Q7TQ16#expression","Q7TQ16")</f>
        <v>Q7TQ16</v>
      </c>
      <c r="BR183" s="2">
        <v>49</v>
      </c>
      <c r="BS183" s="2">
        <v>70</v>
      </c>
      <c r="BT183" s="2">
        <v>99</v>
      </c>
      <c r="BU183" s="2" t="s">
        <v>198</v>
      </c>
      <c r="BV183" s="9" t="str">
        <f>HYPERLINK(".\links\FLYBASE\AGAP010337-PB-FLYBASE.txt","FBpp0305844")</f>
        <v>FBpp0305844</v>
      </c>
      <c r="BW183" s="2" t="str">
        <f>HYPERLINK("http://flybase.org/reports/FBgn0036728#alliance_summary_container","7E-35")</f>
        <v>7E-35</v>
      </c>
      <c r="BX183" s="2">
        <v>89</v>
      </c>
      <c r="BY183" s="2">
        <v>63</v>
      </c>
      <c r="BZ183" s="2">
        <v>78</v>
      </c>
      <c r="CA183" s="2">
        <v>90</v>
      </c>
      <c r="CB183" s="9" t="str">
        <f>HYPERLINK(".\links\CDD\AGAP010337-PB-CDD.txt","UcrQ, UcrQ family")</f>
        <v>UcrQ, UcrQ family</v>
      </c>
      <c r="CC183" s="13">
        <v>8.9999999999999998E-26</v>
      </c>
      <c r="CD183" s="2">
        <v>100</v>
      </c>
      <c r="CE183" s="2" t="s">
        <v>2539</v>
      </c>
      <c r="CF183" s="2" t="s">
        <v>2540</v>
      </c>
      <c r="CG183" s="9" t="str">
        <f>HYPERLINK(".\links\KOG\AGAP010337-PB-KOG.txt","subunit QCR8")</f>
        <v>subunit QCR8</v>
      </c>
      <c r="CH183" s="13">
        <v>1.9999999999999999E-20</v>
      </c>
      <c r="CI183" s="2">
        <v>91.1</v>
      </c>
      <c r="CJ183" s="2" t="s">
        <v>2541</v>
      </c>
      <c r="CK183" s="2" t="s">
        <v>155</v>
      </c>
      <c r="CL183" s="9" t="str">
        <f>HYPERLINK(".\links\PFAM\AGAP010337-PB-PFAM.txt","UcrQ, UcrQ family")</f>
        <v>UcrQ, UcrQ family</v>
      </c>
      <c r="CM183" s="13">
        <v>2.0000000000000001E-26</v>
      </c>
      <c r="CN183" s="2">
        <v>100</v>
      </c>
      <c r="CO183" s="2" t="s">
        <v>2539</v>
      </c>
      <c r="CP183" s="9" t="str">
        <f>HYPERLINK(".\links\SMART\AGAP010337-PB-SMART.txt","Col_cuticle_N, Nematode cuticle collagen N-terminal domain")</f>
        <v>Col_cuticle_N, Nematode cuticle collagen N-terminal domain</v>
      </c>
      <c r="CQ183" s="13">
        <v>9.4E-2</v>
      </c>
      <c r="CR183" s="2">
        <v>28.3</v>
      </c>
      <c r="CS183" s="2" t="s">
        <v>2027</v>
      </c>
      <c r="CT183" s="2" t="s">
        <v>2536</v>
      </c>
      <c r="CU183" s="2" t="s">
        <v>2536</v>
      </c>
      <c r="CV183" s="2" t="s">
        <v>2536</v>
      </c>
      <c r="CW183" s="2" t="str">
        <f>HYPERLINK(".\links\pep\AGAP010337-PB-pep.txt","AGAP010337-PB")</f>
        <v>AGAP010337-PB</v>
      </c>
      <c r="CX183" s="2" t="s">
        <v>88</v>
      </c>
      <c r="CY183" s="2">
        <v>82</v>
      </c>
      <c r="CZ183" s="2" t="s">
        <v>103</v>
      </c>
      <c r="DA183" s="2" t="s">
        <v>2542</v>
      </c>
      <c r="DB183" s="2">
        <v>0</v>
      </c>
      <c r="DC183" s="2">
        <v>0</v>
      </c>
      <c r="DD183" s="2" t="str">
        <f>HYPERLINK("https://www.kegg.jp/kegg-bin/search_pathway_text?map=aga&amp;keyword=AGAP010337&amp;mode=1&amp;viewImage=true","AGAP010337")</f>
        <v>AGAP010337</v>
      </c>
      <c r="DE183" s="2" t="s">
        <v>2532</v>
      </c>
      <c r="DF183" s="2" t="s">
        <v>2533</v>
      </c>
      <c r="DG183" s="2" t="s">
        <v>87</v>
      </c>
      <c r="DH183" s="2" t="str">
        <f>HYPERLINK("https://vectorbase.org/vectorbase/app/record/gene/AGAP010337","AGAP010337-RB")</f>
        <v>AGAP010337-RB</v>
      </c>
      <c r="DI183" s="2" t="s">
        <v>105</v>
      </c>
      <c r="DJ183" s="2">
        <v>491</v>
      </c>
      <c r="DK183" s="2" t="str">
        <f>HYPERLINK(".\links\netoglyc\AGAP010337-PB-netoglyc.txt","0")</f>
        <v>0</v>
      </c>
      <c r="DL183" s="2">
        <v>8.5</v>
      </c>
      <c r="DM183" s="2">
        <v>7.3</v>
      </c>
      <c r="DN183" s="2">
        <v>6.1</v>
      </c>
      <c r="DO183" s="2" t="s">
        <v>94</v>
      </c>
      <c r="DP183" s="2" t="s">
        <v>89</v>
      </c>
      <c r="DQ183" s="2" t="str">
        <f>HYPERLINK(".\links\Sigp\AGAP010337-PB-SigP.txt","CYT")</f>
        <v>CYT</v>
      </c>
      <c r="DR183" s="2" t="s">
        <v>89</v>
      </c>
      <c r="DS183" s="2">
        <v>9.3759999999999994</v>
      </c>
      <c r="DT183" s="2">
        <v>9.86</v>
      </c>
      <c r="DU183" s="2" t="s">
        <v>89</v>
      </c>
      <c r="DV183" s="2" t="s">
        <v>89</v>
      </c>
      <c r="DW183" s="2" t="s">
        <v>2538</v>
      </c>
      <c r="DX183" s="2">
        <v>82</v>
      </c>
      <c r="DY183" s="12" t="str">
        <f>HYPERLINK(".\links\tmhmm\AGAP010337-PB-tmhmm.txt","1")</f>
        <v>1</v>
      </c>
      <c r="DZ183" s="2">
        <v>20.7</v>
      </c>
      <c r="EA183" s="2">
        <v>56.1</v>
      </c>
      <c r="EB183" s="2">
        <v>23.2</v>
      </c>
      <c r="EC183" s="2" t="str">
        <f>HYPERLINK(".\links\gpi\AGAP010337-PB-gpi.txt","N")</f>
        <v>N</v>
      </c>
      <c r="ED183" s="2">
        <v>0.42</v>
      </c>
      <c r="EF183" s="2">
        <v>0</v>
      </c>
      <c r="EG183" s="2" t="s">
        <v>89</v>
      </c>
      <c r="EH183" s="2" t="s">
        <v>89</v>
      </c>
      <c r="EI183" s="2">
        <v>8.5365853658536608</v>
      </c>
      <c r="EJ183" s="2">
        <v>6.0975609756097597</v>
      </c>
      <c r="EK183" s="2">
        <v>7.3170731707317103</v>
      </c>
      <c r="EL183" s="2">
        <v>13.4146341463415</v>
      </c>
      <c r="EM183" s="2" t="s">
        <v>89</v>
      </c>
      <c r="EN183" s="2">
        <v>1</v>
      </c>
      <c r="EO183" s="2">
        <v>1</v>
      </c>
      <c r="EP183" s="2" t="s">
        <v>89</v>
      </c>
      <c r="EQ183" s="2" t="s">
        <v>89</v>
      </c>
      <c r="ER183" s="2" t="s">
        <v>89</v>
      </c>
      <c r="ES183" s="2" t="s">
        <v>89</v>
      </c>
      <c r="ET183" s="2" t="str">
        <f>HYPERLINK(".\links\REFSEQ-INVERTEBRATE\AGAP010337-PB-REFSEQ-INVERTEBRATE.txt","AGAP010337-PA, partial")</f>
        <v>AGAP010337-PA, partial</v>
      </c>
      <c r="EU183" s="2" t="str">
        <f>HYPERLINK("http://www.ncbi.nlm.nih.gov/sutils/blink.cgi?pid=XP_311607.2","3E-55")</f>
        <v>3E-55</v>
      </c>
      <c r="EV183" s="2" t="str">
        <f>HYPERLINK("http://www.ncbi.nlm.nih.gov/protein/XP_311607.2","XP_311607.2")</f>
        <v>XP_311607.2</v>
      </c>
      <c r="EW183" s="2">
        <v>100</v>
      </c>
      <c r="EX183" s="2">
        <v>100</v>
      </c>
      <c r="EY183" s="2">
        <v>94</v>
      </c>
      <c r="EZ183" s="2" t="s">
        <v>95</v>
      </c>
    </row>
    <row r="184" spans="1:156" x14ac:dyDescent="0.25">
      <c r="A184" s="2" t="s">
        <v>2175</v>
      </c>
      <c r="B184" s="2">
        <v>-0.967888850495493</v>
      </c>
      <c r="C184" s="2">
        <f t="shared" si="2"/>
        <v>0.5112536522852783</v>
      </c>
      <c r="D184" s="2">
        <v>5.8567751390786498</v>
      </c>
      <c r="E184" s="2">
        <v>19.611113915910799</v>
      </c>
      <c r="F184" s="2">
        <v>9.4915471580937893E-6</v>
      </c>
      <c r="G184" s="2">
        <v>1.65666397692171E-3</v>
      </c>
      <c r="H184" s="2" t="s">
        <v>2176</v>
      </c>
      <c r="I184" s="2" t="s">
        <v>466</v>
      </c>
      <c r="J184" s="8" t="s">
        <v>2177</v>
      </c>
      <c r="Q184" s="9"/>
      <c r="W184" s="10"/>
      <c r="AB184" s="9"/>
      <c r="AC184" s="9"/>
      <c r="AJ184" s="9"/>
      <c r="AN184" s="9"/>
      <c r="AO184" s="11"/>
      <c r="AP184" s="9"/>
      <c r="AT184" s="9"/>
      <c r="BA184" s="9"/>
      <c r="BH184" s="9"/>
      <c r="BO184" s="9"/>
      <c r="BV184" s="9"/>
      <c r="CB184" s="9"/>
      <c r="CG184" s="9"/>
      <c r="CL184" s="9"/>
      <c r="CP184" s="9"/>
      <c r="DE184" s="2" t="s">
        <v>2175</v>
      </c>
      <c r="DF184" s="2" t="s">
        <v>2176</v>
      </c>
      <c r="DG184" s="2" t="s">
        <v>466</v>
      </c>
      <c r="DH184" s="8" t="s">
        <v>2177</v>
      </c>
      <c r="DI184" s="2" t="s">
        <v>105</v>
      </c>
      <c r="DJ184" s="2">
        <v>485</v>
      </c>
      <c r="DQ184" s="2" t="s">
        <v>468</v>
      </c>
      <c r="DS184" s="2">
        <v>10770</v>
      </c>
      <c r="DT184" s="2">
        <v>10.69</v>
      </c>
      <c r="DX184" s="2">
        <v>87</v>
      </c>
      <c r="DY184" s="12"/>
    </row>
    <row r="185" spans="1:156" x14ac:dyDescent="0.25">
      <c r="A185" s="2" t="s">
        <v>2976</v>
      </c>
      <c r="B185" s="2">
        <v>-0.97086582283200895</v>
      </c>
      <c r="C185" s="2">
        <f t="shared" si="2"/>
        <v>0.51019977830611141</v>
      </c>
      <c r="D185" s="2">
        <v>4.9760338114587501</v>
      </c>
      <c r="E185" s="2">
        <v>14.385062131700201</v>
      </c>
      <c r="F185" s="2">
        <v>1.4897946318139001E-4</v>
      </c>
      <c r="G185" s="2">
        <v>1.1577987916001901E-2</v>
      </c>
      <c r="H185" s="2" t="s">
        <v>86</v>
      </c>
      <c r="I185" s="2" t="s">
        <v>87</v>
      </c>
      <c r="J185" s="2" t="str">
        <f>HYPERLINK("https://vectorbase.org/vectorbase/app/record/gene/AGAP013401","AGAP013401-RA")</f>
        <v>AGAP013401-RA</v>
      </c>
      <c r="K185" s="2" t="str">
        <f>HYPERLINK(".\links\pep\AGAP013401-PA-pep.txt","AGAP013401-PA")</f>
        <v>AGAP013401-PA</v>
      </c>
      <c r="L185" s="12" t="s">
        <v>88</v>
      </c>
      <c r="M185" s="2">
        <v>451</v>
      </c>
      <c r="N185" s="2">
        <v>0</v>
      </c>
      <c r="O185" s="2">
        <v>2</v>
      </c>
      <c r="P185" s="2" t="s">
        <v>89</v>
      </c>
      <c r="Q185" s="9" t="s">
        <v>2977</v>
      </c>
      <c r="R185" s="2" t="s">
        <v>245</v>
      </c>
      <c r="S185" s="2" t="str">
        <f>HYPERLINK(".\links\SWISSP\AGAP013401-PA-SWISSP.txt","SWISSP")</f>
        <v>SWISSP</v>
      </c>
      <c r="T185" s="2">
        <v>6.9999999999999998E-9</v>
      </c>
      <c r="U185" s="2">
        <v>50.6</v>
      </c>
      <c r="V185" s="2" t="s">
        <v>2978</v>
      </c>
      <c r="W185" s="10" t="s">
        <v>2979</v>
      </c>
      <c r="X185" s="2" t="s">
        <v>372</v>
      </c>
      <c r="Y185" s="2" t="str">
        <f>HYPERLINK(".\links\EC\AGAP013401-PA-EC.txt","EC")</f>
        <v>EC</v>
      </c>
      <c r="Z185" s="13">
        <v>4.0000000000000002E-26</v>
      </c>
      <c r="AA185" s="2">
        <v>73.5</v>
      </c>
      <c r="AB185" s="14" t="s">
        <v>89</v>
      </c>
      <c r="AC185" s="14" t="str">
        <f>HYPERLINK(".\links\Sigp\AGAP013401-PA-SigP.txt","CYT")</f>
        <v>CYT</v>
      </c>
      <c r="AD185" s="2" t="s">
        <v>89</v>
      </c>
      <c r="AE185" s="2">
        <v>51.694000000000003</v>
      </c>
      <c r="AF185" s="2">
        <v>6.62</v>
      </c>
      <c r="AG185" s="2" t="s">
        <v>89</v>
      </c>
      <c r="AH185" s="2" t="s">
        <v>89</v>
      </c>
      <c r="AI185" s="2" t="s">
        <v>2980</v>
      </c>
      <c r="AJ185" s="14">
        <v>0</v>
      </c>
      <c r="AK185" s="2" t="s">
        <v>89</v>
      </c>
      <c r="AL185" s="2" t="s">
        <v>89</v>
      </c>
      <c r="AM185" s="2" t="s">
        <v>89</v>
      </c>
      <c r="AN185" s="14" t="str">
        <f>HYPERLINK(".\links\gpi\AGAP013401-PA-gpi.txt","N")</f>
        <v>N</v>
      </c>
      <c r="AO185" s="15" t="str">
        <f>HYPERLINK(".\links\netoglyc\AGAP013401-PA-netoglyc.txt","0")</f>
        <v>0</v>
      </c>
      <c r="AP185" s="14">
        <v>11.1</v>
      </c>
      <c r="AQ185" s="2">
        <v>4.9000000000000004</v>
      </c>
      <c r="AR185" s="2">
        <v>4</v>
      </c>
      <c r="AS185" s="2" t="s">
        <v>94</v>
      </c>
      <c r="AT185" s="9" t="str">
        <f>HYPERLINK(".\links\NR-LIGHT\AGAP013401-PA-NR-LIGHT.txt","AGAP013401-PA")</f>
        <v>AGAP013401-PA</v>
      </c>
      <c r="AU185" s="2" t="str">
        <f>HYPERLINK("http://www.ncbi.nlm.nih.gov/sutils/blink.cgi?pid=XP_003435732.1","0.0")</f>
        <v>0.0</v>
      </c>
      <c r="AV185" s="2" t="str">
        <f>HYPERLINK("http://www.ncbi.nlm.nih.gov/protein/XP_003435732.1","XP_003435732.1")</f>
        <v>XP_003435732.1</v>
      </c>
      <c r="AW185" s="2">
        <v>100</v>
      </c>
      <c r="AX185" s="2">
        <v>100</v>
      </c>
      <c r="AY185" s="2">
        <v>100</v>
      </c>
      <c r="AZ185" s="2" t="s">
        <v>95</v>
      </c>
      <c r="BA185" s="9" t="str">
        <f>HYPERLINK(".\links\REFSEQ-INVERTEBRATE\AGAP013401-PA-REFSEQ-INVERTEBRATE.txt","AGAP013401-PA")</f>
        <v>AGAP013401-PA</v>
      </c>
      <c r="BB185" s="2" t="str">
        <f>HYPERLINK("http://www.ncbi.nlm.nih.gov/sutils/blink.cgi?pid=XP_003435732.1","0.0")</f>
        <v>0.0</v>
      </c>
      <c r="BC185" s="2" t="str">
        <f>HYPERLINK("http://www.ncbi.nlm.nih.gov/protein/XP_003435732.1","XP_003435732.1")</f>
        <v>XP_003435732.1</v>
      </c>
      <c r="BD185" s="2">
        <v>100</v>
      </c>
      <c r="BE185" s="2">
        <v>100</v>
      </c>
      <c r="BF185" s="2">
        <v>100</v>
      </c>
      <c r="BG185" s="2" t="s">
        <v>95</v>
      </c>
      <c r="BH185" s="9" t="str">
        <f>HYPERLINK(".\links\REFSEQ-PROTOZOA\AGAP013401-PA-REFSEQ-PROTOZOA.txt","hypothetical protein GUITHDRAFT_109909")</f>
        <v>hypothetical protein GUITHDRAFT_109909</v>
      </c>
      <c r="BI185" s="2" t="str">
        <f>HYPERLINK("http://www.ncbi.nlm.nih.gov/sutils/blink.cgi?pid=XP_005831105.1","4E-017")</f>
        <v>4E-017</v>
      </c>
      <c r="BJ185" s="2" t="str">
        <f>HYPERLINK("http://www.ncbi.nlm.nih.gov/protein/XP_005831105.1","XP_005831105.1")</f>
        <v>XP_005831105.1</v>
      </c>
      <c r="BK185" s="2">
        <v>26</v>
      </c>
      <c r="BL185" s="2">
        <v>43</v>
      </c>
      <c r="BM185" s="2">
        <v>72</v>
      </c>
      <c r="BN185" s="2" t="s">
        <v>406</v>
      </c>
      <c r="BO185" s="9" t="str">
        <f>HYPERLINK(".\links\SWISSP\AGAP013401-PA-SWISSP.txt","SET domain-containing protein 4")</f>
        <v>SET domain-containing protein 4</v>
      </c>
      <c r="BP185" s="2" t="str">
        <f>HYPERLINK("http://www.uniprot.org/uniprot/P58467","9E-017")</f>
        <v>9E-017</v>
      </c>
      <c r="BQ185" s="2" t="str">
        <f>HYPERLINK("http://www.uniprot.org/uniprot/P58467#expression","P58467")</f>
        <v>P58467</v>
      </c>
      <c r="BR185" s="2">
        <v>26</v>
      </c>
      <c r="BS185" s="2">
        <v>42</v>
      </c>
      <c r="BT185" s="2">
        <v>88</v>
      </c>
      <c r="BU185" s="2" t="s">
        <v>566</v>
      </c>
      <c r="BV185" s="9" t="str">
        <f>HYPERLINK(".\links\FLYBASE\AGAP013401-PA-FLYBASE.txt","FBpp0072640")</f>
        <v>FBpp0072640</v>
      </c>
      <c r="BW185" s="2" t="str">
        <f>HYPERLINK("http://flybase.org/reports/FBgn0053230#alliance_summary_container","2E-61")</f>
        <v>2E-61</v>
      </c>
      <c r="BX185" s="2">
        <v>446</v>
      </c>
      <c r="BY185" s="2">
        <v>32</v>
      </c>
      <c r="BZ185" s="2">
        <v>50</v>
      </c>
      <c r="CA185" s="2">
        <v>102</v>
      </c>
      <c r="CB185" s="9" t="str">
        <f>HYPERLINK(".\links\CDD\AGAP013401-PA-CDD.txt","DUF2538, Protein of unknown function (DUF2538)")</f>
        <v>DUF2538, Protein of unknown function (DUF2538)</v>
      </c>
      <c r="CC185" s="13">
        <v>0.15</v>
      </c>
      <c r="CD185" s="2">
        <v>41.3</v>
      </c>
      <c r="CE185" s="2" t="s">
        <v>2981</v>
      </c>
      <c r="CF185" s="2" t="s">
        <v>2982</v>
      </c>
      <c r="CG185" s="9" t="str">
        <f>HYPERLINK(".\links\KOG\AGAP013401-PA-KOG.txt","N-methyltransferase")</f>
        <v>N-methyltransferase</v>
      </c>
      <c r="CH185" s="13">
        <v>8.9999999999999994E-21</v>
      </c>
      <c r="CI185" s="2">
        <v>48.5</v>
      </c>
      <c r="CJ185" s="2" t="s">
        <v>2983</v>
      </c>
      <c r="CK185" s="2" t="s">
        <v>187</v>
      </c>
      <c r="CL185" s="9" t="str">
        <f>HYPERLINK(".\links\PFAM\AGAP013401-PA-PFAM.txt","DUF2538, Protein of unknown function (DUF2538)")</f>
        <v>DUF2538, Protein of unknown function (DUF2538)</v>
      </c>
      <c r="CM185" s="13">
        <v>3.1E-2</v>
      </c>
      <c r="CN185" s="2">
        <v>41.3</v>
      </c>
      <c r="CO185" s="2" t="s">
        <v>2981</v>
      </c>
      <c r="CP185" s="9" t="str">
        <f>HYPERLINK(".\links\SMART\AGAP013401-PA-SMART.txt","SET, SET (Su(var)3-9, Enhancer-of-zeste, Trithorax) domain")</f>
        <v>SET, SET (Su(var)3-9, Enhancer-of-zeste, Trithorax) domain</v>
      </c>
      <c r="CQ185" s="13">
        <v>7.0000000000000007E-2</v>
      </c>
      <c r="CR185" s="2">
        <v>50.8</v>
      </c>
      <c r="CS185" s="2" t="s">
        <v>2984</v>
      </c>
      <c r="CT185" s="2" t="s">
        <v>2978</v>
      </c>
      <c r="CU185" s="2" t="s">
        <v>2978</v>
      </c>
      <c r="CV185" s="2" t="s">
        <v>2978</v>
      </c>
      <c r="CW185" s="2" t="str">
        <f>HYPERLINK(".\links\pep\AGAP013401-PA-pep.txt","AGAP013401-PA")</f>
        <v>AGAP013401-PA</v>
      </c>
      <c r="CX185" s="2" t="s">
        <v>88</v>
      </c>
      <c r="CY185" s="2">
        <v>451</v>
      </c>
      <c r="CZ185" s="2" t="s">
        <v>103</v>
      </c>
      <c r="DA185" s="2" t="s">
        <v>2985</v>
      </c>
      <c r="DB185" s="2">
        <v>0</v>
      </c>
      <c r="DC185" s="2">
        <v>2</v>
      </c>
      <c r="DD185" s="2" t="str">
        <f>HYPERLINK("https://www.kegg.jp/kegg-bin/search_pathway_text?map=aga&amp;keyword=AGAP013401&amp;mode=1&amp;viewImage=true","AGAP013401")</f>
        <v>AGAP013401</v>
      </c>
      <c r="DE185" s="2" t="s">
        <v>2976</v>
      </c>
      <c r="DF185" s="2" t="s">
        <v>86</v>
      </c>
      <c r="DG185" s="2" t="s">
        <v>87</v>
      </c>
      <c r="DH185" s="2" t="str">
        <f>HYPERLINK("https://vectorbase.org/vectorbase/app/record/gene/AGAP013401","AGAP013401-RA")</f>
        <v>AGAP013401-RA</v>
      </c>
      <c r="DI185" s="2" t="s">
        <v>122</v>
      </c>
      <c r="DJ185" s="2">
        <v>1726</v>
      </c>
      <c r="DK185" s="2" t="str">
        <f>HYPERLINK(".\links\netoglyc\AGAP013401-PA-netoglyc.txt","0")</f>
        <v>0</v>
      </c>
      <c r="DL185" s="2">
        <v>11.1</v>
      </c>
      <c r="DM185" s="2">
        <v>4.9000000000000004</v>
      </c>
      <c r="DN185" s="2">
        <v>4</v>
      </c>
      <c r="DO185" s="2" t="s">
        <v>94</v>
      </c>
      <c r="DP185" s="2" t="s">
        <v>89</v>
      </c>
      <c r="DQ185" s="2" t="str">
        <f>HYPERLINK(".\links\Sigp\AGAP013401-PA-SigP.txt","CYT")</f>
        <v>CYT</v>
      </c>
      <c r="DR185" s="2" t="s">
        <v>89</v>
      </c>
      <c r="DS185" s="2">
        <v>51.694000000000003</v>
      </c>
      <c r="DT185" s="2">
        <v>6.62</v>
      </c>
      <c r="DU185" s="2" t="s">
        <v>89</v>
      </c>
      <c r="DV185" s="2" t="s">
        <v>89</v>
      </c>
      <c r="DW185" s="2" t="s">
        <v>2980</v>
      </c>
      <c r="DX185" s="2">
        <v>451</v>
      </c>
      <c r="DY185" s="12">
        <v>0</v>
      </c>
      <c r="DZ185" s="2" t="s">
        <v>89</v>
      </c>
      <c r="EA185" s="2" t="s">
        <v>89</v>
      </c>
      <c r="EB185" s="2" t="s">
        <v>89</v>
      </c>
      <c r="EC185" s="2" t="str">
        <f>HYPERLINK(".\links\gpi\AGAP013401-PA-gpi.txt","Y-NoSP")</f>
        <v>Y-NoSP</v>
      </c>
      <c r="ED185" s="2">
        <v>0.26</v>
      </c>
      <c r="EF185" s="2">
        <v>11</v>
      </c>
      <c r="EG185" s="2" t="s">
        <v>89</v>
      </c>
      <c r="EH185" s="2" t="s">
        <v>89</v>
      </c>
      <c r="EI185" s="2">
        <v>11.086474501108601</v>
      </c>
      <c r="EJ185" s="2">
        <v>3.99113082039911</v>
      </c>
      <c r="EK185" s="2">
        <v>4.8780487804878003</v>
      </c>
      <c r="EL185" s="2">
        <v>8.8691796008869197</v>
      </c>
      <c r="EM185" s="2" t="s">
        <v>89</v>
      </c>
      <c r="EN185" s="2">
        <v>3</v>
      </c>
      <c r="EO185" s="2">
        <v>3</v>
      </c>
      <c r="EP185" s="2" t="s">
        <v>89</v>
      </c>
      <c r="EQ185" s="2" t="s">
        <v>89</v>
      </c>
      <c r="ER185" s="2" t="s">
        <v>89</v>
      </c>
      <c r="ES185" s="2" t="s">
        <v>89</v>
      </c>
      <c r="ET185" s="2" t="str">
        <f>HYPERLINK(".\links\REFSEQ-INVERTEBRATE\AGAP013401-PA-REFSEQ-INVERTEBRATE.txt","AGAP013401-PA")</f>
        <v>AGAP013401-PA</v>
      </c>
      <c r="EU185" s="2" t="str">
        <f>HYPERLINK("http://www.ncbi.nlm.nih.gov/sutils/blink.cgi?pid=XP_003435732.1","0.0")</f>
        <v>0.0</v>
      </c>
      <c r="EV185" s="2" t="str">
        <f>HYPERLINK("http://www.ncbi.nlm.nih.gov/protein/XP_003435732.1","XP_003435732.1")</f>
        <v>XP_003435732.1</v>
      </c>
      <c r="EW185" s="2">
        <v>100</v>
      </c>
      <c r="EX185" s="2">
        <v>100</v>
      </c>
      <c r="EY185" s="2">
        <v>100</v>
      </c>
      <c r="EZ185" s="2" t="s">
        <v>95</v>
      </c>
    </row>
    <row r="186" spans="1:156" x14ac:dyDescent="0.25">
      <c r="A186" s="2" t="s">
        <v>559</v>
      </c>
      <c r="B186" s="2">
        <v>-0.97466135591526903</v>
      </c>
      <c r="C186" s="2">
        <f t="shared" si="2"/>
        <v>0.50885927666979958</v>
      </c>
      <c r="D186" s="2">
        <v>9.7370554060765695</v>
      </c>
      <c r="E186" s="2">
        <v>11.870059473196299</v>
      </c>
      <c r="F186" s="2">
        <v>5.7043590891752804E-4</v>
      </c>
      <c r="G186" s="2">
        <v>2.8648260010589299E-2</v>
      </c>
      <c r="H186" s="2" t="s">
        <v>560</v>
      </c>
      <c r="I186" s="2" t="s">
        <v>89</v>
      </c>
      <c r="J186" s="2" t="str">
        <f>HYPERLINK("https://vectorbase.org/vectorbase/app/record/gene/AGAP002378","AGAP002378-RA")</f>
        <v>AGAP002378-RA</v>
      </c>
      <c r="K186" s="2" t="str">
        <f>HYPERLINK(".\links\pep\AGAP002378-PA-pep.txt","AGAP002378-PA")</f>
        <v>AGAP002378-PA</v>
      </c>
      <c r="L186" s="12" t="s">
        <v>88</v>
      </c>
      <c r="M186" s="2">
        <v>483</v>
      </c>
      <c r="N186" s="2">
        <v>0</v>
      </c>
      <c r="O186" s="2">
        <v>2</v>
      </c>
      <c r="P186" s="2" t="s">
        <v>561</v>
      </c>
      <c r="Q186" s="9" t="s">
        <v>561</v>
      </c>
      <c r="R186" s="2" t="s">
        <v>562</v>
      </c>
      <c r="S186" s="2" t="str">
        <f>HYPERLINK(".\links\KOG\AGAP002378-PA-KOG.txt","KOG")</f>
        <v>KOG</v>
      </c>
      <c r="T186" s="2">
        <v>0</v>
      </c>
      <c r="U186" s="2">
        <v>99.3</v>
      </c>
      <c r="V186" s="2" t="s">
        <v>563</v>
      </c>
      <c r="W186" s="10" t="s">
        <v>564</v>
      </c>
      <c r="X186" s="2" t="s">
        <v>562</v>
      </c>
      <c r="Y186" s="2" t="str">
        <f>HYPERLINK(".\links\COG\AGAP002378-PA-COG.txt","COG")</f>
        <v>COG</v>
      </c>
      <c r="Z186" s="13">
        <v>3.0000000000000001E-62</v>
      </c>
      <c r="AA186" s="2">
        <v>103.6</v>
      </c>
      <c r="AB186" s="14" t="s">
        <v>89</v>
      </c>
      <c r="AC186" s="14" t="str">
        <f>HYPERLINK(".\links\Sigp\AGAP002378-PA-SigP.txt","CYT")</f>
        <v>CYT</v>
      </c>
      <c r="AD186" s="2" t="s">
        <v>89</v>
      </c>
      <c r="AE186" s="2">
        <v>54.023000000000003</v>
      </c>
      <c r="AF186" s="2">
        <v>8.02</v>
      </c>
      <c r="AG186" s="2" t="s">
        <v>89</v>
      </c>
      <c r="AH186" s="2" t="s">
        <v>89</v>
      </c>
      <c r="AI186" s="2" t="s">
        <v>565</v>
      </c>
      <c r="AJ186" s="14">
        <v>0</v>
      </c>
      <c r="AK186" s="2" t="s">
        <v>89</v>
      </c>
      <c r="AL186" s="2" t="s">
        <v>89</v>
      </c>
      <c r="AM186" s="2" t="s">
        <v>89</v>
      </c>
      <c r="AN186" s="14" t="str">
        <f>HYPERLINK(".\links\gpi\AGAP002378-PA-gpi.txt","N")</f>
        <v>N</v>
      </c>
      <c r="AO186" s="15" t="str">
        <f>HYPERLINK(".\links\netoglyc\AGAP002378-PA-netoglyc.txt","0")</f>
        <v>0</v>
      </c>
      <c r="AP186" s="14">
        <v>11.2</v>
      </c>
      <c r="AQ186" s="2">
        <v>4.8</v>
      </c>
      <c r="AR186" s="2">
        <v>3.1</v>
      </c>
      <c r="AS186" s="2" t="s">
        <v>94</v>
      </c>
      <c r="AT186" s="9" t="str">
        <f>HYPERLINK(".\links\NR-LIGHT\AGAP002378-PA-NR-LIGHT.txt","AGAP002378-PA")</f>
        <v>AGAP002378-PA</v>
      </c>
      <c r="AU186" s="2" t="str">
        <f>HYPERLINK("http://www.ncbi.nlm.nih.gov/sutils/blink.cgi?pid=XP_312577.3","0.0")</f>
        <v>0.0</v>
      </c>
      <c r="AV186" s="2" t="str">
        <f>HYPERLINK("http://www.ncbi.nlm.nih.gov/protein/XP_312577.3","XP_312577.3")</f>
        <v>XP_312577.3</v>
      </c>
      <c r="AW186" s="2">
        <v>100</v>
      </c>
      <c r="AX186" s="2">
        <v>100</v>
      </c>
      <c r="AY186" s="2">
        <v>100</v>
      </c>
      <c r="AZ186" s="2" t="s">
        <v>95</v>
      </c>
      <c r="BA186" s="9" t="str">
        <f>HYPERLINK(".\links\REFSEQ-INVERTEBRATE\AGAP002378-PA-REFSEQ-INVERTEBRATE.txt","AGAP002378-PA")</f>
        <v>AGAP002378-PA</v>
      </c>
      <c r="BB186" s="2" t="str">
        <f>HYPERLINK("http://www.ncbi.nlm.nih.gov/sutils/blink.cgi?pid=XP_312577.3","0.0")</f>
        <v>0.0</v>
      </c>
      <c r="BC186" s="2" t="str">
        <f>HYPERLINK("http://www.ncbi.nlm.nih.gov/protein/XP_312577.3","XP_312577.3")</f>
        <v>XP_312577.3</v>
      </c>
      <c r="BD186" s="2">
        <v>100</v>
      </c>
      <c r="BE186" s="2">
        <v>100</v>
      </c>
      <c r="BF186" s="2">
        <v>100</v>
      </c>
      <c r="BG186" s="2" t="s">
        <v>95</v>
      </c>
      <c r="BH186" s="9" t="str">
        <f>HYPERLINK(".\links\REFSEQ-PROTOZOA\AGAP002378-PA-REFSEQ-PROTOZOA.txt","adenylosuccinate lyase")</f>
        <v>adenylosuccinate lyase</v>
      </c>
      <c r="BI186" s="2" t="str">
        <f>HYPERLINK("http://www.ncbi.nlm.nih.gov/sutils/blink.cgi?pid=XP_014150462.1","1E-168")</f>
        <v>1E-168</v>
      </c>
      <c r="BJ186" s="2" t="str">
        <f>HYPERLINK("http://www.ncbi.nlm.nih.gov/protein/XP_014150462.1","XP_014150462.1")</f>
        <v>XP_014150462.1</v>
      </c>
      <c r="BK186" s="2">
        <v>61</v>
      </c>
      <c r="BL186" s="2">
        <v>77</v>
      </c>
      <c r="BM186" s="2">
        <v>100</v>
      </c>
      <c r="BN186" s="2" t="s">
        <v>168</v>
      </c>
      <c r="BO186" s="9" t="str">
        <f>HYPERLINK(".\links\SWISSP\AGAP002378-PA-SWISSP.txt","Adenylosuccinate lyase")</f>
        <v>Adenylosuccinate lyase</v>
      </c>
      <c r="BP186" s="2" t="str">
        <f>HYPERLINK("http://www.uniprot.org/uniprot/P54822","0.0")</f>
        <v>0.0</v>
      </c>
      <c r="BQ186" s="2" t="str">
        <f>HYPERLINK("http://www.uniprot.org/uniprot/P54822#expression","P54822")</f>
        <v>P54822</v>
      </c>
      <c r="BR186" s="2">
        <v>67</v>
      </c>
      <c r="BS186" s="2">
        <v>80</v>
      </c>
      <c r="BT186" s="2">
        <v>97</v>
      </c>
      <c r="BU186" s="2" t="s">
        <v>566</v>
      </c>
      <c r="BV186" s="9" t="str">
        <f>HYPERLINK(".\links\FLYBASE\AGAP002378-PA-FLYBASE.txt","FBpp0082816")</f>
        <v>FBpp0082816</v>
      </c>
      <c r="BW186" s="2" t="str">
        <f>HYPERLINK("http://flybase.org/reports/FBgn0038467#alliance_summary_container","0.0")</f>
        <v>0.0</v>
      </c>
      <c r="BX186" s="2">
        <v>481</v>
      </c>
      <c r="BY186" s="2">
        <v>79</v>
      </c>
      <c r="BZ186" s="2">
        <v>89</v>
      </c>
      <c r="CA186" s="2">
        <v>100</v>
      </c>
      <c r="CB186" s="9" t="str">
        <f>HYPERLINK(".\links\CDD\AGAP002378-PA-CDD.txt","Adenylsuccinate_lyase_2, Adenylsuccinate lyase (ASL)_subgroup 2")</f>
        <v>Adenylsuccinate_lyase_2, Adenylsuccinate lyase (ASL)_subgroup 2</v>
      </c>
      <c r="CC186" s="13">
        <v>0</v>
      </c>
      <c r="CD186" s="2">
        <v>100</v>
      </c>
      <c r="CE186" s="2" t="s">
        <v>567</v>
      </c>
      <c r="CF186" s="2" t="s">
        <v>568</v>
      </c>
      <c r="CG186" s="9" t="str">
        <f>HYPERLINK(".\links\KOG\AGAP002378-PA-KOG.txt","Adenylosuccinate lyase")</f>
        <v>Adenylosuccinate lyase</v>
      </c>
      <c r="CH186" s="13">
        <v>9.9999999999999995E-178</v>
      </c>
      <c r="CI186" s="2">
        <v>99.4</v>
      </c>
      <c r="CJ186" s="2" t="s">
        <v>569</v>
      </c>
      <c r="CK186" s="2" t="s">
        <v>237</v>
      </c>
      <c r="CL186" s="9" t="str">
        <f>HYPERLINK(".\links\PFAM\AGAP002378-PA-PFAM.txt","ADSL_C, Adenylosuccinate lyase C-terminus")</f>
        <v>ADSL_C, Adenylosuccinate lyase C-terminus</v>
      </c>
      <c r="CM186" s="13">
        <v>6.9999999999999997E-18</v>
      </c>
      <c r="CN186" s="2">
        <v>109</v>
      </c>
      <c r="CO186" s="2" t="s">
        <v>570</v>
      </c>
      <c r="CP186" s="9" t="str">
        <f>HYPERLINK(".\links\SMART\AGAP002378-PA-SMART.txt","ADSL_C, Adenylosuccinate lyase C-terminus")</f>
        <v>ADSL_C, Adenylosuccinate lyase C-terminus</v>
      </c>
      <c r="CQ186" s="13">
        <v>2.9999999999999999E-16</v>
      </c>
      <c r="CR186" s="2">
        <v>107.4</v>
      </c>
      <c r="CS186" s="2" t="s">
        <v>571</v>
      </c>
      <c r="CT186" s="2" t="s">
        <v>563</v>
      </c>
      <c r="CU186" s="2" t="s">
        <v>563</v>
      </c>
      <c r="CV186" s="2" t="s">
        <v>563</v>
      </c>
      <c r="CW186" s="2" t="str">
        <f>HYPERLINK(".\links\pep\AGAP002378-PA-pep.txt","AGAP002378-PA")</f>
        <v>AGAP002378-PA</v>
      </c>
      <c r="CX186" s="2" t="s">
        <v>88</v>
      </c>
      <c r="CY186" s="2">
        <v>483</v>
      </c>
      <c r="CZ186" s="2" t="s">
        <v>103</v>
      </c>
      <c r="DA186" s="2">
        <v>0</v>
      </c>
      <c r="DB186" s="2">
        <v>2</v>
      </c>
      <c r="DD186" s="2" t="str">
        <f>HYPERLINK("https://www.kegg.jp/kegg-bin/search_pathway_text?map=aga&amp;keyword=AGAP002378&amp;mode=1&amp;viewImage=true","AGAP002378")</f>
        <v>AGAP002378</v>
      </c>
      <c r="DE186" s="2" t="s">
        <v>559</v>
      </c>
      <c r="DF186" s="2" t="s">
        <v>560</v>
      </c>
      <c r="DG186" s="2" t="s">
        <v>89</v>
      </c>
      <c r="DH186" s="2" t="str">
        <f>HYPERLINK("https://vectorbase.org/vectorbase/app/record/gene/AGAP002378","AGAP002378-RA")</f>
        <v>AGAP002378-RA</v>
      </c>
      <c r="DI186" s="2" t="s">
        <v>158</v>
      </c>
      <c r="DJ186" s="2">
        <v>1741</v>
      </c>
      <c r="DK186" s="2" t="str">
        <f>HYPERLINK(".\links\netoglyc\AGAP002378-PA-netoglyc.txt","0")</f>
        <v>0</v>
      </c>
      <c r="DL186" s="2">
        <v>11.2</v>
      </c>
      <c r="DM186" s="2">
        <v>4.8</v>
      </c>
      <c r="DN186" s="2">
        <v>3.1</v>
      </c>
      <c r="DO186" s="2" t="s">
        <v>94</v>
      </c>
      <c r="DP186" s="2" t="s">
        <v>89</v>
      </c>
      <c r="DQ186" s="2" t="str">
        <f>HYPERLINK(".\links\Sigp\AGAP002378-PA-SigP.txt","CYT")</f>
        <v>CYT</v>
      </c>
      <c r="DR186" s="2" t="s">
        <v>89</v>
      </c>
      <c r="DS186" s="2">
        <v>54.023000000000003</v>
      </c>
      <c r="DT186" s="2">
        <v>8.02</v>
      </c>
      <c r="DU186" s="2" t="s">
        <v>89</v>
      </c>
      <c r="DV186" s="2" t="s">
        <v>89</v>
      </c>
      <c r="DW186" s="2" t="s">
        <v>565</v>
      </c>
      <c r="DX186" s="2">
        <v>483</v>
      </c>
      <c r="DY186" s="12">
        <v>0</v>
      </c>
      <c r="DZ186" s="2" t="s">
        <v>89</v>
      </c>
      <c r="EA186" s="2" t="s">
        <v>89</v>
      </c>
      <c r="EB186" s="2" t="s">
        <v>89</v>
      </c>
      <c r="EC186" s="2" t="str">
        <f>HYPERLINK(".\links\gpi\AGAP002378-PA-gpi.txt","N")</f>
        <v>N</v>
      </c>
      <c r="ED186" s="2">
        <v>0.22</v>
      </c>
      <c r="EF186" s="2">
        <v>9</v>
      </c>
      <c r="EG186" s="2" t="s">
        <v>89</v>
      </c>
      <c r="EH186" s="2" t="s">
        <v>89</v>
      </c>
      <c r="EI186" s="2">
        <v>11.180124223602499</v>
      </c>
      <c r="EJ186" s="2">
        <v>3.1055900621118</v>
      </c>
      <c r="EK186" s="2">
        <v>4.7619047619047601</v>
      </c>
      <c r="EL186" s="2">
        <v>7.8674948240165596</v>
      </c>
      <c r="EM186" s="2" t="s">
        <v>89</v>
      </c>
      <c r="EN186" s="2">
        <v>1</v>
      </c>
      <c r="EO186" s="2">
        <v>1</v>
      </c>
      <c r="EP186" s="2" t="s">
        <v>89</v>
      </c>
      <c r="EQ186" s="2" t="s">
        <v>89</v>
      </c>
      <c r="ER186" s="2" t="s">
        <v>89</v>
      </c>
      <c r="ES186" s="2" t="s">
        <v>89</v>
      </c>
      <c r="ET186" s="2" t="str">
        <f>HYPERLINK(".\links\REFSEQ-INVERTEBRATE\AGAP002378-PA-REFSEQ-INVERTEBRATE.txt","AGAP002378-PA")</f>
        <v>AGAP002378-PA</v>
      </c>
      <c r="EU186" s="2" t="str">
        <f>HYPERLINK("http://www.ncbi.nlm.nih.gov/sutils/blink.cgi?pid=XP_312577.3","0.0")</f>
        <v>0.0</v>
      </c>
      <c r="EV186" s="2" t="str">
        <f>HYPERLINK("http://www.ncbi.nlm.nih.gov/protein/XP_312577.3","XP_312577.3")</f>
        <v>XP_312577.3</v>
      </c>
      <c r="EW186" s="2">
        <v>100</v>
      </c>
      <c r="EX186" s="2">
        <v>100</v>
      </c>
      <c r="EY186" s="2">
        <v>100</v>
      </c>
      <c r="EZ186" s="2" t="s">
        <v>95</v>
      </c>
    </row>
    <row r="187" spans="1:156" x14ac:dyDescent="0.25">
      <c r="A187" s="2" t="s">
        <v>1318</v>
      </c>
      <c r="B187" s="2">
        <v>-0.97983412446654194</v>
      </c>
      <c r="C187" s="2">
        <f t="shared" si="2"/>
        <v>0.50703803382900614</v>
      </c>
      <c r="D187" s="2">
        <v>5.09286143898826</v>
      </c>
      <c r="E187" s="2">
        <v>17.884629373787799</v>
      </c>
      <c r="F187" s="2">
        <v>2.3470911256977602E-5</v>
      </c>
      <c r="G187" s="2">
        <v>3.1807317927029098E-3</v>
      </c>
      <c r="H187" s="2" t="s">
        <v>86</v>
      </c>
      <c r="I187" s="2" t="s">
        <v>87</v>
      </c>
      <c r="J187" s="2" t="str">
        <f>HYPERLINK("https://vectorbase.org/vectorbase/app/record/gene/AGAP004778","AGAP004778-RA")</f>
        <v>AGAP004778-RA</v>
      </c>
      <c r="K187" s="2" t="str">
        <f>HYPERLINK(".\links\pep\AGAP004778-PA-pep.txt","AGAP004778-PA")</f>
        <v>AGAP004778-PA</v>
      </c>
      <c r="L187" s="12" t="s">
        <v>88</v>
      </c>
      <c r="M187" s="2">
        <v>105</v>
      </c>
      <c r="N187" s="2">
        <v>0</v>
      </c>
      <c r="O187" s="2">
        <v>0</v>
      </c>
      <c r="P187" s="2" t="s">
        <v>89</v>
      </c>
      <c r="Q187" s="9" t="s">
        <v>1319</v>
      </c>
      <c r="R187" s="2" t="s">
        <v>148</v>
      </c>
      <c r="S187" s="2" t="str">
        <f>HYPERLINK(".\links\KOG\AGAP004778-PA-KOG.txt","KOG")</f>
        <v>KOG</v>
      </c>
      <c r="T187" s="2">
        <v>7.0000000000000003E-16</v>
      </c>
      <c r="U187" s="2">
        <v>91.7</v>
      </c>
      <c r="V187" s="2" t="s">
        <v>1320</v>
      </c>
      <c r="W187" s="10" t="s">
        <v>1321</v>
      </c>
      <c r="X187" s="2" t="s">
        <v>145</v>
      </c>
      <c r="Y187" s="2" t="str">
        <f>HYPERLINK(".\links\UNIPROTKB\AGAP004778-PA-UNIPROTKB.txt","UNIPROTKB")</f>
        <v>UNIPROTKB</v>
      </c>
      <c r="Z187" s="13">
        <v>4.9999999999999996E-25</v>
      </c>
      <c r="AA187" s="2">
        <v>89</v>
      </c>
      <c r="AB187" s="14" t="s">
        <v>89</v>
      </c>
      <c r="AC187" s="14" t="str">
        <f>HYPERLINK(".\links\Sigp\AGAP004778-PA-SigP.txt","CYT")</f>
        <v>CYT</v>
      </c>
      <c r="AD187" s="2" t="s">
        <v>89</v>
      </c>
      <c r="AE187" s="2">
        <v>11.895</v>
      </c>
      <c r="AF187" s="2">
        <v>9.48</v>
      </c>
      <c r="AG187" s="2" t="s">
        <v>89</v>
      </c>
      <c r="AH187" s="2" t="s">
        <v>89</v>
      </c>
      <c r="AI187" s="2" t="s">
        <v>1322</v>
      </c>
      <c r="AJ187" s="14">
        <v>0</v>
      </c>
      <c r="AK187" s="2" t="s">
        <v>89</v>
      </c>
      <c r="AL187" s="2" t="s">
        <v>89</v>
      </c>
      <c r="AM187" s="2" t="s">
        <v>89</v>
      </c>
      <c r="AN187" s="14" t="str">
        <f>HYPERLINK(".\links\gpi\AGAP004778-PA-gpi.txt","N")</f>
        <v>N</v>
      </c>
      <c r="AO187" s="15" t="str">
        <f>HYPERLINK(".\links\netoglyc\AGAP004778-PA-netoglyc.txt","0")</f>
        <v>0</v>
      </c>
      <c r="AP187" s="14">
        <v>19</v>
      </c>
      <c r="AQ187" s="2">
        <v>7.6</v>
      </c>
      <c r="AR187" s="2">
        <v>1</v>
      </c>
      <c r="AS187" s="2" t="s">
        <v>94</v>
      </c>
      <c r="AT187" s="9" t="str">
        <f>HYPERLINK(".\links\NR-LIGHT\AGAP004778-PA-NR-LIGHT.txt","AGAP004778-PA")</f>
        <v>AGAP004778-PA</v>
      </c>
      <c r="AU187" s="2" t="str">
        <f>HYPERLINK("http://www.ncbi.nlm.nih.gov/sutils/blink.cgi?pid=XP_318038.3","8E-053")</f>
        <v>8E-053</v>
      </c>
      <c r="AV187" s="2" t="str">
        <f>HYPERLINK("http://www.ncbi.nlm.nih.gov/protein/XP_318038.3","XP_318038.3")</f>
        <v>XP_318038.3</v>
      </c>
      <c r="AW187" s="2">
        <v>100</v>
      </c>
      <c r="AX187" s="2">
        <v>100</v>
      </c>
      <c r="AY187" s="2">
        <v>100</v>
      </c>
      <c r="AZ187" s="2" t="s">
        <v>95</v>
      </c>
      <c r="BA187" s="9" t="str">
        <f>HYPERLINK(".\links\REFSEQ-INVERTEBRATE\AGAP004778-PA-REFSEQ-INVERTEBRATE.txt","AGAP004778-PA")</f>
        <v>AGAP004778-PA</v>
      </c>
      <c r="BB187" s="2" t="str">
        <f>HYPERLINK("http://www.ncbi.nlm.nih.gov/sutils/blink.cgi?pid=XP_318038.3","8E-053")</f>
        <v>8E-053</v>
      </c>
      <c r="BC187" s="2" t="str">
        <f>HYPERLINK("http://www.ncbi.nlm.nih.gov/protein/XP_318038.3","XP_318038.3")</f>
        <v>XP_318038.3</v>
      </c>
      <c r="BD187" s="2">
        <v>100</v>
      </c>
      <c r="BE187" s="2">
        <v>100</v>
      </c>
      <c r="BF187" s="2">
        <v>100</v>
      </c>
      <c r="BG187" s="2" t="s">
        <v>95</v>
      </c>
      <c r="BH187" s="9" t="str">
        <f>HYPERLINK(".\links\REFSEQ-PROTOZOA\AGAP004778-PA-REFSEQ-PROTOZOA.txt","conserved hypothetical protein")</f>
        <v>conserved hypothetical protein</v>
      </c>
      <c r="BI187" s="2" t="str">
        <f>HYPERLINK("http://www.ncbi.nlm.nih.gov/sutils/blink.cgi?pid=XP_002897293.1","2E-013")</f>
        <v>2E-013</v>
      </c>
      <c r="BJ187" s="2" t="str">
        <f>HYPERLINK("http://www.ncbi.nlm.nih.gov/protein/XP_002897293.1","XP_002897293.1")</f>
        <v>XP_002897293.1</v>
      </c>
      <c r="BK187" s="2">
        <v>48</v>
      </c>
      <c r="BL187" s="2">
        <v>68</v>
      </c>
      <c r="BM187" s="2">
        <v>67</v>
      </c>
      <c r="BN187" s="2" t="s">
        <v>1323</v>
      </c>
      <c r="BO187" s="9" t="str">
        <f>HYPERLINK(".\links\SWISSP\AGAP004778-PA-SWISSP.txt","BolA-like protein 3")</f>
        <v>BolA-like protein 3</v>
      </c>
      <c r="BP187" s="2" t="str">
        <f>HYPERLINK("http://www.uniprot.org/uniprot/Q53S33","8E-018")</f>
        <v>8E-018</v>
      </c>
      <c r="BQ187" s="2" t="str">
        <f>HYPERLINK("http://www.uniprot.org/uniprot/Q53S33#expression","Q53S33")</f>
        <v>Q53S33</v>
      </c>
      <c r="BR187" s="2">
        <v>58</v>
      </c>
      <c r="BS187" s="2">
        <v>77</v>
      </c>
      <c r="BT187" s="2">
        <v>70</v>
      </c>
      <c r="BU187" s="2" t="s">
        <v>115</v>
      </c>
      <c r="BV187" s="9" t="str">
        <f>HYPERLINK(".\links\FLYBASE\AGAP004778-PA-FLYBASE.txt","FBpp0086996")</f>
        <v>FBpp0086996</v>
      </c>
      <c r="BW187" s="2" t="str">
        <f>HYPERLINK("http://flybase.org/reports/FBgn0061360#alliance_summary_container","9E-07")</f>
        <v>9E-07</v>
      </c>
      <c r="BX187" s="2">
        <v>86</v>
      </c>
      <c r="BY187" s="2">
        <v>33</v>
      </c>
      <c r="BZ187" s="2">
        <v>58</v>
      </c>
      <c r="CA187" s="2">
        <v>62</v>
      </c>
      <c r="CB187" s="9" t="str">
        <f>HYPERLINK(".\links\CDD\AGAP004778-PA-CDD.txt","BolA, Stress-induced morphogen (activity unknown)")</f>
        <v>BolA, Stress-induced morphogen (activity unknown)</v>
      </c>
      <c r="CC187" s="13">
        <v>1E-10</v>
      </c>
      <c r="CD187" s="2">
        <v>92.2</v>
      </c>
      <c r="CE187" s="2" t="s">
        <v>1324</v>
      </c>
      <c r="CF187" s="2" t="s">
        <v>1325</v>
      </c>
      <c r="CG187" s="9" t="str">
        <f>HYPERLINK(".\links\KOG\AGAP004778-PA-KOG.txt","BolA (bacterial stress-induced morphogen)-related protein")</f>
        <v>BolA (bacterial stress-induced morphogen)-related protein</v>
      </c>
      <c r="CH187" s="13">
        <v>7.0000000000000003E-16</v>
      </c>
      <c r="CI187" s="2">
        <v>91.8</v>
      </c>
      <c r="CJ187" s="2" t="s">
        <v>1326</v>
      </c>
      <c r="CK187" s="2" t="s">
        <v>410</v>
      </c>
      <c r="CL187" s="9" t="str">
        <f>HYPERLINK(".\links\PFAM\AGAP004778-PA-PFAM.txt","BolA, BolA-like protein")</f>
        <v>BolA, BolA-like protein</v>
      </c>
      <c r="CM187" s="13">
        <v>1.9999999999999999E-7</v>
      </c>
      <c r="CN187" s="2">
        <v>63.5</v>
      </c>
      <c r="CO187" s="2" t="s">
        <v>1327</v>
      </c>
      <c r="CP187" s="9" t="str">
        <f>HYPERLINK(".\links\SMART\AGAP004778-PA-SMART.txt","Haemagg_act, haemagglutination activity domain")</f>
        <v>Haemagg_act, haemagglutination activity domain</v>
      </c>
      <c r="CQ187" s="13">
        <v>1.1000000000000001</v>
      </c>
      <c r="CR187" s="2">
        <v>10.9</v>
      </c>
      <c r="CS187" s="2" t="s">
        <v>1328</v>
      </c>
      <c r="CT187" s="2" t="s">
        <v>1320</v>
      </c>
      <c r="CU187" s="2" t="s">
        <v>1320</v>
      </c>
      <c r="CV187" s="2" t="s">
        <v>1320</v>
      </c>
      <c r="CW187" s="2" t="str">
        <f>HYPERLINK(".\links\pep\AGAP004778-PA-pep.txt","AGAP004778-PA")</f>
        <v>AGAP004778-PA</v>
      </c>
      <c r="CX187" s="2" t="s">
        <v>88</v>
      </c>
      <c r="CY187" s="2">
        <v>105</v>
      </c>
      <c r="CZ187" s="2" t="s">
        <v>103</v>
      </c>
      <c r="DA187" s="2" t="s">
        <v>1329</v>
      </c>
      <c r="DB187" s="2">
        <v>0</v>
      </c>
      <c r="DC187" s="2">
        <v>0</v>
      </c>
      <c r="DD187" s="2" t="str">
        <f>HYPERLINK("https://www.kegg.jp/kegg-bin/search_pathway_text?map=aga&amp;keyword=AGAP004778&amp;mode=1&amp;viewImage=true","AGAP004778")</f>
        <v>AGAP004778</v>
      </c>
      <c r="DE187" s="2" t="s">
        <v>1318</v>
      </c>
      <c r="DF187" s="2" t="s">
        <v>86</v>
      </c>
      <c r="DG187" s="2" t="s">
        <v>87</v>
      </c>
      <c r="DH187" s="2" t="str">
        <f>HYPERLINK("https://vectorbase.org/vectorbase/app/record/gene/AGAP004778","AGAP004778-RA")</f>
        <v>AGAP004778-RA</v>
      </c>
      <c r="DI187" s="2" t="s">
        <v>140</v>
      </c>
      <c r="DJ187" s="2">
        <v>794</v>
      </c>
      <c r="DK187" s="2" t="str">
        <f>HYPERLINK(".\links\netoglyc\AGAP004778-PA-netoglyc.txt","0")</f>
        <v>0</v>
      </c>
      <c r="DL187" s="2">
        <v>19</v>
      </c>
      <c r="DM187" s="2">
        <v>7.6</v>
      </c>
      <c r="DN187" s="2">
        <v>1</v>
      </c>
      <c r="DO187" s="2" t="s">
        <v>94</v>
      </c>
      <c r="DP187" s="2" t="s">
        <v>89</v>
      </c>
      <c r="DQ187" s="2" t="str">
        <f>HYPERLINK(".\links\Sigp\AGAP004778-PA-SigP.txt","CYT")</f>
        <v>CYT</v>
      </c>
      <c r="DR187" s="2" t="s">
        <v>89</v>
      </c>
      <c r="DS187" s="2">
        <v>11.895</v>
      </c>
      <c r="DT187" s="2">
        <v>9.48</v>
      </c>
      <c r="DU187" s="2" t="s">
        <v>89</v>
      </c>
      <c r="DV187" s="2" t="s">
        <v>89</v>
      </c>
      <c r="DW187" s="2" t="s">
        <v>1322</v>
      </c>
      <c r="DX187" s="2">
        <v>105</v>
      </c>
      <c r="DY187" s="12">
        <v>0</v>
      </c>
      <c r="DZ187" s="2" t="s">
        <v>89</v>
      </c>
      <c r="EA187" s="2" t="s">
        <v>89</v>
      </c>
      <c r="EB187" s="2" t="s">
        <v>89</v>
      </c>
      <c r="EC187" s="2" t="str">
        <f>HYPERLINK(".\links\gpi\AGAP004778-PA-gpi.txt","N")</f>
        <v>N</v>
      </c>
      <c r="ED187" s="2">
        <v>0.36</v>
      </c>
      <c r="EF187" s="2">
        <v>1</v>
      </c>
      <c r="EG187" s="2" t="s">
        <v>89</v>
      </c>
      <c r="EH187" s="2" t="s">
        <v>89</v>
      </c>
      <c r="EI187" s="2">
        <v>19.047619047619001</v>
      </c>
      <c r="EJ187" s="2">
        <v>0.952380952380952</v>
      </c>
      <c r="EK187" s="2">
        <v>7.6190476190476204</v>
      </c>
      <c r="EL187" s="2">
        <v>8.5714285714285694</v>
      </c>
      <c r="EM187" s="2" t="s">
        <v>89</v>
      </c>
      <c r="EN187" s="2">
        <v>1</v>
      </c>
      <c r="EO187" s="2">
        <v>1</v>
      </c>
      <c r="EP187" s="2" t="s">
        <v>89</v>
      </c>
      <c r="EQ187" s="2" t="s">
        <v>89</v>
      </c>
      <c r="ER187" s="2" t="s">
        <v>89</v>
      </c>
      <c r="ES187" s="2" t="s">
        <v>89</v>
      </c>
      <c r="ET187" s="2" t="str">
        <f>HYPERLINK(".\links\REFSEQ-INVERTEBRATE\AGAP004778-PA-REFSEQ-INVERTEBRATE.txt","AGAP004778-PA")</f>
        <v>AGAP004778-PA</v>
      </c>
      <c r="EU187" s="2" t="str">
        <f>HYPERLINK("http://www.ncbi.nlm.nih.gov/sutils/blink.cgi?pid=XP_318038.3","2E-72")</f>
        <v>2E-72</v>
      </c>
      <c r="EV187" s="2" t="str">
        <f>HYPERLINK("http://www.ncbi.nlm.nih.gov/protein/XP_318038.3","XP_318038.3")</f>
        <v>XP_318038.3</v>
      </c>
      <c r="EW187" s="2">
        <v>100</v>
      </c>
      <c r="EX187" s="2">
        <v>100</v>
      </c>
      <c r="EY187" s="2">
        <v>100</v>
      </c>
      <c r="EZ187" s="2" t="s">
        <v>95</v>
      </c>
    </row>
    <row r="188" spans="1:156" x14ac:dyDescent="0.25">
      <c r="A188" s="2" t="s">
        <v>2698</v>
      </c>
      <c r="B188" s="2">
        <v>-0.98095415551350396</v>
      </c>
      <c r="C188" s="2">
        <f t="shared" si="2"/>
        <v>0.50664454945571846</v>
      </c>
      <c r="D188" s="2">
        <v>7.9713164589661902</v>
      </c>
      <c r="E188" s="2">
        <v>22.500646374394101</v>
      </c>
      <c r="F188" s="2">
        <v>2.1007289603768298E-6</v>
      </c>
      <c r="G188" s="2">
        <v>6.5783709532741597E-4</v>
      </c>
      <c r="H188" s="2" t="s">
        <v>86</v>
      </c>
      <c r="I188" s="2" t="s">
        <v>87</v>
      </c>
      <c r="J188" s="2" t="str">
        <f>HYPERLINK("https://vectorbase.org/vectorbase/app/record/gene/AGAP011484","AGAP011484-RA")</f>
        <v>AGAP011484-RA</v>
      </c>
      <c r="K188" s="2" t="str">
        <f>HYPERLINK(".\links\pep\AGAP011484-PA-pep.txt","AGAP011484-PA")</f>
        <v>AGAP011484-PA</v>
      </c>
      <c r="L188" s="12" t="s">
        <v>88</v>
      </c>
      <c r="M188" s="2">
        <v>91</v>
      </c>
      <c r="N188" s="2">
        <v>0</v>
      </c>
      <c r="O188" s="2">
        <v>0</v>
      </c>
      <c r="P188" s="2" t="s">
        <v>89</v>
      </c>
      <c r="Q188" s="9" t="s">
        <v>2699</v>
      </c>
      <c r="R188" s="2" t="s">
        <v>91</v>
      </c>
      <c r="S188" s="2" t="str">
        <f>HYPERLINK(".\links\REFSEQ-INVERTEBRATE\AGAP011484-PA-REFSEQ-INVERTEBRATE.txt","REFSEQ-INVERTEBRATE")</f>
        <v>REFSEQ-INVERTEBRATE</v>
      </c>
      <c r="T188" s="2">
        <v>9E-46</v>
      </c>
      <c r="U188" s="2">
        <v>100</v>
      </c>
      <c r="V188" s="2" t="s">
        <v>2700</v>
      </c>
      <c r="W188" s="10" t="s">
        <v>564</v>
      </c>
      <c r="X188" s="2" t="s">
        <v>145</v>
      </c>
      <c r="Y188" s="2" t="str">
        <f>HYPERLINK(".\links\ARTHORPODA\AGAP011484-PA-ARTHORPODA.txt","ARTHORPODA")</f>
        <v>ARTHORPODA</v>
      </c>
      <c r="Z188" s="13">
        <v>2.0000000000000001E-25</v>
      </c>
      <c r="AA188" s="2">
        <v>100</v>
      </c>
      <c r="AB188" s="14" t="s">
        <v>89</v>
      </c>
      <c r="AC188" s="14" t="str">
        <f>HYPERLINK(".\links\Sigp\AGAP011484-PA-SigP.txt","CYT")</f>
        <v>CYT</v>
      </c>
      <c r="AD188" s="2" t="s">
        <v>89</v>
      </c>
      <c r="AE188" s="2">
        <v>10.404999999999999</v>
      </c>
      <c r="AF188" s="2">
        <v>11.28</v>
      </c>
      <c r="AG188" s="2" t="s">
        <v>89</v>
      </c>
      <c r="AH188" s="2" t="s">
        <v>89</v>
      </c>
      <c r="AI188" s="2" t="s">
        <v>149</v>
      </c>
      <c r="AJ188" s="14">
        <v>0</v>
      </c>
      <c r="AK188" s="2" t="s">
        <v>89</v>
      </c>
      <c r="AL188" s="2" t="s">
        <v>89</v>
      </c>
      <c r="AM188" s="2" t="s">
        <v>89</v>
      </c>
      <c r="AN188" s="14" t="str">
        <f>HYPERLINK(".\links\gpi\AGAP011484-PA-gpi.txt","N")</f>
        <v>N</v>
      </c>
      <c r="AO188" s="15" t="str">
        <f>HYPERLINK(".\links\netoglyc\AGAP011484-PA-netoglyc.txt","0")</f>
        <v>0</v>
      </c>
      <c r="AP188" s="14">
        <v>11</v>
      </c>
      <c r="AQ188" s="2">
        <v>8.8000000000000007</v>
      </c>
      <c r="AR188" s="2">
        <v>4.4000000000000004</v>
      </c>
      <c r="AS188" s="2" t="s">
        <v>94</v>
      </c>
      <c r="AT188" s="9" t="str">
        <f>HYPERLINK(".\links\NR-LIGHT\AGAP011484-PA-NR-LIGHT.txt","AGAP011484-PB")</f>
        <v>AGAP011484-PB</v>
      </c>
      <c r="AU188" s="2" t="str">
        <f>HYPERLINK("http://www.ncbi.nlm.nih.gov/sutils/blink.cgi?pid=XP_317817.2","1E-045")</f>
        <v>1E-045</v>
      </c>
      <c r="AV188" s="2" t="str">
        <f>HYPERLINK("http://www.ncbi.nlm.nih.gov/protein/XP_317817.2","XP_317817.2")</f>
        <v>XP_317817.2</v>
      </c>
      <c r="AW188" s="2">
        <v>100</v>
      </c>
      <c r="AX188" s="2">
        <v>100</v>
      </c>
      <c r="AY188" s="2">
        <v>100</v>
      </c>
      <c r="AZ188" s="2" t="s">
        <v>95</v>
      </c>
      <c r="BA188" s="9" t="str">
        <f>HYPERLINK(".\links\REFSEQ-INVERTEBRATE\AGAP011484-PA-REFSEQ-INVERTEBRATE.txt","AGAP011484-PB")</f>
        <v>AGAP011484-PB</v>
      </c>
      <c r="BB188" s="2" t="str">
        <f>HYPERLINK("http://www.ncbi.nlm.nih.gov/sutils/blink.cgi?pid=XP_317817.2","9E-046")</f>
        <v>9E-046</v>
      </c>
      <c r="BC188" s="2" t="str">
        <f>HYPERLINK("http://www.ncbi.nlm.nih.gov/protein/XP_317817.2","XP_317817.2")</f>
        <v>XP_317817.2</v>
      </c>
      <c r="BD188" s="2">
        <v>100</v>
      </c>
      <c r="BE188" s="2">
        <v>100</v>
      </c>
      <c r="BF188" s="2">
        <v>100</v>
      </c>
      <c r="BG188" s="2" t="s">
        <v>95</v>
      </c>
      <c r="BH188" s="9" t="str">
        <f>HYPERLINK(".\links\REFSEQ-PROTOZOA\AGAP011484-PA-REFSEQ-PROTOZOA.txt","hypothetical protein H257_03344")</f>
        <v>hypothetical protein H257_03344</v>
      </c>
      <c r="BI188" s="2" t="str">
        <f>HYPERLINK("http://www.ncbi.nlm.nih.gov/sutils/blink.cgi?pid=XP_009825672.1","4.9")</f>
        <v>4.9</v>
      </c>
      <c r="BJ188" s="2" t="str">
        <f>HYPERLINK("http://www.ncbi.nlm.nih.gov/protein/XP_009825672.1","XP_009825672.1")</f>
        <v>XP_009825672.1</v>
      </c>
      <c r="BK188" s="2">
        <v>34</v>
      </c>
      <c r="BL188" s="2">
        <v>61</v>
      </c>
      <c r="BM188" s="2">
        <v>1</v>
      </c>
      <c r="BN188" s="2" t="s">
        <v>320</v>
      </c>
      <c r="BO188" s="9" t="str">
        <f>HYPERLINK(".\links\SWISSP\AGAP011484-PA-SWISSP.txt","Pyruvate kinase")</f>
        <v>Pyruvate kinase</v>
      </c>
      <c r="BP188" s="2" t="str">
        <f>HYPERLINK("http://www.uniprot.org/uniprot/Q8ZYE0","4.5")</f>
        <v>4.5</v>
      </c>
      <c r="BQ188" s="2" t="str">
        <f>HYPERLINK("http://www.uniprot.org/uniprot/Q8ZYE0#expression","Q8ZYE0")</f>
        <v>Q8ZYE0</v>
      </c>
      <c r="BR188" s="2">
        <v>36</v>
      </c>
      <c r="BS188" s="2">
        <v>57</v>
      </c>
      <c r="BT188" s="2">
        <v>11</v>
      </c>
      <c r="BU188" s="2" t="s">
        <v>2701</v>
      </c>
      <c r="BV188" s="9" t="str">
        <f>HYPERLINK(".\links\FLYBASE\AGAP011484-PA-FLYBASE.txt","FBpp0071561")</f>
        <v>FBpp0071561</v>
      </c>
      <c r="BW188" s="2" t="str">
        <f>HYPERLINK("http://flybase.org/reports/FBgn0020312#alliance_summary_container","7.4")</f>
        <v>7.4</v>
      </c>
      <c r="BX188" s="2">
        <v>926</v>
      </c>
      <c r="BY188" s="2">
        <v>39</v>
      </c>
      <c r="BZ188" s="2">
        <v>50</v>
      </c>
      <c r="CA188" s="2">
        <v>4</v>
      </c>
      <c r="CB188" s="9" t="str">
        <f>HYPERLINK(".\links\CDD\AGAP011484-PA-CDD.txt","PRK05399, DNA mismatch repair protein MutS")</f>
        <v>PRK05399, DNA mismatch repair protein MutS</v>
      </c>
      <c r="CC188" s="13">
        <v>0.86</v>
      </c>
      <c r="CD188" s="2">
        <v>4.0999999999999996</v>
      </c>
      <c r="CE188" s="2" t="s">
        <v>2702</v>
      </c>
      <c r="CF188" s="2" t="s">
        <v>2703</v>
      </c>
      <c r="CG188" s="9" t="str">
        <f>HYPERLINK(".\links\KOG\AGAP011484-PA-KOG.txt","Adenylosuccinate lyase")</f>
        <v>Adenylosuccinate lyase</v>
      </c>
      <c r="CH188" s="13">
        <v>1.3</v>
      </c>
      <c r="CI188" s="2">
        <v>15.4</v>
      </c>
      <c r="CJ188" s="2" t="s">
        <v>569</v>
      </c>
      <c r="CK188" s="2" t="s">
        <v>237</v>
      </c>
      <c r="CL188" s="9" t="str">
        <f>HYPERLINK(".\links\PFAM\AGAP011484-PA-PFAM.txt","DUF4769, Domain of unknown function (DUF4769)")</f>
        <v>DUF4769, Domain of unknown function (DUF4769)</v>
      </c>
      <c r="CM188" s="13">
        <v>4</v>
      </c>
      <c r="CN188" s="2">
        <v>13.2</v>
      </c>
      <c r="CO188" s="2" t="s">
        <v>2704</v>
      </c>
      <c r="CP188" s="9" t="str">
        <f>HYPERLINK(".\links\SMART\AGAP011484-PA-SMART.txt","CarD_TRCF, CarD-like/TRCF domain")</f>
        <v>CarD_TRCF, CarD-like/TRCF domain</v>
      </c>
      <c r="CQ188" s="13">
        <v>0.56999999999999995</v>
      </c>
      <c r="CR188" s="2">
        <v>23.2</v>
      </c>
      <c r="CS188" s="2" t="s">
        <v>2705</v>
      </c>
      <c r="CT188" s="2" t="s">
        <v>2700</v>
      </c>
      <c r="CU188" s="2" t="s">
        <v>2700</v>
      </c>
      <c r="CV188" s="2" t="s">
        <v>2700</v>
      </c>
      <c r="CW188" s="2" t="str">
        <f>HYPERLINK(".\links\pep\AGAP011484-PA-pep.txt","AGAP011484-PA")</f>
        <v>AGAP011484-PA</v>
      </c>
      <c r="CX188" s="2" t="s">
        <v>88</v>
      </c>
      <c r="CY188" s="2">
        <v>55</v>
      </c>
      <c r="CZ188" s="2" t="s">
        <v>103</v>
      </c>
      <c r="DA188" s="2" t="s">
        <v>2706</v>
      </c>
      <c r="DB188" s="2">
        <v>0</v>
      </c>
      <c r="DC188" s="2">
        <v>0</v>
      </c>
      <c r="DD188" s="2" t="str">
        <f>HYPERLINK("https://www.kegg.jp/kegg-bin/search_pathway_text?map=aga&amp;keyword=AGAP011484&amp;mode=1&amp;viewImage=true","AGAP011484")</f>
        <v>AGAP011484</v>
      </c>
      <c r="DE188" s="2" t="s">
        <v>2698</v>
      </c>
      <c r="DF188" s="2" t="s">
        <v>86</v>
      </c>
      <c r="DG188" s="2" t="s">
        <v>87</v>
      </c>
      <c r="DH188" s="2" t="str">
        <f>HYPERLINK("https://vectorbase.org/vectorbase/app/record/gene/AGAP011484","AGAP011484-RA")</f>
        <v>AGAP011484-RA</v>
      </c>
      <c r="DI188" s="2" t="s">
        <v>158</v>
      </c>
      <c r="DJ188" s="2">
        <v>546</v>
      </c>
      <c r="DK188" s="2" t="str">
        <f>HYPERLINK(".\links\netoglyc\AGAP011484-PA-netoglyc.txt","0")</f>
        <v>0</v>
      </c>
      <c r="DL188" s="2">
        <v>7.3</v>
      </c>
      <c r="DM188" s="2">
        <v>9.1</v>
      </c>
      <c r="DN188" s="2">
        <v>3.6</v>
      </c>
      <c r="DO188" s="2" t="s">
        <v>94</v>
      </c>
      <c r="DP188" s="2" t="s">
        <v>89</v>
      </c>
      <c r="DQ188" s="2" t="str">
        <f>HYPERLINK(".\links\Sigp\AGAP011484-PA-SigP.txt","BL/SIG")</f>
        <v>BL/SIG</v>
      </c>
      <c r="DR188" s="2" t="s">
        <v>89</v>
      </c>
      <c r="DS188" s="2">
        <v>6.1449999999999996</v>
      </c>
      <c r="DT188" s="2">
        <v>9.25</v>
      </c>
      <c r="DU188" s="2" t="s">
        <v>89</v>
      </c>
      <c r="DV188" s="2" t="s">
        <v>89</v>
      </c>
      <c r="DW188" s="2" t="s">
        <v>2707</v>
      </c>
      <c r="DX188" s="2">
        <v>55</v>
      </c>
      <c r="DY188" s="12">
        <v>0</v>
      </c>
      <c r="DZ188" s="2" t="s">
        <v>89</v>
      </c>
      <c r="EA188" s="2" t="s">
        <v>89</v>
      </c>
      <c r="EB188" s="2" t="s">
        <v>89</v>
      </c>
      <c r="EC188" s="2" t="str">
        <f>HYPERLINK(".\links\gpi\AGAP011484-PA-gpi.txt","Y-NoSP")</f>
        <v>Y-NoSP</v>
      </c>
      <c r="ED188" s="2">
        <v>0.55000000000000004</v>
      </c>
      <c r="EE188" s="2" t="s">
        <v>2708</v>
      </c>
      <c r="EF188" s="2">
        <v>1</v>
      </c>
      <c r="EG188" s="2" t="s">
        <v>89</v>
      </c>
      <c r="EH188" s="2" t="s">
        <v>89</v>
      </c>
      <c r="EI188" s="2">
        <v>7.2727272727272698</v>
      </c>
      <c r="EJ188" s="2">
        <v>3.6363636363636398</v>
      </c>
      <c r="EK188" s="2">
        <v>9.0909090909090899</v>
      </c>
      <c r="EL188" s="2">
        <v>12.7272727272727</v>
      </c>
      <c r="EM188" s="2" t="s">
        <v>89</v>
      </c>
      <c r="EN188" s="2" t="s">
        <v>89</v>
      </c>
      <c r="EO188" s="2" t="s">
        <v>89</v>
      </c>
      <c r="EP188" s="2" t="s">
        <v>89</v>
      </c>
      <c r="EQ188" s="2" t="s">
        <v>89</v>
      </c>
      <c r="ER188" s="2" t="s">
        <v>89</v>
      </c>
      <c r="ES188" s="2" t="s">
        <v>89</v>
      </c>
      <c r="ET188" s="2" t="str">
        <f>HYPERLINK(".\links\REFSEQ-INVERTEBRATE\AGAP011484-PA-REFSEQ-INVERTEBRATE.txt","cytochrome b-c1 complex subunit 10-like")</f>
        <v>cytochrome b-c1 complex subunit 10-like</v>
      </c>
      <c r="EU188" s="2" t="str">
        <f>HYPERLINK("http://www.ncbi.nlm.nih.gov/sutils/blink.cgi?pid=XP_035790089.1","1E-22")</f>
        <v>1E-22</v>
      </c>
      <c r="EV188" s="2" t="str">
        <f>HYPERLINK("http://www.ncbi.nlm.nih.gov/protein/XP_035790089.1","XP_035790089.1")</f>
        <v>XP_035790089.1</v>
      </c>
      <c r="EW188" s="2">
        <v>89</v>
      </c>
      <c r="EX188" s="2">
        <v>98</v>
      </c>
      <c r="EY188" s="2">
        <v>100</v>
      </c>
      <c r="EZ188" s="2" t="s">
        <v>2650</v>
      </c>
    </row>
    <row r="189" spans="1:156" x14ac:dyDescent="0.25">
      <c r="A189" s="2" t="s">
        <v>2455</v>
      </c>
      <c r="B189" s="2">
        <v>-0.98692030187703195</v>
      </c>
      <c r="C189" s="2">
        <f t="shared" si="2"/>
        <v>0.50455368897438413</v>
      </c>
      <c r="D189" s="2">
        <v>7.63236564970319</v>
      </c>
      <c r="E189" s="2">
        <v>20.119767443013401</v>
      </c>
      <c r="F189" s="2">
        <v>7.2740971350525396E-6</v>
      </c>
      <c r="G189" s="2">
        <v>1.4414789618595199E-3</v>
      </c>
      <c r="H189" s="2" t="s">
        <v>86</v>
      </c>
      <c r="I189" s="2" t="s">
        <v>87</v>
      </c>
      <c r="J189" s="2" t="str">
        <f>HYPERLINK("https://vectorbase.org/vectorbase/app/record/gene/AGAP010178","AGAP010178-RA")</f>
        <v>AGAP010178-RA</v>
      </c>
      <c r="K189" s="2" t="str">
        <f>HYPERLINK(".\links\pep\AGAP010178-PA-pep.txt","AGAP010178-PA")</f>
        <v>AGAP010178-PA</v>
      </c>
      <c r="L189" s="12" t="s">
        <v>88</v>
      </c>
      <c r="M189" s="2">
        <v>434</v>
      </c>
      <c r="N189" s="2">
        <v>0</v>
      </c>
      <c r="O189" s="2">
        <v>2</v>
      </c>
      <c r="P189" s="2" t="s">
        <v>89</v>
      </c>
      <c r="Q189" s="9" t="s">
        <v>399</v>
      </c>
      <c r="R189" s="2" t="s">
        <v>400</v>
      </c>
      <c r="S189" s="2" t="str">
        <f>HYPERLINK(".\links\REFSEQ-INVERTEBRATE\AGAP010178-PA-REFSEQ-INVERTEBRATE.txt","REFSEQ-INVERTEBRATE")</f>
        <v>REFSEQ-INVERTEBRATE</v>
      </c>
      <c r="T189" s="2">
        <v>0</v>
      </c>
      <c r="V189" s="2" t="s">
        <v>2456</v>
      </c>
      <c r="W189" s="10" t="s">
        <v>399</v>
      </c>
      <c r="X189" s="2" t="s">
        <v>400</v>
      </c>
      <c r="Y189" s="2" t="str">
        <f>HYPERLINK(".\links\REFSEQ-INVERTEBRATE\AGAP010178-PA-REFSEQ-INVERTEBRATE.txt","REFSEQ-INVERTEBRATE")</f>
        <v>REFSEQ-INVERTEBRATE</v>
      </c>
      <c r="Z189" s="2">
        <v>0</v>
      </c>
      <c r="AA189" s="2">
        <v>100</v>
      </c>
      <c r="AB189" s="14" t="s">
        <v>89</v>
      </c>
      <c r="AC189" s="14" t="str">
        <f>HYPERLINK(".\links\Sigp\AGAP010178-PA-SigP.txt","SIG")</f>
        <v>SIG</v>
      </c>
      <c r="AD189" s="2" t="s">
        <v>131</v>
      </c>
      <c r="AE189" s="2">
        <v>50.570999999999998</v>
      </c>
      <c r="AF189" s="2">
        <v>6.52</v>
      </c>
      <c r="AG189" s="2">
        <v>46.796999999999997</v>
      </c>
      <c r="AH189" s="2">
        <v>6.32</v>
      </c>
      <c r="AI189" s="2" t="s">
        <v>2457</v>
      </c>
      <c r="AJ189" s="14" t="str">
        <f>HYPERLINK(".\links\tmhmm\AGAP010178-PA-tmhmm.txt","1")</f>
        <v>1</v>
      </c>
      <c r="AK189" s="2">
        <v>5.0999999999999996</v>
      </c>
      <c r="AL189" s="2">
        <v>91.9</v>
      </c>
      <c r="AM189" s="2">
        <v>3</v>
      </c>
      <c r="AN189" s="14" t="str">
        <f>HYPERLINK(".\links\gpi\AGAP010178-PA-gpi.txt","N")</f>
        <v>N</v>
      </c>
      <c r="AO189" s="15" t="str">
        <f>HYPERLINK(".\links\netoglyc\AGAP010178-PA-netoglyc.txt","0")</f>
        <v>0</v>
      </c>
      <c r="AP189" s="14">
        <v>12.2</v>
      </c>
      <c r="AQ189" s="2">
        <v>3.7</v>
      </c>
      <c r="AR189" s="2">
        <v>5.0999999999999996</v>
      </c>
      <c r="AS189" s="2" t="s">
        <v>94</v>
      </c>
      <c r="AT189" s="9" t="str">
        <f>HYPERLINK(".\links\NR-LIGHT\AGAP010178-PA-NR-LIGHT.txt","AGAP010178-PA, partial")</f>
        <v>AGAP010178-PA, partial</v>
      </c>
      <c r="AU189" s="2" t="str">
        <f>HYPERLINK("http://www.ncbi.nlm.nih.gov/sutils/blink.cgi?pid=XP_001238145.2","1E-155")</f>
        <v>1E-155</v>
      </c>
      <c r="AV189" s="2" t="str">
        <f>HYPERLINK("http://www.ncbi.nlm.nih.gov/protein/XP_001238145.2","XP_001238145.2")</f>
        <v>XP_001238145.2</v>
      </c>
      <c r="AW189" s="2">
        <v>100</v>
      </c>
      <c r="AX189" s="2">
        <v>100</v>
      </c>
      <c r="AY189" s="2">
        <v>100</v>
      </c>
      <c r="AZ189" s="2" t="s">
        <v>95</v>
      </c>
      <c r="BA189" s="9" t="str">
        <f>HYPERLINK(".\links\REFSEQ-INVERTEBRATE\AGAP010178-PA-REFSEQ-INVERTEBRATE.txt","AGAP010178-PA, partial")</f>
        <v>AGAP010178-PA, partial</v>
      </c>
      <c r="BB189" s="2" t="str">
        <f>HYPERLINK("http://www.ncbi.nlm.nih.gov/sutils/blink.cgi?pid=XP_001238145.2","1E-155")</f>
        <v>1E-155</v>
      </c>
      <c r="BC189" s="2" t="str">
        <f>HYPERLINK("http://www.ncbi.nlm.nih.gov/protein/XP_001238145.2","XP_001238145.2")</f>
        <v>XP_001238145.2</v>
      </c>
      <c r="BD189" s="2">
        <v>100</v>
      </c>
      <c r="BE189" s="2">
        <v>100</v>
      </c>
      <c r="BF189" s="2">
        <v>100</v>
      </c>
      <c r="BG189" s="2" t="s">
        <v>95</v>
      </c>
      <c r="BH189" s="9" t="str">
        <f>HYPERLINK(".\links\REFSEQ-PROTOZOA\AGAP010178-PA-REFSEQ-PROTOZOA.txt","hypothetical protein H696_05671")</f>
        <v>hypothetical protein H696_05671</v>
      </c>
      <c r="BI189" s="2" t="str">
        <f>HYPERLINK("http://www.ncbi.nlm.nih.gov/sutils/blink.cgi?pid=XP_009497766.1","6.8")</f>
        <v>6.8</v>
      </c>
      <c r="BJ189" s="2" t="str">
        <f>HYPERLINK("http://www.ncbi.nlm.nih.gov/protein/XP_009497766.1","XP_009497766.1")</f>
        <v>XP_009497766.1</v>
      </c>
      <c r="BK189" s="2">
        <v>34</v>
      </c>
      <c r="BL189" s="2">
        <v>54</v>
      </c>
      <c r="BM189" s="2">
        <v>6</v>
      </c>
      <c r="BN189" s="2" t="s">
        <v>1072</v>
      </c>
      <c r="BO189" s="9" t="str">
        <f>HYPERLINK(".\links\SWISSP\AGAP010178-PA-SWISSP.txt","ATP-dependent 6-phosphofructokinase")</f>
        <v>ATP-dependent 6-phosphofructokinase</v>
      </c>
      <c r="BP189" s="2" t="str">
        <f>HYPERLINK("http://www.uniprot.org/uniprot/Q836R3","1.5")</f>
        <v>1.5</v>
      </c>
      <c r="BQ189" s="2" t="str">
        <f>HYPERLINK("http://www.uniprot.org/uniprot/Q836R3#expression","Q836R3")</f>
        <v>Q836R3</v>
      </c>
      <c r="BR189" s="2">
        <v>25</v>
      </c>
      <c r="BS189" s="2">
        <v>43</v>
      </c>
      <c r="BT189" s="2">
        <v>42</v>
      </c>
      <c r="BU189" s="2" t="s">
        <v>2458</v>
      </c>
      <c r="BV189" s="9" t="str">
        <f>HYPERLINK(".\links\FLYBASE\AGAP010178-PA-FLYBASE.txt","FBpp0080663")</f>
        <v>FBpp0080663</v>
      </c>
      <c r="BW189" s="2" t="str">
        <f>HYPERLINK("http://flybase.org/reports/FBgn0053120#alliance_summary_container","2E-31")</f>
        <v>2E-31</v>
      </c>
      <c r="BX189" s="2">
        <v>689</v>
      </c>
      <c r="BY189" s="2">
        <v>24</v>
      </c>
      <c r="BZ189" s="2">
        <v>44</v>
      </c>
      <c r="CA189" s="2">
        <v>64</v>
      </c>
      <c r="CB189" s="9" t="str">
        <f>HYPERLINK(".\links\CDD\AGAP010178-PA-CDD.txt","COG5494, Predicted thioredoxin/glutaredoxin")</f>
        <v>COG5494, Predicted thioredoxin/glutaredoxin</v>
      </c>
      <c r="CC189" s="13">
        <v>0.77</v>
      </c>
      <c r="CD189" s="2">
        <v>65.3</v>
      </c>
      <c r="CE189" s="2" t="s">
        <v>2459</v>
      </c>
      <c r="CF189" s="2" t="s">
        <v>2460</v>
      </c>
      <c r="CG189" s="9" t="str">
        <f>HYPERLINK(".\links\KOG\AGAP010178-PA-KOG.txt","Glutamate-gated AMPA-type ion channel receptor subunit GluR2 and related subunits")</f>
        <v>Glutamate-gated AMPA-type ion channel receptor subunit GluR2 and related subunits</v>
      </c>
      <c r="CH189" s="13">
        <v>3</v>
      </c>
      <c r="CI189" s="2">
        <v>2.8</v>
      </c>
      <c r="CJ189" s="2" t="s">
        <v>2461</v>
      </c>
      <c r="CK189" s="2" t="s">
        <v>2462</v>
      </c>
      <c r="CL189" s="9" t="str">
        <f>HYPERLINK(".\links\PFAM\AGAP010178-PA-PFAM.txt","DUF4256, Protein of unknown function (DUF4256)")</f>
        <v>DUF4256, Protein of unknown function (DUF4256)</v>
      </c>
      <c r="CM189" s="13">
        <v>0.82</v>
      </c>
      <c r="CN189" s="2">
        <v>22</v>
      </c>
      <c r="CO189" s="2" t="s">
        <v>2463</v>
      </c>
      <c r="CP189" s="9" t="str">
        <f>HYPERLINK(".\links\SMART\AGAP010178-PA-SMART.txt","Ku78, Ku70 and Ku80 are 70kDa and 80kDa subunits of the Lupus Ku autoantigen")</f>
        <v>Ku78, Ku70 and Ku80 are 70kDa and 80kDa subunits of the Lupus Ku autoantigen</v>
      </c>
      <c r="CQ189" s="13">
        <v>5.6000000000000001E-2</v>
      </c>
      <c r="CR189" s="2">
        <v>35.700000000000003</v>
      </c>
      <c r="CS189" s="2" t="s">
        <v>2464</v>
      </c>
      <c r="CT189" s="2" t="s">
        <v>2456</v>
      </c>
      <c r="CU189" s="2" t="s">
        <v>2456</v>
      </c>
      <c r="CV189" s="2" t="s">
        <v>2456</v>
      </c>
      <c r="CW189" s="2" t="str">
        <f>HYPERLINK(".\links\pep\AGAP010178-PA-pep.txt","AGAP010178-PA")</f>
        <v>AGAP010178-PA</v>
      </c>
      <c r="CX189" s="2" t="s">
        <v>88</v>
      </c>
      <c r="CY189" s="2">
        <v>434</v>
      </c>
      <c r="CZ189" s="2" t="s">
        <v>103</v>
      </c>
      <c r="DA189" s="2" t="s">
        <v>2465</v>
      </c>
      <c r="DB189" s="2">
        <v>0</v>
      </c>
      <c r="DC189" s="2">
        <v>2</v>
      </c>
      <c r="DD189" s="2" t="str">
        <f>HYPERLINK("https://www.kegg.jp/kegg-bin/search_pathway_text?map=aga&amp;keyword=AGAP010178&amp;mode=1&amp;viewImage=true","AGAP010178")</f>
        <v>AGAP010178</v>
      </c>
      <c r="DE189" s="2" t="s">
        <v>2455</v>
      </c>
      <c r="DF189" s="2" t="s">
        <v>86</v>
      </c>
      <c r="DG189" s="2" t="s">
        <v>87</v>
      </c>
      <c r="DH189" s="2" t="str">
        <f>HYPERLINK("https://vectorbase.org/vectorbase/app/record/gene/AGAP010178","AGAP010178-RA")</f>
        <v>AGAP010178-RA</v>
      </c>
      <c r="DI189" s="2" t="s">
        <v>105</v>
      </c>
      <c r="DJ189" s="2">
        <v>1405</v>
      </c>
      <c r="DK189" s="2" t="str">
        <f>HYPERLINK(".\links\netoglyc\AGAP010178-PA-netoglyc.txt","0")</f>
        <v>0</v>
      </c>
      <c r="DL189" s="2">
        <v>12.2</v>
      </c>
      <c r="DM189" s="2">
        <v>3.7</v>
      </c>
      <c r="DN189" s="2">
        <v>5.0999999999999996</v>
      </c>
      <c r="DO189" s="2" t="s">
        <v>94</v>
      </c>
      <c r="DP189" s="2" t="s">
        <v>89</v>
      </c>
      <c r="DQ189" s="2" t="str">
        <f>HYPERLINK(".\links\Sigp\AGAP010178-PA-SigP.txt","SIG")</f>
        <v>SIG</v>
      </c>
      <c r="DR189" s="2" t="s">
        <v>131</v>
      </c>
      <c r="DS189" s="2">
        <v>50.570999999999998</v>
      </c>
      <c r="DT189" s="2">
        <v>6.52</v>
      </c>
      <c r="DU189" s="2">
        <v>46.796999999999997</v>
      </c>
      <c r="DV189" s="2">
        <v>6.32</v>
      </c>
      <c r="DW189" s="2" t="s">
        <v>2457</v>
      </c>
      <c r="DX189" s="2">
        <v>434</v>
      </c>
      <c r="DY189" s="12" t="str">
        <f>HYPERLINK(".\links\tmhmm\AGAP010178-PA-tmhmm.txt","1")</f>
        <v>1</v>
      </c>
      <c r="DZ189" s="2">
        <v>5.0999999999999996</v>
      </c>
      <c r="EA189" s="2">
        <v>91.9</v>
      </c>
      <c r="EB189" s="2">
        <v>3</v>
      </c>
      <c r="EC189" s="2" t="str">
        <f>HYPERLINK(".\links\gpi\AGAP010178-PA-gpi.txt","N")</f>
        <v>N</v>
      </c>
      <c r="ED189" s="2">
        <v>0.3</v>
      </c>
      <c r="EE189" s="2" t="s">
        <v>2466</v>
      </c>
      <c r="EF189" s="2">
        <v>15</v>
      </c>
      <c r="EG189" s="2" t="s">
        <v>89</v>
      </c>
      <c r="EH189" s="2" t="s">
        <v>89</v>
      </c>
      <c r="EI189" s="2">
        <v>12.211981566820301</v>
      </c>
      <c r="EJ189" s="2">
        <v>5.0691244239631299</v>
      </c>
      <c r="EK189" s="2">
        <v>3.68663594470046</v>
      </c>
      <c r="EL189" s="2">
        <v>8.7557603686635908</v>
      </c>
      <c r="EM189" s="2" t="s">
        <v>89</v>
      </c>
      <c r="EN189" s="2">
        <v>3</v>
      </c>
      <c r="EO189" s="2">
        <v>3</v>
      </c>
      <c r="EP189" s="2" t="s">
        <v>89</v>
      </c>
      <c r="EQ189" s="2" t="s">
        <v>89</v>
      </c>
      <c r="ER189" s="2" t="s">
        <v>89</v>
      </c>
      <c r="ES189" s="2" t="s">
        <v>2305</v>
      </c>
      <c r="ET189" s="2" t="str">
        <f>HYPERLINK(".\links\REFSEQ-INVERTEBRATE\AGAP010178-PA-REFSEQ-INVERTEBRATE.txt","uncharacterized protein LOC118511105")</f>
        <v>uncharacterized protein LOC118511105</v>
      </c>
      <c r="EU189" s="2" t="str">
        <f>HYPERLINK("http://www.ncbi.nlm.nih.gov/sutils/blink.cgi?pid=XP_035909721.1","0.0")</f>
        <v>0.0</v>
      </c>
      <c r="EV189" s="2" t="str">
        <f>HYPERLINK("http://www.ncbi.nlm.nih.gov/protein/XP_035909721.1","XP_035909721.1")</f>
        <v>XP_035909721.1</v>
      </c>
      <c r="EW189" s="2">
        <v>81</v>
      </c>
      <c r="EX189" s="2">
        <v>89</v>
      </c>
      <c r="EY189" s="2">
        <v>101</v>
      </c>
      <c r="EZ189" s="2" t="s">
        <v>600</v>
      </c>
    </row>
    <row r="190" spans="1:156" x14ac:dyDescent="0.25">
      <c r="A190" s="2" t="s">
        <v>1627</v>
      </c>
      <c r="B190" s="2">
        <v>-0.99228028188281403</v>
      </c>
      <c r="C190" s="2">
        <f t="shared" si="2"/>
        <v>0.50268262124320207</v>
      </c>
      <c r="D190" s="2">
        <v>6.6872327294179499</v>
      </c>
      <c r="E190" s="2">
        <v>20.110097575836999</v>
      </c>
      <c r="F190" s="2">
        <v>7.3109668395242097E-6</v>
      </c>
      <c r="G190" s="2">
        <v>1.4414789618595199E-3</v>
      </c>
      <c r="H190" s="2" t="s">
        <v>1628</v>
      </c>
      <c r="I190" s="2" t="s">
        <v>87</v>
      </c>
      <c r="J190" s="2" t="str">
        <f>HYPERLINK("https://vectorbase.org/vectorbase/app/record/gene/AGAP006353","AGAP006353-RA")</f>
        <v>AGAP006353-RA</v>
      </c>
      <c r="K190" s="2" t="str">
        <f>HYPERLINK(".\links\pep\AGAP006353-PA-pep.txt","AGAP006353-PA")</f>
        <v>AGAP006353-PA</v>
      </c>
      <c r="L190" s="12" t="s">
        <v>88</v>
      </c>
      <c r="M190" s="2">
        <v>127</v>
      </c>
      <c r="N190" s="2">
        <v>0</v>
      </c>
      <c r="O190" s="2">
        <v>0</v>
      </c>
      <c r="P190" s="2" t="s">
        <v>1629</v>
      </c>
      <c r="Q190" s="9" t="s">
        <v>1630</v>
      </c>
      <c r="R190" s="2" t="s">
        <v>148</v>
      </c>
      <c r="S190" s="2" t="str">
        <f>HYPERLINK(".\links\KOG\AGAP006353-PA-KOG.txt","KOG")</f>
        <v>KOG</v>
      </c>
      <c r="T190" s="2">
        <v>3.0000000000000002E-55</v>
      </c>
      <c r="U190" s="2">
        <v>100</v>
      </c>
      <c r="V190" s="2" t="s">
        <v>1631</v>
      </c>
      <c r="W190" s="10" t="s">
        <v>1632</v>
      </c>
      <c r="X190" s="2" t="s">
        <v>148</v>
      </c>
      <c r="Y190" s="2" t="str">
        <f>HYPERLINK(".\links\UNIPROTKB\AGAP006353-PA-UNIPROTKB.txt","UNIPROTKB")</f>
        <v>UNIPROTKB</v>
      </c>
      <c r="Z190" s="13">
        <v>2.0000000000000001E-61</v>
      </c>
      <c r="AA190" s="2">
        <v>100.7</v>
      </c>
      <c r="AB190" s="14" t="s">
        <v>89</v>
      </c>
      <c r="AC190" s="14" t="str">
        <f>HYPERLINK(".\links\Sigp\AGAP006353-PA-SigP.txt","CYT")</f>
        <v>CYT</v>
      </c>
      <c r="AD190" s="2" t="s">
        <v>89</v>
      </c>
      <c r="AE190" s="2">
        <v>13.994</v>
      </c>
      <c r="AF190" s="2">
        <v>5.92</v>
      </c>
      <c r="AG190" s="2" t="s">
        <v>89</v>
      </c>
      <c r="AH190" s="2" t="s">
        <v>89</v>
      </c>
      <c r="AI190" s="2" t="s">
        <v>93</v>
      </c>
      <c r="AJ190" s="14">
        <v>0</v>
      </c>
      <c r="AK190" s="2" t="s">
        <v>89</v>
      </c>
      <c r="AL190" s="2" t="s">
        <v>89</v>
      </c>
      <c r="AM190" s="2" t="s">
        <v>89</v>
      </c>
      <c r="AN190" s="14" t="str">
        <f>HYPERLINK(".\links\gpi\AGAP006353-PA-gpi.txt","N")</f>
        <v>N</v>
      </c>
      <c r="AO190" s="15" t="str">
        <f>HYPERLINK(".\links\netoglyc\AGAP006353-PA-netoglyc.txt","0")</f>
        <v>0</v>
      </c>
      <c r="AP190" s="14">
        <v>6.3</v>
      </c>
      <c r="AQ190" s="2">
        <v>7.9</v>
      </c>
      <c r="AR190" s="2">
        <v>5.5</v>
      </c>
      <c r="AS190" s="2" t="s">
        <v>94</v>
      </c>
      <c r="AT190" s="9" t="str">
        <f>HYPERLINK(".\links\NR-LIGHT\AGAP006353-PA-NR-LIGHT.txt","AGAP006353-PA")</f>
        <v>AGAP006353-PA</v>
      </c>
      <c r="AU190" s="2" t="str">
        <f>HYPERLINK("http://www.ncbi.nlm.nih.gov/sutils/blink.cgi?pid=XP_316373.4","2E-068")</f>
        <v>2E-068</v>
      </c>
      <c r="AV190" s="2" t="str">
        <f>HYPERLINK("http://www.ncbi.nlm.nih.gov/protein/XP_316373.4","XP_316373.4")</f>
        <v>XP_316373.4</v>
      </c>
      <c r="AW190" s="2">
        <v>100</v>
      </c>
      <c r="AX190" s="2">
        <v>100</v>
      </c>
      <c r="AY190" s="2">
        <v>100</v>
      </c>
      <c r="AZ190" s="2" t="s">
        <v>95</v>
      </c>
      <c r="BA190" s="9" t="str">
        <f>HYPERLINK(".\links\REFSEQ-INVERTEBRATE\AGAP006353-PA-REFSEQ-INVERTEBRATE.txt","AGAP006353-PA")</f>
        <v>AGAP006353-PA</v>
      </c>
      <c r="BB190" s="2" t="str">
        <f>HYPERLINK("http://www.ncbi.nlm.nih.gov/sutils/blink.cgi?pid=XP_316373.4","2E-068")</f>
        <v>2E-068</v>
      </c>
      <c r="BC190" s="2" t="str">
        <f>HYPERLINK("http://www.ncbi.nlm.nih.gov/protein/XP_316373.4","XP_316373.4")</f>
        <v>XP_316373.4</v>
      </c>
      <c r="BD190" s="2">
        <v>100</v>
      </c>
      <c r="BE190" s="2">
        <v>100</v>
      </c>
      <c r="BF190" s="2">
        <v>100</v>
      </c>
      <c r="BG190" s="2" t="s">
        <v>95</v>
      </c>
      <c r="BH190" s="9" t="str">
        <f>HYPERLINK(".\links\REFSEQ-PROTOZOA\AGAP006353-PA-REFSEQ-PROTOZOA.txt","hypothetical protein")</f>
        <v>hypothetical protein</v>
      </c>
      <c r="BI190" s="2" t="str">
        <f>HYPERLINK("http://www.ncbi.nlm.nih.gov/sutils/blink.cgi?pid=XP_001743736.1","2E-042")</f>
        <v>2E-042</v>
      </c>
      <c r="BJ190" s="2" t="str">
        <f>HYPERLINK("http://www.ncbi.nlm.nih.gov/protein/XP_001743736.1","XP_001743736.1")</f>
        <v>XP_001743736.1</v>
      </c>
      <c r="BK190" s="2">
        <v>63</v>
      </c>
      <c r="BL190" s="2">
        <v>74</v>
      </c>
      <c r="BM190" s="2">
        <v>99</v>
      </c>
      <c r="BN190" s="2" t="s">
        <v>389</v>
      </c>
      <c r="BO190" s="9" t="str">
        <f>HYPERLINK(".\links\SWISSP\AGAP006353-PA-SWISSP.txt","Histidine triad nucleotide-binding protein 1")</f>
        <v>Histidine triad nucleotide-binding protein 1</v>
      </c>
      <c r="BP190" s="2" t="str">
        <f>HYPERLINK("http://www.uniprot.org/uniprot/P62958","1E-046")</f>
        <v>1E-046</v>
      </c>
      <c r="BQ190" s="2" t="str">
        <f>HYPERLINK("http://www.uniprot.org/uniprot/P62958#expression","P62958")</f>
        <v>P62958</v>
      </c>
      <c r="BR190" s="2">
        <v>65</v>
      </c>
      <c r="BS190" s="2">
        <v>84</v>
      </c>
      <c r="BT190" s="2">
        <v>101</v>
      </c>
      <c r="BU190" s="2" t="s">
        <v>183</v>
      </c>
      <c r="BV190" s="9" t="str">
        <f>HYPERLINK(".\links\FLYBASE\AGAP006353-PA-FLYBASE.txt","FBpp0077403")</f>
        <v>FBpp0077403</v>
      </c>
      <c r="BW190" s="2" t="str">
        <f>HYPERLINK("http://flybase.org/reports/FBgn0031459#alliance_summary_container","4E-68")</f>
        <v>4E-68</v>
      </c>
      <c r="BX190" s="2">
        <v>126</v>
      </c>
      <c r="BY190" s="2">
        <v>76</v>
      </c>
      <c r="BZ190" s="2">
        <v>85</v>
      </c>
      <c r="CA190" s="2">
        <v>101</v>
      </c>
      <c r="CB190" s="9" t="str">
        <f>HYPERLINK(".\links\CDD\AGAP006353-PA-CDD.txt","PKCI_related, Protein Kinase C Interacting protein related (PKCI): PKCI and related proteins belong to the ubiquitous HIT family of hydrolases that act on alpha-phosphates of ribonucleotides")</f>
        <v>PKCI_related, Protein Kinase C Interacting protein related (PKCI): PKCI and related proteins belong to the ubiquitous HIT family of hydrolases that act on alpha-phosphates of ribonucleotides</v>
      </c>
      <c r="CC190" s="13">
        <v>3.9999999999999998E-44</v>
      </c>
      <c r="CD190" s="2">
        <v>100</v>
      </c>
      <c r="CE190" s="2" t="s">
        <v>1633</v>
      </c>
      <c r="CF190" s="2" t="s">
        <v>1634</v>
      </c>
      <c r="CG190" s="9" t="str">
        <f>HYPERLINK(".\links\KOG\AGAP006353-PA-KOG.txt","Zinc-binding protein of the histidine triad (HIT) family")</f>
        <v>Zinc-binding protein of the histidine triad (HIT) family</v>
      </c>
      <c r="CH190" s="13">
        <v>3.0000000000000002E-55</v>
      </c>
      <c r="CI190" s="2">
        <v>100</v>
      </c>
      <c r="CJ190" s="2" t="s">
        <v>1635</v>
      </c>
      <c r="CK190" s="2" t="s">
        <v>410</v>
      </c>
      <c r="CL190" s="9" t="str">
        <f>HYPERLINK(".\links\PFAM\AGAP006353-PA-PFAM.txt","HIT, HIT domain")</f>
        <v>HIT, HIT domain</v>
      </c>
      <c r="CM190" s="13">
        <v>1.9999999999999999E-28</v>
      </c>
      <c r="CN190" s="2">
        <v>103.1</v>
      </c>
      <c r="CO190" s="2" t="s">
        <v>1636</v>
      </c>
      <c r="CP190" s="9" t="str">
        <f>HYPERLINK(".\links\SMART\AGAP006353-PA-SMART.txt","PLCXc, Phospholipase C, catalytic domain (part)")</f>
        <v>PLCXc, Phospholipase C, catalytic domain (part)</v>
      </c>
      <c r="CQ190" s="13">
        <v>0.21</v>
      </c>
      <c r="CR190" s="2">
        <v>30.8</v>
      </c>
      <c r="CS190" s="2" t="s">
        <v>1637</v>
      </c>
      <c r="CT190" s="2" t="s">
        <v>1631</v>
      </c>
      <c r="CU190" s="2" t="s">
        <v>1631</v>
      </c>
      <c r="CV190" s="2" t="s">
        <v>1631</v>
      </c>
      <c r="CW190" s="2" t="str">
        <f>HYPERLINK(".\links\pep\AGAP006353-PA-pep.txt","AGAP006353-PA")</f>
        <v>AGAP006353-PA</v>
      </c>
      <c r="CX190" s="2" t="s">
        <v>88</v>
      </c>
      <c r="CY190" s="2">
        <v>127</v>
      </c>
      <c r="CZ190" s="2" t="s">
        <v>103</v>
      </c>
      <c r="DA190" s="2" t="s">
        <v>1638</v>
      </c>
      <c r="DB190" s="2">
        <v>0</v>
      </c>
      <c r="DC190" s="2">
        <v>0</v>
      </c>
      <c r="DD190" s="2" t="str">
        <f>HYPERLINK("https://www.kegg.jp/kegg-bin/search_pathway_text?map=aga&amp;keyword=AGAP006353&amp;mode=1&amp;viewImage=true","AGAP006353")</f>
        <v>AGAP006353</v>
      </c>
      <c r="DE190" s="2" t="s">
        <v>1627</v>
      </c>
      <c r="DF190" s="2" t="s">
        <v>1628</v>
      </c>
      <c r="DG190" s="2" t="s">
        <v>87</v>
      </c>
      <c r="DH190" s="2" t="str">
        <f>HYPERLINK("https://vectorbase.org/vectorbase/app/record/gene/AGAP006353","AGAP006353-RA")</f>
        <v>AGAP006353-RA</v>
      </c>
      <c r="DI190" s="2" t="s">
        <v>140</v>
      </c>
      <c r="DJ190" s="2">
        <v>545</v>
      </c>
      <c r="DK190" s="2" t="str">
        <f>HYPERLINK(".\links\netoglyc\AGAP006353-PA-netoglyc.txt","0")</f>
        <v>0</v>
      </c>
      <c r="DL190" s="2">
        <v>6.3</v>
      </c>
      <c r="DM190" s="2">
        <v>7.9</v>
      </c>
      <c r="DN190" s="2">
        <v>5.5</v>
      </c>
      <c r="DO190" s="2" t="s">
        <v>94</v>
      </c>
      <c r="DP190" s="2" t="s">
        <v>89</v>
      </c>
      <c r="DQ190" s="2" t="str">
        <f>HYPERLINK(".\links\Sigp\AGAP006353-PA-SigP.txt","CYT")</f>
        <v>CYT</v>
      </c>
      <c r="DR190" s="2" t="s">
        <v>89</v>
      </c>
      <c r="DS190" s="2">
        <v>13.994</v>
      </c>
      <c r="DT190" s="2">
        <v>5.92</v>
      </c>
      <c r="DU190" s="2" t="s">
        <v>89</v>
      </c>
      <c r="DV190" s="2" t="s">
        <v>89</v>
      </c>
      <c r="DW190" s="2" t="s">
        <v>93</v>
      </c>
      <c r="DX190" s="2">
        <v>127</v>
      </c>
      <c r="DY190" s="12">
        <v>0</v>
      </c>
      <c r="DZ190" s="2" t="s">
        <v>89</v>
      </c>
      <c r="EA190" s="2" t="s">
        <v>89</v>
      </c>
      <c r="EB190" s="2" t="s">
        <v>89</v>
      </c>
      <c r="EC190" s="2" t="str">
        <f>HYPERLINK(".\links\gpi\AGAP006353-PA-gpi.txt","Y-NoSP")</f>
        <v>Y-NoSP</v>
      </c>
      <c r="ED190" s="2">
        <v>0.28999999999999998</v>
      </c>
      <c r="EF190" s="2">
        <v>2</v>
      </c>
      <c r="EG190" s="2" t="s">
        <v>89</v>
      </c>
      <c r="EH190" s="2" t="s">
        <v>89</v>
      </c>
      <c r="EI190" s="2">
        <v>6.2992125984251999</v>
      </c>
      <c r="EJ190" s="2">
        <v>5.5118110236220499</v>
      </c>
      <c r="EK190" s="2">
        <v>7.8740157480314998</v>
      </c>
      <c r="EL190" s="2">
        <v>13.3858267716535</v>
      </c>
      <c r="EM190" s="2">
        <v>1</v>
      </c>
      <c r="EN190" s="2" t="s">
        <v>89</v>
      </c>
      <c r="EO190" s="2">
        <v>1</v>
      </c>
      <c r="EP190" s="2" t="s">
        <v>89</v>
      </c>
      <c r="EQ190" s="2" t="s">
        <v>300</v>
      </c>
      <c r="ER190" s="2" t="s">
        <v>89</v>
      </c>
      <c r="ES190" s="2" t="s">
        <v>89</v>
      </c>
      <c r="ET190" s="2" t="str">
        <f>HYPERLINK(".\links\REFSEQ-INVERTEBRATE\AGAP006353-PA-REFSEQ-INVERTEBRATE.txt","AGAP006353-PA")</f>
        <v>AGAP006353-PA</v>
      </c>
      <c r="EU190" s="2" t="str">
        <f>HYPERLINK("http://www.ncbi.nlm.nih.gov/sutils/blink.cgi?pid=XP_316373.4","3E-91")</f>
        <v>3E-91</v>
      </c>
      <c r="EV190" s="2" t="str">
        <f>HYPERLINK("http://www.ncbi.nlm.nih.gov/protein/XP_316373.4","XP_316373.4")</f>
        <v>XP_316373.4</v>
      </c>
      <c r="EW190" s="2">
        <v>100</v>
      </c>
      <c r="EX190" s="2">
        <v>100</v>
      </c>
      <c r="EY190" s="2">
        <v>100</v>
      </c>
      <c r="EZ190" s="2" t="s">
        <v>95</v>
      </c>
    </row>
    <row r="191" spans="1:156" x14ac:dyDescent="0.25">
      <c r="A191" s="2" t="s">
        <v>2476</v>
      </c>
      <c r="B191" s="2">
        <v>-0.99354120039942195</v>
      </c>
      <c r="C191" s="2">
        <f t="shared" si="2"/>
        <v>0.50224346750781301</v>
      </c>
      <c r="D191" s="2">
        <v>3.5836314778260201</v>
      </c>
      <c r="E191" s="2">
        <v>12.730213294953501</v>
      </c>
      <c r="F191" s="2">
        <v>3.5979550738767299E-4</v>
      </c>
      <c r="G191" s="2">
        <v>2.1521026781778401E-2</v>
      </c>
      <c r="H191" s="2" t="s">
        <v>2477</v>
      </c>
      <c r="I191" s="2" t="s">
        <v>87</v>
      </c>
      <c r="J191" s="2" t="str">
        <f>HYPERLINK("https://vectorbase.org/vectorbase/app/record/gene/AGAP010225","AGAP010225-RA")</f>
        <v>AGAP010225-RA</v>
      </c>
      <c r="K191" s="2" t="str">
        <f>HYPERLINK(".\links\pep\AGAP010225-PA-pep.txt","AGAP010225-PA")</f>
        <v>AGAP010225-PA</v>
      </c>
      <c r="L191" s="12" t="s">
        <v>88</v>
      </c>
      <c r="M191" s="2">
        <v>217</v>
      </c>
      <c r="N191" s="2">
        <v>0</v>
      </c>
      <c r="O191" s="2">
        <v>1</v>
      </c>
      <c r="P191" s="2" t="s">
        <v>2478</v>
      </c>
      <c r="Q191" s="9" t="s">
        <v>2479</v>
      </c>
      <c r="R191" s="2" t="s">
        <v>347</v>
      </c>
      <c r="S191" s="2" t="str">
        <f>HYPERLINK(".\links\KOG\AGAP010225-PA-KOG.txt","KOG")</f>
        <v>KOG</v>
      </c>
      <c r="T191" s="2">
        <v>2E-46</v>
      </c>
      <c r="U191" s="2">
        <v>89.6</v>
      </c>
      <c r="V191" s="2" t="s">
        <v>2480</v>
      </c>
      <c r="W191" s="10" t="s">
        <v>2481</v>
      </c>
      <c r="X191" s="2" t="s">
        <v>347</v>
      </c>
      <c r="Y191" s="2" t="str">
        <f>HYPERLINK(".\links\COG\AGAP010225-PA-COG.txt","COG")</f>
        <v>COG</v>
      </c>
      <c r="Z191" s="13">
        <v>8.0000000000000001E-35</v>
      </c>
      <c r="AA191" s="2">
        <v>91.5</v>
      </c>
      <c r="AB191" s="14" t="s">
        <v>89</v>
      </c>
      <c r="AC191" s="14" t="str">
        <f>HYPERLINK(".\links\Sigp\AGAP010225-PA-SigP.txt","SIG")</f>
        <v>SIG</v>
      </c>
      <c r="AD191" s="2" t="s">
        <v>2482</v>
      </c>
      <c r="AE191" s="2">
        <v>25.338999999999999</v>
      </c>
      <c r="AF191" s="2">
        <v>8.75</v>
      </c>
      <c r="AG191" s="2">
        <v>21.81</v>
      </c>
      <c r="AH191" s="2">
        <v>8.34</v>
      </c>
      <c r="AI191" s="2" t="s">
        <v>2483</v>
      </c>
      <c r="AJ191" s="14" t="str">
        <f>HYPERLINK(".\links\tmhmm\AGAP010225-PA-tmhmm.txt","6")</f>
        <v>6</v>
      </c>
      <c r="AK191" s="2">
        <v>53.9</v>
      </c>
      <c r="AL191" s="2">
        <v>30.4</v>
      </c>
      <c r="AM191" s="2">
        <v>15.7</v>
      </c>
      <c r="AN191" s="14" t="str">
        <f>HYPERLINK(".\links\gpi\AGAP010225-PA-gpi.txt","N")</f>
        <v>N</v>
      </c>
      <c r="AO191" s="15" t="str">
        <f>HYPERLINK(".\links\netoglyc\AGAP010225-PA-netoglyc.txt","0")</f>
        <v>0</v>
      </c>
      <c r="AP191" s="14">
        <v>12.9</v>
      </c>
      <c r="AQ191" s="2">
        <v>3.7</v>
      </c>
      <c r="AR191" s="2">
        <v>2.2999999999999998</v>
      </c>
      <c r="AS191" s="2" t="s">
        <v>94</v>
      </c>
      <c r="AT191" s="9" t="str">
        <f>HYPERLINK(".\links\NR-LIGHT\AGAP010225-PA-NR-LIGHT.txt","AGAP010225-PA")</f>
        <v>AGAP010225-PA</v>
      </c>
      <c r="AU191" s="2" t="str">
        <f>HYPERLINK("http://www.ncbi.nlm.nih.gov/sutils/blink.cgi?pid=XP_554138.3","1E-121")</f>
        <v>1E-121</v>
      </c>
      <c r="AV191" s="2" t="str">
        <f>HYPERLINK("http://www.ncbi.nlm.nih.gov/protein/XP_554138.3","XP_554138.3")</f>
        <v>XP_554138.3</v>
      </c>
      <c r="AW191" s="2">
        <v>100</v>
      </c>
      <c r="AX191" s="2">
        <v>100</v>
      </c>
      <c r="AY191" s="2">
        <v>97</v>
      </c>
      <c r="AZ191" s="2" t="s">
        <v>95</v>
      </c>
      <c r="BA191" s="9" t="str">
        <f>HYPERLINK(".\links\REFSEQ-INVERTEBRATE\AGAP010225-PA-REFSEQ-INVERTEBRATE.txt","AGAP010225-PA")</f>
        <v>AGAP010225-PA</v>
      </c>
      <c r="BB191" s="2" t="str">
        <f>HYPERLINK("http://www.ncbi.nlm.nih.gov/sutils/blink.cgi?pid=XP_554138.3","1E-121")</f>
        <v>1E-121</v>
      </c>
      <c r="BC191" s="2" t="str">
        <f>HYPERLINK("http://www.ncbi.nlm.nih.gov/protein/XP_554138.3","XP_554138.3")</f>
        <v>XP_554138.3</v>
      </c>
      <c r="BD191" s="2">
        <v>100</v>
      </c>
      <c r="BE191" s="2">
        <v>100</v>
      </c>
      <c r="BF191" s="2">
        <v>97</v>
      </c>
      <c r="BG191" s="2" t="s">
        <v>95</v>
      </c>
      <c r="BH191" s="9" t="str">
        <f>HYPERLINK(".\links\REFSEQ-PROTOZOA\AGAP010225-PA-REFSEQ-PROTOZOA.txt","ER lumen protein retaining receptor 2")</f>
        <v>ER lumen protein retaining receptor 2</v>
      </c>
      <c r="BI191" s="2" t="str">
        <f>HYPERLINK("http://www.ncbi.nlm.nih.gov/sutils/blink.cgi?pid=XP_004998731.1","2E-047")</f>
        <v>2E-047</v>
      </c>
      <c r="BJ191" s="2" t="str">
        <f>HYPERLINK("http://www.ncbi.nlm.nih.gov/protein/XP_004998731.1","XP_004998731.1")</f>
        <v>XP_004998731.1</v>
      </c>
      <c r="BK191" s="2">
        <v>49</v>
      </c>
      <c r="BL191" s="2">
        <v>67</v>
      </c>
      <c r="BM191" s="2">
        <v>90</v>
      </c>
      <c r="BN191" s="2" t="s">
        <v>182</v>
      </c>
      <c r="BO191" s="9" t="str">
        <f>HYPERLINK(".\links\SWISSP\AGAP010225-PA-SWISSP.txt","ER lumen protein-retaining receptor")</f>
        <v>ER lumen protein-retaining receptor</v>
      </c>
      <c r="BP191" s="2" t="str">
        <f>HYPERLINK("http://www.uniprot.org/uniprot/Q611C8","3E-046")</f>
        <v>3E-046</v>
      </c>
      <c r="BQ191" s="2" t="str">
        <f>HYPERLINK("http://www.uniprot.org/uniprot/Q611C8#expression","Q611C8")</f>
        <v>Q611C8</v>
      </c>
      <c r="BR191" s="2">
        <v>46</v>
      </c>
      <c r="BS191" s="2">
        <v>68</v>
      </c>
      <c r="BT191" s="2">
        <v>89</v>
      </c>
      <c r="BU191" s="2" t="s">
        <v>2484</v>
      </c>
      <c r="BV191" s="9" t="str">
        <f>HYPERLINK(".\links\FLYBASE\AGAP010225-PA-FLYBASE.txt","FBpp0079613")</f>
        <v>FBpp0079613</v>
      </c>
      <c r="BW191" s="2" t="str">
        <f>HYPERLINK("http://flybase.org/reports/FBgn0267330#alliance_summary_container","6E-55")</f>
        <v>6E-55</v>
      </c>
      <c r="BX191" s="2">
        <v>212</v>
      </c>
      <c r="BY191" s="2">
        <v>47</v>
      </c>
      <c r="BZ191" s="2">
        <v>67</v>
      </c>
      <c r="CA191" s="2">
        <v>90</v>
      </c>
      <c r="CB191" s="9" t="str">
        <f>HYPERLINK(".\links\CDD\AGAP010225-PA-CDD.txt","ER_lumen_recept, ER lumen protein retaining receptor")</f>
        <v>ER_lumen_recept, ER lumen protein retaining receptor</v>
      </c>
      <c r="CC191" s="13">
        <v>8.0000000000000003E-42</v>
      </c>
      <c r="CD191" s="2">
        <v>100</v>
      </c>
      <c r="CE191" s="2" t="s">
        <v>2485</v>
      </c>
      <c r="CF191" s="2" t="s">
        <v>2486</v>
      </c>
      <c r="CG191" s="9" t="str">
        <f>HYPERLINK(".\links\KOG\AGAP010225-PA-KOG.txt","ER lumen protein retaining receptor")</f>
        <v>ER lumen protein retaining receptor</v>
      </c>
      <c r="CH191" s="13">
        <v>2E-46</v>
      </c>
      <c r="CI191" s="2">
        <v>89.6</v>
      </c>
      <c r="CJ191" s="2" t="s">
        <v>2487</v>
      </c>
      <c r="CK191" s="2" t="s">
        <v>278</v>
      </c>
      <c r="CL191" s="9" t="str">
        <f>HYPERLINK(".\links\PFAM\AGAP010225-PA-PFAM.txt","ER_lumen_recept, ER lumen protein retaining receptor")</f>
        <v>ER_lumen_recept, ER lumen protein retaining receptor</v>
      </c>
      <c r="CM191" s="13">
        <v>2.0000000000000001E-42</v>
      </c>
      <c r="CN191" s="2">
        <v>100</v>
      </c>
      <c r="CO191" s="2" t="s">
        <v>2485</v>
      </c>
      <c r="CP191" s="9" t="str">
        <f>HYPERLINK(".\links\SMART\AGAP010225-PA-SMART.txt","CysPc, Calpain-like thiol protease family")</f>
        <v>CysPc, Calpain-like thiol protease family</v>
      </c>
      <c r="CQ191" s="13">
        <v>6.9</v>
      </c>
      <c r="CR191" s="2">
        <v>4.0999999999999996</v>
      </c>
      <c r="CS191" s="2" t="s">
        <v>2488</v>
      </c>
      <c r="CT191" s="2" t="s">
        <v>2480</v>
      </c>
      <c r="CU191" s="2" t="s">
        <v>2480</v>
      </c>
      <c r="CV191" s="2" t="s">
        <v>2480</v>
      </c>
      <c r="CW191" s="2" t="str">
        <f>HYPERLINK(".\links\pep\AGAP010225-PA-pep.txt","AGAP010225-PA")</f>
        <v>AGAP010225-PA</v>
      </c>
      <c r="CX191" s="2" t="s">
        <v>88</v>
      </c>
      <c r="CY191" s="2">
        <v>217</v>
      </c>
      <c r="CZ191" s="2" t="s">
        <v>103</v>
      </c>
      <c r="DA191" s="2" t="s">
        <v>2489</v>
      </c>
      <c r="DB191" s="2">
        <v>0</v>
      </c>
      <c r="DC191" s="2">
        <v>1</v>
      </c>
      <c r="DD191" s="2" t="str">
        <f>HYPERLINK("https://www.kegg.jp/kegg-bin/search_pathway_text?map=aga&amp;keyword=AGAP010225&amp;mode=1&amp;viewImage=true","AGAP010225")</f>
        <v>AGAP010225</v>
      </c>
      <c r="DE191" s="2" t="s">
        <v>2476</v>
      </c>
      <c r="DF191" s="2" t="s">
        <v>2477</v>
      </c>
      <c r="DG191" s="2" t="s">
        <v>87</v>
      </c>
      <c r="DH191" s="2" t="str">
        <f>HYPERLINK("https://vectorbase.org/vectorbase/app/record/gene/AGAP010225","AGAP010225-RA")</f>
        <v>AGAP010225-RA</v>
      </c>
      <c r="DI191" s="2" t="s">
        <v>122</v>
      </c>
      <c r="DJ191" s="2">
        <v>813</v>
      </c>
      <c r="DK191" s="2" t="str">
        <f>HYPERLINK(".\links\netoglyc\AGAP010225-PA-netoglyc.txt","0")</f>
        <v>0</v>
      </c>
      <c r="DL191" s="2">
        <v>12.9</v>
      </c>
      <c r="DM191" s="2">
        <v>3.7</v>
      </c>
      <c r="DN191" s="2">
        <v>2.2999999999999998</v>
      </c>
      <c r="DO191" s="2" t="s">
        <v>94</v>
      </c>
      <c r="DP191" s="2" t="s">
        <v>89</v>
      </c>
      <c r="DQ191" s="2" t="str">
        <f>HYPERLINK(".\links\Sigp\AGAP010225-PA-SigP.txt","SIG")</f>
        <v>SIG</v>
      </c>
      <c r="DR191" s="2" t="s">
        <v>2482</v>
      </c>
      <c r="DS191" s="2">
        <v>25.338999999999999</v>
      </c>
      <c r="DT191" s="2">
        <v>8.75</v>
      </c>
      <c r="DU191" s="2">
        <v>21.81</v>
      </c>
      <c r="DV191" s="2">
        <v>8.34</v>
      </c>
      <c r="DW191" s="2" t="s">
        <v>2483</v>
      </c>
      <c r="DX191" s="2">
        <v>217</v>
      </c>
      <c r="DY191" s="12" t="str">
        <f>HYPERLINK(".\links\tmhmm\AGAP010225-PA-tmhmm.txt","6")</f>
        <v>6</v>
      </c>
      <c r="DZ191" s="2">
        <v>53.9</v>
      </c>
      <c r="EA191" s="2">
        <v>30.4</v>
      </c>
      <c r="EB191" s="2">
        <v>15.7</v>
      </c>
      <c r="EC191" s="2" t="str">
        <f>HYPERLINK(".\links\gpi\AGAP010225-PA-gpi.txt","Y-NoSP")</f>
        <v>Y-NoSP</v>
      </c>
      <c r="ED191" s="2">
        <v>0.48</v>
      </c>
      <c r="EF191" s="2">
        <v>5</v>
      </c>
      <c r="EG191" s="2" t="s">
        <v>89</v>
      </c>
      <c r="EH191" s="2" t="s">
        <v>89</v>
      </c>
      <c r="EI191" s="2">
        <v>12.9032258064516</v>
      </c>
      <c r="EJ191" s="2">
        <v>2.30414746543779</v>
      </c>
      <c r="EK191" s="2">
        <v>3.68663594470046</v>
      </c>
      <c r="EL191" s="2">
        <v>5.99078341013825</v>
      </c>
      <c r="EM191" s="2" t="s">
        <v>89</v>
      </c>
      <c r="EN191" s="2" t="s">
        <v>89</v>
      </c>
      <c r="EO191" s="2" t="s">
        <v>89</v>
      </c>
      <c r="EP191" s="2" t="s">
        <v>89</v>
      </c>
      <c r="EQ191" s="2" t="s">
        <v>89</v>
      </c>
      <c r="ER191" s="2" t="s">
        <v>89</v>
      </c>
      <c r="ES191" s="2" t="s">
        <v>89</v>
      </c>
      <c r="ET191" s="2" t="str">
        <f>HYPERLINK(".\links\REFSEQ-INVERTEBRATE\AGAP010225-PA-REFSEQ-INVERTEBRATE.txt","AGAP010225-PA")</f>
        <v>AGAP010225-PA</v>
      </c>
      <c r="EU191" s="2" t="str">
        <f>HYPERLINK("http://www.ncbi.nlm.nih.gov/sutils/blink.cgi?pid=XP_554138.3","1E-158")</f>
        <v>1E-158</v>
      </c>
      <c r="EV191" s="2" t="str">
        <f>HYPERLINK("http://www.ncbi.nlm.nih.gov/protein/XP_554138.3","XP_554138.3")</f>
        <v>XP_554138.3</v>
      </c>
      <c r="EW191" s="2">
        <v>100</v>
      </c>
      <c r="EX191" s="2">
        <v>100</v>
      </c>
      <c r="EY191" s="2">
        <v>97</v>
      </c>
      <c r="EZ191" s="2" t="s">
        <v>95</v>
      </c>
    </row>
    <row r="192" spans="1:156" x14ac:dyDescent="0.25">
      <c r="A192" s="2" t="s">
        <v>1903</v>
      </c>
      <c r="B192" s="2">
        <v>-0.99550320263880299</v>
      </c>
      <c r="C192" s="2">
        <f t="shared" si="2"/>
        <v>0.50156090256421015</v>
      </c>
      <c r="D192" s="2">
        <v>10.5408570423565</v>
      </c>
      <c r="E192" s="2">
        <v>20.939601046695699</v>
      </c>
      <c r="F192" s="2">
        <v>4.7399382907874204E-6</v>
      </c>
      <c r="G192" s="2">
        <v>1.0513775621252899E-3</v>
      </c>
      <c r="H192" s="2" t="s">
        <v>86</v>
      </c>
      <c r="I192" s="2" t="s">
        <v>87</v>
      </c>
      <c r="J192" s="2" t="str">
        <f>HYPERLINK("https://vectorbase.org/vectorbase/app/record/gene/AGAP007711","AGAP007711-RA")</f>
        <v>AGAP007711-RA</v>
      </c>
      <c r="K192" s="2" t="str">
        <f>HYPERLINK(".\links\pep\AGAP007711-PA-pep.txt","AGAP007711-PA")</f>
        <v>AGAP007711-PA</v>
      </c>
      <c r="L192" s="12" t="s">
        <v>88</v>
      </c>
      <c r="M192" s="2">
        <v>189</v>
      </c>
      <c r="N192" s="2">
        <v>0</v>
      </c>
      <c r="O192" s="2">
        <v>0</v>
      </c>
      <c r="P192" s="2" t="s">
        <v>89</v>
      </c>
      <c r="Q192" s="9" t="s">
        <v>1904</v>
      </c>
      <c r="R192" s="2" t="s">
        <v>1905</v>
      </c>
      <c r="S192" s="2" t="str">
        <f>HYPERLINK(".\links\REFSEQ-INVERTEBRATE\AGAP007711-PA-REFSEQ-INVERTEBRATE.txt","REFSEQ-INVERTEBRATE")</f>
        <v>REFSEQ-INVERTEBRATE</v>
      </c>
      <c r="T192" s="2">
        <v>0</v>
      </c>
      <c r="V192" s="2" t="s">
        <v>1906</v>
      </c>
      <c r="W192" s="10" t="s">
        <v>1904</v>
      </c>
      <c r="X192" s="2" t="s">
        <v>1905</v>
      </c>
      <c r="Y192" s="2" t="str">
        <f>HYPERLINK(".\links\REFSEQ-INVERTEBRATE\AGAP007711-PA-REFSEQ-INVERTEBRATE.txt","REFSEQ-INVERTEBRATE")</f>
        <v>REFSEQ-INVERTEBRATE</v>
      </c>
      <c r="Z192" s="13">
        <v>0</v>
      </c>
      <c r="AB192" s="14" t="s">
        <v>89</v>
      </c>
      <c r="AC192" s="14" t="str">
        <f>HYPERLINK(".\links\Sigp\AGAP007711-PA-SigP.txt","CYT")</f>
        <v>CYT</v>
      </c>
      <c r="AD192" s="2" t="s">
        <v>89</v>
      </c>
      <c r="AE192" s="2">
        <v>21.486000000000001</v>
      </c>
      <c r="AF192" s="2">
        <v>9.5500000000000007</v>
      </c>
      <c r="AG192" s="2" t="s">
        <v>89</v>
      </c>
      <c r="AH192" s="2" t="s">
        <v>89</v>
      </c>
      <c r="AI192" s="2" t="s">
        <v>1907</v>
      </c>
      <c r="AJ192" s="14" t="str">
        <f>HYPERLINK(".\links\tmhmm\AGAP007711-PA-tmhmm.txt","2")</f>
        <v>2</v>
      </c>
      <c r="AK192" s="2">
        <v>23.3</v>
      </c>
      <c r="AL192" s="2">
        <v>2.6</v>
      </c>
      <c r="AM192" s="2">
        <v>74.099999999999994</v>
      </c>
      <c r="AN192" s="14" t="str">
        <f>HYPERLINK(".\links\gpi\AGAP007711-PA-gpi.txt","Y")</f>
        <v>Y</v>
      </c>
      <c r="AO192" s="15" t="str">
        <f>HYPERLINK(".\links\netoglyc\AGAP007711-PA-netoglyc.txt","1")</f>
        <v>1</v>
      </c>
      <c r="AP192" s="14">
        <v>16.899999999999999</v>
      </c>
      <c r="AQ192" s="2">
        <v>2.6</v>
      </c>
      <c r="AR192" s="2">
        <v>3.2</v>
      </c>
      <c r="AS192" s="2" t="s">
        <v>94</v>
      </c>
      <c r="AT192" s="9" t="str">
        <f>HYPERLINK(".\links\NR-LIGHT\AGAP007711-PA-NR-LIGHT.txt","AGAP007711-PA")</f>
        <v>AGAP007711-PA</v>
      </c>
      <c r="AU192" s="2" t="str">
        <f>HYPERLINK("http://www.ncbi.nlm.nih.gov/sutils/blink.cgi?pid=XP_308165.4","1E-101")</f>
        <v>1E-101</v>
      </c>
      <c r="AV192" s="2" t="str">
        <f>HYPERLINK("http://www.ncbi.nlm.nih.gov/protein/XP_308165.4","XP_308165.4")</f>
        <v>XP_308165.4</v>
      </c>
      <c r="AW192" s="2">
        <v>100</v>
      </c>
      <c r="AX192" s="2">
        <v>100</v>
      </c>
      <c r="AY192" s="2">
        <v>100</v>
      </c>
      <c r="AZ192" s="2" t="s">
        <v>95</v>
      </c>
      <c r="BA192" s="9" t="str">
        <f>HYPERLINK(".\links\REFSEQ-INVERTEBRATE\AGAP007711-PA-REFSEQ-INVERTEBRATE.txt","AGAP007711-PA")</f>
        <v>AGAP007711-PA</v>
      </c>
      <c r="BB192" s="2" t="str">
        <f>HYPERLINK("http://www.ncbi.nlm.nih.gov/sutils/blink.cgi?pid=XP_308165.4","1E-101")</f>
        <v>1E-101</v>
      </c>
      <c r="BC192" s="2" t="str">
        <f>HYPERLINK("http://www.ncbi.nlm.nih.gov/protein/XP_308165.4","XP_308165.4")</f>
        <v>XP_308165.4</v>
      </c>
      <c r="BD192" s="2">
        <v>100</v>
      </c>
      <c r="BE192" s="2">
        <v>100</v>
      </c>
      <c r="BF192" s="2">
        <v>100</v>
      </c>
      <c r="BG192" s="2" t="s">
        <v>95</v>
      </c>
      <c r="BH192" s="9" t="str">
        <f>HYPERLINK(".\links\REFSEQ-PROTOZOA\AGAP007711-PA-REFSEQ-PROTOZOA.txt","hypothetical protein AK88_01298")</f>
        <v>hypothetical protein AK88_01298</v>
      </c>
      <c r="BI192" s="2" t="str">
        <f>HYPERLINK("http://www.ncbi.nlm.nih.gov/sutils/blink.cgi?pid=XP_012334357.1","0.15")</f>
        <v>0.15</v>
      </c>
      <c r="BJ192" s="2" t="str">
        <f>HYPERLINK("http://www.ncbi.nlm.nih.gov/protein/XP_012334357.1","XP_012334357.1")</f>
        <v>XP_012334357.1</v>
      </c>
      <c r="BK192" s="2">
        <v>30</v>
      </c>
      <c r="BL192" s="2">
        <v>47</v>
      </c>
      <c r="BM192" s="2">
        <v>1</v>
      </c>
      <c r="BN192" s="2" t="s">
        <v>1805</v>
      </c>
      <c r="BO192" s="9" t="str">
        <f>HYPERLINK(".\links\SWISSP\AGAP007711-PA-SWISSP.txt","ABC transporter C family member 15")</f>
        <v>ABC transporter C family member 15</v>
      </c>
      <c r="BP192" s="2" t="str">
        <f>HYPERLINK("http://www.uniprot.org/uniprot/Q54VC1","0.23")</f>
        <v>0.23</v>
      </c>
      <c r="BQ192" s="2" t="str">
        <f>HYPERLINK("http://www.uniprot.org/uniprot/Q54VC1#expression","Q54VC1")</f>
        <v>Q54VC1</v>
      </c>
      <c r="BR192" s="2">
        <v>33</v>
      </c>
      <c r="BS192" s="2">
        <v>56</v>
      </c>
      <c r="BT192" s="2">
        <v>5</v>
      </c>
      <c r="BU192" s="2" t="s">
        <v>636</v>
      </c>
      <c r="BV192" s="9" t="str">
        <f>HYPERLINK(".\links\FLYBASE\AGAP007711-PA-FLYBASE.txt","FBpp0312297")</f>
        <v>FBpp0312297</v>
      </c>
      <c r="BW192" s="2" t="str">
        <f>HYPERLINK("http://flybase.org/reports/FBgn0267363#alliance_summary_container","1.5")</f>
        <v>1.5</v>
      </c>
      <c r="BX192" s="2">
        <v>1009</v>
      </c>
      <c r="BY192" s="2">
        <v>28</v>
      </c>
      <c r="BZ192" s="2">
        <v>49</v>
      </c>
      <c r="CA192" s="2">
        <v>5</v>
      </c>
      <c r="CB192" s="9" t="str">
        <f>HYPERLINK(".\links\CDD\AGAP007711-PA-CDD.txt","K_trans, K+ potassium transporter")</f>
        <v>K_trans, K+ potassium transporter</v>
      </c>
      <c r="CC192" s="13">
        <v>6.4</v>
      </c>
      <c r="CD192" s="2">
        <v>8.4</v>
      </c>
      <c r="CE192" s="2" t="s">
        <v>1908</v>
      </c>
      <c r="CF192" s="2" t="s">
        <v>1909</v>
      </c>
      <c r="CG192" s="9" t="str">
        <f>HYPERLINK(".\links\KOG\AGAP007711-PA-KOG.txt","Uncharacterized conserved protein")</f>
        <v>Uncharacterized conserved protein</v>
      </c>
      <c r="CH192" s="13">
        <v>0.26</v>
      </c>
      <c r="CI192" s="2">
        <v>29.3</v>
      </c>
      <c r="CJ192" s="2" t="s">
        <v>1910</v>
      </c>
      <c r="CK192" s="2" t="s">
        <v>101</v>
      </c>
      <c r="CL192" s="9" t="str">
        <f>HYPERLINK(".\links\PFAM\AGAP007711-PA-PFAM.txt","Peptidase_M13, Peptidase family M13")</f>
        <v>Peptidase_M13, Peptidase family M13</v>
      </c>
      <c r="CM192" s="13">
        <v>0.68</v>
      </c>
      <c r="CN192" s="2">
        <v>15.1</v>
      </c>
      <c r="CO192" s="2" t="s">
        <v>1911</v>
      </c>
      <c r="CP192" s="9" t="str">
        <f>HYPERLINK(".\links\SMART\AGAP007711-PA-SMART.txt","Glyco_10, Glycosyl hydrolase family 10")</f>
        <v>Glyco_10, Glycosyl hydrolase family 10</v>
      </c>
      <c r="CQ192" s="13">
        <v>4.4000000000000004</v>
      </c>
      <c r="CR192" s="2">
        <v>9.5</v>
      </c>
      <c r="CS192" s="2" t="s">
        <v>1912</v>
      </c>
      <c r="CT192" s="2" t="s">
        <v>1906</v>
      </c>
      <c r="CU192" s="2" t="s">
        <v>1906</v>
      </c>
      <c r="CV192" s="2" t="s">
        <v>1906</v>
      </c>
      <c r="CW192" s="2" t="str">
        <f>HYPERLINK(".\links\pep\AGAP007711-PA-pep.txt","AGAP007711-PA")</f>
        <v>AGAP007711-PA</v>
      </c>
      <c r="CX192" s="2" t="s">
        <v>88</v>
      </c>
      <c r="CY192" s="2">
        <v>189</v>
      </c>
      <c r="CZ192" s="2" t="s">
        <v>103</v>
      </c>
      <c r="DA192" s="2" t="s">
        <v>1913</v>
      </c>
      <c r="DB192" s="2">
        <v>0</v>
      </c>
      <c r="DC192" s="2">
        <v>0</v>
      </c>
      <c r="DD192" s="2" t="str">
        <f>HYPERLINK("https://www.kegg.jp/kegg-bin/search_pathway_text?map=aga&amp;keyword=AGAP007711&amp;mode=1&amp;viewImage=true","AGAP007711")</f>
        <v>AGAP007711</v>
      </c>
      <c r="DE192" s="2" t="s">
        <v>1903</v>
      </c>
      <c r="DF192" s="2" t="s">
        <v>86</v>
      </c>
      <c r="DG192" s="2" t="s">
        <v>87</v>
      </c>
      <c r="DH192" s="2" t="str">
        <f>HYPERLINK("https://vectorbase.org/vectorbase/app/record/gene/AGAP007711","AGAP007711-RA")</f>
        <v>AGAP007711-RA</v>
      </c>
      <c r="DI192" s="2" t="s">
        <v>140</v>
      </c>
      <c r="DJ192" s="2">
        <v>1073</v>
      </c>
      <c r="DK192" s="2" t="str">
        <f>HYPERLINK(".\links\netoglyc\AGAP007711-PA-netoglyc.txt","1")</f>
        <v>1</v>
      </c>
      <c r="DL192" s="2">
        <v>16.899999999999999</v>
      </c>
      <c r="DM192" s="2">
        <v>2.6</v>
      </c>
      <c r="DN192" s="2">
        <v>3.2</v>
      </c>
      <c r="DO192" s="2" t="s">
        <v>94</v>
      </c>
      <c r="DP192" s="2" t="s">
        <v>89</v>
      </c>
      <c r="DQ192" s="2" t="str">
        <f>HYPERLINK(".\links\Sigp\AGAP007711-PA-SigP.txt","CYT")</f>
        <v>CYT</v>
      </c>
      <c r="DR192" s="2" t="s">
        <v>89</v>
      </c>
      <c r="DS192" s="2">
        <v>21.486000000000001</v>
      </c>
      <c r="DT192" s="2">
        <v>9.5500000000000007</v>
      </c>
      <c r="DU192" s="2" t="s">
        <v>89</v>
      </c>
      <c r="DV192" s="2" t="s">
        <v>89</v>
      </c>
      <c r="DW192" s="2" t="s">
        <v>1907</v>
      </c>
      <c r="DX192" s="2">
        <v>189</v>
      </c>
      <c r="DY192" s="12" t="str">
        <f>HYPERLINK(".\links\tmhmm\AGAP007711-PA-tmhmm.txt","2")</f>
        <v>2</v>
      </c>
      <c r="DZ192" s="2">
        <v>23.3</v>
      </c>
      <c r="EA192" s="2">
        <v>2.6</v>
      </c>
      <c r="EB192" s="2">
        <v>74.099999999999994</v>
      </c>
      <c r="EC192" s="2" t="str">
        <f>HYPERLINK(".\links\gpi\AGAP007711-PA-gpi.txt","")</f>
        <v/>
      </c>
      <c r="ED192" s="2">
        <v>0.49</v>
      </c>
      <c r="EF192" s="2">
        <v>5</v>
      </c>
      <c r="EG192" s="2" t="s">
        <v>89</v>
      </c>
      <c r="EH192" s="2" t="s">
        <v>89</v>
      </c>
      <c r="EI192" s="2">
        <v>16.931216931216898</v>
      </c>
      <c r="EJ192" s="2">
        <v>3.17460317460317</v>
      </c>
      <c r="EK192" s="2">
        <v>2.64550264550265</v>
      </c>
      <c r="EL192" s="2">
        <v>5.8201058201058196</v>
      </c>
      <c r="EM192" s="2" t="s">
        <v>89</v>
      </c>
      <c r="EN192" s="2" t="s">
        <v>89</v>
      </c>
      <c r="EO192" s="2" t="s">
        <v>89</v>
      </c>
      <c r="EP192" s="2" t="s">
        <v>89</v>
      </c>
      <c r="EQ192" s="2" t="s">
        <v>89</v>
      </c>
      <c r="ER192" s="2" t="s">
        <v>89</v>
      </c>
      <c r="ES192" s="2" t="s">
        <v>89</v>
      </c>
      <c r="ET192" s="2" t="str">
        <f>HYPERLINK(".\links\REFSEQ-INVERTEBRATE\AGAP007711-PA-REFSEQ-INVERTEBRATE.txt","AGAP007711-PA")</f>
        <v>AGAP007711-PA</v>
      </c>
      <c r="EU192" s="2" t="str">
        <f>HYPERLINK("http://www.ncbi.nlm.nih.gov/sutils/blink.cgi?pid=XP_308165.4","1E-134")</f>
        <v>1E-134</v>
      </c>
      <c r="EV192" s="2" t="str">
        <f>HYPERLINK("http://www.ncbi.nlm.nih.gov/protein/XP_308165.4","XP_308165.4")</f>
        <v>XP_308165.4</v>
      </c>
      <c r="EW192" s="2">
        <v>100</v>
      </c>
      <c r="EX192" s="2">
        <v>100</v>
      </c>
      <c r="EY192" s="2">
        <v>100</v>
      </c>
      <c r="EZ192" s="2" t="s">
        <v>95</v>
      </c>
    </row>
    <row r="193" spans="1:156" x14ac:dyDescent="0.25">
      <c r="A193" s="2" t="s">
        <v>2861</v>
      </c>
      <c r="B193" s="2">
        <v>-0.99841700155048596</v>
      </c>
      <c r="C193" s="2">
        <f t="shared" si="2"/>
        <v>0.50054892655606409</v>
      </c>
      <c r="D193" s="2">
        <v>9.4096922125378608</v>
      </c>
      <c r="E193" s="2">
        <v>21.776528206236499</v>
      </c>
      <c r="F193" s="2">
        <v>3.0632479175832299E-6</v>
      </c>
      <c r="G193" s="2">
        <v>8.2613320460505702E-4</v>
      </c>
      <c r="H193" s="2" t="s">
        <v>2862</v>
      </c>
      <c r="I193" s="2" t="s">
        <v>87</v>
      </c>
      <c r="J193" s="2" t="str">
        <f>HYPERLINK("https://vectorbase.org/vectorbase/app/record/gene/AGAP012515","AGAP012515-RA")</f>
        <v>AGAP012515-RA</v>
      </c>
      <c r="K193" s="2" t="str">
        <f>HYPERLINK(".\links\pep\AGAP012515-PA-pep.txt","AGAP012515-PA")</f>
        <v>AGAP012515-PA</v>
      </c>
      <c r="L193" s="12" t="s">
        <v>88</v>
      </c>
      <c r="M193" s="2">
        <v>107</v>
      </c>
      <c r="N193" s="2">
        <v>0</v>
      </c>
      <c r="O193" s="2">
        <v>1</v>
      </c>
      <c r="P193" s="2" t="s">
        <v>2863</v>
      </c>
      <c r="Q193" s="9" t="s">
        <v>2864</v>
      </c>
      <c r="R193" s="2" t="s">
        <v>145</v>
      </c>
      <c r="S193" s="2" t="str">
        <f>HYPERLINK(".\links\PFAM\AGAP012515-PA-PFAM.txt","PFAM")</f>
        <v>PFAM</v>
      </c>
      <c r="T193" s="2">
        <v>6E-49</v>
      </c>
      <c r="U193" s="2">
        <v>100</v>
      </c>
      <c r="V193" s="2" t="s">
        <v>2865</v>
      </c>
      <c r="W193" s="10" t="s">
        <v>2866</v>
      </c>
      <c r="X193" s="2" t="s">
        <v>145</v>
      </c>
      <c r="Y193" s="2" t="str">
        <f>HYPERLINK(".\links\REFSEQ-INVERTEBRATE\AGAP012515-PA-REFSEQ-INVERTEBRATE.txt","REFSEQ-INVERTEBRATE")</f>
        <v>REFSEQ-INVERTEBRATE</v>
      </c>
      <c r="Z193" s="13">
        <v>1.9999999999999998E-71</v>
      </c>
      <c r="AA193" s="2">
        <v>100</v>
      </c>
      <c r="AB193" s="14" t="s">
        <v>89</v>
      </c>
      <c r="AC193" s="14" t="str">
        <f>HYPERLINK(".\links\Sigp\AGAP012515-PA-SigP.txt","CYT")</f>
        <v>CYT</v>
      </c>
      <c r="AD193" s="2" t="s">
        <v>89</v>
      </c>
      <c r="AE193" s="2">
        <v>12.519</v>
      </c>
      <c r="AF193" s="2">
        <v>10.09</v>
      </c>
      <c r="AG193" s="2" t="s">
        <v>89</v>
      </c>
      <c r="AH193" s="2" t="s">
        <v>89</v>
      </c>
      <c r="AI193" s="2" t="s">
        <v>2867</v>
      </c>
      <c r="AJ193" s="14" t="str">
        <f>HYPERLINK(".\links\tmhmm\AGAP012515-PA-tmhmm.txt","1")</f>
        <v>1</v>
      </c>
      <c r="AK193" s="2">
        <v>20.6</v>
      </c>
      <c r="AL193" s="2">
        <v>69.2</v>
      </c>
      <c r="AM193" s="2">
        <v>10.3</v>
      </c>
      <c r="AN193" s="14" t="str">
        <f>HYPERLINK(".\links\gpi\AGAP012515-PA-gpi.txt","N")</f>
        <v>N</v>
      </c>
      <c r="AO193" s="15" t="str">
        <f>HYPERLINK(".\links\netoglyc\AGAP012515-PA-netoglyc.txt","0")</f>
        <v>0</v>
      </c>
      <c r="AP193" s="14">
        <v>2.8</v>
      </c>
      <c r="AQ193" s="2">
        <v>11.2</v>
      </c>
      <c r="AR193" s="2">
        <v>7.5</v>
      </c>
      <c r="AS193" s="2" t="s">
        <v>94</v>
      </c>
      <c r="AT193" s="9" t="str">
        <f>HYPERLINK(".\links\NR-LIGHT\AGAP012515-PA-NR-LIGHT.txt","AGAP012515-PA")</f>
        <v>AGAP012515-PA</v>
      </c>
      <c r="AU193" s="2" t="str">
        <f>HYPERLINK("http://www.ncbi.nlm.nih.gov/sutils/blink.cgi?pid=XP_307418.1","1E-061")</f>
        <v>1E-061</v>
      </c>
      <c r="AV193" s="2" t="str">
        <f>HYPERLINK("http://www.ncbi.nlm.nih.gov/protein/XP_307418.1","XP_307418.1")</f>
        <v>XP_307418.1</v>
      </c>
      <c r="AW193" s="2">
        <v>100</v>
      </c>
      <c r="AX193" s="2">
        <v>100</v>
      </c>
      <c r="AY193" s="2">
        <v>100</v>
      </c>
      <c r="AZ193" s="2" t="s">
        <v>95</v>
      </c>
      <c r="BA193" s="9" t="str">
        <f>HYPERLINK(".\links\REFSEQ-INVERTEBRATE\AGAP012515-PA-REFSEQ-INVERTEBRATE.txt","AGAP012515-PA")</f>
        <v>AGAP012515-PA</v>
      </c>
      <c r="BB193" s="2" t="str">
        <f>HYPERLINK("http://www.ncbi.nlm.nih.gov/sutils/blink.cgi?pid=XP_307418.1","9E-062")</f>
        <v>9E-062</v>
      </c>
      <c r="BC193" s="2" t="str">
        <f>HYPERLINK("http://www.ncbi.nlm.nih.gov/protein/XP_307418.1","XP_307418.1")</f>
        <v>XP_307418.1</v>
      </c>
      <c r="BD193" s="2">
        <v>100</v>
      </c>
      <c r="BE193" s="2">
        <v>100</v>
      </c>
      <c r="BF193" s="2">
        <v>100</v>
      </c>
      <c r="BG193" s="2" t="s">
        <v>95</v>
      </c>
      <c r="BH193" s="9" t="str">
        <f>HYPERLINK(".\links\REFSEQ-PROTOZOA\AGAP012515-PA-REFSEQ-PROTOZOA.txt","hypothetical protein AMSG_05756")</f>
        <v>hypothetical protein AMSG_05756</v>
      </c>
      <c r="BI193" s="2" t="str">
        <f>HYPERLINK("http://www.ncbi.nlm.nih.gov/sutils/blink.cgi?pid=XP_013757168.1","0.76")</f>
        <v>0.76</v>
      </c>
      <c r="BJ193" s="2" t="str">
        <f>HYPERLINK("http://www.ncbi.nlm.nih.gov/protein/XP_013757168.1","XP_013757168.1")</f>
        <v>XP_013757168.1</v>
      </c>
      <c r="BK193" s="2">
        <v>24</v>
      </c>
      <c r="BL193" s="2">
        <v>43</v>
      </c>
      <c r="BM193" s="2">
        <v>103</v>
      </c>
      <c r="BN193" s="2" t="s">
        <v>858</v>
      </c>
      <c r="BO193" s="9" t="str">
        <f>HYPERLINK(".\links\SWISSP\AGAP012515-PA-SWISSP.txt","Putative ATP synthase subunit f, mitochondrial")</f>
        <v>Putative ATP synthase subunit f, mitochondrial</v>
      </c>
      <c r="BP193" s="2" t="str">
        <f>HYPERLINK("http://www.uniprot.org/uniprot/Q9W141","3E-050")</f>
        <v>3E-050</v>
      </c>
      <c r="BQ193" s="2" t="str">
        <f>HYPERLINK("http://www.uniprot.org/uniprot/Q9W141#expression","Q9W141")</f>
        <v>Q9W141</v>
      </c>
      <c r="BR193" s="2">
        <v>79</v>
      </c>
      <c r="BS193" s="2">
        <v>85</v>
      </c>
      <c r="BT193" s="2">
        <v>100</v>
      </c>
      <c r="BU193" s="2" t="s">
        <v>151</v>
      </c>
      <c r="BV193" s="9" t="str">
        <f>HYPERLINK(".\links\FLYBASE\AGAP012515-PA-FLYBASE.txt","FBpp0072247")</f>
        <v>FBpp0072247</v>
      </c>
      <c r="BW193" s="2" t="str">
        <f>HYPERLINK("http://flybase.org/reports/FBgn0035032#alliance_summary_container","6E-62")</f>
        <v>6E-62</v>
      </c>
      <c r="BX193" s="2">
        <v>107</v>
      </c>
      <c r="BY193" s="2">
        <v>79</v>
      </c>
      <c r="BZ193" s="2">
        <v>85</v>
      </c>
      <c r="CA193" s="2">
        <v>100</v>
      </c>
      <c r="CB193" s="9" t="str">
        <f>HYPERLINK(".\links\CDD\AGAP012515-PA-CDD.txt","WRW, Mitochondrial F1F0-ATP synthase, subunit f")</f>
        <v>WRW, Mitochondrial F1F0-ATP synthase, subunit f</v>
      </c>
      <c r="CC193" s="13">
        <v>2.9999999999999999E-48</v>
      </c>
      <c r="CD193" s="2">
        <v>100</v>
      </c>
      <c r="CE193" s="2" t="s">
        <v>2868</v>
      </c>
      <c r="CF193" s="2" t="s">
        <v>2869</v>
      </c>
      <c r="CG193" s="9" t="str">
        <f>HYPERLINK(".\links\KOG\AGAP012515-PA-KOG.txt","subunit f")</f>
        <v>subunit f</v>
      </c>
      <c r="CH193" s="13">
        <v>7.0000000000000003E-37</v>
      </c>
      <c r="CI193" s="2">
        <v>100</v>
      </c>
      <c r="CJ193" s="2" t="s">
        <v>2870</v>
      </c>
      <c r="CK193" s="2" t="s">
        <v>155</v>
      </c>
      <c r="CL193" s="9" t="str">
        <f>HYPERLINK(".\links\PFAM\AGAP012515-PA-PFAM.txt","WRW, Mitochondrial F1F0-ATP synthase, subunit f")</f>
        <v>WRW, Mitochondrial F1F0-ATP synthase, subunit f</v>
      </c>
      <c r="CM193" s="13">
        <v>6E-49</v>
      </c>
      <c r="CN193" s="2">
        <v>100</v>
      </c>
      <c r="CO193" s="2" t="s">
        <v>2868</v>
      </c>
      <c r="CP193" s="9" t="str">
        <f>HYPERLINK(".\links\SMART\AGAP012515-PA-SMART.txt","S_TKc, Serine/Threonine protein kinases, catalytic domain")</f>
        <v>S_TKc, Serine/Threonine protein kinases, catalytic domain</v>
      </c>
      <c r="CQ193" s="13">
        <v>5.0999999999999996</v>
      </c>
      <c r="CR193" s="2">
        <v>3.5</v>
      </c>
      <c r="CS193" s="2" t="s">
        <v>518</v>
      </c>
      <c r="CT193" s="2" t="s">
        <v>2865</v>
      </c>
      <c r="CU193" s="2" t="s">
        <v>2865</v>
      </c>
      <c r="CV193" s="2" t="s">
        <v>2865</v>
      </c>
      <c r="CW193" s="2" t="str">
        <f>HYPERLINK(".\links\pep\AGAP012515-PA-pep.txt","AGAP012515-PA")</f>
        <v>AGAP012515-PA</v>
      </c>
      <c r="CX193" s="2" t="s">
        <v>88</v>
      </c>
      <c r="CY193" s="2">
        <v>107</v>
      </c>
      <c r="CZ193" s="2" t="s">
        <v>103</v>
      </c>
      <c r="DA193" s="2" t="s">
        <v>2871</v>
      </c>
      <c r="DB193" s="2">
        <v>0</v>
      </c>
      <c r="DC193" s="2">
        <v>1</v>
      </c>
      <c r="DD193" s="2" t="str">
        <f>HYPERLINK("https://www.kegg.jp/kegg-bin/search_pathway_text?map=aga&amp;keyword=AGAP012515&amp;mode=1&amp;viewImage=true","AGAP012515")</f>
        <v>AGAP012515</v>
      </c>
      <c r="DE193" s="2" t="s">
        <v>2861</v>
      </c>
      <c r="DF193" s="2" t="s">
        <v>2862</v>
      </c>
      <c r="DG193" s="2" t="s">
        <v>87</v>
      </c>
      <c r="DH193" s="2" t="str">
        <f>HYPERLINK("https://vectorbase.org/vectorbase/app/record/gene/AGAP012515","AGAP012515-RA")</f>
        <v>AGAP012515-RA</v>
      </c>
      <c r="DI193" s="2" t="s">
        <v>158</v>
      </c>
      <c r="DJ193" s="2">
        <v>681</v>
      </c>
      <c r="DK193" s="2" t="str">
        <f>HYPERLINK(".\links\netoglyc\AGAP012515-PA-netoglyc.txt","0")</f>
        <v>0</v>
      </c>
      <c r="DL193" s="2">
        <v>2.8</v>
      </c>
      <c r="DM193" s="2">
        <v>11.2</v>
      </c>
      <c r="DN193" s="2">
        <v>7.5</v>
      </c>
      <c r="DO193" s="2" t="s">
        <v>94</v>
      </c>
      <c r="DP193" s="2" t="s">
        <v>89</v>
      </c>
      <c r="DQ193" s="2" t="str">
        <f>HYPERLINK(".\links\Sigp\AGAP012515-PA-SigP.txt","CYT")</f>
        <v>CYT</v>
      </c>
      <c r="DR193" s="2" t="s">
        <v>89</v>
      </c>
      <c r="DS193" s="2">
        <v>12.519</v>
      </c>
      <c r="DT193" s="2">
        <v>10.09</v>
      </c>
      <c r="DU193" s="2" t="s">
        <v>89</v>
      </c>
      <c r="DV193" s="2" t="s">
        <v>89</v>
      </c>
      <c r="DW193" s="2" t="s">
        <v>2867</v>
      </c>
      <c r="DX193" s="2">
        <v>107</v>
      </c>
      <c r="DY193" s="12" t="str">
        <f>HYPERLINK(".\links\tmhmm\AGAP012515-PA-tmhmm.txt","1")</f>
        <v>1</v>
      </c>
      <c r="DZ193" s="2">
        <v>20.6</v>
      </c>
      <c r="EA193" s="2">
        <v>69.2</v>
      </c>
      <c r="EB193" s="2">
        <v>10.3</v>
      </c>
      <c r="EC193" s="2" t="str">
        <f>HYPERLINK(".\links\gpi\AGAP012515-PA-gpi.txt","Y-NoSP")</f>
        <v>Y-NoSP</v>
      </c>
      <c r="ED193" s="2">
        <v>0.56000000000000005</v>
      </c>
      <c r="EF193" s="2">
        <v>0</v>
      </c>
      <c r="EG193" s="2" t="s">
        <v>89</v>
      </c>
      <c r="EH193" s="2" t="s">
        <v>89</v>
      </c>
      <c r="EI193" s="2">
        <v>2.8037383177570101</v>
      </c>
      <c r="EJ193" s="2">
        <v>7.4766355140186898</v>
      </c>
      <c r="EK193" s="2">
        <v>11.214953271028</v>
      </c>
      <c r="EL193" s="2">
        <v>18.691588785046701</v>
      </c>
      <c r="EM193" s="2" t="s">
        <v>89</v>
      </c>
      <c r="EN193" s="2" t="s">
        <v>89</v>
      </c>
      <c r="EO193" s="2" t="s">
        <v>89</v>
      </c>
      <c r="EP193" s="2" t="s">
        <v>89</v>
      </c>
      <c r="EQ193" s="2" t="s">
        <v>89</v>
      </c>
      <c r="ER193" s="2" t="s">
        <v>89</v>
      </c>
      <c r="ES193" s="2" t="s">
        <v>89</v>
      </c>
      <c r="ET193" s="2" t="str">
        <f>HYPERLINK(".\links\REFSEQ-INVERTEBRATE\AGAP012515-PA-REFSEQ-INVERTEBRATE.txt","AGAP012515-PA")</f>
        <v>AGAP012515-PA</v>
      </c>
      <c r="EU193" s="2" t="str">
        <f>HYPERLINK("http://www.ncbi.nlm.nih.gov/sutils/blink.cgi?pid=XP_307418.1","3E-74")</f>
        <v>3E-74</v>
      </c>
      <c r="EV193" s="2" t="str">
        <f>HYPERLINK("http://www.ncbi.nlm.nih.gov/protein/XP_307418.1","XP_307418.1")</f>
        <v>XP_307418.1</v>
      </c>
      <c r="EW193" s="2">
        <v>100</v>
      </c>
      <c r="EX193" s="2">
        <v>100</v>
      </c>
      <c r="EY193" s="2">
        <v>100</v>
      </c>
      <c r="EZ193" s="2" t="s">
        <v>95</v>
      </c>
    </row>
    <row r="194" spans="1:156" x14ac:dyDescent="0.25">
      <c r="A194" s="2" t="s">
        <v>1856</v>
      </c>
      <c r="B194" s="2">
        <v>-1.00042874375767</v>
      </c>
      <c r="C194" s="2">
        <f t="shared" si="2"/>
        <v>0.4998514308137707</v>
      </c>
      <c r="D194" s="2">
        <v>3.8559066944894198</v>
      </c>
      <c r="E194" s="2">
        <v>10.9840044796504</v>
      </c>
      <c r="F194" s="2">
        <v>9.1901635601775004E-4</v>
      </c>
      <c r="G194" s="2">
        <v>3.9296253584421598E-2</v>
      </c>
      <c r="H194" s="2" t="s">
        <v>1857</v>
      </c>
      <c r="I194" s="2" t="s">
        <v>87</v>
      </c>
      <c r="J194" s="2" t="str">
        <f>HYPERLINK("https://vectorbase.org/vectorbase/app/record/gene/AGAP007412","AGAP007412-RA")</f>
        <v>AGAP007412-RA</v>
      </c>
      <c r="K194" s="2" t="str">
        <f>HYPERLINK(".\links\pep\AGAP007412-PA-pep.txt","AGAP007412-PA")</f>
        <v>AGAP007412-PA</v>
      </c>
      <c r="L194" s="12" t="s">
        <v>88</v>
      </c>
      <c r="M194" s="2">
        <v>171</v>
      </c>
      <c r="N194" s="2">
        <v>0</v>
      </c>
      <c r="O194" s="2">
        <v>0</v>
      </c>
      <c r="P194" s="2" t="s">
        <v>1858</v>
      </c>
      <c r="Q194" s="9" t="s">
        <v>1859</v>
      </c>
      <c r="R194" s="2" t="s">
        <v>1045</v>
      </c>
      <c r="S194" s="2" t="str">
        <f>HYPERLINK(".\links\SWISSP\AGAP007412-PA-SWISSP.txt","SWISSP")</f>
        <v>SWISSP</v>
      </c>
      <c r="T194" s="2">
        <v>2.9999999999999999E-16</v>
      </c>
      <c r="U194" s="2">
        <v>70.900000000000006</v>
      </c>
      <c r="V194" s="2" t="s">
        <v>1860</v>
      </c>
      <c r="W194" s="10" t="s">
        <v>1861</v>
      </c>
      <c r="X194" s="2" t="s">
        <v>1220</v>
      </c>
      <c r="Y194" s="2" t="str">
        <f>HYPERLINK(".\links\ARTHORPODA\AGAP007412-PA-ARTHORPODA.txt","ARTHORPODA")</f>
        <v>ARTHORPODA</v>
      </c>
      <c r="Z194" s="2">
        <v>0</v>
      </c>
      <c r="AA194" s="2">
        <v>100</v>
      </c>
      <c r="AB194" s="14" t="s">
        <v>89</v>
      </c>
      <c r="AC194" s="14" t="str">
        <f>HYPERLINK(".\links\Sigp\AGAP007412-PA-SigP.txt","SIG")</f>
        <v>SIG</v>
      </c>
      <c r="AD194" s="2" t="s">
        <v>404</v>
      </c>
      <c r="AE194" s="2">
        <v>20.111000000000001</v>
      </c>
      <c r="AF194" s="2">
        <v>5.22</v>
      </c>
      <c r="AG194" s="2">
        <v>17.523</v>
      </c>
      <c r="AH194" s="2">
        <v>5.05</v>
      </c>
      <c r="AI194" s="2" t="s">
        <v>1862</v>
      </c>
      <c r="AJ194" s="14" t="str">
        <f>HYPERLINK(".\links\tmhmm\AGAP007412-PA-tmhmm.txt","1")</f>
        <v>1</v>
      </c>
      <c r="AK194" s="2">
        <v>9.9</v>
      </c>
      <c r="AL194" s="2">
        <v>86</v>
      </c>
      <c r="AM194" s="2">
        <v>4.0999999999999996</v>
      </c>
      <c r="AN194" s="14" t="str">
        <f>HYPERLINK(".\links\gpi\AGAP007412-PA-gpi.txt","N")</f>
        <v>N</v>
      </c>
      <c r="AO194" s="15" t="str">
        <f>HYPERLINK(".\links\netoglyc\AGAP007412-PA-netoglyc.txt","0")</f>
        <v>0</v>
      </c>
      <c r="AP194" s="14">
        <v>14</v>
      </c>
      <c r="AQ194" s="2">
        <v>6.4</v>
      </c>
      <c r="AR194" s="2">
        <v>1.8</v>
      </c>
      <c r="AS194" s="2" t="s">
        <v>94</v>
      </c>
      <c r="AT194" s="9" t="str">
        <f>HYPERLINK(".\links\NR-LIGHT\AGAP007412-PA-NR-LIGHT.txt","AGAP007412-PA")</f>
        <v>AGAP007412-PA</v>
      </c>
      <c r="AU194" s="2" t="str">
        <f>HYPERLINK("http://www.ncbi.nlm.nih.gov/sutils/blink.cgi?pid=XP_308425.1","1E-101")</f>
        <v>1E-101</v>
      </c>
      <c r="AV194" s="2" t="str">
        <f>HYPERLINK("http://www.ncbi.nlm.nih.gov/protein/XP_308425.1","XP_308425.1")</f>
        <v>XP_308425.1</v>
      </c>
      <c r="AW194" s="2">
        <v>100</v>
      </c>
      <c r="AX194" s="2">
        <v>100</v>
      </c>
      <c r="AY194" s="2">
        <v>100</v>
      </c>
      <c r="AZ194" s="2" t="s">
        <v>95</v>
      </c>
      <c r="BA194" s="9" t="str">
        <f>HYPERLINK(".\links\REFSEQ-INVERTEBRATE\AGAP007412-PA-REFSEQ-INVERTEBRATE.txt","AGAP007412-PA")</f>
        <v>AGAP007412-PA</v>
      </c>
      <c r="BB194" s="2" t="str">
        <f>HYPERLINK("http://www.ncbi.nlm.nih.gov/sutils/blink.cgi?pid=XP_308425.1","1E-101")</f>
        <v>1E-101</v>
      </c>
      <c r="BC194" s="2" t="str">
        <f>HYPERLINK("http://www.ncbi.nlm.nih.gov/protein/XP_308425.1","XP_308425.1")</f>
        <v>XP_308425.1</v>
      </c>
      <c r="BD194" s="2">
        <v>100</v>
      </c>
      <c r="BE194" s="2">
        <v>100</v>
      </c>
      <c r="BF194" s="2">
        <v>100</v>
      </c>
      <c r="BG194" s="2" t="s">
        <v>95</v>
      </c>
      <c r="BH194" s="9" t="str">
        <f>HYPERLINK(".\links\REFSEQ-PROTOZOA\AGAP007412-PA-REFSEQ-PROTOZOA.txt","hypothetical protein GUITHDRAFT_135847")</f>
        <v>hypothetical protein GUITHDRAFT_135847</v>
      </c>
      <c r="BI194" s="2" t="str">
        <f>HYPERLINK("http://www.ncbi.nlm.nih.gov/sutils/blink.cgi?pid=XP_005836655.1","2E-004")</f>
        <v>2E-004</v>
      </c>
      <c r="BJ194" s="2" t="str">
        <f>HYPERLINK("http://www.ncbi.nlm.nih.gov/protein/XP_005836655.1","XP_005836655.1")</f>
        <v>XP_005836655.1</v>
      </c>
      <c r="BK194" s="2">
        <v>32</v>
      </c>
      <c r="BL194" s="2">
        <v>43</v>
      </c>
      <c r="BM194" s="2">
        <v>6</v>
      </c>
      <c r="BN194" s="2" t="s">
        <v>406</v>
      </c>
      <c r="BO194" s="9" t="str">
        <f>HYPERLINK(".\links\SWISSP\AGAP007412-PA-SWISSP.txt","C-type lectin 37Da")</f>
        <v>C-type lectin 37Da</v>
      </c>
      <c r="BP194" s="2" t="str">
        <f>HYPERLINK("http://www.uniprot.org/uniprot/Q59DY6","3E-016")</f>
        <v>3E-016</v>
      </c>
      <c r="BQ194" s="2" t="str">
        <f>HYPERLINK("http://www.uniprot.org/uniprot/Q59DY6#expression","Q59DY6")</f>
        <v>Q59DY6</v>
      </c>
      <c r="BR194" s="2">
        <v>35</v>
      </c>
      <c r="BS194" s="2">
        <v>48</v>
      </c>
      <c r="BT194" s="2">
        <v>71</v>
      </c>
      <c r="BU194" s="2" t="s">
        <v>151</v>
      </c>
      <c r="BV194" s="9" t="str">
        <f>HYPERLINK(".\links\FLYBASE\AGAP007412-PA-FLYBASE.txt","FBpp0072555")</f>
        <v>FBpp0072555</v>
      </c>
      <c r="BW194" s="2" t="str">
        <f>HYPERLINK("http://flybase.org/reports/FBgn0035199#alliance_summary_container","9E-25")</f>
        <v>9E-25</v>
      </c>
      <c r="BX194" s="2">
        <v>188</v>
      </c>
      <c r="BY194" s="2">
        <v>38</v>
      </c>
      <c r="BZ194" s="2">
        <v>54</v>
      </c>
      <c r="CA194" s="2">
        <v>71</v>
      </c>
      <c r="CB194" s="9" t="str">
        <f>HYPERLINK(".\links\CDD\AGAP007412-PA-CDD.txt","CLECT, C-type lectin (CTL)/C-type lectin-like (CTLD) domain")</f>
        <v>CLECT, C-type lectin (CTL)/C-type lectin-like (CTLD) domain</v>
      </c>
      <c r="CC194" s="13">
        <v>8.9999999999999995E-15</v>
      </c>
      <c r="CD194" s="2">
        <v>112.1</v>
      </c>
      <c r="CE194" s="2" t="s">
        <v>1863</v>
      </c>
      <c r="CF194" s="2" t="s">
        <v>1864</v>
      </c>
      <c r="CG194" s="9" t="str">
        <f>HYPERLINK(".\links\KOG\AGAP007412-PA-KOG.txt","Predicted glycine cleavage system H protein")</f>
        <v>Predicted glycine cleavage system H protein</v>
      </c>
      <c r="CH194" s="13">
        <v>4.0999999999999996</v>
      </c>
      <c r="CI194" s="2">
        <v>16.3</v>
      </c>
      <c r="CJ194" s="2" t="s">
        <v>1865</v>
      </c>
      <c r="CK194" s="2" t="s">
        <v>393</v>
      </c>
      <c r="CL194" s="9" t="str">
        <f>HYPERLINK(".\links\PFAM\AGAP007412-PA-PFAM.txt","Lectin_C, Lectin C-type domain")</f>
        <v>Lectin_C, Lectin C-type domain</v>
      </c>
      <c r="CM194" s="13">
        <v>2.0000000000000001E-4</v>
      </c>
      <c r="CN194" s="2">
        <v>119.4</v>
      </c>
      <c r="CO194" s="2" t="s">
        <v>1866</v>
      </c>
      <c r="CP194" s="9" t="str">
        <f>HYPERLINK(".\links\SMART\AGAP007412-PA-SMART.txt","CLECT, C-type lectin (CTL) or carbohydrate-recognition domain (CRD)")</f>
        <v>CLECT, C-type lectin (CTL) or carbohydrate-recognition domain (CRD)</v>
      </c>
      <c r="CQ194" s="13">
        <v>3.9999999999999998E-11</v>
      </c>
      <c r="CR194" s="2">
        <v>108.1</v>
      </c>
      <c r="CS194" s="2" t="s">
        <v>1207</v>
      </c>
      <c r="CT194" s="2" t="s">
        <v>1860</v>
      </c>
      <c r="CU194" s="2" t="s">
        <v>1860</v>
      </c>
      <c r="CV194" s="2" t="s">
        <v>1860</v>
      </c>
      <c r="CW194" s="2" t="str">
        <f>HYPERLINK(".\links\pep\AGAP007412-PA-pep.txt","AGAP007412-PA")</f>
        <v>AGAP007412-PA</v>
      </c>
      <c r="CX194" s="2" t="s">
        <v>88</v>
      </c>
      <c r="CY194" s="2">
        <v>171</v>
      </c>
      <c r="CZ194" s="2" t="s">
        <v>103</v>
      </c>
      <c r="DA194" s="2" t="s">
        <v>1867</v>
      </c>
      <c r="DB194" s="2">
        <v>0</v>
      </c>
      <c r="DC194" s="2">
        <v>0</v>
      </c>
      <c r="DD194" s="2" t="str">
        <f>HYPERLINK("https://www.kegg.jp/kegg-bin/search_pathway_text?map=aga&amp;keyword=AGAP007412&amp;mode=1&amp;viewImage=true","AGAP007412")</f>
        <v>AGAP007412</v>
      </c>
      <c r="DE194" s="2" t="s">
        <v>1856</v>
      </c>
      <c r="DF194" s="2" t="s">
        <v>1857</v>
      </c>
      <c r="DG194" s="2" t="s">
        <v>87</v>
      </c>
      <c r="DH194" s="2" t="str">
        <f>HYPERLINK("https://vectorbase.org/vectorbase/app/record/gene/AGAP007412","AGAP007412-RA")</f>
        <v>AGAP007412-RA</v>
      </c>
      <c r="DI194" s="2" t="s">
        <v>140</v>
      </c>
      <c r="DJ194" s="2">
        <v>516</v>
      </c>
      <c r="DK194" s="2" t="str">
        <f>HYPERLINK(".\links\netoglyc\AGAP007412-PA-netoglyc.txt","0")</f>
        <v>0</v>
      </c>
      <c r="DL194" s="2">
        <v>14</v>
      </c>
      <c r="DM194" s="2">
        <v>6.4</v>
      </c>
      <c r="DN194" s="2">
        <v>1.8</v>
      </c>
      <c r="DO194" s="2" t="s">
        <v>94</v>
      </c>
      <c r="DP194" s="2" t="s">
        <v>89</v>
      </c>
      <c r="DQ194" s="2" t="str">
        <f>HYPERLINK(".\links\Sigp\AGAP007412-PA-SigP.txt","SIG")</f>
        <v>SIG</v>
      </c>
      <c r="DR194" s="2" t="s">
        <v>404</v>
      </c>
      <c r="DS194" s="2">
        <v>20.111000000000001</v>
      </c>
      <c r="DT194" s="2">
        <v>5.22</v>
      </c>
      <c r="DU194" s="2">
        <v>17.523</v>
      </c>
      <c r="DV194" s="2">
        <v>5.05</v>
      </c>
      <c r="DW194" s="2" t="s">
        <v>1862</v>
      </c>
      <c r="DX194" s="2">
        <v>171</v>
      </c>
      <c r="DY194" s="12" t="str">
        <f>HYPERLINK(".\links\tmhmm\AGAP007412-PA-tmhmm.txt","1")</f>
        <v>1</v>
      </c>
      <c r="DZ194" s="2">
        <v>9.9</v>
      </c>
      <c r="EA194" s="2">
        <v>86</v>
      </c>
      <c r="EB194" s="2">
        <v>4.0999999999999996</v>
      </c>
      <c r="EC194" s="2" t="str">
        <f>HYPERLINK(".\links\gpi\AGAP007412-PA-gpi.txt","N")</f>
        <v>N</v>
      </c>
      <c r="ED194" s="2">
        <v>0.4</v>
      </c>
      <c r="EF194" s="2">
        <v>6</v>
      </c>
      <c r="EG194" s="2" t="s">
        <v>89</v>
      </c>
      <c r="EH194" s="2" t="s">
        <v>89</v>
      </c>
      <c r="EI194" s="2">
        <v>14.0350877192982</v>
      </c>
      <c r="EJ194" s="2">
        <v>1.7543859649122799</v>
      </c>
      <c r="EK194" s="2">
        <v>6.4327485380117002</v>
      </c>
      <c r="EL194" s="2">
        <v>8.1871345029239802</v>
      </c>
      <c r="EM194" s="2" t="s">
        <v>89</v>
      </c>
      <c r="EN194" s="2" t="s">
        <v>89</v>
      </c>
      <c r="EO194" s="2" t="s">
        <v>89</v>
      </c>
      <c r="EP194" s="2" t="s">
        <v>89</v>
      </c>
      <c r="EQ194" s="2" t="s">
        <v>89</v>
      </c>
      <c r="ER194" s="2" t="s">
        <v>89</v>
      </c>
      <c r="ES194" s="2" t="s">
        <v>89</v>
      </c>
      <c r="ET194" s="2" t="str">
        <f>HYPERLINK(".\links\REFSEQ-INVERTEBRATE\AGAP007412-PA-REFSEQ-INVERTEBRATE.txt","AGAP007412-PA")</f>
        <v>AGAP007412-PA</v>
      </c>
      <c r="EU194" s="2" t="str">
        <f>HYPERLINK("http://www.ncbi.nlm.nih.gov/sutils/blink.cgi?pid=XP_308425.1","1E-127")</f>
        <v>1E-127</v>
      </c>
      <c r="EV194" s="2" t="str">
        <f>HYPERLINK("http://www.ncbi.nlm.nih.gov/protein/XP_308425.1","XP_308425.1")</f>
        <v>XP_308425.1</v>
      </c>
      <c r="EW194" s="2">
        <v>100</v>
      </c>
      <c r="EX194" s="2">
        <v>100</v>
      </c>
      <c r="EY194" s="2">
        <v>100</v>
      </c>
      <c r="EZ194" s="2" t="s">
        <v>95</v>
      </c>
    </row>
    <row r="195" spans="1:156" x14ac:dyDescent="0.25">
      <c r="A195" s="2" t="s">
        <v>1275</v>
      </c>
      <c r="B195" s="2">
        <v>-1.00140667719591</v>
      </c>
      <c r="C195" s="2">
        <f t="shared" ref="C195:C258" si="3">2^B195</f>
        <v>0.49951272042960815</v>
      </c>
      <c r="D195" s="2">
        <v>5.3592648910882499</v>
      </c>
      <c r="E195" s="2">
        <v>18.8520396898735</v>
      </c>
      <c r="F195" s="2">
        <v>1.4125996766989E-5</v>
      </c>
      <c r="G195" s="2">
        <v>2.1485641082590302E-3</v>
      </c>
      <c r="H195" s="2" t="s">
        <v>1276</v>
      </c>
      <c r="I195" s="2" t="s">
        <v>87</v>
      </c>
      <c r="J195" s="2" t="str">
        <f>HYPERLINK("https://vectorbase.org/vectorbase/app/record/gene/AGAP004684","AGAP004684-RA")</f>
        <v>AGAP004684-RA</v>
      </c>
      <c r="K195" s="2" t="str">
        <f>HYPERLINK(".\links\pep\AGAP004684-PA-pep.txt","AGAP004684-PA")</f>
        <v>AGAP004684-PA</v>
      </c>
      <c r="L195" s="12" t="s">
        <v>88</v>
      </c>
      <c r="M195" s="2">
        <v>146</v>
      </c>
      <c r="N195" s="2">
        <v>0</v>
      </c>
      <c r="O195" s="2">
        <v>0</v>
      </c>
      <c r="P195" s="2" t="s">
        <v>1277</v>
      </c>
      <c r="Q195" s="9" t="s">
        <v>1278</v>
      </c>
      <c r="R195" s="2" t="s">
        <v>372</v>
      </c>
      <c r="S195" s="2" t="str">
        <f>HYPERLINK(".\links\REFSEQ-INVERTEBRATE\AGAP004684-PA-REFSEQ-INVERTEBRATE.txt","REFSEQ-INVERTEBRATE")</f>
        <v>REFSEQ-INVERTEBRATE</v>
      </c>
      <c r="T195" s="2">
        <v>6.0000000000000006E-39</v>
      </c>
      <c r="U195" s="2">
        <v>41.4</v>
      </c>
      <c r="V195" s="2" t="s">
        <v>1279</v>
      </c>
      <c r="W195" s="10" t="s">
        <v>1280</v>
      </c>
      <c r="X195" s="2" t="s">
        <v>91</v>
      </c>
      <c r="Y195" s="2" t="str">
        <f>HYPERLINK(".\links\ARTHORPODA\AGAP004684-PA-ARTHORPODA.txt","ARTHORPODA")</f>
        <v>ARTHORPODA</v>
      </c>
      <c r="Z195" s="2">
        <v>0</v>
      </c>
      <c r="AA195" s="2">
        <v>100</v>
      </c>
      <c r="AB195" s="14" t="s">
        <v>89</v>
      </c>
      <c r="AC195" s="14" t="str">
        <f>HYPERLINK(".\links\Sigp\AGAP004684-PA-SigP.txt","CYT")</f>
        <v>CYT</v>
      </c>
      <c r="AD195" s="2" t="s">
        <v>89</v>
      </c>
      <c r="AE195" s="2">
        <v>17.398</v>
      </c>
      <c r="AF195" s="2">
        <v>10.48</v>
      </c>
      <c r="AG195" s="2" t="s">
        <v>89</v>
      </c>
      <c r="AH195" s="2" t="s">
        <v>89</v>
      </c>
      <c r="AI195" s="2" t="s">
        <v>93</v>
      </c>
      <c r="AJ195" s="14">
        <v>0</v>
      </c>
      <c r="AK195" s="2" t="s">
        <v>89</v>
      </c>
      <c r="AL195" s="2" t="s">
        <v>89</v>
      </c>
      <c r="AM195" s="2" t="s">
        <v>89</v>
      </c>
      <c r="AN195" s="14" t="str">
        <f>HYPERLINK(".\links\gpi\AGAP004684-PA-gpi.txt","N")</f>
        <v>N</v>
      </c>
      <c r="AO195" s="15" t="str">
        <f>HYPERLINK(".\links\netoglyc\AGAP004684-PA-netoglyc.txt","0")</f>
        <v>0</v>
      </c>
      <c r="AP195" s="14">
        <v>13</v>
      </c>
      <c r="AQ195" s="2">
        <v>2.7</v>
      </c>
      <c r="AR195" s="2">
        <v>2.1</v>
      </c>
      <c r="AS195" s="2" t="s">
        <v>94</v>
      </c>
      <c r="AT195" s="9" t="str">
        <f>HYPERLINK(".\links\NR-LIGHT\AGAP004684-PA-NR-LIGHT.txt","AGAP004684-PA")</f>
        <v>AGAP004684-PA</v>
      </c>
      <c r="AU195" s="2" t="str">
        <f>HYPERLINK("http://www.ncbi.nlm.nih.gov/sutils/blink.cgi?pid=XP_307264.3","5E-077")</f>
        <v>5E-077</v>
      </c>
      <c r="AV195" s="2" t="str">
        <f>HYPERLINK("http://www.ncbi.nlm.nih.gov/protein/XP_307264.3","XP_307264.3")</f>
        <v>XP_307264.3</v>
      </c>
      <c r="AW195" s="2">
        <v>100</v>
      </c>
      <c r="AX195" s="2">
        <v>100</v>
      </c>
      <c r="AY195" s="2">
        <v>100</v>
      </c>
      <c r="AZ195" s="2" t="s">
        <v>95</v>
      </c>
      <c r="BA195" s="9" t="str">
        <f>HYPERLINK(".\links\REFSEQ-INVERTEBRATE\AGAP004684-PA-REFSEQ-INVERTEBRATE.txt","AGAP004684-PA")</f>
        <v>AGAP004684-PA</v>
      </c>
      <c r="BB195" s="2" t="str">
        <f>HYPERLINK("http://www.ncbi.nlm.nih.gov/sutils/blink.cgi?pid=XP_307264.3","4E-077")</f>
        <v>4E-077</v>
      </c>
      <c r="BC195" s="2" t="str">
        <f>HYPERLINK("http://www.ncbi.nlm.nih.gov/protein/XP_307264.3","XP_307264.3")</f>
        <v>XP_307264.3</v>
      </c>
      <c r="BD195" s="2">
        <v>100</v>
      </c>
      <c r="BE195" s="2">
        <v>100</v>
      </c>
      <c r="BF195" s="2">
        <v>100</v>
      </c>
      <c r="BG195" s="2" t="s">
        <v>95</v>
      </c>
      <c r="BH195" s="9" t="str">
        <f>HYPERLINK(".\links\REFSEQ-PROTOZOA\AGAP004684-PA-REFSEQ-PROTOZOA.txt","hypothetical protein PPTG_06478")</f>
        <v>hypothetical protein PPTG_06478</v>
      </c>
      <c r="BI195" s="2" t="str">
        <f>HYPERLINK("http://www.ncbi.nlm.nih.gov/sutils/blink.cgi?pid=XP_008898655.1","2E-016")</f>
        <v>2E-016</v>
      </c>
      <c r="BJ195" s="2" t="str">
        <f>HYPERLINK("http://www.ncbi.nlm.nih.gov/protein/XP_008898655.1","XP_008898655.1")</f>
        <v>XP_008898655.1</v>
      </c>
      <c r="BK195" s="2">
        <v>41</v>
      </c>
      <c r="BL195" s="2">
        <v>57</v>
      </c>
      <c r="BM195" s="2">
        <v>91</v>
      </c>
      <c r="BN195" s="2" t="s">
        <v>1281</v>
      </c>
      <c r="BO195" s="9" t="str">
        <f>HYPERLINK(".\links\SWISSP\AGAP004684-PA-SWISSP.txt","Coiled-coil domain-containing protein 86")</f>
        <v>Coiled-coil domain-containing protein 86</v>
      </c>
      <c r="BP195" s="2" t="str">
        <f>HYPERLINK("http://www.uniprot.org/uniprot/Q2TBX7","6E-023")</f>
        <v>6E-023</v>
      </c>
      <c r="BQ195" s="2" t="str">
        <f>HYPERLINK("http://www.uniprot.org/uniprot/Q2TBX7#expression","Q2TBX7")</f>
        <v>Q2TBX7</v>
      </c>
      <c r="BR195" s="2">
        <v>47</v>
      </c>
      <c r="BS195" s="2">
        <v>62</v>
      </c>
      <c r="BT195" s="2">
        <v>37</v>
      </c>
      <c r="BU195" s="2" t="s">
        <v>183</v>
      </c>
      <c r="BV195" s="9" t="str">
        <f>HYPERLINK(".\links\FLYBASE\AGAP004684-PA-FLYBASE.txt","FBpp0310501")</f>
        <v>FBpp0310501</v>
      </c>
      <c r="BW195" s="2" t="str">
        <f>HYPERLINK("http://flybase.org/reports/FBgn0031040#alliance_summary_container","3E-33")</f>
        <v>3E-33</v>
      </c>
      <c r="BX195" s="2">
        <v>140</v>
      </c>
      <c r="BY195" s="2">
        <v>54</v>
      </c>
      <c r="BZ195" s="2">
        <v>75</v>
      </c>
      <c r="CA195" s="2">
        <v>80</v>
      </c>
      <c r="CB195" s="9" t="str">
        <f>HYPERLINK(".\links\CDD\AGAP004684-PA-CDD.txt","Cgr1, Cgr1 family")</f>
        <v>Cgr1, Cgr1 family</v>
      </c>
      <c r="CC195" s="13">
        <v>4.9999999999999998E-8</v>
      </c>
      <c r="CD195" s="2">
        <v>95.3</v>
      </c>
      <c r="CE195" s="2" t="s">
        <v>1282</v>
      </c>
      <c r="CF195" s="2" t="s">
        <v>1283</v>
      </c>
      <c r="CG195" s="9" t="str">
        <f>HYPERLINK(".\links\KOG\AGAP004684-PA-KOG.txt","Predicted coiled-coil protein")</f>
        <v>Predicted coiled-coil protein</v>
      </c>
      <c r="CH195" s="13">
        <v>5.9999999999999997E-13</v>
      </c>
      <c r="CI195" s="2">
        <v>90</v>
      </c>
      <c r="CJ195" s="2" t="s">
        <v>1284</v>
      </c>
      <c r="CK195" s="2" t="s">
        <v>187</v>
      </c>
      <c r="CL195" s="9" t="str">
        <f>HYPERLINK(".\links\PFAM\AGAP004684-PA-PFAM.txt","Cgr1, Cgr1 family")</f>
        <v>Cgr1, Cgr1 family</v>
      </c>
      <c r="CM195" s="13">
        <v>1E-8</v>
      </c>
      <c r="CN195" s="2">
        <v>95.3</v>
      </c>
      <c r="CO195" s="2" t="s">
        <v>1282</v>
      </c>
      <c r="CP195" s="9" t="str">
        <f>HYPERLINK(".\links\SMART\AGAP004684-PA-SMART.txt","TOP4c, DNA Topoisomerase IV")</f>
        <v>TOP4c, DNA Topoisomerase IV</v>
      </c>
      <c r="CQ195" s="13">
        <v>5.1999999999999998E-2</v>
      </c>
      <c r="CR195" s="2">
        <v>13.5</v>
      </c>
      <c r="CS195" s="2" t="s">
        <v>479</v>
      </c>
      <c r="CT195" s="2" t="s">
        <v>1279</v>
      </c>
      <c r="CU195" s="2" t="s">
        <v>1279</v>
      </c>
      <c r="CV195" s="2" t="s">
        <v>1279</v>
      </c>
      <c r="CW195" s="2" t="str">
        <f>HYPERLINK(".\links\pep\AGAP004684-PA-pep.txt","AGAP004684-PA")</f>
        <v>AGAP004684-PA</v>
      </c>
      <c r="CX195" s="2" t="s">
        <v>88</v>
      </c>
      <c r="CY195" s="2">
        <v>146</v>
      </c>
      <c r="CZ195" s="2" t="s">
        <v>103</v>
      </c>
      <c r="DA195" s="2" t="s">
        <v>1285</v>
      </c>
      <c r="DB195" s="2">
        <v>0</v>
      </c>
      <c r="DC195" s="2">
        <v>0</v>
      </c>
      <c r="DD195" s="2" t="str">
        <f>HYPERLINK("https://www.kegg.jp/kegg-bin/search_pathway_text?map=aga&amp;keyword=AGAP004684&amp;mode=1&amp;viewImage=true","AGAP004684")</f>
        <v>AGAP004684</v>
      </c>
      <c r="DE195" s="2" t="s">
        <v>1275</v>
      </c>
      <c r="DF195" s="2" t="s">
        <v>1276</v>
      </c>
      <c r="DG195" s="2" t="s">
        <v>87</v>
      </c>
      <c r="DH195" s="2" t="str">
        <f>HYPERLINK("https://vectorbase.org/vectorbase/app/record/gene/AGAP004684","AGAP004684-RA")</f>
        <v>AGAP004684-RA</v>
      </c>
      <c r="DI195" s="2" t="s">
        <v>140</v>
      </c>
      <c r="DJ195" s="2">
        <v>541</v>
      </c>
      <c r="DK195" s="2" t="str">
        <f>HYPERLINK(".\links\netoglyc\AGAP004684-PA-netoglyc.txt","0")</f>
        <v>0</v>
      </c>
      <c r="DL195" s="2">
        <v>13</v>
      </c>
      <c r="DM195" s="2">
        <v>2.7</v>
      </c>
      <c r="DN195" s="2">
        <v>2.1</v>
      </c>
      <c r="DO195" s="2" t="s">
        <v>94</v>
      </c>
      <c r="DP195" s="2" t="s">
        <v>89</v>
      </c>
      <c r="DQ195" s="2" t="str">
        <f>HYPERLINK(".\links\Sigp\AGAP004684-PA-SigP.txt","CYT")</f>
        <v>CYT</v>
      </c>
      <c r="DR195" s="2" t="s">
        <v>89</v>
      </c>
      <c r="DS195" s="2">
        <v>17.398</v>
      </c>
      <c r="DT195" s="2">
        <v>10.48</v>
      </c>
      <c r="DU195" s="2" t="s">
        <v>89</v>
      </c>
      <c r="DV195" s="2" t="s">
        <v>89</v>
      </c>
      <c r="DW195" s="2" t="s">
        <v>93</v>
      </c>
      <c r="DX195" s="2">
        <v>146</v>
      </c>
      <c r="DY195" s="12">
        <v>0</v>
      </c>
      <c r="DZ195" s="2" t="s">
        <v>89</v>
      </c>
      <c r="EA195" s="2" t="s">
        <v>89</v>
      </c>
      <c r="EB195" s="2" t="s">
        <v>89</v>
      </c>
      <c r="EC195" s="2" t="str">
        <f>HYPERLINK(".\links\gpi\AGAP004684-PA-gpi.txt","N")</f>
        <v>N</v>
      </c>
      <c r="ED195" s="2">
        <v>0.56999999999999995</v>
      </c>
      <c r="EF195" s="2">
        <v>3</v>
      </c>
      <c r="EG195" s="2" t="s">
        <v>89</v>
      </c>
      <c r="EH195" s="2" t="s">
        <v>89</v>
      </c>
      <c r="EI195" s="2">
        <v>13.013698630137</v>
      </c>
      <c r="EJ195" s="2">
        <v>2.0547945205479499</v>
      </c>
      <c r="EK195" s="2">
        <v>2.7397260273972601</v>
      </c>
      <c r="EL195" s="2">
        <v>4.7945205479452104</v>
      </c>
      <c r="EM195" s="2" t="s">
        <v>89</v>
      </c>
      <c r="EN195" s="2" t="s">
        <v>89</v>
      </c>
      <c r="EO195" s="2" t="s">
        <v>89</v>
      </c>
      <c r="EP195" s="2" t="s">
        <v>89</v>
      </c>
      <c r="EQ195" s="2" t="s">
        <v>89</v>
      </c>
      <c r="ER195" s="2" t="s">
        <v>89</v>
      </c>
      <c r="ES195" s="2" t="s">
        <v>89</v>
      </c>
      <c r="ET195" s="2" t="str">
        <f>HYPERLINK(".\links\REFSEQ-INVERTEBRATE\AGAP004684-PA-REFSEQ-INVERTEBRATE.txt","AGAP004684-PA")</f>
        <v>AGAP004684-PA</v>
      </c>
      <c r="EU195" s="2" t="str">
        <f>HYPERLINK("http://www.ncbi.nlm.nih.gov/sutils/blink.cgi?pid=XP_307264.3","1E-100")</f>
        <v>1E-100</v>
      </c>
      <c r="EV195" s="2" t="str">
        <f>HYPERLINK("http://www.ncbi.nlm.nih.gov/protein/XP_307264.3","XP_307264.3")</f>
        <v>XP_307264.3</v>
      </c>
      <c r="EW195" s="2">
        <v>100</v>
      </c>
      <c r="EX195" s="2">
        <v>100</v>
      </c>
      <c r="EY195" s="2">
        <v>100</v>
      </c>
      <c r="EZ195" s="2" t="s">
        <v>95</v>
      </c>
    </row>
    <row r="196" spans="1:156" x14ac:dyDescent="0.25">
      <c r="A196" s="2" t="s">
        <v>1330</v>
      </c>
      <c r="B196" s="2">
        <v>-1.0021044957523799</v>
      </c>
      <c r="C196" s="2">
        <f t="shared" si="3"/>
        <v>0.49927116906267027</v>
      </c>
      <c r="D196" s="2">
        <v>7.6986933743330903</v>
      </c>
      <c r="E196" s="2">
        <v>15.3458338631914</v>
      </c>
      <c r="F196" s="2">
        <v>8.9518107119532299E-5</v>
      </c>
      <c r="G196" s="2">
        <v>8.4983681497036792E-3</v>
      </c>
      <c r="H196" s="2" t="s">
        <v>1331</v>
      </c>
      <c r="I196" s="2" t="s">
        <v>87</v>
      </c>
      <c r="J196" s="2" t="str">
        <f>HYPERLINK("https://vectorbase.org/vectorbase/app/record/gene/AGAP004790","AGAP004790-RA")</f>
        <v>AGAP004790-RA</v>
      </c>
      <c r="K196" s="2" t="str">
        <f>HYPERLINK(".\links\pep\AGAP004790-PA-pep.txt","AGAP004790-PA")</f>
        <v>AGAP004790-PA</v>
      </c>
      <c r="L196" s="12" t="s">
        <v>88</v>
      </c>
      <c r="M196" s="2">
        <v>50</v>
      </c>
      <c r="N196" s="2">
        <v>0</v>
      </c>
      <c r="O196" s="2">
        <v>0</v>
      </c>
      <c r="P196" s="2" t="s">
        <v>1332</v>
      </c>
      <c r="Q196" s="9" t="s">
        <v>1333</v>
      </c>
      <c r="R196" s="2" t="s">
        <v>91</v>
      </c>
      <c r="S196" s="2" t="str">
        <f>HYPERLINK(".\links\REFSEQ-INVERTEBRATE\AGAP004790-PA-REFSEQ-INVERTEBRATE.txt","REFSEQ-INVERTEBRATE")</f>
        <v>REFSEQ-INVERTEBRATE</v>
      </c>
      <c r="T196" s="2">
        <v>3.9999999999999998E-20</v>
      </c>
      <c r="U196" s="2">
        <v>100</v>
      </c>
      <c r="V196" s="2" t="s">
        <v>1333</v>
      </c>
      <c r="W196" s="10" t="s">
        <v>1334</v>
      </c>
      <c r="X196" s="2" t="s">
        <v>145</v>
      </c>
      <c r="Y196" s="2" t="str">
        <f>HYPERLINK(".\links\REFSEQ-INVERTEBRATE\AGAP004790-PA-REFSEQ-INVERTEBRATE.txt","REFSEQ-INVERTEBRATE")</f>
        <v>REFSEQ-INVERTEBRATE</v>
      </c>
      <c r="Z196" s="13">
        <v>2.0000000000000001E-27</v>
      </c>
      <c r="AA196" s="2">
        <v>100</v>
      </c>
      <c r="AB196" s="14" t="s">
        <v>89</v>
      </c>
      <c r="AC196" s="14" t="str">
        <f>HYPERLINK(".\links\Sigp\AGAP004790-PA-SigP.txt","CYT")</f>
        <v>CYT</v>
      </c>
      <c r="AD196" s="2" t="s">
        <v>89</v>
      </c>
      <c r="AE196" s="2">
        <v>5.3570000000000002</v>
      </c>
      <c r="AF196" s="2">
        <v>10.119999999999999</v>
      </c>
      <c r="AG196" s="2" t="s">
        <v>89</v>
      </c>
      <c r="AH196" s="2" t="s">
        <v>89</v>
      </c>
      <c r="AI196" s="2" t="s">
        <v>1335</v>
      </c>
      <c r="AJ196" s="14">
        <v>0</v>
      </c>
      <c r="AK196" s="2" t="s">
        <v>89</v>
      </c>
      <c r="AL196" s="2" t="s">
        <v>89</v>
      </c>
      <c r="AM196" s="2" t="s">
        <v>89</v>
      </c>
      <c r="AN196" s="14" t="str">
        <f>HYPERLINK(".\links\gpi\AGAP004790-PA-gpi.txt","N")</f>
        <v>N</v>
      </c>
      <c r="AO196" s="15" t="str">
        <f>HYPERLINK(".\links\netoglyc\AGAP004790-PA-netoglyc.txt","0")</f>
        <v>0</v>
      </c>
      <c r="AP196" s="14">
        <v>16</v>
      </c>
      <c r="AQ196" s="2">
        <v>14</v>
      </c>
      <c r="AR196" s="2">
        <v>2</v>
      </c>
      <c r="AS196" s="2" t="s">
        <v>94</v>
      </c>
      <c r="AT196" s="9" t="str">
        <f>HYPERLINK(".\links\NR-LIGHT\AGAP004790-PA-NR-LIGHT.txt","AGAP004790-PA")</f>
        <v>AGAP004790-PA</v>
      </c>
      <c r="AU196" s="2" t="str">
        <f>HYPERLINK("http://www.ncbi.nlm.nih.gov/sutils/blink.cgi?pid=XP_001689080.1","4E-020")</f>
        <v>4E-020</v>
      </c>
      <c r="AV196" s="2" t="str">
        <f>HYPERLINK("http://www.ncbi.nlm.nih.gov/protein/XP_001689080.1","XP_001689080.1")</f>
        <v>XP_001689080.1</v>
      </c>
      <c r="AW196" s="2">
        <v>100</v>
      </c>
      <c r="AX196" s="2">
        <v>100</v>
      </c>
      <c r="AY196" s="2">
        <v>100</v>
      </c>
      <c r="AZ196" s="2" t="s">
        <v>95</v>
      </c>
      <c r="BA196" s="9" t="str">
        <f>HYPERLINK(".\links\REFSEQ-INVERTEBRATE\AGAP004790-PA-REFSEQ-INVERTEBRATE.txt","AGAP004790-PA")</f>
        <v>AGAP004790-PA</v>
      </c>
      <c r="BB196" s="2" t="str">
        <f>HYPERLINK("http://www.ncbi.nlm.nih.gov/sutils/blink.cgi?pid=XP_001689080.1","4E-020")</f>
        <v>4E-020</v>
      </c>
      <c r="BC196" s="2" t="str">
        <f>HYPERLINK("http://www.ncbi.nlm.nih.gov/protein/XP_001689080.1","XP_001689080.1")</f>
        <v>XP_001689080.1</v>
      </c>
      <c r="BD196" s="2">
        <v>100</v>
      </c>
      <c r="BE196" s="2">
        <v>100</v>
      </c>
      <c r="BF196" s="2">
        <v>100</v>
      </c>
      <c r="BG196" s="2" t="s">
        <v>95</v>
      </c>
      <c r="BH196" s="9" t="str">
        <f>HYPERLINK(".\links\REFSEQ-PROTOZOA\AGAP004790-PA-REFSEQ-PROTOZOA.txt","Proteases secretion ATP-binding protein prtD, putative")</f>
        <v>Proteases secretion ATP-binding protein prtD, putative</v>
      </c>
      <c r="BI196" s="2" t="str">
        <f>HYPERLINK("http://www.ncbi.nlm.nih.gov/sutils/blink.cgi?pid=XP_002786036.1","41")</f>
        <v>41</v>
      </c>
      <c r="BJ196" s="2" t="str">
        <f>HYPERLINK("http://www.ncbi.nlm.nih.gov/protein/XP_002786036.1","XP_002786036.1")</f>
        <v>XP_002786036.1</v>
      </c>
      <c r="BK196" s="2">
        <v>29</v>
      </c>
      <c r="BL196" s="2">
        <v>52</v>
      </c>
      <c r="BM196" s="2">
        <v>7</v>
      </c>
      <c r="BN196" s="2" t="s">
        <v>1190</v>
      </c>
      <c r="BO196" s="9" t="str">
        <f>HYPERLINK(".\links\SWISSP\AGAP004790-PA-SWISSP.txt","Up-regulated during skeletal muscle growth protein 5")</f>
        <v>Up-regulated during skeletal muscle growth protein 5</v>
      </c>
      <c r="BP196" s="2" t="str">
        <f>HYPERLINK("http://www.uniprot.org/uniprot/Q78IK2","2E-005")</f>
        <v>2E-005</v>
      </c>
      <c r="BQ196" s="2" t="str">
        <f>HYPERLINK("http://www.uniprot.org/uniprot/Q78IK2#expression","Q78IK2")</f>
        <v>Q78IK2</v>
      </c>
      <c r="BR196" s="2">
        <v>45</v>
      </c>
      <c r="BS196" s="2">
        <v>58</v>
      </c>
      <c r="BT196" s="2">
        <v>88</v>
      </c>
      <c r="BU196" s="2" t="s">
        <v>566</v>
      </c>
      <c r="BV196" s="9" t="str">
        <f>HYPERLINK(".\links\FLYBASE\AGAP004790-PA-FLYBASE.txt","FBpp0305168")</f>
        <v>FBpp0305168</v>
      </c>
      <c r="BW196" s="2" t="str">
        <f>HYPERLINK("http://flybase.org/reports/FBgn0083167#alliance_summary_container","8E-18")</f>
        <v>8E-18</v>
      </c>
      <c r="BX196" s="2">
        <v>48</v>
      </c>
      <c r="BY196" s="2">
        <v>74</v>
      </c>
      <c r="BZ196" s="2">
        <v>80</v>
      </c>
      <c r="CA196" s="2">
        <v>104</v>
      </c>
      <c r="CB196" s="9" t="str">
        <f>HYPERLINK(".\links\CDD\AGAP004790-PA-CDD.txt","ATP_synth_reg, ATP synthase regulation")</f>
        <v>ATP_synth_reg, ATP synthase regulation</v>
      </c>
      <c r="CC196" s="13">
        <v>8.9999999999999995E-15</v>
      </c>
      <c r="CD196" s="2">
        <v>100</v>
      </c>
      <c r="CE196" s="2" t="s">
        <v>1336</v>
      </c>
      <c r="CF196" s="2" t="s">
        <v>1337</v>
      </c>
      <c r="CG196" s="9" t="str">
        <f>HYPERLINK(".\links\KOG\AGAP004790-PA-KOG.txt","Phosphatidylinositol 4-kinase")</f>
        <v>Phosphatidylinositol 4-kinase</v>
      </c>
      <c r="CH196" s="13">
        <v>2.2999999999999998</v>
      </c>
      <c r="CI196" s="2">
        <v>2.4</v>
      </c>
      <c r="CJ196" s="2" t="s">
        <v>1338</v>
      </c>
      <c r="CK196" s="2" t="s">
        <v>410</v>
      </c>
      <c r="CL196" s="9" t="str">
        <f>HYPERLINK(".\links\PFAM\AGAP004790-PA-PFAM.txt","ATP_synth_reg, ATP synthase regulation")</f>
        <v>ATP_synth_reg, ATP synthase regulation</v>
      </c>
      <c r="CM196" s="13">
        <v>2.0000000000000002E-15</v>
      </c>
      <c r="CN196" s="2">
        <v>100</v>
      </c>
      <c r="CO196" s="2" t="s">
        <v>1336</v>
      </c>
      <c r="CP196" s="9" t="str">
        <f>HYPERLINK(".\links\SMART\AGAP004790-PA-SMART.txt","KR, Kringle domain")</f>
        <v>KR, Kringle domain</v>
      </c>
      <c r="CQ196" s="13">
        <v>0.75</v>
      </c>
      <c r="CR196" s="2">
        <v>15.7</v>
      </c>
      <c r="CS196" s="2" t="s">
        <v>1339</v>
      </c>
      <c r="CT196" s="2" t="s">
        <v>1333</v>
      </c>
      <c r="CU196" s="2" t="s">
        <v>1333</v>
      </c>
      <c r="CV196" s="2" t="s">
        <v>1333</v>
      </c>
      <c r="CW196" s="2" t="str">
        <f>HYPERLINK(".\links\pep\AGAP004790-PA-pep.txt","AGAP004790-PA")</f>
        <v>AGAP004790-PA</v>
      </c>
      <c r="CX196" s="2" t="s">
        <v>88</v>
      </c>
      <c r="CY196" s="2">
        <v>50</v>
      </c>
      <c r="CZ196" s="2" t="s">
        <v>103</v>
      </c>
      <c r="DA196" s="2" t="s">
        <v>1340</v>
      </c>
      <c r="DB196" s="2">
        <v>0</v>
      </c>
      <c r="DC196" s="2">
        <v>0</v>
      </c>
      <c r="DD196" s="2" t="str">
        <f>HYPERLINK("https://www.kegg.jp/kegg-bin/search_pathway_text?map=aga&amp;keyword=AGAP004790&amp;mode=1&amp;viewImage=true","AGAP004790")</f>
        <v>AGAP004790</v>
      </c>
      <c r="DE196" s="2" t="s">
        <v>1330</v>
      </c>
      <c r="DF196" s="2" t="s">
        <v>1331</v>
      </c>
      <c r="DG196" s="2" t="s">
        <v>87</v>
      </c>
      <c r="DH196" s="2" t="str">
        <f>HYPERLINK("https://vectorbase.org/vectorbase/app/record/gene/AGAP004790","AGAP004790-RA")</f>
        <v>AGAP004790-RA</v>
      </c>
      <c r="DI196" s="2" t="s">
        <v>140</v>
      </c>
      <c r="DJ196" s="2">
        <v>334</v>
      </c>
      <c r="DK196" s="2" t="str">
        <f>HYPERLINK(".\links\netoglyc\AGAP004790-PA-netoglyc.txt","0")</f>
        <v>0</v>
      </c>
      <c r="DL196" s="2">
        <v>16</v>
      </c>
      <c r="DM196" s="2">
        <v>14</v>
      </c>
      <c r="DN196" s="2">
        <v>2</v>
      </c>
      <c r="DO196" s="2" t="s">
        <v>94</v>
      </c>
      <c r="DP196" s="2" t="s">
        <v>89</v>
      </c>
      <c r="DQ196" s="2" t="str">
        <f>HYPERLINK(".\links\Sigp\AGAP004790-PA-SigP.txt","CYT")</f>
        <v>CYT</v>
      </c>
      <c r="DR196" s="2" t="s">
        <v>89</v>
      </c>
      <c r="DS196" s="2">
        <v>5.3570000000000002</v>
      </c>
      <c r="DT196" s="2">
        <v>10.119999999999999</v>
      </c>
      <c r="DU196" s="2" t="s">
        <v>89</v>
      </c>
      <c r="DV196" s="2" t="s">
        <v>89</v>
      </c>
      <c r="DW196" s="2" t="s">
        <v>1335</v>
      </c>
      <c r="DX196" s="2">
        <v>50</v>
      </c>
      <c r="DY196" s="12">
        <v>0</v>
      </c>
      <c r="DZ196" s="2" t="s">
        <v>89</v>
      </c>
      <c r="EA196" s="2" t="s">
        <v>89</v>
      </c>
      <c r="EB196" s="2" t="s">
        <v>89</v>
      </c>
      <c r="EC196" s="2" t="str">
        <f>HYPERLINK(".\links\gpi\AGAP004790-PA-gpi.txt","Y-NoSP")</f>
        <v>Y-NoSP</v>
      </c>
      <c r="ED196" s="2">
        <v>0.48</v>
      </c>
      <c r="EF196" s="2">
        <v>0</v>
      </c>
      <c r="EG196" s="2" t="s">
        <v>89</v>
      </c>
      <c r="EH196" s="2" t="s">
        <v>89</v>
      </c>
      <c r="EI196" s="2">
        <v>16</v>
      </c>
      <c r="EJ196" s="2">
        <v>2</v>
      </c>
      <c r="EK196" s="2">
        <v>14</v>
      </c>
      <c r="EL196" s="2">
        <v>16</v>
      </c>
      <c r="EM196" s="2" t="s">
        <v>89</v>
      </c>
      <c r="EN196" s="2" t="s">
        <v>89</v>
      </c>
      <c r="EO196" s="2" t="s">
        <v>89</v>
      </c>
      <c r="EP196" s="2" t="s">
        <v>89</v>
      </c>
      <c r="EQ196" s="2" t="s">
        <v>89</v>
      </c>
      <c r="ER196" s="2" t="s">
        <v>89</v>
      </c>
      <c r="ES196" s="2" t="s">
        <v>89</v>
      </c>
      <c r="ET196" s="2" t="str">
        <f>HYPERLINK(".\links\REFSEQ-INVERTEBRATE\AGAP004790-PA-REFSEQ-INVERTEBRATE.txt","AGAP004790-PA")</f>
        <v>AGAP004790-PA</v>
      </c>
      <c r="EU196" s="2" t="str">
        <f>HYPERLINK("http://www.ncbi.nlm.nih.gov/sutils/blink.cgi?pid=XP_001689080.1","2E-28")</f>
        <v>2E-28</v>
      </c>
      <c r="EV196" s="2" t="str">
        <f>HYPERLINK("http://www.ncbi.nlm.nih.gov/protein/XP_001689080.1","XP_001689080.1")</f>
        <v>XP_001689080.1</v>
      </c>
      <c r="EW196" s="2">
        <v>100</v>
      </c>
      <c r="EX196" s="2">
        <v>100</v>
      </c>
      <c r="EY196" s="2">
        <v>100</v>
      </c>
      <c r="EZ196" s="2" t="s">
        <v>95</v>
      </c>
    </row>
    <row r="197" spans="1:156" x14ac:dyDescent="0.25">
      <c r="A197" s="2" t="s">
        <v>175</v>
      </c>
      <c r="B197" s="2">
        <v>-1.00270801549761</v>
      </c>
      <c r="C197" s="2">
        <f t="shared" si="3"/>
        <v>0.49906235362787443</v>
      </c>
      <c r="D197" s="2">
        <v>7.1008140652343696</v>
      </c>
      <c r="E197" s="2">
        <v>12.6610756444038</v>
      </c>
      <c r="F197" s="2">
        <v>3.7334735693442001E-4</v>
      </c>
      <c r="G197" s="2">
        <v>2.1853720622271901E-2</v>
      </c>
      <c r="H197" s="2" t="s">
        <v>176</v>
      </c>
      <c r="I197" s="2" t="s">
        <v>87</v>
      </c>
      <c r="J197" s="2" t="str">
        <f>HYPERLINK("https://vectorbase.org/vectorbase/app/record/gene/AGAP000416","AGAP000416-RB")</f>
        <v>AGAP000416-RB</v>
      </c>
      <c r="K197" s="2" t="str">
        <f>HYPERLINK(".\links\pep\AGAP000416-PB-pep.txt","AGAP000416-PB")</f>
        <v>AGAP000416-PB</v>
      </c>
      <c r="L197" s="12" t="s">
        <v>88</v>
      </c>
      <c r="M197" s="2">
        <v>303</v>
      </c>
      <c r="N197" s="2">
        <v>0</v>
      </c>
      <c r="O197" s="2">
        <v>1</v>
      </c>
      <c r="P197" s="2" t="s">
        <v>177</v>
      </c>
      <c r="Q197" s="9" t="s">
        <v>178</v>
      </c>
      <c r="R197" s="2" t="s">
        <v>179</v>
      </c>
      <c r="S197" s="2" t="str">
        <f>HYPERLINK(".\links\KOG\AGAP000416-PB-KOG.txt","KOG")</f>
        <v>KOG</v>
      </c>
      <c r="T197" s="2">
        <v>9.0000000000000001E-78</v>
      </c>
      <c r="U197" s="2">
        <v>99.6</v>
      </c>
      <c r="V197" s="2" t="s">
        <v>180</v>
      </c>
      <c r="W197" s="10" t="s">
        <v>181</v>
      </c>
      <c r="X197" s="2" t="s">
        <v>145</v>
      </c>
      <c r="Y197" s="2" t="str">
        <f>HYPERLINK(".\links\REFSEQVERTEBRATE95\AGAP000416-PB-REFSEQVERTEBRATE95.txt","REFSEQVERTEBRATE95")</f>
        <v>REFSEQVERTEBRATE95</v>
      </c>
      <c r="Z197" s="13">
        <v>6.9999999999999994E-95</v>
      </c>
      <c r="AA197" s="2">
        <v>88.3</v>
      </c>
      <c r="AB197" s="14" t="s">
        <v>89</v>
      </c>
      <c r="AC197" s="14" t="str">
        <f>HYPERLINK(".\links\Sigp\AGAP000416-PB-SigP.txt","CYT")</f>
        <v>CYT</v>
      </c>
      <c r="AD197" s="2" t="s">
        <v>89</v>
      </c>
      <c r="AE197" s="2">
        <v>33.826999999999998</v>
      </c>
      <c r="AF197" s="2">
        <v>7.16</v>
      </c>
      <c r="AG197" s="2" t="s">
        <v>89</v>
      </c>
      <c r="AH197" s="2" t="s">
        <v>89</v>
      </c>
      <c r="AI197" s="2" t="s">
        <v>149</v>
      </c>
      <c r="AJ197" s="14">
        <v>0</v>
      </c>
      <c r="AK197" s="2" t="s">
        <v>89</v>
      </c>
      <c r="AL197" s="2" t="s">
        <v>89</v>
      </c>
      <c r="AM197" s="2" t="s">
        <v>89</v>
      </c>
      <c r="AN197" s="14" t="str">
        <f>HYPERLINK(".\links\gpi\AGAP000416-PB-gpi.txt","N")</f>
        <v>N</v>
      </c>
      <c r="AO197" s="15" t="str">
        <f>HYPERLINK(".\links\netoglyc\AGAP000416-PB-netoglyc.txt","2")</f>
        <v>2</v>
      </c>
      <c r="AP197" s="14">
        <v>11.2</v>
      </c>
      <c r="AQ197" s="2">
        <v>7.6</v>
      </c>
      <c r="AR197" s="2">
        <v>4.3</v>
      </c>
      <c r="AS197" s="2" t="s">
        <v>94</v>
      </c>
      <c r="AT197" s="9" t="str">
        <f>HYPERLINK(".\links\NR-LIGHT\AGAP000416-PB-NR-LIGHT.txt","AGAP000416-PB")</f>
        <v>AGAP000416-PB</v>
      </c>
      <c r="AU197" s="2" t="str">
        <f>HYPERLINK("http://www.ncbi.nlm.nih.gov/sutils/blink.cgi?pid=XP_003436986.1","1E-176")</f>
        <v>1E-176</v>
      </c>
      <c r="AV197" s="2" t="str">
        <f>HYPERLINK("http://www.ncbi.nlm.nih.gov/protein/XP_003436986.1","XP_003436986.1")</f>
        <v>XP_003436986.1</v>
      </c>
      <c r="AW197" s="2">
        <v>100</v>
      </c>
      <c r="AX197" s="2">
        <v>100</v>
      </c>
      <c r="AY197" s="2">
        <v>100</v>
      </c>
      <c r="AZ197" s="2" t="s">
        <v>95</v>
      </c>
      <c r="BA197" s="9" t="str">
        <f>HYPERLINK(".\links\REFSEQ-INVERTEBRATE\AGAP000416-PB-REFSEQ-INVERTEBRATE.txt","AGAP000416-PB")</f>
        <v>AGAP000416-PB</v>
      </c>
      <c r="BB197" s="2" t="str">
        <f>HYPERLINK("http://www.ncbi.nlm.nih.gov/sutils/blink.cgi?pid=XP_003436986.1","1E-176")</f>
        <v>1E-176</v>
      </c>
      <c r="BC197" s="2" t="str">
        <f>HYPERLINK("http://www.ncbi.nlm.nih.gov/protein/XP_003436986.1","XP_003436986.1")</f>
        <v>XP_003436986.1</v>
      </c>
      <c r="BD197" s="2">
        <v>100</v>
      </c>
      <c r="BE197" s="2">
        <v>100</v>
      </c>
      <c r="BF197" s="2">
        <v>100</v>
      </c>
      <c r="BG197" s="2" t="s">
        <v>95</v>
      </c>
      <c r="BH197" s="9" t="str">
        <f>HYPERLINK(".\links\REFSEQ-PROTOZOA\AGAP000416-PB-REFSEQ-PROTOZOA.txt","hypothetical protein PTSG_03122")</f>
        <v>hypothetical protein PTSG_03122</v>
      </c>
      <c r="BI197" s="2" t="str">
        <f>HYPERLINK("http://www.ncbi.nlm.nih.gov/sutils/blink.cgi?pid=XP_004995709.1","2E-062")</f>
        <v>2E-062</v>
      </c>
      <c r="BJ197" s="2" t="str">
        <f>HYPERLINK("http://www.ncbi.nlm.nih.gov/protein/XP_004995709.1","XP_004995709.1")</f>
        <v>XP_004995709.1</v>
      </c>
      <c r="BK197" s="2">
        <v>49</v>
      </c>
      <c r="BL197" s="2">
        <v>61</v>
      </c>
      <c r="BM197" s="2">
        <v>102</v>
      </c>
      <c r="BN197" s="2" t="s">
        <v>182</v>
      </c>
      <c r="BO197" s="9" t="str">
        <f>HYPERLINK(".\links\SWISSP\AGAP000416-PB-SWISSP.txt","Hydroxyacylglutathione hydrolase, mitochondrial")</f>
        <v>Hydroxyacylglutathione hydrolase, mitochondrial</v>
      </c>
      <c r="BP197" s="2" t="str">
        <f>HYPERLINK("http://www.uniprot.org/uniprot/Q3B7M2","4E-071")</f>
        <v>4E-071</v>
      </c>
      <c r="BQ197" s="2" t="str">
        <f>HYPERLINK("http://www.uniprot.org/uniprot/Q3B7M2#expression","Q3B7M2")</f>
        <v>Q3B7M2</v>
      </c>
      <c r="BR197" s="2">
        <v>50</v>
      </c>
      <c r="BS197" s="2">
        <v>65</v>
      </c>
      <c r="BT197" s="2">
        <v>89</v>
      </c>
      <c r="BU197" s="2" t="s">
        <v>183</v>
      </c>
      <c r="BV197" s="9" t="str">
        <f>HYPERLINK(".\links\FLYBASE\AGAP000416-PB-FLYBASE.txt","FBpp0077911")</f>
        <v>FBpp0077911</v>
      </c>
      <c r="BW197" s="2" t="str">
        <f>HYPERLINK("http://flybase.org/reports/FBgn0037024#alliance_summary_container","1E-102")</f>
        <v>1E-102</v>
      </c>
      <c r="BX197" s="2">
        <v>305</v>
      </c>
      <c r="BY197" s="2">
        <v>52</v>
      </c>
      <c r="BZ197" s="2">
        <v>65</v>
      </c>
      <c r="CA197" s="2">
        <v>98</v>
      </c>
      <c r="CB197" s="9" t="str">
        <f>HYPERLINK(".\links\CDD\AGAP000416-PB-CDD.txt","PLN02469, hydroxyacylglutathione hydrolase")</f>
        <v>PLN02469, hydroxyacylglutathione hydrolase</v>
      </c>
      <c r="CC197" s="13">
        <v>4.0000000000000003E-86</v>
      </c>
      <c r="CD197" s="2">
        <v>101.9</v>
      </c>
      <c r="CE197" s="2" t="s">
        <v>184</v>
      </c>
      <c r="CF197" s="2" t="s">
        <v>185</v>
      </c>
      <c r="CG197" s="9" t="str">
        <f>HYPERLINK(".\links\KOG\AGAP000416-PB-KOG.txt","Glyoxylase")</f>
        <v>Glyoxylase</v>
      </c>
      <c r="CH197" s="13">
        <v>9.0000000000000001E-78</v>
      </c>
      <c r="CI197" s="2">
        <v>99.6</v>
      </c>
      <c r="CJ197" s="2" t="s">
        <v>186</v>
      </c>
      <c r="CK197" s="2" t="s">
        <v>187</v>
      </c>
      <c r="CL197" s="9" t="str">
        <f>HYPERLINK(".\links\PFAM\AGAP000416-PB-PFAM.txt","HAGH_C, Hydroxyacylglutathione hydrolase C-terminus")</f>
        <v>HAGH_C, Hydroxyacylglutathione hydrolase C-terminus</v>
      </c>
      <c r="CM197" s="13">
        <v>2.0000000000000001E-27</v>
      </c>
      <c r="CN197" s="2">
        <v>101.2</v>
      </c>
      <c r="CO197" s="2" t="s">
        <v>188</v>
      </c>
      <c r="CP197" s="9" t="str">
        <f>HYPERLINK(".\links\SMART\AGAP000416-PB-SMART.txt","Lactamase_B, Metallo-beta-lactamase superfamily")</f>
        <v>Lactamase_B, Metallo-beta-lactamase superfamily</v>
      </c>
      <c r="CQ197" s="13">
        <v>1.9999999999999998E-24</v>
      </c>
      <c r="CR197" s="2">
        <v>102.8</v>
      </c>
      <c r="CS197" s="2" t="s">
        <v>189</v>
      </c>
      <c r="CT197" s="2" t="s">
        <v>180</v>
      </c>
      <c r="CU197" s="2" t="s">
        <v>180</v>
      </c>
      <c r="CV197" s="2" t="s">
        <v>180</v>
      </c>
      <c r="CW197" s="2" t="str">
        <f>HYPERLINK(".\links\pep\AGAP000416-PB-pep.txt","AGAP000416-PB")</f>
        <v>AGAP000416-PB</v>
      </c>
      <c r="CX197" s="2" t="s">
        <v>88</v>
      </c>
      <c r="CY197" s="2">
        <v>303</v>
      </c>
      <c r="CZ197" s="2" t="s">
        <v>103</v>
      </c>
      <c r="DA197" s="2" t="s">
        <v>190</v>
      </c>
      <c r="DB197" s="2">
        <v>0</v>
      </c>
      <c r="DC197" s="2">
        <v>1</v>
      </c>
      <c r="DD197" s="2" t="str">
        <f>HYPERLINK("https://www.kegg.jp/kegg-bin/search_pathway_text?map=aga&amp;keyword=AGAP000416&amp;mode=1&amp;viewImage=true","AGAP000416")</f>
        <v>AGAP000416</v>
      </c>
      <c r="DE197" s="2" t="s">
        <v>175</v>
      </c>
      <c r="DF197" s="2" t="s">
        <v>176</v>
      </c>
      <c r="DG197" s="2" t="s">
        <v>87</v>
      </c>
      <c r="DH197" s="2" t="str">
        <f>HYPERLINK("https://vectorbase.org/vectorbase/app/record/gene/AGAP000416","AGAP000416-RB")</f>
        <v>AGAP000416-RB</v>
      </c>
      <c r="DI197" s="2" t="s">
        <v>105</v>
      </c>
      <c r="DJ197" s="2">
        <v>1227</v>
      </c>
      <c r="DK197" s="2" t="str">
        <f>HYPERLINK(".\links\netoglyc\AGAP000416-PB-netoglyc.txt","2")</f>
        <v>2</v>
      </c>
      <c r="DL197" s="2">
        <v>11.2</v>
      </c>
      <c r="DM197" s="2">
        <v>7.6</v>
      </c>
      <c r="DN197" s="2">
        <v>4.3</v>
      </c>
      <c r="DO197" s="2" t="s">
        <v>94</v>
      </c>
      <c r="DP197" s="2" t="s">
        <v>89</v>
      </c>
      <c r="DQ197" s="2" t="str">
        <f>HYPERLINK(".\links\Sigp\AGAP000416-PB-SigP.txt","CYT")</f>
        <v>CYT</v>
      </c>
      <c r="DR197" s="2" t="s">
        <v>89</v>
      </c>
      <c r="DS197" s="2">
        <v>33.826999999999998</v>
      </c>
      <c r="DT197" s="2">
        <v>7.16</v>
      </c>
      <c r="DU197" s="2" t="s">
        <v>89</v>
      </c>
      <c r="DV197" s="2" t="s">
        <v>89</v>
      </c>
      <c r="DW197" s="2" t="s">
        <v>149</v>
      </c>
      <c r="DX197" s="2">
        <v>303</v>
      </c>
      <c r="DY197" s="12">
        <v>0</v>
      </c>
      <c r="DZ197" s="2" t="s">
        <v>89</v>
      </c>
      <c r="EA197" s="2" t="s">
        <v>89</v>
      </c>
      <c r="EB197" s="2" t="s">
        <v>89</v>
      </c>
      <c r="EC197" s="2" t="str">
        <f>HYPERLINK(".\links\gpi\AGAP000416-PB-gpi.txt","N")</f>
        <v>N</v>
      </c>
      <c r="ED197" s="2">
        <v>0.3</v>
      </c>
      <c r="EF197" s="2">
        <v>8</v>
      </c>
      <c r="EG197" s="2" t="s">
        <v>89</v>
      </c>
      <c r="EH197" s="2" t="s">
        <v>89</v>
      </c>
      <c r="EI197" s="2">
        <v>11.2211221122112</v>
      </c>
      <c r="EJ197" s="2">
        <v>4.2904290429042904</v>
      </c>
      <c r="EK197" s="2">
        <v>7.5907590759075898</v>
      </c>
      <c r="EL197" s="2">
        <v>11.881188118811901</v>
      </c>
      <c r="EM197" s="2" t="s">
        <v>89</v>
      </c>
      <c r="EN197" s="2">
        <v>1</v>
      </c>
      <c r="EO197" s="2">
        <v>1</v>
      </c>
      <c r="EP197" s="2" t="s">
        <v>89</v>
      </c>
      <c r="EQ197" s="2" t="s">
        <v>89</v>
      </c>
      <c r="ER197" s="2" t="s">
        <v>89</v>
      </c>
      <c r="ES197" s="2" t="s">
        <v>89</v>
      </c>
      <c r="ET197" s="2" t="str">
        <f>HYPERLINK(".\links\REFSEQ-INVERTEBRATE\AGAP000416-PB-REFSEQ-INVERTEBRATE.txt","AGAP000416-PB")</f>
        <v>AGAP000416-PB</v>
      </c>
      <c r="EU197" s="2" t="str">
        <f>HYPERLINK("http://www.ncbi.nlm.nih.gov/sutils/blink.cgi?pid=XP_003436986.1","0.0")</f>
        <v>0.0</v>
      </c>
      <c r="EV197" s="2" t="str">
        <f>HYPERLINK("http://www.ncbi.nlm.nih.gov/protein/XP_003436986.1","XP_003436986.1")</f>
        <v>XP_003436986.1</v>
      </c>
      <c r="EW197" s="2">
        <v>100</v>
      </c>
      <c r="EX197" s="2">
        <v>100</v>
      </c>
      <c r="EY197" s="2">
        <v>100</v>
      </c>
      <c r="EZ197" s="2" t="s">
        <v>95</v>
      </c>
    </row>
    <row r="198" spans="1:156" x14ac:dyDescent="0.25">
      <c r="A198" s="2" t="s">
        <v>3120</v>
      </c>
      <c r="B198" s="2">
        <v>-1.0078080359171699</v>
      </c>
      <c r="C198" s="2">
        <f t="shared" si="3"/>
        <v>0.49730125052199969</v>
      </c>
      <c r="D198" s="2">
        <v>6.9899000016909199</v>
      </c>
      <c r="E198" s="2">
        <v>13.9649291737965</v>
      </c>
      <c r="F198" s="2">
        <v>1.8625268189595E-4</v>
      </c>
      <c r="G198" s="2">
        <v>1.3373362103240201E-2</v>
      </c>
      <c r="H198" s="2" t="s">
        <v>86</v>
      </c>
      <c r="I198" s="2" t="s">
        <v>87</v>
      </c>
      <c r="J198" s="2" t="str">
        <f>HYPERLINK("https://vectorbase.org/vectorbase/app/record/gene/AGAP028494","AGAP028494-RA")</f>
        <v>AGAP028494-RA</v>
      </c>
      <c r="K198" s="2" t="str">
        <f>HYPERLINK(".\links\pep\AGAP028494-PA-pep.txt","AGAP028494-PA")</f>
        <v>AGAP028494-PA</v>
      </c>
      <c r="L198" s="12" t="s">
        <v>88</v>
      </c>
      <c r="M198" s="2">
        <v>120</v>
      </c>
      <c r="N198" s="2">
        <v>0</v>
      </c>
      <c r="O198" s="2">
        <v>1</v>
      </c>
      <c r="P198" s="2" t="s">
        <v>89</v>
      </c>
      <c r="Q198" s="9" t="s">
        <v>3121</v>
      </c>
      <c r="R198" s="2" t="s">
        <v>3122</v>
      </c>
      <c r="V198" s="2" t="s">
        <v>3123</v>
      </c>
      <c r="W198" s="10" t="s">
        <v>399</v>
      </c>
      <c r="X198" s="2" t="s">
        <v>400</v>
      </c>
      <c r="Y198" s="2" t="str">
        <f>HYPERLINK(".\links\REFSEQ-INVERTEBRATE\AGAP028494-PA-REFSEQ-INVERTEBRATE.txt","REFSEQ-INVERTEBRATE")</f>
        <v>REFSEQ-INVERTEBRATE</v>
      </c>
      <c r="Z198" s="13">
        <v>1E-84</v>
      </c>
      <c r="AA198" s="2">
        <v>100</v>
      </c>
      <c r="AB198" s="14" t="s">
        <v>89</v>
      </c>
      <c r="AC198" s="14" t="str">
        <f>HYPERLINK(".\links\Sigp\AGAP028494-PA-SigP.txt","SIG")</f>
        <v>SIG</v>
      </c>
      <c r="AD198" s="2" t="s">
        <v>350</v>
      </c>
      <c r="AE198" s="2">
        <v>13.302</v>
      </c>
      <c r="AF198" s="2">
        <v>9.02</v>
      </c>
      <c r="AG198" s="2">
        <v>11.439</v>
      </c>
      <c r="AH198" s="2">
        <v>9.07</v>
      </c>
      <c r="AI198" s="2" t="s">
        <v>3124</v>
      </c>
      <c r="AJ198" s="14">
        <v>0</v>
      </c>
      <c r="AK198" s="2" t="s">
        <v>89</v>
      </c>
      <c r="AL198" s="2" t="s">
        <v>89</v>
      </c>
      <c r="AM198" s="2" t="s">
        <v>89</v>
      </c>
      <c r="AN198" s="14" t="str">
        <f>HYPERLINK(".\links\gpi\AGAP028494-PA-gpi.txt","N")</f>
        <v>N</v>
      </c>
      <c r="AO198" s="15" t="str">
        <f>HYPERLINK(".\links\netoglyc\AGAP028494-PA-netoglyc.txt","0")</f>
        <v>0</v>
      </c>
      <c r="AP198" s="14">
        <v>10</v>
      </c>
      <c r="AQ198" s="2">
        <v>14.2</v>
      </c>
      <c r="AR198" s="2">
        <v>5</v>
      </c>
      <c r="AS198" s="2" t="s">
        <v>94</v>
      </c>
      <c r="AT198" s="9" t="str">
        <f>HYPERLINK(".\links\NR-LIGHT\AGAP028494-PA-NR-LIGHT.txt","hypothetical protein AND_002500")</f>
        <v>hypothetical protein AND_002500</v>
      </c>
      <c r="AU198" s="2" t="str">
        <f>HYPERLINK("http://www.ncbi.nlm.nih.gov/sutils/blink.cgi?pid=ETN65730.1","7E-021")</f>
        <v>7E-021</v>
      </c>
      <c r="AV198" s="2" t="str">
        <f>HYPERLINK("http://www.ncbi.nlm.nih.gov/protein/ETN65730.1","ETN65730.1")</f>
        <v>ETN65730.1</v>
      </c>
      <c r="AW198" s="2">
        <v>51</v>
      </c>
      <c r="AX198" s="2">
        <v>62</v>
      </c>
      <c r="AY198" s="2">
        <v>110</v>
      </c>
      <c r="AZ198" s="2" t="s">
        <v>2245</v>
      </c>
      <c r="BA198" s="9" t="str">
        <f>HYPERLINK(".\links\REFSEQ-INVERTEBRATE\AGAP028494-PA-REFSEQ-INVERTEBRATE.txt","inter-alpha-trypsin inhibitor heavy chain H6-like isoform X2")</f>
        <v>inter-alpha-trypsin inhibitor heavy chain H6-like isoform X2</v>
      </c>
      <c r="BB198" s="2" t="str">
        <f>HYPERLINK("http://www.ncbi.nlm.nih.gov/sutils/blink.cgi?pid=XP_023954995.1","2.5")</f>
        <v>2.5</v>
      </c>
      <c r="BC198" s="2" t="str">
        <f>HYPERLINK("http://www.ncbi.nlm.nih.gov/protein/XP_023954995.1","XP_023954995.1")</f>
        <v>XP_023954995.1</v>
      </c>
      <c r="BD198" s="2">
        <v>33</v>
      </c>
      <c r="BE198" s="2">
        <v>50</v>
      </c>
      <c r="BF198" s="2">
        <v>5</v>
      </c>
      <c r="BG198" s="2" t="s">
        <v>3125</v>
      </c>
      <c r="BH198" s="9" t="str">
        <f>HYPERLINK(".\links\REFSEQ-PROTOZOA\AGAP028494-PA-REFSEQ-PROTOZOA.txt","unnamed protein product")</f>
        <v>unnamed protein product</v>
      </c>
      <c r="BI198" s="2" t="str">
        <f>HYPERLINK("http://www.ncbi.nlm.nih.gov/sutils/blink.cgi?pid=XP_005717355.1","2.2")</f>
        <v>2.2</v>
      </c>
      <c r="BJ198" s="2" t="str">
        <f>HYPERLINK("http://www.ncbi.nlm.nih.gov/protein/XP_005717355.1","XP_005717355.1")</f>
        <v>XP_005717355.1</v>
      </c>
      <c r="BK198" s="2">
        <v>32</v>
      </c>
      <c r="BL198" s="2">
        <v>42</v>
      </c>
      <c r="BM198" s="2">
        <v>13</v>
      </c>
      <c r="BN198" s="2" t="s">
        <v>2410</v>
      </c>
      <c r="BO198" s="9" t="str">
        <f>HYPERLINK(".\links\SWISSP\AGAP028494-PA-SWISSP.txt","Polyribonucleotide nucleotidyltransferase")</f>
        <v>Polyribonucleotide nucleotidyltransferase</v>
      </c>
      <c r="BP198" s="2" t="str">
        <f>HYPERLINK("http://www.uniprot.org/uniprot/B2S4C3","2.0")</f>
        <v>2.0</v>
      </c>
      <c r="BQ198" s="2" t="str">
        <f>HYPERLINK("http://www.uniprot.org/uniprot/B2S4C3#expression","B2S4C3")</f>
        <v>B2S4C3</v>
      </c>
      <c r="BR198" s="2">
        <v>29</v>
      </c>
      <c r="BS198" s="2">
        <v>43</v>
      </c>
      <c r="BT198" s="2">
        <v>12</v>
      </c>
      <c r="BU198" s="2" t="s">
        <v>3126</v>
      </c>
      <c r="BV198" s="9" t="str">
        <f>HYPERLINK(".\links\FLYBASE\AGAP028494-PA-FLYBASE.txt","FBpp0074023")</f>
        <v>FBpp0074023</v>
      </c>
      <c r="BW198" s="2" t="str">
        <f>HYPERLINK("http://flybase.org/reports/FBgn0030734#alliance_summary_container","2.4")</f>
        <v>2.4</v>
      </c>
      <c r="BX198" s="2">
        <v>375</v>
      </c>
      <c r="BY198" s="2">
        <v>32</v>
      </c>
      <c r="BZ198" s="2">
        <v>40</v>
      </c>
      <c r="CA198" s="2">
        <v>13</v>
      </c>
      <c r="CB198" s="9" t="str">
        <f>HYPERLINK(".\links\CDD\AGAP028494-PA-CDD.txt","PRK06205, acetyl-CoA acetyltransferase")</f>
        <v>PRK06205, acetyl-CoA acetyltransferase</v>
      </c>
      <c r="CC198" s="13">
        <v>0.74</v>
      </c>
      <c r="CD198" s="2">
        <v>5.2</v>
      </c>
      <c r="CE198" s="2" t="s">
        <v>3127</v>
      </c>
      <c r="CF198" s="2" t="s">
        <v>3128</v>
      </c>
      <c r="CG198" s="9" t="str">
        <f>HYPERLINK(".\links\KOG\AGAP028494-PA-KOG.txt","Gelatinase A and related matrix metalloproteases")</f>
        <v>Gelatinase A and related matrix metalloproteases</v>
      </c>
      <c r="CH198" s="13">
        <v>0.17</v>
      </c>
      <c r="CI198" s="2">
        <v>12.6</v>
      </c>
      <c r="CJ198" s="2" t="s">
        <v>3129</v>
      </c>
      <c r="CK198" s="2" t="s">
        <v>3130</v>
      </c>
      <c r="CL198" s="9" t="str">
        <f>HYPERLINK(".\links\PFAM\AGAP028494-PA-PFAM.txt","FHIPEP, FHIPEP family")</f>
        <v>FHIPEP, FHIPEP family</v>
      </c>
      <c r="CM198" s="13">
        <v>0.24</v>
      </c>
      <c r="CN198" s="2">
        <v>7.4</v>
      </c>
      <c r="CO198" s="2" t="s">
        <v>3131</v>
      </c>
      <c r="CP198" s="9" t="str">
        <f>HYPERLINK(".\links\SMART\AGAP028494-PA-SMART.txt","RanBD, Ran-binding domain")</f>
        <v>RanBD, Ran-binding domain</v>
      </c>
      <c r="CQ198" s="13">
        <v>0.75</v>
      </c>
      <c r="CR198" s="2">
        <v>43.1</v>
      </c>
      <c r="CS198" s="2" t="s">
        <v>3132</v>
      </c>
      <c r="CT198" s="2" t="s">
        <v>3123</v>
      </c>
      <c r="CU198" s="2" t="s">
        <v>3123</v>
      </c>
      <c r="CV198" s="2" t="s">
        <v>3123</v>
      </c>
      <c r="CW198" s="2" t="str">
        <f>HYPERLINK(".\links\pep\AGAP028494-PA-pep.txt","AGAP028494-PA")</f>
        <v>AGAP028494-PA</v>
      </c>
      <c r="CX198" s="2" t="s">
        <v>88</v>
      </c>
      <c r="CY198" s="2">
        <v>120</v>
      </c>
      <c r="CZ198" s="2" t="s">
        <v>103</v>
      </c>
      <c r="DA198" s="2" t="s">
        <v>3133</v>
      </c>
      <c r="DB198" s="2">
        <v>0</v>
      </c>
      <c r="DC198" s="2">
        <v>1</v>
      </c>
      <c r="DD198" s="2" t="str">
        <f>HYPERLINK("https://www.kegg.jp/kegg-bin/search_pathway_text?map=aga&amp;keyword=AGAP028494&amp;mode=1&amp;viewImage=true","AGAP028494")</f>
        <v>AGAP028494</v>
      </c>
      <c r="DE198" s="2" t="s">
        <v>3120</v>
      </c>
      <c r="DF198" s="2" t="s">
        <v>86</v>
      </c>
      <c r="DG198" s="2" t="s">
        <v>87</v>
      </c>
      <c r="DH198" s="2" t="str">
        <f>HYPERLINK("https://vectorbase.org/vectorbase/app/record/gene/AGAP028494","AGAP028494-RA")</f>
        <v>AGAP028494-RA</v>
      </c>
      <c r="DI198" s="2" t="s">
        <v>140</v>
      </c>
      <c r="DJ198" s="2">
        <v>856</v>
      </c>
      <c r="DK198" s="2" t="str">
        <f>HYPERLINK(".\links\netoglyc\AGAP028494-PA-netoglyc.txt","0")</f>
        <v>0</v>
      </c>
      <c r="DL198" s="2">
        <v>10</v>
      </c>
      <c r="DM198" s="2">
        <v>14.2</v>
      </c>
      <c r="DN198" s="2">
        <v>5</v>
      </c>
      <c r="DO198" s="2" t="s">
        <v>94</v>
      </c>
      <c r="DP198" s="2" t="s">
        <v>3134</v>
      </c>
      <c r="DQ198" s="2" t="str">
        <f>HYPERLINK(".\links\Sigp\AGAP028494-PA-SigP.txt","SIG")</f>
        <v>SIG</v>
      </c>
      <c r="DR198" s="2" t="s">
        <v>350</v>
      </c>
      <c r="DS198" s="2">
        <v>13.302</v>
      </c>
      <c r="DT198" s="2">
        <v>9.02</v>
      </c>
      <c r="DU198" s="2">
        <v>11.439</v>
      </c>
      <c r="DV198" s="2">
        <v>9.07</v>
      </c>
      <c r="DW198" s="2" t="s">
        <v>3124</v>
      </c>
      <c r="DX198" s="2">
        <v>120</v>
      </c>
      <c r="DY198" s="12">
        <v>0</v>
      </c>
      <c r="DZ198" s="2" t="s">
        <v>89</v>
      </c>
      <c r="EA198" s="2" t="s">
        <v>89</v>
      </c>
      <c r="EB198" s="2" t="s">
        <v>89</v>
      </c>
      <c r="EC198" s="2" t="str">
        <f>HYPERLINK(".\links\gpi\AGAP028494-PA-gpi.txt","N")</f>
        <v>N</v>
      </c>
      <c r="ED198" s="2">
        <v>0.45</v>
      </c>
      <c r="EF198" s="2">
        <v>4</v>
      </c>
      <c r="EG198" s="2" t="s">
        <v>89</v>
      </c>
      <c r="EH198" s="2" t="s">
        <v>89</v>
      </c>
      <c r="EI198" s="2">
        <v>10</v>
      </c>
      <c r="EJ198" s="2">
        <v>5</v>
      </c>
      <c r="EK198" s="2">
        <v>14.1666666666667</v>
      </c>
      <c r="EL198" s="2">
        <v>19.1666666666667</v>
      </c>
      <c r="EM198" s="2" t="s">
        <v>89</v>
      </c>
      <c r="EN198" s="2">
        <v>2</v>
      </c>
      <c r="EO198" s="2">
        <v>2</v>
      </c>
      <c r="EP198" s="2" t="s">
        <v>89</v>
      </c>
      <c r="EQ198" s="2" t="s">
        <v>89</v>
      </c>
      <c r="ER198" s="2" t="s">
        <v>89</v>
      </c>
      <c r="ES198" s="2" t="s">
        <v>89</v>
      </c>
      <c r="ET198" s="2" t="str">
        <f>HYPERLINK(".\links\REFSEQ-INVERTEBRATE\AGAP028494-PA-REFSEQ-INVERTEBRATE.txt","uncharacterized protein LOC118503322")</f>
        <v>uncharacterized protein LOC118503322</v>
      </c>
      <c r="EU198" s="2" t="str">
        <f>HYPERLINK("http://www.ncbi.nlm.nih.gov/sutils/blink.cgi?pid=XP_035892357.1","1E-38")</f>
        <v>1E-38</v>
      </c>
      <c r="EV198" s="2" t="str">
        <f>HYPERLINK("http://www.ncbi.nlm.nih.gov/protein/XP_035892357.1","XP_035892357.1")</f>
        <v>XP_035892357.1</v>
      </c>
      <c r="EW198" s="2">
        <v>68</v>
      </c>
      <c r="EX198" s="2">
        <v>77</v>
      </c>
      <c r="EY198" s="2">
        <v>95</v>
      </c>
      <c r="EZ198" s="2" t="s">
        <v>600</v>
      </c>
    </row>
    <row r="199" spans="1:156" x14ac:dyDescent="0.25">
      <c r="A199" s="2" t="s">
        <v>2611</v>
      </c>
      <c r="B199" s="2">
        <v>-1.0123308169996901</v>
      </c>
      <c r="C199" s="2">
        <f t="shared" si="3"/>
        <v>0.49574467566613101</v>
      </c>
      <c r="D199" s="2">
        <v>6.3000611590037998</v>
      </c>
      <c r="E199" s="2">
        <v>28.517245724743798</v>
      </c>
      <c r="F199" s="2">
        <v>9.2867612403249295E-8</v>
      </c>
      <c r="G199" s="2">
        <v>1.2359518365717399E-4</v>
      </c>
      <c r="H199" s="2" t="s">
        <v>2612</v>
      </c>
      <c r="I199" s="2" t="s">
        <v>87</v>
      </c>
      <c r="J199" s="2" t="str">
        <f>HYPERLINK("https://vectorbase.org/vectorbase/app/record/gene/AGAP010606","AGAP010606-RA")</f>
        <v>AGAP010606-RA</v>
      </c>
      <c r="K199" s="2" t="str">
        <f>HYPERLINK(".\links\pep\AGAP010606-PA-pep.txt","AGAP010606-PA")</f>
        <v>AGAP010606-PA</v>
      </c>
      <c r="L199" s="12" t="s">
        <v>88</v>
      </c>
      <c r="M199" s="2">
        <v>90</v>
      </c>
      <c r="N199" s="2">
        <v>0</v>
      </c>
      <c r="O199" s="2">
        <v>1</v>
      </c>
      <c r="P199" s="2" t="s">
        <v>2613</v>
      </c>
      <c r="Q199" s="9" t="s">
        <v>2614</v>
      </c>
      <c r="R199" s="2" t="s">
        <v>145</v>
      </c>
      <c r="S199" s="2" t="str">
        <f>HYPERLINK(".\links\NR-LIGHT\AGAP010606-PA-NR-LIGHT.txt","NR-LIGHT")</f>
        <v>NR-LIGHT</v>
      </c>
      <c r="T199" s="2">
        <v>1.0000000000000001E-37</v>
      </c>
      <c r="U199" s="2">
        <v>100</v>
      </c>
      <c r="V199" s="2" t="s">
        <v>2615</v>
      </c>
      <c r="W199" s="10" t="s">
        <v>2616</v>
      </c>
      <c r="X199" s="2" t="s">
        <v>902</v>
      </c>
      <c r="Y199" s="2" t="str">
        <f>HYPERLINK(".\links\KOG\AGAP010606-PA-KOG.txt","KOG")</f>
        <v>KOG</v>
      </c>
      <c r="Z199" s="13">
        <v>3E-32</v>
      </c>
      <c r="AA199" s="2">
        <v>87.2</v>
      </c>
      <c r="AB199" s="14" t="s">
        <v>89</v>
      </c>
      <c r="AC199" s="14" t="str">
        <f>HYPERLINK(".\links\Sigp\AGAP010606-PA-SigP.txt","CYT")</f>
        <v>CYT</v>
      </c>
      <c r="AD199" s="2" t="s">
        <v>89</v>
      </c>
      <c r="AE199" s="2">
        <v>10.186</v>
      </c>
      <c r="AF199" s="2">
        <v>4.99</v>
      </c>
      <c r="AG199" s="2" t="s">
        <v>89</v>
      </c>
      <c r="AH199" s="2" t="s">
        <v>89</v>
      </c>
      <c r="AI199" s="2" t="s">
        <v>93</v>
      </c>
      <c r="AJ199" s="14">
        <v>0</v>
      </c>
      <c r="AK199" s="2" t="s">
        <v>89</v>
      </c>
      <c r="AL199" s="2" t="s">
        <v>89</v>
      </c>
      <c r="AM199" s="2" t="s">
        <v>89</v>
      </c>
      <c r="AN199" s="14" t="str">
        <f>HYPERLINK(".\links\gpi\AGAP010606-PA-gpi.txt","N")</f>
        <v>N</v>
      </c>
      <c r="AO199" s="15" t="str">
        <f>HYPERLINK(".\links\netoglyc\AGAP010606-PA-netoglyc.txt","2")</f>
        <v>2</v>
      </c>
      <c r="AP199" s="14">
        <v>15.6</v>
      </c>
      <c r="AQ199" s="2">
        <v>2.2000000000000002</v>
      </c>
      <c r="AR199" s="2">
        <v>3.3</v>
      </c>
      <c r="AS199" s="2" t="s">
        <v>94</v>
      </c>
      <c r="AT199" s="9" t="str">
        <f>HYPERLINK(".\links\NR-LIGHT\AGAP010606-PA-NR-LIGHT.txt","AGAP010606-PA")</f>
        <v>AGAP010606-PA</v>
      </c>
      <c r="AU199" s="2" t="str">
        <f>HYPERLINK("http://www.ncbi.nlm.nih.gov/sutils/blink.cgi?pid=XP_314568.3","8E-046")</f>
        <v>8E-046</v>
      </c>
      <c r="AV199" s="2" t="str">
        <f>HYPERLINK("http://www.ncbi.nlm.nih.gov/protein/XP_314568.3","XP_314568.3")</f>
        <v>XP_314568.3</v>
      </c>
      <c r="AW199" s="2">
        <v>100</v>
      </c>
      <c r="AX199" s="2">
        <v>100</v>
      </c>
      <c r="AY199" s="2">
        <v>100</v>
      </c>
      <c r="AZ199" s="2" t="s">
        <v>95</v>
      </c>
      <c r="BA199" s="9" t="str">
        <f>HYPERLINK(".\links\REFSEQ-INVERTEBRATE\AGAP010606-PA-REFSEQ-INVERTEBRATE.txt","AGAP010606-PA")</f>
        <v>AGAP010606-PA</v>
      </c>
      <c r="BB199" s="2" t="str">
        <f>HYPERLINK("http://www.ncbi.nlm.nih.gov/sutils/blink.cgi?pid=XP_314568.3","7E-046")</f>
        <v>7E-046</v>
      </c>
      <c r="BC199" s="2" t="str">
        <f>HYPERLINK("http://www.ncbi.nlm.nih.gov/protein/XP_314568.3","XP_314568.3")</f>
        <v>XP_314568.3</v>
      </c>
      <c r="BD199" s="2">
        <v>100</v>
      </c>
      <c r="BE199" s="2">
        <v>100</v>
      </c>
      <c r="BF199" s="2">
        <v>100</v>
      </c>
      <c r="BG199" s="2" t="s">
        <v>95</v>
      </c>
      <c r="BH199" s="9" t="str">
        <f>HYPERLINK(".\links\REFSEQ-PROTOZOA\AGAP010606-PA-REFSEQ-PROTOZOA.txt","hypothetical protein CAOG_03610")</f>
        <v>hypothetical protein CAOG_03610</v>
      </c>
      <c r="BI199" s="2" t="str">
        <f>HYPERLINK("http://www.ncbi.nlm.nih.gov/sutils/blink.cgi?pid=XP_004363338.1","8E-016")</f>
        <v>8E-016</v>
      </c>
      <c r="BJ199" s="2" t="str">
        <f>HYPERLINK("http://www.ncbi.nlm.nih.gov/protein/XP_004363338.1","XP_004363338.1")</f>
        <v>XP_004363338.1</v>
      </c>
      <c r="BK199" s="2">
        <v>43</v>
      </c>
      <c r="BL199" s="2">
        <v>67</v>
      </c>
      <c r="BM199" s="2">
        <v>92</v>
      </c>
      <c r="BN199" s="2" t="s">
        <v>150</v>
      </c>
      <c r="BO199" s="9" t="str">
        <f>HYPERLINK(".\links\SWISSP\AGAP010606-PA-SWISSP.txt","Mitochondrial import inner membrane translocase subunit Tim8")</f>
        <v>Mitochondrial import inner membrane translocase subunit Tim8</v>
      </c>
      <c r="BP199" s="2" t="str">
        <f>HYPERLINK("http://www.uniprot.org/uniprot/Q9Y1A3","2E-026")</f>
        <v>2E-026</v>
      </c>
      <c r="BQ199" s="2" t="str">
        <f>HYPERLINK("http://www.uniprot.org/uniprot/Q9Y1A3#expression","Q9Y1A3")</f>
        <v>Q9Y1A3</v>
      </c>
      <c r="BR199" s="2">
        <v>69</v>
      </c>
      <c r="BS199" s="2">
        <v>86</v>
      </c>
      <c r="BT199" s="2">
        <v>85</v>
      </c>
      <c r="BU199" s="2" t="s">
        <v>151</v>
      </c>
      <c r="BV199" s="9" t="str">
        <f>HYPERLINK(".\links\FLYBASE\AGAP010606-PA-FLYBASE.txt","FBpp0310233")</f>
        <v>FBpp0310233</v>
      </c>
      <c r="BW199" s="2" t="str">
        <f>HYPERLINK("http://flybase.org/reports/FBgn0027359#alliance_summary_container","2E-36")</f>
        <v>2E-36</v>
      </c>
      <c r="BX199" s="2">
        <v>88</v>
      </c>
      <c r="BY199" s="2">
        <v>69</v>
      </c>
      <c r="BZ199" s="2">
        <v>86</v>
      </c>
      <c r="CA199" s="2">
        <v>85</v>
      </c>
      <c r="CB199" s="9" t="str">
        <f>HYPERLINK(".\links\CDD\AGAP010606-PA-CDD.txt","zf-Tim10_DDP, Tim10/DDP family zinc finger")</f>
        <v>zf-Tim10_DDP, Tim10/DDP family zinc finger</v>
      </c>
      <c r="CC199" s="13">
        <v>7.0000000000000001E-15</v>
      </c>
      <c r="CD199" s="2">
        <v>98.4</v>
      </c>
      <c r="CE199" s="2" t="s">
        <v>275</v>
      </c>
      <c r="CF199" s="2" t="s">
        <v>2617</v>
      </c>
      <c r="CG199" s="9" t="str">
        <f>HYPERLINK(".\links\KOG\AGAP010606-PA-KOG.txt","subunit TIM8")</f>
        <v>subunit TIM8</v>
      </c>
      <c r="CH199" s="13">
        <v>3.0000000000000001E-26</v>
      </c>
      <c r="CI199" s="2">
        <v>103.5</v>
      </c>
      <c r="CJ199" s="2" t="s">
        <v>2618</v>
      </c>
      <c r="CK199" s="2" t="s">
        <v>278</v>
      </c>
      <c r="CL199" s="9" t="str">
        <f>HYPERLINK(".\links\PFAM\AGAP010606-PA-PFAM.txt","zf-Tim10_DDP, Tim10/DDP family zinc finger")</f>
        <v>zf-Tim10_DDP, Tim10/DDP family zinc finger</v>
      </c>
      <c r="CM199" s="13">
        <v>2.0000000000000002E-15</v>
      </c>
      <c r="CN199" s="2">
        <v>98.4</v>
      </c>
      <c r="CO199" s="2" t="s">
        <v>275</v>
      </c>
      <c r="CP199" s="9" t="str">
        <f>HYPERLINK(".\links\SMART\AGAP010606-PA-SMART.txt","LamNT, Laminin N-terminal domain (domain VI)")</f>
        <v>LamNT, Laminin N-terminal domain (domain VI)</v>
      </c>
      <c r="CQ199" s="13">
        <v>0.56999999999999995</v>
      </c>
      <c r="CR199" s="2">
        <v>10.5</v>
      </c>
      <c r="CS199" s="2" t="s">
        <v>2619</v>
      </c>
      <c r="CT199" s="2" t="s">
        <v>2615</v>
      </c>
      <c r="CU199" s="2" t="s">
        <v>2615</v>
      </c>
      <c r="CV199" s="2" t="s">
        <v>2615</v>
      </c>
      <c r="CW199" s="2" t="str">
        <f>HYPERLINK(".\links\pep\AGAP010606-PA-pep.txt","AGAP010606-PA")</f>
        <v>AGAP010606-PA</v>
      </c>
      <c r="CX199" s="2" t="s">
        <v>88</v>
      </c>
      <c r="CY199" s="2">
        <v>90</v>
      </c>
      <c r="CZ199" s="2" t="s">
        <v>103</v>
      </c>
      <c r="DA199" s="2" t="s">
        <v>2620</v>
      </c>
      <c r="DB199" s="2">
        <v>0</v>
      </c>
      <c r="DC199" s="2">
        <v>1</v>
      </c>
      <c r="DD199" s="2" t="str">
        <f>HYPERLINK("https://www.kegg.jp/kegg-bin/search_pathway_text?map=aga&amp;keyword=AGAP010606&amp;mode=1&amp;viewImage=true","AGAP010606")</f>
        <v>AGAP010606</v>
      </c>
      <c r="DE199" s="2" t="s">
        <v>2611</v>
      </c>
      <c r="DF199" s="2" t="s">
        <v>2612</v>
      </c>
      <c r="DG199" s="2" t="s">
        <v>87</v>
      </c>
      <c r="DH199" s="2" t="str">
        <f>HYPERLINK("https://vectorbase.org/vectorbase/app/record/gene/AGAP010606","AGAP010606-RA")</f>
        <v>AGAP010606-RA</v>
      </c>
      <c r="DI199" s="2" t="s">
        <v>105</v>
      </c>
      <c r="DJ199" s="2">
        <v>593</v>
      </c>
      <c r="DK199" s="2" t="str">
        <f>HYPERLINK(".\links\netoglyc\AGAP010606-PA-netoglyc.txt","2")</f>
        <v>2</v>
      </c>
      <c r="DL199" s="2">
        <v>15.6</v>
      </c>
      <c r="DM199" s="2">
        <v>2.2000000000000002</v>
      </c>
      <c r="DN199" s="2">
        <v>3.3</v>
      </c>
      <c r="DO199" s="2" t="s">
        <v>94</v>
      </c>
      <c r="DP199" s="2" t="s">
        <v>89</v>
      </c>
      <c r="DQ199" s="2" t="str">
        <f>HYPERLINK(".\links\Sigp\AGAP010606-PA-SigP.txt","CYT")</f>
        <v>CYT</v>
      </c>
      <c r="DR199" s="2" t="s">
        <v>89</v>
      </c>
      <c r="DS199" s="2">
        <v>10.186</v>
      </c>
      <c r="DT199" s="2">
        <v>4.99</v>
      </c>
      <c r="DU199" s="2" t="s">
        <v>89</v>
      </c>
      <c r="DV199" s="2" t="s">
        <v>89</v>
      </c>
      <c r="DW199" s="2" t="s">
        <v>93</v>
      </c>
      <c r="DX199" s="2">
        <v>90</v>
      </c>
      <c r="DY199" s="12">
        <v>0</v>
      </c>
      <c r="DZ199" s="2" t="s">
        <v>89</v>
      </c>
      <c r="EA199" s="2" t="s">
        <v>89</v>
      </c>
      <c r="EB199" s="2" t="s">
        <v>89</v>
      </c>
      <c r="EC199" s="2" t="str">
        <f>HYPERLINK(".\links\gpi\AGAP010606-PA-gpi.txt","N")</f>
        <v>N</v>
      </c>
      <c r="ED199" s="2">
        <v>0.3</v>
      </c>
      <c r="EF199" s="2">
        <v>4</v>
      </c>
      <c r="EG199" s="2" t="s">
        <v>89</v>
      </c>
      <c r="EH199" s="2" t="s">
        <v>89</v>
      </c>
      <c r="EI199" s="2">
        <v>15.5555555555556</v>
      </c>
      <c r="EJ199" s="2">
        <v>3.3333333333333299</v>
      </c>
      <c r="EK199" s="2">
        <v>2.2222222222222201</v>
      </c>
      <c r="EL199" s="2">
        <v>5.5555555555555598</v>
      </c>
      <c r="EM199" s="2" t="s">
        <v>89</v>
      </c>
      <c r="EN199" s="2" t="s">
        <v>89</v>
      </c>
      <c r="EO199" s="2" t="s">
        <v>89</v>
      </c>
      <c r="EP199" s="2" t="s">
        <v>89</v>
      </c>
      <c r="EQ199" s="2" t="s">
        <v>89</v>
      </c>
      <c r="ER199" s="2" t="s">
        <v>89</v>
      </c>
      <c r="ES199" s="2" t="s">
        <v>89</v>
      </c>
      <c r="ET199" s="2" t="str">
        <f>HYPERLINK(".\links\REFSEQ-INVERTEBRATE\AGAP010606-PA-REFSEQ-INVERTEBRATE.txt","AGAP010606-PA")</f>
        <v>AGAP010606-PA</v>
      </c>
      <c r="EU199" s="2" t="str">
        <f>HYPERLINK("http://www.ncbi.nlm.nih.gov/sutils/blink.cgi?pid=XP_314568.3","6E-62")</f>
        <v>6E-62</v>
      </c>
      <c r="EV199" s="2" t="str">
        <f>HYPERLINK("http://www.ncbi.nlm.nih.gov/protein/XP_314568.3","XP_314568.3")</f>
        <v>XP_314568.3</v>
      </c>
      <c r="EW199" s="2">
        <v>100</v>
      </c>
      <c r="EX199" s="2">
        <v>100</v>
      </c>
      <c r="EY199" s="2">
        <v>100</v>
      </c>
      <c r="EZ199" s="2" t="s">
        <v>95</v>
      </c>
    </row>
    <row r="200" spans="1:156" x14ac:dyDescent="0.25">
      <c r="A200" s="2" t="s">
        <v>2578</v>
      </c>
      <c r="B200" s="2">
        <v>-1.02173983823526</v>
      </c>
      <c r="C200" s="2">
        <f t="shared" si="3"/>
        <v>0.4925220301316911</v>
      </c>
      <c r="D200" s="2">
        <v>4.0406941153365699</v>
      </c>
      <c r="E200" s="2">
        <v>18.3533161169814</v>
      </c>
      <c r="F200" s="2">
        <v>1.8349932335491501E-5</v>
      </c>
      <c r="G200" s="2">
        <v>2.5706806523154999E-3</v>
      </c>
      <c r="H200" s="2" t="s">
        <v>86</v>
      </c>
      <c r="I200" s="2" t="s">
        <v>87</v>
      </c>
      <c r="J200" s="2" t="str">
        <f>HYPERLINK("https://vectorbase.org/vectorbase/app/record/gene/AGAP010465","AGAP010465-RA")</f>
        <v>AGAP010465-RA</v>
      </c>
      <c r="K200" s="2" t="str">
        <f>HYPERLINK(".\links\pep\AGAP010465-PA-pep.txt","AGAP010465-PA")</f>
        <v>AGAP010465-PA</v>
      </c>
      <c r="L200" s="12" t="s">
        <v>88</v>
      </c>
      <c r="M200" s="2">
        <v>377</v>
      </c>
      <c r="N200" s="2">
        <v>0</v>
      </c>
      <c r="O200" s="2">
        <v>0</v>
      </c>
      <c r="P200" s="2" t="s">
        <v>89</v>
      </c>
      <c r="Q200" s="9" t="s">
        <v>1764</v>
      </c>
      <c r="R200" s="2" t="s">
        <v>700</v>
      </c>
      <c r="S200" s="2" t="str">
        <f>HYPERLINK(".\links\REFSEQ-INVERTEBRATE\AGAP010465-PA-REFSEQ-INVERTEBRATE.txt","REFSEQ-INVERTEBRATE")</f>
        <v>REFSEQ-INVERTEBRATE</v>
      </c>
      <c r="T200" s="2">
        <v>0</v>
      </c>
      <c r="V200" s="2" t="s">
        <v>2579</v>
      </c>
      <c r="W200" s="10" t="s">
        <v>2580</v>
      </c>
      <c r="X200" s="2" t="s">
        <v>128</v>
      </c>
      <c r="Y200" s="2" t="str">
        <f>HYPERLINK(".\links\REFSEQ-INVERTEBRATE\AGAP010465-PA-REFSEQ-INVERTEBRATE.txt","REFSEQ-INVERTEBRATE")</f>
        <v>REFSEQ-INVERTEBRATE</v>
      </c>
      <c r="Z200" s="13">
        <v>0</v>
      </c>
      <c r="AA200" s="2">
        <v>100</v>
      </c>
      <c r="AB200" s="14" t="s">
        <v>89</v>
      </c>
      <c r="AC200" s="14" t="str">
        <f>HYPERLINK(".\links\Sigp\AGAP010465-PA-SigP.txt","CYT")</f>
        <v>CYT</v>
      </c>
      <c r="AD200" s="2" t="s">
        <v>89</v>
      </c>
      <c r="AE200" s="2">
        <v>41.014000000000003</v>
      </c>
      <c r="AF200" s="2">
        <v>8.34</v>
      </c>
      <c r="AG200" s="2" t="s">
        <v>89</v>
      </c>
      <c r="AH200" s="2" t="s">
        <v>89</v>
      </c>
      <c r="AI200" s="2" t="s">
        <v>2581</v>
      </c>
      <c r="AJ200" s="14" t="str">
        <f>HYPERLINK(".\links\tmhmm\AGAP010465-PA-tmhmm.txt","2")</f>
        <v>2</v>
      </c>
      <c r="AK200" s="2">
        <v>10.9</v>
      </c>
      <c r="AL200" s="2">
        <v>87.3</v>
      </c>
      <c r="AM200" s="2">
        <v>1.9</v>
      </c>
      <c r="AN200" s="14" t="str">
        <f>HYPERLINK(".\links\gpi\AGAP010465-PA-gpi.txt","N")</f>
        <v>N</v>
      </c>
      <c r="AO200" s="15" t="str">
        <f>HYPERLINK(".\links\netoglyc\AGAP010465-PA-netoglyc.txt","3")</f>
        <v>3</v>
      </c>
      <c r="AP200" s="14">
        <v>16.7</v>
      </c>
      <c r="AQ200" s="2">
        <v>6.1</v>
      </c>
      <c r="AR200" s="2">
        <v>9</v>
      </c>
      <c r="AS200" s="2" t="s">
        <v>94</v>
      </c>
      <c r="AT200" s="9" t="str">
        <f>HYPERLINK(".\links\NR-LIGHT\AGAP010465-PA-NR-LIGHT.txt","hypothetical protein RP20_CCG012524")</f>
        <v>hypothetical protein RP20_CCG012524</v>
      </c>
      <c r="AU200" s="2" t="str">
        <f>HYPERLINK("http://www.ncbi.nlm.nih.gov/sutils/blink.cgi?pid=KXJ75009.1","1E-119")</f>
        <v>1E-119</v>
      </c>
      <c r="AV200" s="2" t="str">
        <f>HYPERLINK("http://www.ncbi.nlm.nih.gov/protein/KXJ75009.1","KXJ75009.1")</f>
        <v>KXJ75009.1</v>
      </c>
      <c r="AW200" s="2">
        <v>61</v>
      </c>
      <c r="AX200" s="2">
        <v>70</v>
      </c>
      <c r="AY200" s="2">
        <v>113</v>
      </c>
      <c r="AZ200" s="2" t="s">
        <v>2012</v>
      </c>
      <c r="BA200" s="9" t="str">
        <f>HYPERLINK(".\links\REFSEQ-INVERTEBRATE\AGAP010465-PA-REFSEQ-INVERTEBRATE.txt","uncharacterized protein LOC109403448")</f>
        <v>uncharacterized protein LOC109403448</v>
      </c>
      <c r="BB200" s="2" t="str">
        <f>HYPERLINK("http://www.ncbi.nlm.nih.gov/sutils/blink.cgi?pid=XP_019531819.1","1E-117")</f>
        <v>1E-117</v>
      </c>
      <c r="BC200" s="2" t="str">
        <f>HYPERLINK("http://www.ncbi.nlm.nih.gov/protein/XP_019531819.1","XP_019531819.1")</f>
        <v>XP_019531819.1</v>
      </c>
      <c r="BD200" s="2">
        <v>60</v>
      </c>
      <c r="BE200" s="2">
        <v>69</v>
      </c>
      <c r="BF200" s="2">
        <v>116</v>
      </c>
      <c r="BG200" s="2" t="s">
        <v>2012</v>
      </c>
      <c r="BH200" s="9" t="str">
        <f>HYPERLINK(".\links\REFSEQ-PROTOZOA\AGAP010465-PA-REFSEQ-PROTOZOA.txt","hypothetical protein EMH_0066400")</f>
        <v>hypothetical protein EMH_0066400</v>
      </c>
      <c r="BI200" s="2" t="str">
        <f>HYPERLINK("http://www.ncbi.nlm.nih.gov/sutils/blink.cgi?pid=XP_013353950.1","4E-016")</f>
        <v>4E-016</v>
      </c>
      <c r="BJ200" s="2" t="str">
        <f>HYPERLINK("http://www.ncbi.nlm.nih.gov/protein/XP_013353950.1","XP_013353950.1")</f>
        <v>XP_013353950.1</v>
      </c>
      <c r="BK200" s="2">
        <v>43</v>
      </c>
      <c r="BL200" s="2">
        <v>47</v>
      </c>
      <c r="BM200" s="2">
        <v>54</v>
      </c>
      <c r="BN200" s="2" t="s">
        <v>2035</v>
      </c>
      <c r="BO200" s="9" t="str">
        <f>HYPERLINK(".\links\SWISSP\AGAP010465-PA-SWISSP.txt","BMP-2-inducible protein kinase")</f>
        <v>BMP-2-inducible protein kinase</v>
      </c>
      <c r="BP200" s="2" t="str">
        <f>HYPERLINK("http://www.uniprot.org/uniprot/Q9NSY1","3E-012")</f>
        <v>3E-012</v>
      </c>
      <c r="BQ200" s="2" t="str">
        <f>HYPERLINK("http://www.uniprot.org/uniprot/Q9NSY1#expression","Q9NSY1")</f>
        <v>Q9NSY1</v>
      </c>
      <c r="BR200" s="2">
        <v>34</v>
      </c>
      <c r="BS200" s="2">
        <v>41</v>
      </c>
      <c r="BT200" s="2">
        <v>15</v>
      </c>
      <c r="BU200" s="2" t="s">
        <v>115</v>
      </c>
      <c r="BV200" s="9" t="str">
        <f>HYPERLINK(".\links\FLYBASE\AGAP010465-PA-FLYBASE.txt","FBpp0075590")</f>
        <v>FBpp0075590</v>
      </c>
      <c r="BW200" s="2" t="str">
        <f>HYPERLINK("http://flybase.org/reports/FBgn0036360#alliance_summary_container","4E-38")</f>
        <v>4E-38</v>
      </c>
      <c r="BX200" s="2">
        <v>475</v>
      </c>
      <c r="BY200" s="2">
        <v>47</v>
      </c>
      <c r="BZ200" s="2">
        <v>60</v>
      </c>
      <c r="CA200" s="2">
        <v>37</v>
      </c>
      <c r="CB200" s="9" t="str">
        <f>HYPERLINK(".\links\CDD\AGAP010465-PA-CDD.txt","PAT1, Topoisomerase II-associated protein PAT1")</f>
        <v>PAT1, Topoisomerase II-associated protein PAT1</v>
      </c>
      <c r="CC200" s="13">
        <v>3.9999999999999998E-7</v>
      </c>
      <c r="CD200" s="2">
        <v>15.3</v>
      </c>
      <c r="CE200" s="2" t="s">
        <v>2582</v>
      </c>
      <c r="CF200" s="2" t="s">
        <v>2583</v>
      </c>
      <c r="CG200" s="9" t="str">
        <f>HYPERLINK(".\links\KOG\AGAP010465-PA-KOG.txt","pore-forming alpha1I subunit")</f>
        <v>pore-forming alpha1I subunit</v>
      </c>
      <c r="CH200" s="13">
        <v>1.9999999999999999E-7</v>
      </c>
      <c r="CI200" s="2">
        <v>7.9</v>
      </c>
      <c r="CJ200" s="2" t="s">
        <v>1819</v>
      </c>
      <c r="CK200" s="2" t="s">
        <v>1809</v>
      </c>
      <c r="CL200" s="9" t="str">
        <f>HYPERLINK(".\links\PFAM\AGAP010465-PA-PFAM.txt","PAT1, Topoisomerase II-associated protein PAT1")</f>
        <v>PAT1, Topoisomerase II-associated protein PAT1</v>
      </c>
      <c r="CM200" s="13">
        <v>7.0000000000000005E-8</v>
      </c>
      <c r="CN200" s="2">
        <v>15.3</v>
      </c>
      <c r="CO200" s="2" t="s">
        <v>2582</v>
      </c>
      <c r="CP200" s="9" t="str">
        <f>HYPERLINK(".\links\SMART\AGAP010465-PA-SMART.txt","CRISPR_assoc, This domain forms an anti-parallel beta strand structure with flanking alpha helical regions")</f>
        <v>CRISPR_assoc, This domain forms an anti-parallel beta strand structure with flanking alpha helical regions</v>
      </c>
      <c r="CQ200" s="13">
        <v>0.34</v>
      </c>
      <c r="CR200" s="2">
        <v>24.7</v>
      </c>
      <c r="CS200" s="2" t="s">
        <v>2584</v>
      </c>
      <c r="CT200" s="2" t="s">
        <v>2579</v>
      </c>
      <c r="CU200" s="2" t="s">
        <v>2579</v>
      </c>
      <c r="CV200" s="2" t="s">
        <v>2579</v>
      </c>
      <c r="CW200" s="2" t="str">
        <f>HYPERLINK(".\links\pep\AGAP010465-PA-pep.txt","AGAP010465-PA")</f>
        <v>AGAP010465-PA</v>
      </c>
      <c r="CX200" s="2" t="s">
        <v>88</v>
      </c>
      <c r="CY200" s="2">
        <v>377</v>
      </c>
      <c r="CZ200" s="2" t="s">
        <v>103</v>
      </c>
      <c r="DA200" s="2" t="s">
        <v>2585</v>
      </c>
      <c r="DB200" s="2">
        <v>0</v>
      </c>
      <c r="DC200" s="2">
        <v>0</v>
      </c>
      <c r="DD200" s="2" t="str">
        <f>HYPERLINK("https://www.kegg.jp/kegg-bin/search_pathway_text?map=aga&amp;keyword=AGAP010465&amp;mode=1&amp;viewImage=true","AGAP010465")</f>
        <v>AGAP010465</v>
      </c>
      <c r="DE200" s="2" t="s">
        <v>2578</v>
      </c>
      <c r="DF200" s="2" t="s">
        <v>86</v>
      </c>
      <c r="DG200" s="2" t="s">
        <v>87</v>
      </c>
      <c r="DH200" s="2" t="str">
        <f>HYPERLINK("https://vectorbase.org/vectorbase/app/record/gene/AGAP010465","AGAP010465-RA")</f>
        <v>AGAP010465-RA</v>
      </c>
      <c r="DI200" s="2" t="s">
        <v>105</v>
      </c>
      <c r="DJ200" s="2">
        <v>3483</v>
      </c>
      <c r="DK200" s="2" t="str">
        <f>HYPERLINK(".\links\netoglyc\AGAP010465-PA-netoglyc.txt","3")</f>
        <v>3</v>
      </c>
      <c r="DL200" s="2">
        <v>16.7</v>
      </c>
      <c r="DM200" s="2">
        <v>6.1</v>
      </c>
      <c r="DN200" s="2">
        <v>9</v>
      </c>
      <c r="DO200" s="2" t="s">
        <v>94</v>
      </c>
      <c r="DP200" s="2" t="s">
        <v>2586</v>
      </c>
      <c r="DQ200" s="2" t="str">
        <f>HYPERLINK(".\links\Sigp\AGAP010465-PA-SigP.txt","CYT")</f>
        <v>CYT</v>
      </c>
      <c r="DR200" s="2" t="s">
        <v>89</v>
      </c>
      <c r="DS200" s="2">
        <v>41.014000000000003</v>
      </c>
      <c r="DT200" s="2">
        <v>8.34</v>
      </c>
      <c r="DU200" s="2" t="s">
        <v>89</v>
      </c>
      <c r="DV200" s="2" t="s">
        <v>89</v>
      </c>
      <c r="DW200" s="2" t="s">
        <v>2581</v>
      </c>
      <c r="DX200" s="2">
        <v>377</v>
      </c>
      <c r="DY200" s="12" t="str">
        <f>HYPERLINK(".\links\tmhmm\AGAP010465-PA-tmhmm.txt","2")</f>
        <v>2</v>
      </c>
      <c r="DZ200" s="2">
        <v>10.9</v>
      </c>
      <c r="EA200" s="2">
        <v>87.3</v>
      </c>
      <c r="EB200" s="2">
        <v>1.9</v>
      </c>
      <c r="EC200" s="2" t="str">
        <f>HYPERLINK(".\links\gpi\AGAP010465-PA-gpi.txt","Y-NoSP")</f>
        <v>Y-NoSP</v>
      </c>
      <c r="ED200" s="2">
        <v>0.46</v>
      </c>
      <c r="EF200" s="2">
        <v>5</v>
      </c>
      <c r="EG200" s="2" t="s">
        <v>89</v>
      </c>
      <c r="EH200" s="2" t="s">
        <v>89</v>
      </c>
      <c r="EI200" s="2">
        <v>16.710875331564999</v>
      </c>
      <c r="EJ200" s="2">
        <v>9.0185676392573004</v>
      </c>
      <c r="EK200" s="2">
        <v>6.1007957559681696</v>
      </c>
      <c r="EL200" s="2">
        <v>15.1193633952255</v>
      </c>
      <c r="EM200" s="2" t="s">
        <v>89</v>
      </c>
      <c r="EN200" s="2" t="s">
        <v>89</v>
      </c>
      <c r="EO200" s="2">
        <v>2</v>
      </c>
      <c r="EP200" s="2" t="s">
        <v>89</v>
      </c>
      <c r="EQ200" s="2" t="s">
        <v>89</v>
      </c>
      <c r="ER200" s="2" t="s">
        <v>89</v>
      </c>
      <c r="ES200" s="2" t="s">
        <v>89</v>
      </c>
      <c r="ET200" s="2" t="str">
        <f>HYPERLINK(".\links\REFSEQ-INVERTEBRATE\AGAP010465-PA-REFSEQ-INVERTEBRATE.txt","cation channel sperm-associated protein 1-like")</f>
        <v>cation channel sperm-associated protein 1-like</v>
      </c>
      <c r="EU200" s="2" t="str">
        <f>HYPERLINK("http://www.ncbi.nlm.nih.gov/sutils/blink.cgi?pid=XP_035903425.1","1E-177")</f>
        <v>1E-177</v>
      </c>
      <c r="EV200" s="2" t="str">
        <f>HYPERLINK("http://www.ncbi.nlm.nih.gov/protein/XP_035903425.1","XP_035903425.1")</f>
        <v>XP_035903425.1</v>
      </c>
      <c r="EW200" s="2">
        <v>79</v>
      </c>
      <c r="EX200" s="2">
        <v>84</v>
      </c>
      <c r="EY200" s="2">
        <v>100</v>
      </c>
      <c r="EZ200" s="2" t="s">
        <v>600</v>
      </c>
    </row>
    <row r="201" spans="1:156" x14ac:dyDescent="0.25">
      <c r="A201" s="2" t="s">
        <v>1262</v>
      </c>
      <c r="B201" s="2">
        <v>-1.0272190902576499</v>
      </c>
      <c r="C201" s="2">
        <f t="shared" si="3"/>
        <v>0.49065501451778387</v>
      </c>
      <c r="D201" s="2">
        <v>8.3716781069219106</v>
      </c>
      <c r="E201" s="2">
        <v>16.206993853460698</v>
      </c>
      <c r="F201" s="2">
        <v>5.6784087932677799E-5</v>
      </c>
      <c r="G201" s="2">
        <v>5.9272567080315697E-3</v>
      </c>
      <c r="H201" s="2" t="s">
        <v>1263</v>
      </c>
      <c r="I201" s="2" t="s">
        <v>466</v>
      </c>
      <c r="J201" s="8" t="s">
        <v>1264</v>
      </c>
      <c r="Q201" s="9"/>
      <c r="W201" s="10"/>
      <c r="AB201" s="9"/>
      <c r="AC201" s="9"/>
      <c r="AJ201" s="9"/>
      <c r="AN201" s="9"/>
      <c r="AO201" s="11"/>
      <c r="AP201" s="9"/>
      <c r="AT201" s="9"/>
      <c r="BA201" s="9"/>
      <c r="BH201" s="9"/>
      <c r="BO201" s="9"/>
      <c r="BV201" s="9"/>
      <c r="CB201" s="9"/>
      <c r="CG201" s="9"/>
      <c r="CL201" s="9"/>
      <c r="CP201" s="9"/>
      <c r="DE201" s="2" t="s">
        <v>1262</v>
      </c>
      <c r="DF201" s="2" t="s">
        <v>1263</v>
      </c>
      <c r="DG201" s="2" t="s">
        <v>466</v>
      </c>
      <c r="DH201" s="8" t="s">
        <v>1264</v>
      </c>
      <c r="DI201" s="2" t="s">
        <v>105</v>
      </c>
      <c r="DJ201" s="2">
        <v>1552</v>
      </c>
      <c r="DQ201" s="2" t="s">
        <v>468</v>
      </c>
      <c r="DS201" s="2">
        <v>44819</v>
      </c>
      <c r="DT201" s="2">
        <v>9.11</v>
      </c>
      <c r="DX201" s="2">
        <v>408</v>
      </c>
      <c r="DY201" s="12"/>
    </row>
    <row r="202" spans="1:156" x14ac:dyDescent="0.25">
      <c r="A202" s="2" t="s">
        <v>825</v>
      </c>
      <c r="B202" s="2">
        <v>-1.0308685588981701</v>
      </c>
      <c r="C202" s="2">
        <f t="shared" si="3"/>
        <v>0.48941541284123724</v>
      </c>
      <c r="D202" s="2">
        <v>5.09121039645715</v>
      </c>
      <c r="E202" s="2">
        <v>10.6991271888671</v>
      </c>
      <c r="F202" s="2">
        <v>1.0718608989646E-3</v>
      </c>
      <c r="G202" s="2">
        <v>4.2741958768824397E-2</v>
      </c>
      <c r="H202" s="2" t="s">
        <v>86</v>
      </c>
      <c r="I202" s="2" t="s">
        <v>87</v>
      </c>
      <c r="J202" s="2" t="str">
        <f>HYPERLINK("https://vectorbase.org/vectorbase/app/record/gene/AGAP003483","AGAP003483-RA")</f>
        <v>AGAP003483-RA</v>
      </c>
      <c r="K202" s="2" t="str">
        <f>HYPERLINK(".\links\pep\AGAP003483-PA-pep.txt","AGAP003483-PA")</f>
        <v>AGAP003483-PA</v>
      </c>
      <c r="L202" s="12" t="s">
        <v>88</v>
      </c>
      <c r="M202" s="2">
        <v>540</v>
      </c>
      <c r="N202" s="2">
        <v>0</v>
      </c>
      <c r="O202" s="2">
        <v>0</v>
      </c>
      <c r="P202" s="2" t="s">
        <v>89</v>
      </c>
      <c r="Q202" s="9" t="s">
        <v>826</v>
      </c>
      <c r="R202" s="2" t="s">
        <v>164</v>
      </c>
      <c r="S202" s="2" t="str">
        <f>HYPERLINK(".\links\KOG\AGAP003483-PA-KOG.txt","KOG")</f>
        <v>KOG</v>
      </c>
      <c r="T202" s="2">
        <v>3.9999999999999997E-49</v>
      </c>
      <c r="U202" s="2">
        <v>87</v>
      </c>
      <c r="V202" s="2" t="s">
        <v>827</v>
      </c>
      <c r="W202" s="10" t="s">
        <v>564</v>
      </c>
      <c r="X202" s="2" t="s">
        <v>164</v>
      </c>
      <c r="Y202" s="2" t="str">
        <f>HYPERLINK(".\links\COG\AGAP003483-PA-COG.txt","COG")</f>
        <v>COG</v>
      </c>
      <c r="Z202" s="13">
        <v>2E-35</v>
      </c>
      <c r="AA202" s="2">
        <v>98.1</v>
      </c>
      <c r="AB202" s="14" t="str">
        <f>HYPERLINK(".\links\pep\AGAP003483-PA-sulf.txt","2")</f>
        <v>2</v>
      </c>
      <c r="AC202" s="14" t="str">
        <f>HYPERLINK(".\links\Sigp\AGAP003483-PA-SigP.txt","CYT")</f>
        <v>CYT</v>
      </c>
      <c r="AD202" s="2" t="s">
        <v>89</v>
      </c>
      <c r="AE202" s="2">
        <v>59.338999999999999</v>
      </c>
      <c r="AF202" s="2">
        <v>7.65</v>
      </c>
      <c r="AG202" s="2" t="s">
        <v>89</v>
      </c>
      <c r="AH202" s="2" t="s">
        <v>89</v>
      </c>
      <c r="AI202" s="2" t="s">
        <v>828</v>
      </c>
      <c r="AJ202" s="14">
        <v>0</v>
      </c>
      <c r="AK202" s="2" t="s">
        <v>89</v>
      </c>
      <c r="AL202" s="2" t="s">
        <v>89</v>
      </c>
      <c r="AM202" s="2" t="s">
        <v>89</v>
      </c>
      <c r="AN202" s="14" t="str">
        <f>HYPERLINK(".\links\gpi\AGAP003483-PA-gpi.txt","N")</f>
        <v>N</v>
      </c>
      <c r="AO202" s="15" t="str">
        <f>HYPERLINK(".\links\netoglyc\AGAP003483-PA-netoglyc.txt","1")</f>
        <v>1</v>
      </c>
      <c r="AP202" s="14">
        <v>11.5</v>
      </c>
      <c r="AQ202" s="2">
        <v>7.6</v>
      </c>
      <c r="AR202" s="2">
        <v>5.4</v>
      </c>
      <c r="AS202" s="2" t="s">
        <v>94</v>
      </c>
      <c r="AT202" s="9" t="str">
        <f>HYPERLINK(".\links\NR-LIGHT\AGAP003483-PA-NR-LIGHT.txt","AGAP003483-PA")</f>
        <v>AGAP003483-PA</v>
      </c>
      <c r="AU202" s="2" t="str">
        <f>HYPERLINK("http://www.ncbi.nlm.nih.gov/sutils/blink.cgi?pid=XP_001688203.2","0.0")</f>
        <v>0.0</v>
      </c>
      <c r="AV202" s="2" t="str">
        <f>HYPERLINK("http://www.ncbi.nlm.nih.gov/protein/XP_001688203.2","XP_001688203.2")</f>
        <v>XP_001688203.2</v>
      </c>
      <c r="AW202" s="2">
        <v>100</v>
      </c>
      <c r="AX202" s="2">
        <v>100</v>
      </c>
      <c r="AY202" s="2">
        <v>100</v>
      </c>
      <c r="AZ202" s="2" t="s">
        <v>95</v>
      </c>
      <c r="BA202" s="9" t="str">
        <f>HYPERLINK(".\links\REFSEQ-INVERTEBRATE\AGAP003483-PA-REFSEQ-INVERTEBRATE.txt","AGAP003483-PA")</f>
        <v>AGAP003483-PA</v>
      </c>
      <c r="BB202" s="2" t="str">
        <f>HYPERLINK("http://www.ncbi.nlm.nih.gov/sutils/blink.cgi?pid=XP_001688203.2","0.0")</f>
        <v>0.0</v>
      </c>
      <c r="BC202" s="2" t="str">
        <f>HYPERLINK("http://www.ncbi.nlm.nih.gov/protein/XP_001688203.2","XP_001688203.2")</f>
        <v>XP_001688203.2</v>
      </c>
      <c r="BD202" s="2">
        <v>100</v>
      </c>
      <c r="BE202" s="2">
        <v>100</v>
      </c>
      <c r="BF202" s="2">
        <v>100</v>
      </c>
      <c r="BG202" s="2" t="s">
        <v>95</v>
      </c>
      <c r="BH202" s="9" t="str">
        <f>HYPERLINK(".\links\REFSEQ-PROTOZOA\AGAP003483-PA-REFSEQ-PROTOZOA.txt","4-coumarate-CoA ligase")</f>
        <v>4-coumarate-CoA ligase</v>
      </c>
      <c r="BI202" s="2" t="str">
        <f>HYPERLINK("http://www.ncbi.nlm.nih.gov/sutils/blink.cgi?pid=XP_638381.1","5E-091")</f>
        <v>5E-091</v>
      </c>
      <c r="BJ202" s="2" t="str">
        <f>HYPERLINK("http://www.ncbi.nlm.nih.gov/protein/XP_638381.1","XP_638381.1")</f>
        <v>XP_638381.1</v>
      </c>
      <c r="BK202" s="2">
        <v>38</v>
      </c>
      <c r="BL202" s="2">
        <v>56</v>
      </c>
      <c r="BM202" s="2">
        <v>96</v>
      </c>
      <c r="BN202" s="2" t="s">
        <v>829</v>
      </c>
      <c r="BO202" s="9" t="str">
        <f>HYPERLINK(".\links\SWISSP\AGAP003483-PA-SWISSP.txt","Luciferin 4-monooxygenase")</f>
        <v>Luciferin 4-monooxygenase</v>
      </c>
      <c r="BP202" s="2" t="str">
        <f>HYPERLINK("http://www.uniprot.org/uniprot/P13129","3E-099")</f>
        <v>3E-099</v>
      </c>
      <c r="BQ202" s="2" t="str">
        <f>HYPERLINK("http://www.uniprot.org/uniprot/P13129#expression","P13129")</f>
        <v>P13129</v>
      </c>
      <c r="BR202" s="2">
        <v>41</v>
      </c>
      <c r="BS202" s="2">
        <v>60</v>
      </c>
      <c r="BT202" s="2">
        <v>93</v>
      </c>
      <c r="BU202" s="2" t="s">
        <v>830</v>
      </c>
      <c r="BV202" s="9" t="str">
        <f>HYPERLINK(".\links\FLYBASE\AGAP003483-PA-FLYBASE.txt","FBpp0083935")</f>
        <v>FBpp0083935</v>
      </c>
      <c r="BW202" s="2" t="str">
        <f>HYPERLINK("http://flybase.org/reports/FBgn0039156#alliance_summary_container","1E-154")</f>
        <v>1E-154</v>
      </c>
      <c r="BX202" s="2">
        <v>544</v>
      </c>
      <c r="BY202" s="2">
        <v>45</v>
      </c>
      <c r="BZ202" s="2">
        <v>62</v>
      </c>
      <c r="CA202" s="2">
        <v>99</v>
      </c>
      <c r="CB202" s="9" t="str">
        <f>HYPERLINK(".\links\CDD\AGAP003483-PA-CDD.txt","Firefly_Luc_like, Firefly luciferase of light emitting insects and 4-Coumarate-CoA Ligase (4CL)")</f>
        <v>Firefly_Luc_like, Firefly luciferase of light emitting insects and 4-Coumarate-CoA Ligase (4CL)</v>
      </c>
      <c r="CC202" s="13">
        <v>9.9999999999999997E-148</v>
      </c>
      <c r="CD202" s="2">
        <v>100.8</v>
      </c>
      <c r="CE202" s="2" t="s">
        <v>831</v>
      </c>
      <c r="CF202" s="2" t="s">
        <v>832</v>
      </c>
      <c r="CG202" s="9" t="str">
        <f>HYPERLINK(".\links\KOG\AGAP003483-PA-KOG.txt","Acyl-CoA synthetase")</f>
        <v>Acyl-CoA synthetase</v>
      </c>
      <c r="CH202" s="13">
        <v>9.9999999999999999E-132</v>
      </c>
      <c r="CI202" s="2">
        <v>96.6</v>
      </c>
      <c r="CJ202" s="2" t="s">
        <v>833</v>
      </c>
      <c r="CK202" s="2" t="s">
        <v>172</v>
      </c>
      <c r="CL202" s="9" t="str">
        <f>HYPERLINK(".\links\PFAM\AGAP003483-PA-PFAM.txt","AMP-binding, AMP-binding enzyme")</f>
        <v>AMP-binding, AMP-binding enzyme</v>
      </c>
      <c r="CM202" s="13">
        <v>1E-79</v>
      </c>
      <c r="CN202" s="2">
        <v>100.5</v>
      </c>
      <c r="CO202" s="2" t="s">
        <v>834</v>
      </c>
      <c r="CP202" s="9" t="str">
        <f>HYPERLINK(".\links\SMART\AGAP003483-PA-SMART.txt","S_TKc, Serine/Threonine protein kinases, catalytic domain")</f>
        <v>S_TKc, Serine/Threonine protein kinases, catalytic domain</v>
      </c>
      <c r="CQ202" s="13">
        <v>1.3</v>
      </c>
      <c r="CR202" s="2">
        <v>9.4</v>
      </c>
      <c r="CS202" s="2" t="s">
        <v>518</v>
      </c>
      <c r="CT202" s="2" t="s">
        <v>827</v>
      </c>
      <c r="CU202" s="2" t="s">
        <v>827</v>
      </c>
      <c r="CV202" s="2" t="s">
        <v>827</v>
      </c>
      <c r="CW202" s="2" t="str">
        <f>HYPERLINK(".\links\pep\AGAP003483-PA-pep.txt","AGAP003483-PA")</f>
        <v>AGAP003483-PA</v>
      </c>
      <c r="CX202" s="2" t="s">
        <v>88</v>
      </c>
      <c r="CY202" s="2">
        <v>540</v>
      </c>
      <c r="CZ202" s="2" t="s">
        <v>103</v>
      </c>
      <c r="DA202" s="2" t="s">
        <v>835</v>
      </c>
      <c r="DB202" s="2">
        <v>0</v>
      </c>
      <c r="DC202" s="2">
        <v>0</v>
      </c>
      <c r="DD202" s="2" t="str">
        <f>HYPERLINK("https://www.kegg.jp/kegg-bin/search_pathway_text?map=aga&amp;keyword=AGAP003483&amp;mode=1&amp;viewImage=true","AGAP003483")</f>
        <v>AGAP003483</v>
      </c>
      <c r="DE202" s="2" t="s">
        <v>825</v>
      </c>
      <c r="DF202" s="2" t="s">
        <v>86</v>
      </c>
      <c r="DG202" s="2" t="s">
        <v>87</v>
      </c>
      <c r="DH202" s="2" t="str">
        <f>HYPERLINK("https://vectorbase.org/vectorbase/app/record/gene/AGAP003483","AGAP003483-RA")</f>
        <v>AGAP003483-RA</v>
      </c>
      <c r="DI202" s="2" t="s">
        <v>158</v>
      </c>
      <c r="DJ202" s="2">
        <v>1639</v>
      </c>
      <c r="DK202" s="2" t="str">
        <f>HYPERLINK(".\links\netoglyc\AGAP003483-PA-netoglyc.txt","1")</f>
        <v>1</v>
      </c>
      <c r="DL202" s="2">
        <v>11.5</v>
      </c>
      <c r="DM202" s="2">
        <v>7.6</v>
      </c>
      <c r="DN202" s="2">
        <v>5.4</v>
      </c>
      <c r="DO202" s="2" t="s">
        <v>94</v>
      </c>
      <c r="DP202" s="2" t="s">
        <v>89</v>
      </c>
      <c r="DQ202" s="2" t="str">
        <f>HYPERLINK(".\links\Sigp\AGAP003483-PA-SigP.txt","CYT")</f>
        <v>CYT</v>
      </c>
      <c r="DR202" s="2" t="s">
        <v>89</v>
      </c>
      <c r="DS202" s="2">
        <v>59.338999999999999</v>
      </c>
      <c r="DT202" s="2">
        <v>7.65</v>
      </c>
      <c r="DU202" s="2" t="s">
        <v>89</v>
      </c>
      <c r="DV202" s="2" t="s">
        <v>89</v>
      </c>
      <c r="DW202" s="2" t="s">
        <v>828</v>
      </c>
      <c r="DX202" s="2">
        <v>540</v>
      </c>
      <c r="DY202" s="12">
        <v>0</v>
      </c>
      <c r="DZ202" s="2" t="s">
        <v>89</v>
      </c>
      <c r="EA202" s="2" t="s">
        <v>89</v>
      </c>
      <c r="EB202" s="2" t="s">
        <v>89</v>
      </c>
      <c r="EC202" s="2" t="str">
        <f>HYPERLINK(".\links\gpi\AGAP003483-PA-gpi.txt","N")</f>
        <v>N</v>
      </c>
      <c r="ED202" s="2">
        <v>0.2</v>
      </c>
      <c r="EF202" s="2">
        <v>6</v>
      </c>
      <c r="EG202" s="2" t="str">
        <f>HYPERLINK(".\links\pep\AGAP003483-PA-sulf.txt","2")</f>
        <v>2</v>
      </c>
      <c r="EH202" s="2" t="s">
        <v>89</v>
      </c>
      <c r="EI202" s="2">
        <v>11.4814814814815</v>
      </c>
      <c r="EJ202" s="2">
        <v>5.3703703703703702</v>
      </c>
      <c r="EK202" s="2">
        <v>7.5925925925925899</v>
      </c>
      <c r="EL202" s="2">
        <v>12.962962962962999</v>
      </c>
      <c r="EM202" s="2">
        <v>1</v>
      </c>
      <c r="EN202" s="2">
        <v>4</v>
      </c>
      <c r="EO202" s="2">
        <v>5</v>
      </c>
      <c r="EP202" s="2" t="s">
        <v>89</v>
      </c>
      <c r="EQ202" s="2" t="s">
        <v>89</v>
      </c>
      <c r="ER202" s="2" t="s">
        <v>89</v>
      </c>
      <c r="ES202" s="2" t="s">
        <v>89</v>
      </c>
      <c r="ET202" s="2" t="str">
        <f>HYPERLINK(".\links\REFSEQ-INVERTEBRATE\AGAP003483-PA-REFSEQ-INVERTEBRATE.txt","AGAP003483-PA")</f>
        <v>AGAP003483-PA</v>
      </c>
      <c r="EU202" s="2" t="str">
        <f>HYPERLINK("http://www.ncbi.nlm.nih.gov/sutils/blink.cgi?pid=XP_001688203.2","0.0")</f>
        <v>0.0</v>
      </c>
      <c r="EV202" s="2" t="str">
        <f>HYPERLINK("http://www.ncbi.nlm.nih.gov/protein/XP_001688203.2","XP_001688203.2")</f>
        <v>XP_001688203.2</v>
      </c>
      <c r="EW202" s="2">
        <v>100</v>
      </c>
      <c r="EX202" s="2">
        <v>100</v>
      </c>
      <c r="EY202" s="2">
        <v>100</v>
      </c>
      <c r="EZ202" s="2" t="s">
        <v>95</v>
      </c>
    </row>
    <row r="203" spans="1:156" x14ac:dyDescent="0.25">
      <c r="A203" s="2" t="s">
        <v>1556</v>
      </c>
      <c r="B203" s="2">
        <v>-1.03094895323471</v>
      </c>
      <c r="C203" s="2">
        <f t="shared" si="3"/>
        <v>0.48938814087451743</v>
      </c>
      <c r="D203" s="2">
        <v>11.6754819661307</v>
      </c>
      <c r="E203" s="2">
        <v>11.1961641755715</v>
      </c>
      <c r="F203" s="2">
        <v>8.1966595926950597E-4</v>
      </c>
      <c r="G203" s="2">
        <v>3.6362431118093397E-2</v>
      </c>
      <c r="H203" s="2" t="s">
        <v>86</v>
      </c>
      <c r="I203" s="2" t="s">
        <v>87</v>
      </c>
      <c r="J203" s="2" t="str">
        <f>HYPERLINK("https://vectorbase.org/vectorbase/app/record/gene/AGAP005888","AGAP005888-RA")</f>
        <v>AGAP005888-RA</v>
      </c>
      <c r="K203" s="2" t="str">
        <f>HYPERLINK(".\links\pep\AGAP005888-PA-pep.txt","AGAP005888-PA")</f>
        <v>AGAP005888-PA</v>
      </c>
      <c r="L203" s="12" t="s">
        <v>88</v>
      </c>
      <c r="M203" s="2">
        <v>93</v>
      </c>
      <c r="N203" s="2">
        <v>0</v>
      </c>
      <c r="O203" s="2">
        <v>0</v>
      </c>
      <c r="P203" s="2" t="s">
        <v>89</v>
      </c>
      <c r="Q203" s="9" t="s">
        <v>399</v>
      </c>
      <c r="R203" s="2" t="s">
        <v>400</v>
      </c>
      <c r="S203" s="2" t="str">
        <f>HYPERLINK(".\links\REFSEQ-INVERTEBRATE\AGAP005888-PA-REFSEQ-INVERTEBRATE.txt","REFSEQ-INVERTEBRATE")</f>
        <v>REFSEQ-INVERTEBRATE</v>
      </c>
      <c r="T203" s="2">
        <v>6.9999999999999996E-56</v>
      </c>
      <c r="V203" s="2" t="s">
        <v>1557</v>
      </c>
      <c r="W203" s="10" t="s">
        <v>399</v>
      </c>
      <c r="X203" s="2" t="s">
        <v>400</v>
      </c>
      <c r="Y203" s="2" t="str">
        <f>HYPERLINK(".\links\REFSEQ-INVERTEBRATE\AGAP005888-PA-REFSEQ-INVERTEBRATE.txt","REFSEQ-INVERTEBRATE")</f>
        <v>REFSEQ-INVERTEBRATE</v>
      </c>
      <c r="Z203" s="13">
        <v>2E-55</v>
      </c>
      <c r="AA203" s="2">
        <v>100</v>
      </c>
      <c r="AB203" s="14" t="s">
        <v>89</v>
      </c>
      <c r="AC203" s="14" t="str">
        <f>HYPERLINK(".\links\Sigp\AGAP005888-PA-SigP.txt","SIG")</f>
        <v>SIG</v>
      </c>
      <c r="AD203" s="2" t="s">
        <v>804</v>
      </c>
      <c r="AE203" s="2">
        <v>10.096</v>
      </c>
      <c r="AF203" s="2">
        <v>6.44</v>
      </c>
      <c r="AG203" s="2">
        <v>7.7480000000000002</v>
      </c>
      <c r="AH203" s="2">
        <v>6.37</v>
      </c>
      <c r="AI203" s="2" t="s">
        <v>1558</v>
      </c>
      <c r="AJ203" s="14" t="str">
        <f>HYPERLINK(".\links\tmhmm\AGAP005888-PA-tmhmm.txt","1")</f>
        <v>1</v>
      </c>
      <c r="AK203" s="2">
        <v>18.3</v>
      </c>
      <c r="AL203" s="2">
        <v>76.3</v>
      </c>
      <c r="AM203" s="2">
        <v>5.4</v>
      </c>
      <c r="AN203" s="14" t="str">
        <f>HYPERLINK(".\links\gpi\AGAP005888-PA-gpi.txt","N")</f>
        <v>N</v>
      </c>
      <c r="AO203" s="15" t="str">
        <f>HYPERLINK(".\links\netoglyc\AGAP005888-PA-netoglyc.txt","0")</f>
        <v>0</v>
      </c>
      <c r="AP203" s="14">
        <v>7.5</v>
      </c>
      <c r="AQ203" s="2">
        <v>17.2</v>
      </c>
      <c r="AR203" s="2">
        <v>1.1000000000000001</v>
      </c>
      <c r="AS203" s="2" t="s">
        <v>94</v>
      </c>
      <c r="AT203" s="9" t="str">
        <f>HYPERLINK(".\links\NR-LIGHT\AGAP005888-PA-NR-LIGHT.txt","AGAP005888-PA")</f>
        <v>AGAP005888-PA</v>
      </c>
      <c r="AU203" s="2" t="str">
        <f>HYPERLINK("http://www.ncbi.nlm.nih.gov/sutils/blink.cgi?pid=XP_315913.2","8E-056")</f>
        <v>8E-056</v>
      </c>
      <c r="AV203" s="2" t="str">
        <f>HYPERLINK("http://www.ncbi.nlm.nih.gov/protein/XP_315913.2","XP_315913.2")</f>
        <v>XP_315913.2</v>
      </c>
      <c r="AW203" s="2">
        <v>100</v>
      </c>
      <c r="AX203" s="2">
        <v>100</v>
      </c>
      <c r="AY203" s="2">
        <v>100</v>
      </c>
      <c r="AZ203" s="2" t="s">
        <v>95</v>
      </c>
      <c r="BA203" s="9" t="str">
        <f>HYPERLINK(".\links\REFSEQ-INVERTEBRATE\AGAP005888-PA-REFSEQ-INVERTEBRATE.txt","AGAP005888-PA")</f>
        <v>AGAP005888-PA</v>
      </c>
      <c r="BB203" s="2" t="str">
        <f>HYPERLINK("http://www.ncbi.nlm.nih.gov/sutils/blink.cgi?pid=XP_315913.2","7E-056")</f>
        <v>7E-056</v>
      </c>
      <c r="BC203" s="2" t="str">
        <f>HYPERLINK("http://www.ncbi.nlm.nih.gov/protein/XP_315913.2","XP_315913.2")</f>
        <v>XP_315913.2</v>
      </c>
      <c r="BD203" s="2">
        <v>100</v>
      </c>
      <c r="BE203" s="2">
        <v>100</v>
      </c>
      <c r="BF203" s="2">
        <v>100</v>
      </c>
      <c r="BG203" s="2" t="s">
        <v>95</v>
      </c>
      <c r="BH203" s="9" t="str">
        <f>HYPERLINK(".\links\REFSEQ-PROTOZOA\AGAP005888-PA-REFSEQ-PROTOZOA.txt","major histocompatibility complex, class I, partial")</f>
        <v>major histocompatibility complex, class I, partial</v>
      </c>
      <c r="BI203" s="2" t="str">
        <f>HYPERLINK("http://www.ncbi.nlm.nih.gov/sutils/blink.cgi?pid=XP_008613590.1","3E-012")</f>
        <v>3E-012</v>
      </c>
      <c r="BJ203" s="2" t="str">
        <f>HYPERLINK("http://www.ncbi.nlm.nih.gov/protein/XP_008613590.1","XP_008613590.1")</f>
        <v>XP_008613590.1</v>
      </c>
      <c r="BK203" s="2">
        <v>39</v>
      </c>
      <c r="BL203" s="2">
        <v>47</v>
      </c>
      <c r="BM203" s="2">
        <v>26</v>
      </c>
      <c r="BN203" s="2" t="s">
        <v>133</v>
      </c>
      <c r="BO203" s="9" t="str">
        <f>HYPERLINK(".\links\SWISSP\AGAP005888-PA-SWISSP.txt","Zinc transporter SLC39A7")</f>
        <v>Zinc transporter SLC39A7</v>
      </c>
      <c r="BP203" s="2" t="str">
        <f>HYPERLINK("http://www.uniprot.org/uniprot/Q5TJF6","1E-011")</f>
        <v>1E-011</v>
      </c>
      <c r="BQ203" s="2" t="str">
        <f>HYPERLINK("http://www.uniprot.org/uniprot/Q5TJF6#expression","Q5TJF6")</f>
        <v>Q5TJF6</v>
      </c>
      <c r="BR203" s="2">
        <v>38</v>
      </c>
      <c r="BS203" s="2">
        <v>48</v>
      </c>
      <c r="BT203" s="2">
        <v>22</v>
      </c>
      <c r="BU203" s="2" t="s">
        <v>1559</v>
      </c>
      <c r="BV203" s="9" t="str">
        <f>HYPERLINK(".\links\FLYBASE\AGAP005888-PA-FLYBASE.txt","FBpp0111341")</f>
        <v>FBpp0111341</v>
      </c>
      <c r="BW203" s="2" t="str">
        <f>HYPERLINK("http://flybase.org/reports/FBgn0085261#alliance_summary_container","22")</f>
        <v>22</v>
      </c>
      <c r="BX203" s="2">
        <v>129</v>
      </c>
      <c r="BY203" s="2">
        <v>27</v>
      </c>
      <c r="BZ203" s="2">
        <v>61</v>
      </c>
      <c r="CA203" s="2">
        <v>28</v>
      </c>
      <c r="CB203" s="9" t="str">
        <f>HYPERLINK(".\links\CDD\AGAP005888-PA-CDD.txt","ZnuA, ABC-type Zn2+ transport system, periplasmic component/surface adhesin")</f>
        <v>ZnuA, ABC-type Zn2+ transport system, periplasmic component/surface adhesin</v>
      </c>
      <c r="CC203" s="13">
        <v>1.2E-2</v>
      </c>
      <c r="CD203" s="2">
        <v>14.8</v>
      </c>
      <c r="CE203" s="2" t="s">
        <v>1560</v>
      </c>
      <c r="CF203" s="2" t="s">
        <v>1561</v>
      </c>
      <c r="CG203" s="9" t="str">
        <f>HYPERLINK(".\links\KOG\AGAP005888-PA-KOG.txt","Putative Zn2+ transporter MSC2 (cation diffusion facilitator superfamily)")</f>
        <v>Putative Zn2+ transporter MSC2 (cation diffusion facilitator superfamily)</v>
      </c>
      <c r="CH203" s="13">
        <v>8.0000000000000002E-3</v>
      </c>
      <c r="CI203" s="2">
        <v>15</v>
      </c>
      <c r="CJ203" s="2" t="s">
        <v>1562</v>
      </c>
      <c r="CK203" s="2" t="s">
        <v>653</v>
      </c>
      <c r="CL203" s="9" t="str">
        <f>HYPERLINK(".\links\PFAM\AGAP005888-PA-PFAM.txt","Zip, ZIP Zinc transporter")</f>
        <v>Zip, ZIP Zinc transporter</v>
      </c>
      <c r="CM203" s="13">
        <v>0.01</v>
      </c>
      <c r="CN203" s="2">
        <v>21.5</v>
      </c>
      <c r="CO203" s="2" t="s">
        <v>1563</v>
      </c>
      <c r="CP203" s="9" t="str">
        <f>HYPERLINK(".\links\SMART\AGAP005888-PA-SMART.txt","PSN, Presenilin, signal peptide peptidase, family")</f>
        <v>PSN, Presenilin, signal peptide peptidase, family</v>
      </c>
      <c r="CQ203" s="13">
        <v>0.93</v>
      </c>
      <c r="CR203" s="2">
        <v>7.2</v>
      </c>
      <c r="CS203" s="2" t="s">
        <v>1564</v>
      </c>
      <c r="CT203" s="2" t="s">
        <v>1557</v>
      </c>
      <c r="CU203" s="2" t="s">
        <v>1557</v>
      </c>
      <c r="CV203" s="2" t="s">
        <v>1557</v>
      </c>
      <c r="CW203" s="2" t="str">
        <f>HYPERLINK(".\links\pep\AGAP005888-PA-pep.txt","AGAP005888-PA")</f>
        <v>AGAP005888-PA</v>
      </c>
      <c r="CX203" s="2" t="s">
        <v>88</v>
      </c>
      <c r="CY203" s="2">
        <v>93</v>
      </c>
      <c r="CZ203" s="2" t="s">
        <v>103</v>
      </c>
      <c r="DA203" s="2" t="s">
        <v>1565</v>
      </c>
      <c r="DB203" s="2">
        <v>0</v>
      </c>
      <c r="DC203" s="2">
        <v>0</v>
      </c>
      <c r="DD203" s="2" t="str">
        <f>HYPERLINK("https://www.kegg.jp/kegg-bin/search_pathway_text?map=aga&amp;keyword=AGAP005888&amp;mode=1&amp;viewImage=true","AGAP005888")</f>
        <v>AGAP005888</v>
      </c>
      <c r="DE203" s="2" t="s">
        <v>1556</v>
      </c>
      <c r="DF203" s="2" t="s">
        <v>86</v>
      </c>
      <c r="DG203" s="2" t="s">
        <v>87</v>
      </c>
      <c r="DH203" s="2" t="str">
        <f>HYPERLINK("https://vectorbase.org/vectorbase/app/record/gene/AGAP005888","AGAP005888-RA")</f>
        <v>AGAP005888-RA</v>
      </c>
      <c r="DI203" s="2" t="s">
        <v>105</v>
      </c>
      <c r="DJ203" s="2">
        <v>472</v>
      </c>
      <c r="DK203" s="2" t="str">
        <f>HYPERLINK(".\links\netoglyc\AGAP005888-PA-netoglyc.txt","0")</f>
        <v>0</v>
      </c>
      <c r="DL203" s="2">
        <v>7.5</v>
      </c>
      <c r="DM203" s="2">
        <v>17.2</v>
      </c>
      <c r="DN203" s="2">
        <v>1.1000000000000001</v>
      </c>
      <c r="DO203" s="2" t="s">
        <v>94</v>
      </c>
      <c r="DP203" s="2" t="s">
        <v>89</v>
      </c>
      <c r="DQ203" s="2" t="str">
        <f>HYPERLINK(".\links\Sigp\AGAP005888-PA-SigP.txt","SIG")</f>
        <v>SIG</v>
      </c>
      <c r="DR203" s="2" t="s">
        <v>804</v>
      </c>
      <c r="DS203" s="2">
        <v>10.096</v>
      </c>
      <c r="DT203" s="2">
        <v>6.44</v>
      </c>
      <c r="DU203" s="2">
        <v>7.7480000000000002</v>
      </c>
      <c r="DV203" s="2">
        <v>6.37</v>
      </c>
      <c r="DW203" s="2" t="s">
        <v>1558</v>
      </c>
      <c r="DX203" s="2">
        <v>93</v>
      </c>
      <c r="DY203" s="12" t="str">
        <f>HYPERLINK(".\links\tmhmm\AGAP005888-PA-tmhmm.txt","1")</f>
        <v>1</v>
      </c>
      <c r="DZ203" s="2">
        <v>18.3</v>
      </c>
      <c r="EA203" s="2">
        <v>76.3</v>
      </c>
      <c r="EB203" s="2">
        <v>5.4</v>
      </c>
      <c r="EC203" s="2" t="str">
        <f>HYPERLINK(".\links\gpi\AGAP005888-PA-gpi.txt","N")</f>
        <v>N</v>
      </c>
      <c r="ED203" s="2">
        <v>0.81</v>
      </c>
      <c r="EE203" s="2" t="s">
        <v>1566</v>
      </c>
      <c r="EF203" s="2">
        <v>1</v>
      </c>
      <c r="EG203" s="2" t="s">
        <v>89</v>
      </c>
      <c r="EH203" s="2" t="s">
        <v>89</v>
      </c>
      <c r="EI203" s="2">
        <v>7.5268817204301097</v>
      </c>
      <c r="EJ203" s="2">
        <v>1.0752688172042999</v>
      </c>
      <c r="EK203" s="2">
        <v>17.204301075268798</v>
      </c>
      <c r="EL203" s="2">
        <v>18.279569892473098</v>
      </c>
      <c r="EM203" s="2" t="s">
        <v>89</v>
      </c>
      <c r="EN203" s="2" t="s">
        <v>89</v>
      </c>
      <c r="EO203" s="2" t="s">
        <v>89</v>
      </c>
      <c r="EP203" s="2" t="s">
        <v>89</v>
      </c>
      <c r="EQ203" s="2" t="s">
        <v>89</v>
      </c>
      <c r="ER203" s="2" t="s">
        <v>89</v>
      </c>
      <c r="ES203" s="2" t="s">
        <v>89</v>
      </c>
      <c r="ET203" s="2" t="str">
        <f>HYPERLINK(".\links\REFSEQ-INVERTEBRATE\AGAP005888-PA-REFSEQ-INVERTEBRATE.txt","AGAP005888-PA")</f>
        <v>AGAP005888-PA</v>
      </c>
      <c r="EU203" s="2" t="str">
        <f>HYPERLINK("http://www.ncbi.nlm.nih.gov/sutils/blink.cgi?pid=XP_315913.2","3E-55")</f>
        <v>3E-55</v>
      </c>
      <c r="EV203" s="2" t="str">
        <f>HYPERLINK("http://www.ncbi.nlm.nih.gov/protein/XP_315913.2","XP_315913.2")</f>
        <v>XP_315913.2</v>
      </c>
      <c r="EW203" s="2">
        <v>100</v>
      </c>
      <c r="EX203" s="2">
        <v>100</v>
      </c>
      <c r="EY203" s="2">
        <v>100</v>
      </c>
      <c r="EZ203" s="2" t="s">
        <v>95</v>
      </c>
    </row>
    <row r="204" spans="1:156" x14ac:dyDescent="0.25">
      <c r="A204" s="2" t="s">
        <v>1341</v>
      </c>
      <c r="B204" s="2">
        <v>-1.0318033033652001</v>
      </c>
      <c r="C204" s="2">
        <f t="shared" si="3"/>
        <v>0.48909841571806234</v>
      </c>
      <c r="D204" s="2">
        <v>8.2484085484708896</v>
      </c>
      <c r="E204" s="2">
        <v>13.1598921183736</v>
      </c>
      <c r="F204" s="2">
        <v>2.86005350646175E-4</v>
      </c>
      <c r="G204" s="2">
        <v>1.8234125558861201E-2</v>
      </c>
      <c r="H204" s="2" t="s">
        <v>1342</v>
      </c>
      <c r="I204" s="2" t="s">
        <v>87</v>
      </c>
      <c r="J204" s="2" t="str">
        <f>HYPERLINK("https://vectorbase.org/vectorbase/app/record/gene/AGAP004794","AGAP004794-RA")</f>
        <v>AGAP004794-RA</v>
      </c>
      <c r="K204" s="2" t="str">
        <f>HYPERLINK(".\links\pep\AGAP004794-PA-pep.txt","AGAP004794-PA")</f>
        <v>AGAP004794-PA</v>
      </c>
      <c r="L204" s="12" t="s">
        <v>88</v>
      </c>
      <c r="M204" s="2">
        <v>398</v>
      </c>
      <c r="N204" s="2">
        <v>0</v>
      </c>
      <c r="O204" s="2">
        <v>4</v>
      </c>
      <c r="P204" s="2" t="s">
        <v>1343</v>
      </c>
      <c r="Q204" s="9" t="s">
        <v>1344</v>
      </c>
      <c r="R204" s="2" t="s">
        <v>1345</v>
      </c>
      <c r="S204" s="2" t="str">
        <f>HYPERLINK(".\links\REFSEQ-INVERTEBRATE\AGAP004794-PA-REFSEQ-INVERTEBRATE.txt","REFSEQ-INVERTEBRATE")</f>
        <v>REFSEQ-INVERTEBRATE</v>
      </c>
      <c r="T204" s="2">
        <v>0</v>
      </c>
      <c r="U204" s="2">
        <v>89.5</v>
      </c>
      <c r="V204" s="2" t="s">
        <v>1346</v>
      </c>
      <c r="W204" s="10" t="s">
        <v>1347</v>
      </c>
      <c r="X204" s="2" t="s">
        <v>1348</v>
      </c>
      <c r="Y204" s="2" t="str">
        <f>HYPERLINK(".\links\ARTHORPODA\AGAP004794-PA-ARTHORPODA.txt","ARTHORPODA")</f>
        <v>ARTHORPODA</v>
      </c>
      <c r="Z204" s="2">
        <v>0</v>
      </c>
      <c r="AA204" s="2">
        <v>100</v>
      </c>
      <c r="AB204" s="14" t="str">
        <f>HYPERLINK(".\links\pep\AGAP004794-PA-sulf.txt","2")</f>
        <v>2</v>
      </c>
      <c r="AC204" s="14" t="str">
        <f>HYPERLINK(".\links\Sigp\AGAP004794-PA-SigP.txt","SIG")</f>
        <v>SIG</v>
      </c>
      <c r="AD204" s="2" t="s">
        <v>804</v>
      </c>
      <c r="AE204" s="2">
        <v>43.280999999999999</v>
      </c>
      <c r="AF204" s="2">
        <v>6.76</v>
      </c>
      <c r="AG204" s="2">
        <v>40.966000000000001</v>
      </c>
      <c r="AH204" s="2">
        <v>6.43</v>
      </c>
      <c r="AI204" s="2" t="s">
        <v>1349</v>
      </c>
      <c r="AJ204" s="14">
        <v>0</v>
      </c>
      <c r="AK204" s="2" t="s">
        <v>89</v>
      </c>
      <c r="AL204" s="2" t="s">
        <v>89</v>
      </c>
      <c r="AM204" s="2" t="s">
        <v>89</v>
      </c>
      <c r="AN204" s="14" t="str">
        <f>HYPERLINK(".\links\gpi\AGAP004794-PA-gpi.txt","Y")</f>
        <v>Y</v>
      </c>
      <c r="AO204" s="15" t="str">
        <f>HYPERLINK(".\links\netoglyc\AGAP004794-PA-netoglyc.txt","2")</f>
        <v>2</v>
      </c>
      <c r="AP204" s="14">
        <v>12.3</v>
      </c>
      <c r="AQ204" s="2">
        <v>8.8000000000000007</v>
      </c>
      <c r="AR204" s="2">
        <v>5</v>
      </c>
      <c r="AS204" s="2" t="s">
        <v>94</v>
      </c>
      <c r="AT204" s="9" t="str">
        <f>HYPERLINK(".\links\NR-LIGHT\AGAP004794-PA-NR-LIGHT.txt","AGAP004794-PA")</f>
        <v>AGAP004794-PA</v>
      </c>
      <c r="AU204" s="2" t="str">
        <f>HYPERLINK("http://www.ncbi.nlm.nih.gov/sutils/blink.cgi?pid=XP_318018.3","0.0")</f>
        <v>0.0</v>
      </c>
      <c r="AV204" s="2" t="str">
        <f>HYPERLINK("http://www.ncbi.nlm.nih.gov/protein/XP_318018.3","XP_318018.3")</f>
        <v>XP_318018.3</v>
      </c>
      <c r="AW204" s="2">
        <v>100</v>
      </c>
      <c r="AX204" s="2">
        <v>100</v>
      </c>
      <c r="AY204" s="2">
        <v>100</v>
      </c>
      <c r="AZ204" s="2" t="s">
        <v>95</v>
      </c>
      <c r="BA204" s="9" t="str">
        <f>HYPERLINK(".\links\REFSEQ-INVERTEBRATE\AGAP004794-PA-REFSEQ-INVERTEBRATE.txt","AGAP004794-PA")</f>
        <v>AGAP004794-PA</v>
      </c>
      <c r="BB204" s="2" t="str">
        <f>HYPERLINK("http://www.ncbi.nlm.nih.gov/sutils/blink.cgi?pid=XP_318018.3","0.0")</f>
        <v>0.0</v>
      </c>
      <c r="BC204" s="2" t="str">
        <f>HYPERLINK("http://www.ncbi.nlm.nih.gov/protein/XP_318018.3","XP_318018.3")</f>
        <v>XP_318018.3</v>
      </c>
      <c r="BD204" s="2">
        <v>100</v>
      </c>
      <c r="BE204" s="2">
        <v>100</v>
      </c>
      <c r="BF204" s="2">
        <v>100</v>
      </c>
      <c r="BG204" s="2" t="s">
        <v>95</v>
      </c>
      <c r="BH204" s="9" t="str">
        <f>HYPERLINK(".\links\REFSEQ-PROTOZOA\AGAP004794-PA-REFSEQ-PROTOZOA.txt","hypothetical protein H310_03776")</f>
        <v>hypothetical protein H310_03776</v>
      </c>
      <c r="BI204" s="2" t="str">
        <f>HYPERLINK("http://www.ncbi.nlm.nih.gov/sutils/blink.cgi?pid=XP_008865983.1","0.013")</f>
        <v>0.013</v>
      </c>
      <c r="BJ204" s="2" t="str">
        <f>HYPERLINK("http://www.ncbi.nlm.nih.gov/protein/XP_008865983.1","XP_008865983.1")</f>
        <v>XP_008865983.1</v>
      </c>
      <c r="BK204" s="2">
        <v>32</v>
      </c>
      <c r="BL204" s="2">
        <v>48</v>
      </c>
      <c r="BM204" s="2">
        <v>47</v>
      </c>
      <c r="BN204" s="2" t="s">
        <v>1350</v>
      </c>
      <c r="BO204" s="9" t="str">
        <f>HYPERLINK(".\links\SWISSP\AGAP004794-PA-SWISSP.txt","Lipase member H-A")</f>
        <v>Lipase member H-A</v>
      </c>
      <c r="BP204" s="2" t="str">
        <f>HYPERLINK("http://www.uniprot.org/uniprot/Q6PA23","8E-036")</f>
        <v>8E-036</v>
      </c>
      <c r="BQ204" s="2" t="str">
        <f>HYPERLINK("http://www.uniprot.org/uniprot/Q6PA23#expression","Q6PA23")</f>
        <v>Q6PA23</v>
      </c>
      <c r="BR204" s="2">
        <v>42</v>
      </c>
      <c r="BS204" s="2">
        <v>62</v>
      </c>
      <c r="BT204" s="2">
        <v>42</v>
      </c>
      <c r="BU204" s="2" t="s">
        <v>447</v>
      </c>
      <c r="BV204" s="9" t="str">
        <f>HYPERLINK(".\links\FLYBASE\AGAP004794-PA-FLYBASE.txt","FBpp0084521")</f>
        <v>FBpp0084521</v>
      </c>
      <c r="BW204" s="2" t="str">
        <f>HYPERLINK("http://flybase.org/reports/FBgn0039474#alliance_summary_container","1E-51")</f>
        <v>1E-51</v>
      </c>
      <c r="BX204" s="2">
        <v>339</v>
      </c>
      <c r="BY204" s="2">
        <v>36</v>
      </c>
      <c r="BZ204" s="2">
        <v>50</v>
      </c>
      <c r="CA204" s="2">
        <v>91</v>
      </c>
      <c r="CB204" s="9" t="str">
        <f>HYPERLINK(".\links\CDD\AGAP004794-PA-CDD.txt","Pancreat_lipase_like, Pancreatic lipase-like enzymes")</f>
        <v>Pancreat_lipase_like, Pancreatic lipase-like enzymes</v>
      </c>
      <c r="CC204" s="13">
        <v>4.9999999999999999E-86</v>
      </c>
      <c r="CD204" s="2">
        <v>100.7</v>
      </c>
      <c r="CE204" s="2" t="s">
        <v>1351</v>
      </c>
      <c r="CF204" s="2" t="s">
        <v>1352</v>
      </c>
      <c r="CG204" s="9" t="str">
        <f>HYPERLINK(".\links\KOG\AGAP004794-PA-KOG.txt","Predicted acetyltransferases and hydrolases with the alpha/beta hydrolase fold")</f>
        <v>Predicted acetyltransferases and hydrolases with the alpha/beta hydrolase fold</v>
      </c>
      <c r="CH204" s="13">
        <v>0.1</v>
      </c>
      <c r="CI204" s="2">
        <v>29.2</v>
      </c>
      <c r="CJ204" s="2" t="s">
        <v>1353</v>
      </c>
      <c r="CK204" s="2" t="s">
        <v>187</v>
      </c>
      <c r="CL204" s="9" t="str">
        <f>HYPERLINK(".\links\PFAM\AGAP004794-PA-PFAM.txt","Lipase, Lipase")</f>
        <v>Lipase, Lipase</v>
      </c>
      <c r="CM204" s="13">
        <v>3.0000000000000003E-39</v>
      </c>
      <c r="CN204" s="2">
        <v>83.6</v>
      </c>
      <c r="CO204" s="2" t="s">
        <v>1354</v>
      </c>
      <c r="CP204" s="9" t="str">
        <f>HYPERLINK(".\links\SMART\AGAP004794-PA-SMART.txt","PKS_AT, Acyl transferase domain in polyketide synthase (PKS) enzymes")</f>
        <v>PKS_AT, Acyl transferase domain in polyketide synthase (PKS) enzymes</v>
      </c>
      <c r="CQ204" s="13">
        <v>0.38</v>
      </c>
      <c r="CR204" s="2">
        <v>5.7</v>
      </c>
      <c r="CS204" s="2" t="s">
        <v>1355</v>
      </c>
      <c r="CT204" s="2" t="s">
        <v>1346</v>
      </c>
      <c r="CU204" s="2" t="s">
        <v>1346</v>
      </c>
      <c r="CV204" s="2" t="s">
        <v>1346</v>
      </c>
      <c r="CW204" s="2" t="str">
        <f>HYPERLINK(".\links\pep\AGAP004794-PA-pep.txt","AGAP004794-PA")</f>
        <v>AGAP004794-PA</v>
      </c>
      <c r="CX204" s="2" t="s">
        <v>88</v>
      </c>
      <c r="CY204" s="2">
        <v>398</v>
      </c>
      <c r="CZ204" s="2" t="s">
        <v>103</v>
      </c>
      <c r="DA204" s="2" t="s">
        <v>1356</v>
      </c>
      <c r="DB204" s="2">
        <v>0</v>
      </c>
      <c r="DC204" s="2">
        <v>4</v>
      </c>
      <c r="DD204" s="2" t="str">
        <f>HYPERLINK("https://www.kegg.jp/kegg-bin/search_pathway_text?map=aga&amp;keyword=AGAP004794&amp;mode=1&amp;viewImage=true","AGAP004794")</f>
        <v>AGAP004794</v>
      </c>
      <c r="DE204" s="2" t="s">
        <v>1341</v>
      </c>
      <c r="DF204" s="2" t="s">
        <v>1342</v>
      </c>
      <c r="DG204" s="2" t="s">
        <v>87</v>
      </c>
      <c r="DH204" s="2" t="str">
        <f>HYPERLINK("https://vectorbase.org/vectorbase/app/record/gene/AGAP004794","AGAP004794-RA")</f>
        <v>AGAP004794-RA</v>
      </c>
      <c r="DI204" s="2" t="s">
        <v>158</v>
      </c>
      <c r="DJ204" s="2">
        <v>1448</v>
      </c>
      <c r="DK204" s="2" t="str">
        <f>HYPERLINK(".\links\netoglyc\AGAP004794-PA-netoglyc.txt","2")</f>
        <v>2</v>
      </c>
      <c r="DL204" s="2">
        <v>12.3</v>
      </c>
      <c r="DM204" s="2">
        <v>8.8000000000000007</v>
      </c>
      <c r="DN204" s="2">
        <v>5</v>
      </c>
      <c r="DO204" s="2" t="s">
        <v>94</v>
      </c>
      <c r="DP204" s="2" t="s">
        <v>89</v>
      </c>
      <c r="DQ204" s="2" t="str">
        <f>HYPERLINK(".\links\Sigp\AGAP004794-PA-SigP.txt","SIG")</f>
        <v>SIG</v>
      </c>
      <c r="DR204" s="2" t="s">
        <v>804</v>
      </c>
      <c r="DS204" s="2">
        <v>43.280999999999999</v>
      </c>
      <c r="DT204" s="2">
        <v>6.76</v>
      </c>
      <c r="DU204" s="2">
        <v>40.966000000000001</v>
      </c>
      <c r="DV204" s="2">
        <v>6.43</v>
      </c>
      <c r="DW204" s="2" t="s">
        <v>1349</v>
      </c>
      <c r="DX204" s="2">
        <v>398</v>
      </c>
      <c r="DY204" s="12">
        <v>0</v>
      </c>
      <c r="DZ204" s="2" t="s">
        <v>89</v>
      </c>
      <c r="EA204" s="2" t="s">
        <v>89</v>
      </c>
      <c r="EB204" s="2" t="s">
        <v>89</v>
      </c>
      <c r="EC204" s="2" t="str">
        <f>HYPERLINK(".\links\gpi\AGAP004794-PA-gpi.txt","Y-NoSP")</f>
        <v>Y-NoSP</v>
      </c>
      <c r="ED204" s="2">
        <v>0.2</v>
      </c>
      <c r="EF204" s="2">
        <v>6</v>
      </c>
      <c r="EG204" s="2" t="str">
        <f>HYPERLINK(".\links\pep\AGAP004794-PA-sulf.txt","2")</f>
        <v>2</v>
      </c>
      <c r="EH204" s="2" t="s">
        <v>89</v>
      </c>
      <c r="EI204" s="2">
        <v>12.3115577889447</v>
      </c>
      <c r="EJ204" s="2">
        <v>5.0251256281407004</v>
      </c>
      <c r="EK204" s="2">
        <v>8.7939698492462295</v>
      </c>
      <c r="EL204" s="2">
        <v>13.819095477386901</v>
      </c>
      <c r="EM204" s="2" t="s">
        <v>89</v>
      </c>
      <c r="EN204" s="2" t="s">
        <v>89</v>
      </c>
      <c r="EO204" s="2">
        <v>1</v>
      </c>
      <c r="EP204" s="2" t="s">
        <v>89</v>
      </c>
      <c r="EQ204" s="2" t="s">
        <v>89</v>
      </c>
      <c r="ER204" s="2" t="s">
        <v>89</v>
      </c>
      <c r="ES204" s="2" t="s">
        <v>89</v>
      </c>
      <c r="ET204" s="2" t="str">
        <f>HYPERLINK(".\links\REFSEQ-INVERTEBRATE\AGAP004794-PA-REFSEQ-INVERTEBRATE.txt","AGAP004794-PA")</f>
        <v>AGAP004794-PA</v>
      </c>
      <c r="EU204" s="2" t="str">
        <f>HYPERLINK("http://www.ncbi.nlm.nih.gov/sutils/blink.cgi?pid=XP_318018.3","0.0")</f>
        <v>0.0</v>
      </c>
      <c r="EV204" s="2" t="str">
        <f>HYPERLINK("http://www.ncbi.nlm.nih.gov/protein/XP_318018.3","XP_318018.3")</f>
        <v>XP_318018.3</v>
      </c>
      <c r="EW204" s="2">
        <v>100</v>
      </c>
      <c r="EX204" s="2">
        <v>100</v>
      </c>
      <c r="EY204" s="2">
        <v>100</v>
      </c>
      <c r="EZ204" s="2" t="s">
        <v>95</v>
      </c>
    </row>
    <row r="205" spans="1:156" x14ac:dyDescent="0.25">
      <c r="A205" s="2" t="s">
        <v>710</v>
      </c>
      <c r="B205" s="2">
        <v>-1.0319716725343899</v>
      </c>
      <c r="C205" s="2">
        <f t="shared" si="3"/>
        <v>0.48904133900642205</v>
      </c>
      <c r="D205" s="2">
        <v>5.6544810202355302</v>
      </c>
      <c r="E205" s="2">
        <v>23.445840769676799</v>
      </c>
      <c r="F205" s="2">
        <v>1.2848019591560201E-6</v>
      </c>
      <c r="G205" s="2">
        <v>4.8854594496907603E-4</v>
      </c>
      <c r="H205" s="2" t="s">
        <v>711</v>
      </c>
      <c r="I205" s="2" t="s">
        <v>87</v>
      </c>
      <c r="J205" s="2" t="str">
        <f>HYPERLINK("https://vectorbase.org/vectorbase/app/record/gene/AGAP003112","AGAP003112-RA")</f>
        <v>AGAP003112-RA</v>
      </c>
      <c r="K205" s="2" t="str">
        <f>HYPERLINK(".\links\pep\AGAP003112-PA-pep.txt","AGAP003112-PA")</f>
        <v>AGAP003112-PA</v>
      </c>
      <c r="L205" s="12" t="s">
        <v>88</v>
      </c>
      <c r="M205" s="2">
        <v>111</v>
      </c>
      <c r="N205" s="2">
        <v>0</v>
      </c>
      <c r="O205" s="2">
        <v>0</v>
      </c>
      <c r="P205" s="2" t="s">
        <v>712</v>
      </c>
      <c r="Q205" s="9" t="s">
        <v>713</v>
      </c>
      <c r="R205" s="2" t="s">
        <v>347</v>
      </c>
      <c r="S205" s="2" t="str">
        <f>HYPERLINK(".\links\REFSEQ-INVERTEBRATE\AGAP003112-PA-REFSEQ-INVERTEBRATE.txt","REFSEQ-INVERTEBRATE")</f>
        <v>REFSEQ-INVERTEBRATE</v>
      </c>
      <c r="T205" s="2">
        <v>3E-43</v>
      </c>
      <c r="U205" s="2">
        <v>97.3</v>
      </c>
      <c r="V205" s="2" t="s">
        <v>714</v>
      </c>
      <c r="W205" s="10" t="s">
        <v>715</v>
      </c>
      <c r="X205" s="2" t="s">
        <v>347</v>
      </c>
      <c r="Y205" s="2" t="str">
        <f>HYPERLINK(".\links\REFSEQ-INVERTEBRATE\AGAP003112-PA-REFSEQ-INVERTEBRATE.txt","REFSEQ-INVERTEBRATE")</f>
        <v>REFSEQ-INVERTEBRATE</v>
      </c>
      <c r="Z205" s="13">
        <v>3.9999999999999998E-67</v>
      </c>
      <c r="AA205" s="2">
        <v>99.1</v>
      </c>
      <c r="AB205" s="14" t="s">
        <v>89</v>
      </c>
      <c r="AC205" s="14" t="str">
        <f>HYPERLINK(".\links\Sigp\AGAP003112-PA-SigP.txt","CYT")</f>
        <v>CYT</v>
      </c>
      <c r="AD205" s="2" t="s">
        <v>89</v>
      </c>
      <c r="AE205" s="2">
        <v>12.932</v>
      </c>
      <c r="AF205" s="2">
        <v>6.84</v>
      </c>
      <c r="AG205" s="2" t="s">
        <v>89</v>
      </c>
      <c r="AH205" s="2" t="s">
        <v>89</v>
      </c>
      <c r="AI205" s="2" t="s">
        <v>716</v>
      </c>
      <c r="AJ205" s="14" t="str">
        <f>HYPERLINK(".\links\tmhmm\AGAP003112-PA-tmhmm.txt","1")</f>
        <v>1</v>
      </c>
      <c r="AK205" s="2">
        <v>19.8</v>
      </c>
      <c r="AL205" s="2">
        <v>4.5</v>
      </c>
      <c r="AM205" s="2">
        <v>75.7</v>
      </c>
      <c r="AN205" s="14" t="str">
        <f>HYPERLINK(".\links\gpi\AGAP003112-PA-gpi.txt","N")</f>
        <v>N</v>
      </c>
      <c r="AO205" s="15" t="str">
        <f>HYPERLINK(".\links\netoglyc\AGAP003112-PA-netoglyc.txt","0")</f>
        <v>0</v>
      </c>
      <c r="AP205" s="14">
        <v>9</v>
      </c>
      <c r="AQ205" s="2">
        <v>3.6</v>
      </c>
      <c r="AR205" s="2" t="s">
        <v>274</v>
      </c>
      <c r="AS205" s="2" t="s">
        <v>94</v>
      </c>
      <c r="AT205" s="9" t="str">
        <f>HYPERLINK(".\links\NR-LIGHT\AGAP003112-PA-NR-LIGHT.txt","AGAP003112-PA")</f>
        <v>AGAP003112-PA</v>
      </c>
      <c r="AU205" s="2" t="str">
        <f>HYPERLINK("http://www.ncbi.nlm.nih.gov/sutils/blink.cgi?pid=XP_312794.3","3E-054")</f>
        <v>3E-054</v>
      </c>
      <c r="AV205" s="2" t="str">
        <f>HYPERLINK("http://www.ncbi.nlm.nih.gov/protein/XP_312794.3","XP_312794.3")</f>
        <v>XP_312794.3</v>
      </c>
      <c r="AW205" s="2">
        <v>100</v>
      </c>
      <c r="AX205" s="2">
        <v>100</v>
      </c>
      <c r="AY205" s="2">
        <v>100</v>
      </c>
      <c r="AZ205" s="2" t="s">
        <v>95</v>
      </c>
      <c r="BA205" s="9" t="str">
        <f>HYPERLINK(".\links\REFSEQ-INVERTEBRATE\AGAP003112-PA-REFSEQ-INVERTEBRATE.txt","AGAP003112-PA")</f>
        <v>AGAP003112-PA</v>
      </c>
      <c r="BB205" s="2" t="str">
        <f>HYPERLINK("http://www.ncbi.nlm.nih.gov/sutils/blink.cgi?pid=XP_312794.3","3E-054")</f>
        <v>3E-054</v>
      </c>
      <c r="BC205" s="2" t="str">
        <f>HYPERLINK("http://www.ncbi.nlm.nih.gov/protein/XP_312794.3","XP_312794.3")</f>
        <v>XP_312794.3</v>
      </c>
      <c r="BD205" s="2">
        <v>100</v>
      </c>
      <c r="BE205" s="2">
        <v>100</v>
      </c>
      <c r="BF205" s="2">
        <v>100</v>
      </c>
      <c r="BG205" s="2" t="s">
        <v>95</v>
      </c>
      <c r="BH205" s="9" t="str">
        <f>HYPERLINK(".\links\REFSEQ-PROTOZOA\AGAP003112-PA-REFSEQ-PROTOZOA.txt","hypothetical protein")</f>
        <v>hypothetical protein</v>
      </c>
      <c r="BI205" s="2" t="str">
        <f>HYPERLINK("http://www.ncbi.nlm.nih.gov/sutils/blink.cgi?pid=XP_001749962.1","1E-012")</f>
        <v>1E-012</v>
      </c>
      <c r="BJ205" s="2" t="str">
        <f>HYPERLINK("http://www.ncbi.nlm.nih.gov/protein/XP_001749962.1","XP_001749962.1")</f>
        <v>XP_001749962.1</v>
      </c>
      <c r="BK205" s="2">
        <v>32</v>
      </c>
      <c r="BL205" s="2">
        <v>67</v>
      </c>
      <c r="BM205" s="2">
        <v>47</v>
      </c>
      <c r="BN205" s="2" t="s">
        <v>389</v>
      </c>
      <c r="BO205" s="9" t="str">
        <f>HYPERLINK(".\links\SWISSP\AGAP003112-PA-SWISSP.txt","Vesicle transport through interaction with t-SNAREs homolog 1B")</f>
        <v>Vesicle transport through interaction with t-SNAREs homolog 1B</v>
      </c>
      <c r="BP205" s="2" t="str">
        <f>HYPERLINK("http://www.uniprot.org/uniprot/P58200","3E-019")</f>
        <v>3E-019</v>
      </c>
      <c r="BQ205" s="2" t="str">
        <f>HYPERLINK("http://www.uniprot.org/uniprot/P58200#expression","P58200")</f>
        <v>P58200</v>
      </c>
      <c r="BR205" s="2">
        <v>46</v>
      </c>
      <c r="BS205" s="2">
        <v>68</v>
      </c>
      <c r="BT205" s="2">
        <v>44</v>
      </c>
      <c r="BU205" s="2" t="s">
        <v>198</v>
      </c>
      <c r="BV205" s="9" t="str">
        <f>HYPERLINK(".\links\FLYBASE\AGAP003112-PA-FLYBASE.txt","FBpp0306261")</f>
        <v>FBpp0306261</v>
      </c>
      <c r="BW205" s="2" t="str">
        <f>HYPERLINK("http://flybase.org/reports/FBgn0264751#alliance_summary_container","1E-28")</f>
        <v>1E-28</v>
      </c>
      <c r="BX205" s="2">
        <v>122</v>
      </c>
      <c r="BY205" s="2">
        <v>63</v>
      </c>
      <c r="BZ205" s="2">
        <v>81</v>
      </c>
      <c r="CA205" s="2">
        <v>75</v>
      </c>
      <c r="CB205" s="9" t="str">
        <f>HYPERLINK(".\links\CDD\AGAP003112-PA-CDD.txt","SNARE_Vti1b, SNARE motif of Vti1b-like")</f>
        <v>SNARE_Vti1b, SNARE motif of Vti1b-like</v>
      </c>
      <c r="CC205" s="13">
        <v>2E-12</v>
      </c>
      <c r="CD205" s="2">
        <v>100</v>
      </c>
      <c r="CE205" s="2" t="s">
        <v>717</v>
      </c>
      <c r="CF205" s="2" t="s">
        <v>718</v>
      </c>
      <c r="CG205" s="9" t="str">
        <f>HYPERLINK(".\links\KOG\AGAP003112-PA-KOG.txt","V-SNARE")</f>
        <v>V-SNARE</v>
      </c>
      <c r="CH205" s="13">
        <v>5.9999999999999997E-18</v>
      </c>
      <c r="CI205" s="2">
        <v>45.5</v>
      </c>
      <c r="CJ205" s="2" t="s">
        <v>719</v>
      </c>
      <c r="CK205" s="2" t="s">
        <v>278</v>
      </c>
      <c r="CL205" s="9" t="str">
        <f>HYPERLINK(".\links\PFAM\AGAP003112-PA-PFAM.txt","V-SNARE_C, Snare region anchored in the vesicle membrane C-terminus")</f>
        <v>V-SNARE_C, Snare region anchored in the vesicle membrane C-terminus</v>
      </c>
      <c r="CM205" s="13">
        <v>9.9999999999999995E-7</v>
      </c>
      <c r="CN205" s="2">
        <v>97</v>
      </c>
      <c r="CO205" s="2" t="s">
        <v>720</v>
      </c>
      <c r="CP205" s="9" t="str">
        <f>HYPERLINK(".\links\SMART\AGAP003112-PA-SMART.txt","t_SNARE, Helical region found in SNAREs")</f>
        <v>t_SNARE, Helical region found in SNAREs</v>
      </c>
      <c r="CQ205" s="13">
        <v>7.8E-2</v>
      </c>
      <c r="CR205" s="2">
        <v>87.9</v>
      </c>
      <c r="CS205" s="2" t="s">
        <v>721</v>
      </c>
      <c r="CT205" s="2" t="s">
        <v>714</v>
      </c>
      <c r="CU205" s="2" t="s">
        <v>714</v>
      </c>
      <c r="CV205" s="2" t="s">
        <v>714</v>
      </c>
      <c r="CW205" s="2" t="str">
        <f>HYPERLINK(".\links\pep\AGAP003112-PA-pep.txt","AGAP003112-PA")</f>
        <v>AGAP003112-PA</v>
      </c>
      <c r="CX205" s="2" t="s">
        <v>88</v>
      </c>
      <c r="CY205" s="2">
        <v>111</v>
      </c>
      <c r="CZ205" s="2" t="s">
        <v>103</v>
      </c>
      <c r="DA205" s="2" t="s">
        <v>722</v>
      </c>
      <c r="DB205" s="2">
        <v>0</v>
      </c>
      <c r="DC205" s="2">
        <v>0</v>
      </c>
      <c r="DD205" s="2" t="str">
        <f>HYPERLINK("https://www.kegg.jp/kegg-bin/search_pathway_text?map=aga&amp;keyword=AGAP003112&amp;mode=1&amp;viewImage=true","AGAP003112")</f>
        <v>AGAP003112</v>
      </c>
      <c r="DE205" s="2" t="s">
        <v>710</v>
      </c>
      <c r="DF205" s="2" t="s">
        <v>711</v>
      </c>
      <c r="DG205" s="2" t="s">
        <v>87</v>
      </c>
      <c r="DH205" s="2" t="str">
        <f>HYPERLINK("https://vectorbase.org/vectorbase/app/record/gene/AGAP003112","AGAP003112-RA")</f>
        <v>AGAP003112-RA</v>
      </c>
      <c r="DI205" s="2" t="s">
        <v>158</v>
      </c>
      <c r="DJ205" s="2">
        <v>629</v>
      </c>
      <c r="DK205" s="2" t="str">
        <f>HYPERLINK(".\links\netoglyc\AGAP003112-PA-netoglyc.txt","0")</f>
        <v>0</v>
      </c>
      <c r="DL205" s="2">
        <v>9</v>
      </c>
      <c r="DM205" s="2">
        <v>3.6</v>
      </c>
      <c r="DN205" s="2" t="s">
        <v>274</v>
      </c>
      <c r="DO205" s="2" t="s">
        <v>94</v>
      </c>
      <c r="DP205" s="2" t="s">
        <v>89</v>
      </c>
      <c r="DQ205" s="2" t="str">
        <f>HYPERLINK(".\links\Sigp\AGAP003112-PA-SigP.txt","CYT")</f>
        <v>CYT</v>
      </c>
      <c r="DR205" s="2" t="s">
        <v>89</v>
      </c>
      <c r="DS205" s="2">
        <v>12.932</v>
      </c>
      <c r="DT205" s="2">
        <v>6.84</v>
      </c>
      <c r="DU205" s="2" t="s">
        <v>89</v>
      </c>
      <c r="DV205" s="2" t="s">
        <v>89</v>
      </c>
      <c r="DW205" s="2" t="s">
        <v>716</v>
      </c>
      <c r="DX205" s="2">
        <v>111</v>
      </c>
      <c r="DY205" s="12" t="str">
        <f>HYPERLINK(".\links\tmhmm\AGAP003112-PA-tmhmm.txt","1")</f>
        <v>1</v>
      </c>
      <c r="DZ205" s="2">
        <v>19.8</v>
      </c>
      <c r="EA205" s="2">
        <v>4.5</v>
      </c>
      <c r="EB205" s="2">
        <v>75.7</v>
      </c>
      <c r="EC205" s="2" t="str">
        <f>HYPERLINK(".\links\gpi\AGAP003112-PA-gpi.txt","Y-NoSP")</f>
        <v>Y-NoSP</v>
      </c>
      <c r="ED205" s="2">
        <v>0.45</v>
      </c>
      <c r="EF205" s="2">
        <v>0</v>
      </c>
      <c r="EG205" s="2" t="s">
        <v>89</v>
      </c>
      <c r="EH205" s="2" t="s">
        <v>89</v>
      </c>
      <c r="EI205" s="2">
        <v>9.0090090090090094</v>
      </c>
      <c r="EJ205" s="2">
        <v>0</v>
      </c>
      <c r="EK205" s="2">
        <v>3.6036036036036001</v>
      </c>
      <c r="EL205" s="2">
        <v>3.6036036036036001</v>
      </c>
      <c r="EM205" s="2" t="s">
        <v>89</v>
      </c>
      <c r="EN205" s="2" t="s">
        <v>89</v>
      </c>
      <c r="EO205" s="2" t="s">
        <v>89</v>
      </c>
      <c r="EP205" s="2" t="s">
        <v>89</v>
      </c>
      <c r="EQ205" s="2" t="s">
        <v>89</v>
      </c>
      <c r="ER205" s="2" t="s">
        <v>89</v>
      </c>
      <c r="ES205" s="2" t="s">
        <v>89</v>
      </c>
      <c r="ET205" s="2" t="str">
        <f>HYPERLINK(".\links\REFSEQ-INVERTEBRATE\AGAP003112-PA-REFSEQ-INVERTEBRATE.txt","AGAP003112-PA")</f>
        <v>AGAP003112-PA</v>
      </c>
      <c r="EU205" s="2" t="str">
        <f>HYPERLINK("http://www.ncbi.nlm.nih.gov/sutils/blink.cgi?pid=XP_312794.3","2E-74")</f>
        <v>2E-74</v>
      </c>
      <c r="EV205" s="2" t="str">
        <f>HYPERLINK("http://www.ncbi.nlm.nih.gov/protein/XP_312794.3","XP_312794.3")</f>
        <v>XP_312794.3</v>
      </c>
      <c r="EW205" s="2">
        <v>100</v>
      </c>
      <c r="EX205" s="2">
        <v>100</v>
      </c>
      <c r="EY205" s="2">
        <v>100</v>
      </c>
      <c r="EZ205" s="2" t="s">
        <v>95</v>
      </c>
    </row>
    <row r="206" spans="1:156" x14ac:dyDescent="0.25">
      <c r="A206" s="2" t="s">
        <v>3070</v>
      </c>
      <c r="B206" s="2">
        <v>-1.0322172083583701</v>
      </c>
      <c r="C206" s="2">
        <f t="shared" si="3"/>
        <v>0.48895811493813629</v>
      </c>
      <c r="D206" s="2">
        <v>10.9490078885646</v>
      </c>
      <c r="E206" s="2">
        <v>21.038933603830699</v>
      </c>
      <c r="F206" s="2">
        <v>4.5004464367120502E-6</v>
      </c>
      <c r="G206" s="2">
        <v>1.0194947491845401E-3</v>
      </c>
      <c r="H206" s="2" t="s">
        <v>3071</v>
      </c>
      <c r="I206" s="2" t="s">
        <v>89</v>
      </c>
      <c r="J206" s="2" t="str">
        <f>HYPERLINK("https://vectorbase.org/vectorbase/app/record/gene/AGAP028382","AGAP028382-RA")</f>
        <v>AGAP028382-RA</v>
      </c>
      <c r="K206" s="2" t="str">
        <f>HYPERLINK(".\links\pep\AGAP028382-PA-pep.txt","AGAP028382-PA")</f>
        <v>AGAP028382-PA</v>
      </c>
      <c r="L206" s="12" t="s">
        <v>88</v>
      </c>
      <c r="M206" s="2">
        <v>447</v>
      </c>
      <c r="N206" s="2">
        <v>0</v>
      </c>
      <c r="O206" s="2">
        <v>0</v>
      </c>
      <c r="P206" s="2" t="s">
        <v>3072</v>
      </c>
      <c r="Q206" s="9" t="s">
        <v>3073</v>
      </c>
      <c r="R206" s="2" t="s">
        <v>663</v>
      </c>
      <c r="S206" s="2" t="str">
        <f>HYPERLINK(".\links\KOG\AGAP028382-PA-KOG.txt","KOG")</f>
        <v>KOG</v>
      </c>
      <c r="T206" s="2">
        <v>0</v>
      </c>
      <c r="U206" s="2">
        <v>100</v>
      </c>
      <c r="V206" s="2" t="s">
        <v>3074</v>
      </c>
      <c r="W206" s="10" t="s">
        <v>3075</v>
      </c>
      <c r="X206" s="2" t="s">
        <v>663</v>
      </c>
      <c r="Y206" s="2" t="str">
        <f>HYPERLINK(".\links\COG\AGAP028382-PA-COG.txt","COG")</f>
        <v>COG</v>
      </c>
      <c r="Z206" s="13">
        <v>8.9999999999999992E-50</v>
      </c>
      <c r="AA206" s="2">
        <v>74.400000000000006</v>
      </c>
      <c r="AB206" s="14" t="s">
        <v>89</v>
      </c>
      <c r="AC206" s="14" t="str">
        <f>HYPERLINK(".\links\Sigp\AGAP028382-PA-SigP.txt","BL")</f>
        <v>BL</v>
      </c>
      <c r="AD206" s="2" t="s">
        <v>3076</v>
      </c>
      <c r="AE206" s="2">
        <v>51.345999999999997</v>
      </c>
      <c r="AF206" s="2">
        <v>9.1199999999999992</v>
      </c>
      <c r="AG206" s="2">
        <v>6.1539999999999999</v>
      </c>
      <c r="AH206" s="2">
        <v>8.99</v>
      </c>
      <c r="AI206" s="2" t="s">
        <v>3077</v>
      </c>
      <c r="AJ206" s="14" t="str">
        <f>HYPERLINK(".\links\tmhmm\AGAP028382-PA-tmhmm.txt","13")</f>
        <v>13</v>
      </c>
      <c r="AK206" s="2">
        <v>61.5</v>
      </c>
      <c r="AL206" s="2">
        <v>20.8</v>
      </c>
      <c r="AM206" s="2">
        <v>17.7</v>
      </c>
      <c r="AN206" s="14" t="str">
        <f>HYPERLINK(".\links\gpi\AGAP028382-PA-gpi.txt","N")</f>
        <v>N</v>
      </c>
      <c r="AO206" s="15" t="str">
        <f>HYPERLINK(".\links\netoglyc\AGAP028382-PA-netoglyc.txt","0")</f>
        <v>0</v>
      </c>
      <c r="AP206" s="14">
        <v>14.5</v>
      </c>
      <c r="AQ206" s="2">
        <v>6.3</v>
      </c>
      <c r="AR206" s="2">
        <v>2.5</v>
      </c>
      <c r="AS206" s="2">
        <v>0.7</v>
      </c>
      <c r="AT206" s="9" t="str">
        <f>HYPERLINK(".\links\NR-LIGHT\AGAP028382-PA-NR-LIGHT.txt","ND4 gene product (mitochondrion)")</f>
        <v>ND4 gene product (mitochondrion)</v>
      </c>
      <c r="AU206" s="2" t="str">
        <f>HYPERLINK("http://www.ncbi.nlm.nih.gov/sutils/blink.cgi?pid=NP_008077.1","0.0")</f>
        <v>0.0</v>
      </c>
      <c r="AV206" s="2" t="str">
        <f>HYPERLINK("http://www.ncbi.nlm.nih.gov/protein/NP_008077.1","NP_008077.1")</f>
        <v>NP_008077.1</v>
      </c>
      <c r="AW206" s="2">
        <v>100</v>
      </c>
      <c r="AX206" s="2">
        <v>100</v>
      </c>
      <c r="AY206" s="2">
        <v>100</v>
      </c>
      <c r="AZ206" s="2" t="s">
        <v>215</v>
      </c>
      <c r="BA206" s="9" t="str">
        <f>HYPERLINK(".\links\REFSEQ-INVERTEBRATE\AGAP028382-PA-REFSEQ-INVERTEBRATE.txt","NADH dehydrogenase subunit 4 (mitochondrion)")</f>
        <v>NADH dehydrogenase subunit 4 (mitochondrion)</v>
      </c>
      <c r="BB206" s="2" t="str">
        <f>HYPERLINK("http://www.ncbi.nlm.nih.gov/sutils/blink.cgi?pid=YP_009176671.1","0.0")</f>
        <v>0.0</v>
      </c>
      <c r="BC206" s="2" t="str">
        <f>HYPERLINK("http://www.ncbi.nlm.nih.gov/protein/YP_009176671.1","YP_009176671.1")</f>
        <v>YP_009176671.1</v>
      </c>
      <c r="BD206" s="2">
        <v>100</v>
      </c>
      <c r="BE206" s="2">
        <v>100</v>
      </c>
      <c r="BF206" s="2">
        <v>100</v>
      </c>
      <c r="BG206" s="2" t="s">
        <v>3047</v>
      </c>
      <c r="BH206" s="9" t="str">
        <f>HYPERLINK(".\links\REFSEQ-PROTOZOA\AGAP028382-PA-REFSEQ-PROTOZOA.txt","NADH dehydrogenase subunit 4 (mitochondrion)")</f>
        <v>NADH dehydrogenase subunit 4 (mitochondrion)</v>
      </c>
      <c r="BI206" s="2" t="str">
        <f>HYPERLINK("http://www.ncbi.nlm.nih.gov/sutils/blink.cgi?pid=YP_009178793.1","2E-066")</f>
        <v>2E-066</v>
      </c>
      <c r="BJ206" s="2" t="str">
        <f>HYPERLINK("http://www.ncbi.nlm.nih.gov/protein/YP_009178793.1","YP_009178793.1")</f>
        <v>YP_009178793.1</v>
      </c>
      <c r="BK206" s="2">
        <v>34</v>
      </c>
      <c r="BL206" s="2">
        <v>55</v>
      </c>
      <c r="BM206" s="2">
        <v>93</v>
      </c>
      <c r="BN206" s="2" t="s">
        <v>3078</v>
      </c>
      <c r="BO206" s="9" t="str">
        <f>HYPERLINK(".\links\SWISSP\AGAP028382-PA-SWISSP.txt","NADH-ubiquinone oxidoreductase chain 4")</f>
        <v>NADH-ubiquinone oxidoreductase chain 4</v>
      </c>
      <c r="BP206" s="2" t="str">
        <f>HYPERLINK("http://www.uniprot.org/uniprot/P34852","0.0")</f>
        <v>0.0</v>
      </c>
      <c r="BQ206" s="2" t="str">
        <f>HYPERLINK("http://www.uniprot.org/uniprot/P34852#expression","P34852")</f>
        <v>P34852</v>
      </c>
      <c r="BR206" s="2">
        <v>100</v>
      </c>
      <c r="BS206" s="2">
        <v>100</v>
      </c>
      <c r="BT206" s="2">
        <v>100</v>
      </c>
      <c r="BU206" s="2" t="s">
        <v>215</v>
      </c>
      <c r="BV206" s="9" t="str">
        <f>HYPERLINK(".\links\FLYBASE\AGAP028382-PA-FLYBASE.txt","FBpp0390632")</f>
        <v>FBpp0390632</v>
      </c>
      <c r="BW206" s="2" t="str">
        <f>HYPERLINK("http://flybase.org/reports/FBgn0262952#alliance_summary_container","0.0")</f>
        <v>0.0</v>
      </c>
      <c r="BX206" s="2">
        <v>446</v>
      </c>
      <c r="BY206" s="2">
        <v>73</v>
      </c>
      <c r="BZ206" s="2">
        <v>87</v>
      </c>
      <c r="CA206" s="2">
        <v>100</v>
      </c>
      <c r="CB206" s="9" t="str">
        <f>HYPERLINK(".\links\CDD\AGAP028382-PA-CDD.txt","ND4, NADH dehydrogenase subunit 4")</f>
        <v>ND4, NADH dehydrogenase subunit 4</v>
      </c>
      <c r="CC206" s="13">
        <v>9.9999999999999991E-146</v>
      </c>
      <c r="CD206" s="2">
        <v>100.2</v>
      </c>
      <c r="CE206" s="2" t="s">
        <v>3079</v>
      </c>
      <c r="CF206" s="2" t="s">
        <v>3080</v>
      </c>
      <c r="CG206" s="9" t="str">
        <f>HYPERLINK(".\links\KOG\AGAP028382-PA-KOG.txt","subunit 4")</f>
        <v>subunit 4</v>
      </c>
      <c r="CH206" s="13">
        <v>9.9999999999999996E-104</v>
      </c>
      <c r="CI206" s="2">
        <v>100</v>
      </c>
      <c r="CJ206" s="2" t="s">
        <v>3081</v>
      </c>
      <c r="CK206" s="2" t="s">
        <v>155</v>
      </c>
      <c r="CL206" s="9" t="str">
        <f>HYPERLINK(".\links\PFAM\AGAP028382-PA-PFAM.txt","Proton_antipo_M, Proton-conducting membrane transporter")</f>
        <v>Proton_antipo_M, Proton-conducting membrane transporter</v>
      </c>
      <c r="CM206" s="13">
        <v>6.0000000000000004E-60</v>
      </c>
      <c r="CN206" s="2">
        <v>99.7</v>
      </c>
      <c r="CO206" s="2" t="s">
        <v>3065</v>
      </c>
      <c r="CP206" s="9" t="str">
        <f>HYPERLINK(".\links\SMART\AGAP028382-PA-SMART.txt","CRM1_C, CRM1 C terminal")</f>
        <v>CRM1_C, CRM1 C terminal</v>
      </c>
      <c r="CQ206" s="13">
        <v>0.76</v>
      </c>
      <c r="CR206" s="2">
        <v>11.5</v>
      </c>
      <c r="CS206" s="2" t="s">
        <v>3082</v>
      </c>
      <c r="CT206" s="2" t="s">
        <v>3074</v>
      </c>
      <c r="CU206" s="2" t="s">
        <v>3074</v>
      </c>
      <c r="CV206" s="2" t="s">
        <v>3074</v>
      </c>
      <c r="CW206" s="2" t="str">
        <f>HYPERLINK(".\links\pep\AGAP028382-PA-pep.txt","AGAP028382-PA")</f>
        <v>AGAP028382-PA</v>
      </c>
      <c r="CX206" s="2" t="s">
        <v>88</v>
      </c>
      <c r="CY206" s="2">
        <v>447</v>
      </c>
      <c r="CZ206" s="2" t="s">
        <v>103</v>
      </c>
      <c r="DA206" s="2">
        <v>0</v>
      </c>
      <c r="DB206" s="2">
        <v>0</v>
      </c>
      <c r="DD206" s="2" t="str">
        <f>HYPERLINK("https://www.kegg.jp/kegg-bin/search_pathway_text?map=aga&amp;keyword=AGAP028382&amp;mode=1&amp;viewImage=true","AGAP028382")</f>
        <v>AGAP028382</v>
      </c>
      <c r="DE206" s="2" t="s">
        <v>3070</v>
      </c>
      <c r="DF206" s="2" t="s">
        <v>3071</v>
      </c>
      <c r="DG206" s="2" t="s">
        <v>89</v>
      </c>
      <c r="DH206" s="2" t="str">
        <f>HYPERLINK("https://vectorbase.org/vectorbase/app/record/gene/AGAP028382","AGAP028382-RA")</f>
        <v>AGAP028382-RA</v>
      </c>
      <c r="DI206" s="2" t="s">
        <v>140</v>
      </c>
      <c r="DJ206" s="2">
        <v>1344</v>
      </c>
      <c r="DK206" s="2" t="str">
        <f>HYPERLINK(".\links\netoglyc\AGAP028382-PA-netoglyc.txt","0")</f>
        <v>0</v>
      </c>
      <c r="DL206" s="2">
        <v>14.5</v>
      </c>
      <c r="DM206" s="2">
        <v>6.3</v>
      </c>
      <c r="DN206" s="2">
        <v>2.5</v>
      </c>
      <c r="DO206" s="2">
        <v>0.7</v>
      </c>
      <c r="DP206" s="2" t="s">
        <v>89</v>
      </c>
      <c r="DQ206" s="2" t="str">
        <f>HYPERLINK(".\links\Sigp\AGAP028382-PA-SigP.txt","BL")</f>
        <v>BL</v>
      </c>
      <c r="DR206" s="2" t="s">
        <v>3076</v>
      </c>
      <c r="DS206" s="2">
        <v>51.345999999999997</v>
      </c>
      <c r="DT206" s="2">
        <v>9.1199999999999992</v>
      </c>
      <c r="DU206" s="2">
        <v>6.1539999999999999</v>
      </c>
      <c r="DV206" s="2">
        <v>8.99</v>
      </c>
      <c r="DW206" s="2" t="s">
        <v>3077</v>
      </c>
      <c r="DX206" s="2">
        <v>447</v>
      </c>
      <c r="DY206" s="12" t="str">
        <f>HYPERLINK(".\links\tmhmm\AGAP028382-PA-tmhmm.txt","13")</f>
        <v>13</v>
      </c>
      <c r="DZ206" s="2">
        <v>61.5</v>
      </c>
      <c r="EA206" s="2">
        <v>20.8</v>
      </c>
      <c r="EB206" s="2">
        <v>17.7</v>
      </c>
      <c r="EC206" s="2" t="str">
        <f>HYPERLINK(".\links\gpi\AGAP028382-PA-gpi.txt","Y-NoSP")</f>
        <v>Y-NoSP</v>
      </c>
      <c r="ED206" s="2">
        <v>0.64</v>
      </c>
      <c r="EE206" s="2" t="s">
        <v>1124</v>
      </c>
      <c r="EF206" s="2">
        <v>6</v>
      </c>
      <c r="EG206" s="2" t="s">
        <v>89</v>
      </c>
      <c r="EH206" s="2" t="s">
        <v>89</v>
      </c>
      <c r="EI206" s="2">
        <v>14.5413870246085</v>
      </c>
      <c r="EJ206" s="2">
        <v>2.46085011185682</v>
      </c>
      <c r="EK206" s="2">
        <v>6.2639821029082796</v>
      </c>
      <c r="EL206" s="2">
        <v>8.7248322147650992</v>
      </c>
      <c r="EM206" s="2" t="s">
        <v>89</v>
      </c>
      <c r="EN206" s="2">
        <v>1</v>
      </c>
      <c r="EO206" s="2">
        <v>1</v>
      </c>
      <c r="EP206" s="2" t="s">
        <v>89</v>
      </c>
      <c r="EQ206" s="2" t="s">
        <v>89</v>
      </c>
      <c r="ER206" s="2" t="s">
        <v>89</v>
      </c>
      <c r="ES206" s="2" t="s">
        <v>89</v>
      </c>
      <c r="ET206" s="2" t="str">
        <f>HYPERLINK(".\links\REFSEQ-INVERTEBRATE\AGAP028382-PA-REFSEQ-INVERTEBRATE.txt","ND4 gene product (mitochondrion)")</f>
        <v>ND4 gene product (mitochondrion)</v>
      </c>
      <c r="EU206" s="2" t="str">
        <f>HYPERLINK("http://www.ncbi.nlm.nih.gov/sutils/blink.cgi?pid=NP_008077.1","0.0")</f>
        <v>0.0</v>
      </c>
      <c r="EV206" s="2" t="str">
        <f>HYPERLINK("http://www.ncbi.nlm.nih.gov/protein/NP_008077.1","NP_008077.1")</f>
        <v>NP_008077.1</v>
      </c>
      <c r="EW206" s="2">
        <v>100</v>
      </c>
      <c r="EX206" s="2">
        <v>100</v>
      </c>
      <c r="EY206" s="2">
        <v>100</v>
      </c>
      <c r="EZ206" s="2" t="s">
        <v>215</v>
      </c>
    </row>
    <row r="207" spans="1:156" x14ac:dyDescent="0.25">
      <c r="A207" s="2" t="s">
        <v>2638</v>
      </c>
      <c r="B207" s="2">
        <v>-1.0327035833823399</v>
      </c>
      <c r="C207" s="2">
        <f t="shared" si="3"/>
        <v>0.48879330052824654</v>
      </c>
      <c r="D207" s="2">
        <v>5.5906093107069097</v>
      </c>
      <c r="E207" s="2">
        <v>11.449140627184301</v>
      </c>
      <c r="F207" s="2">
        <v>7.1527071214454196E-4</v>
      </c>
      <c r="G207" s="2">
        <v>3.3548402080189201E-2</v>
      </c>
      <c r="H207" s="2" t="s">
        <v>86</v>
      </c>
      <c r="I207" s="2" t="s">
        <v>87</v>
      </c>
      <c r="J207" s="2" t="str">
        <f>HYPERLINK("https://vectorbase.org/vectorbase/app/record/gene/AGAP010962","AGAP010962-RA")</f>
        <v>AGAP010962-RA</v>
      </c>
      <c r="K207" s="2" t="str">
        <f>HYPERLINK(".\links\pep\AGAP010962-PA-pep.txt","AGAP010962-PA")</f>
        <v>AGAP010962-PA</v>
      </c>
      <c r="L207" s="12" t="s">
        <v>88</v>
      </c>
      <c r="M207" s="2">
        <v>269</v>
      </c>
      <c r="N207" s="2">
        <v>0</v>
      </c>
      <c r="O207" s="2">
        <v>0</v>
      </c>
      <c r="P207" s="2" t="s">
        <v>89</v>
      </c>
      <c r="Q207" s="9" t="s">
        <v>2639</v>
      </c>
      <c r="R207" s="2" t="s">
        <v>2640</v>
      </c>
      <c r="S207" s="2" t="str">
        <f>HYPERLINK(".\links\REFSEQ-INVERTEBRATE\AGAP010962-PA-REFSEQ-INVERTEBRATE.txt","REFSEQ-INVERTEBRATE")</f>
        <v>REFSEQ-INVERTEBRATE</v>
      </c>
      <c r="T207" s="2">
        <v>0</v>
      </c>
      <c r="V207" s="2" t="s">
        <v>2641</v>
      </c>
      <c r="W207" s="10" t="s">
        <v>2639</v>
      </c>
      <c r="X207" s="2" t="s">
        <v>2642</v>
      </c>
      <c r="Y207" s="2" t="str">
        <f>HYPERLINK(".\links\REFSEQ-INVERTEBRATE\AGAP010962-PA-REFSEQ-INVERTEBRATE.txt","REFSEQ-INVERTEBRATE")</f>
        <v>REFSEQ-INVERTEBRATE</v>
      </c>
      <c r="Z207" s="13">
        <v>0</v>
      </c>
      <c r="AA207" s="2">
        <v>100</v>
      </c>
      <c r="AB207" s="14" t="str">
        <f>HYPERLINK(".\links\pep\AGAP010962-PA-sulf.txt","1")</f>
        <v>1</v>
      </c>
      <c r="AC207" s="14" t="str">
        <f>HYPERLINK(".\links\Sigp\AGAP010962-PA-SigP.txt","SIG")</f>
        <v>SIG</v>
      </c>
      <c r="AD207" s="2" t="s">
        <v>404</v>
      </c>
      <c r="AE207" s="2">
        <v>30.774999999999999</v>
      </c>
      <c r="AF207" s="2">
        <v>5.17</v>
      </c>
      <c r="AG207" s="2">
        <v>28.030999999999999</v>
      </c>
      <c r="AH207" s="2">
        <v>4.97</v>
      </c>
      <c r="AI207" s="2" t="s">
        <v>2643</v>
      </c>
      <c r="AJ207" s="14" t="str">
        <f>HYPERLINK(".\links\tmhmm\AGAP010962-PA-tmhmm.txt","1")</f>
        <v>1</v>
      </c>
      <c r="AK207" s="2">
        <v>8.1999999999999993</v>
      </c>
      <c r="AL207" s="2">
        <v>89.2</v>
      </c>
      <c r="AM207" s="2">
        <v>2.6</v>
      </c>
      <c r="AN207" s="14" t="str">
        <f>HYPERLINK(".\links\gpi\AGAP010962-PA-gpi.txt","Y")</f>
        <v>Y</v>
      </c>
      <c r="AO207" s="15" t="str">
        <f>HYPERLINK(".\links\netoglyc\AGAP010962-PA-netoglyc.txt","0")</f>
        <v>0</v>
      </c>
      <c r="AP207" s="14">
        <v>14.1</v>
      </c>
      <c r="AQ207" s="2">
        <v>4.8</v>
      </c>
      <c r="AR207" s="2">
        <v>4.5</v>
      </c>
      <c r="AS207" s="2" t="s">
        <v>94</v>
      </c>
      <c r="AT207" s="9" t="str">
        <f>HYPERLINK(".\links\NR-LIGHT\AGAP010962-PA-NR-LIGHT.txt","hypothetical protein AND_000528")</f>
        <v>hypothetical protein AND_000528</v>
      </c>
      <c r="AU207" s="2" t="str">
        <f>HYPERLINK("http://www.ncbi.nlm.nih.gov/sutils/blink.cgi?pid=ETN67648.1","1E-113")</f>
        <v>1E-113</v>
      </c>
      <c r="AV207" s="2" t="str">
        <f>HYPERLINK("http://www.ncbi.nlm.nih.gov/protein/ETN67648.1","ETN67648.1")</f>
        <v>ETN67648.1</v>
      </c>
      <c r="AW207" s="2">
        <v>72</v>
      </c>
      <c r="AX207" s="2">
        <v>89</v>
      </c>
      <c r="AY207" s="2">
        <v>100</v>
      </c>
      <c r="AZ207" s="2" t="s">
        <v>2245</v>
      </c>
      <c r="BA207" s="9" t="str">
        <f>HYPERLINK(".\links\REFSEQ-INVERTEBRATE\AGAP010962-PA-REFSEQ-INVERTEBRATE.txt","AGAP010964-PA, partial")</f>
        <v>AGAP010964-PA, partial</v>
      </c>
      <c r="BB207" s="2" t="str">
        <f>HYPERLINK("http://www.ncbi.nlm.nih.gov/sutils/blink.cgi?pid=XP_309739.4","1E-101")</f>
        <v>1E-101</v>
      </c>
      <c r="BC207" s="2" t="str">
        <f>HYPERLINK("http://www.ncbi.nlm.nih.gov/protein/XP_309739.4","XP_309739.4")</f>
        <v>XP_309739.4</v>
      </c>
      <c r="BD207" s="2">
        <v>100</v>
      </c>
      <c r="BE207" s="2">
        <v>100</v>
      </c>
      <c r="BF207" s="2">
        <v>100</v>
      </c>
      <c r="BG207" s="2" t="s">
        <v>95</v>
      </c>
      <c r="BH207" s="9" t="str">
        <f>HYPERLINK(".\links\REFSEQ-PROTOZOA\AGAP010962-PA-REFSEQ-PROTOZOA.txt","helicase, putative")</f>
        <v>helicase, putative</v>
      </c>
      <c r="BI207" s="2" t="str">
        <f>HYPERLINK("http://www.ncbi.nlm.nih.gov/sutils/blink.cgi?pid=XP_008855213.1","1.5")</f>
        <v>1.5</v>
      </c>
      <c r="BJ207" s="2" t="str">
        <f>HYPERLINK("http://www.ncbi.nlm.nih.gov/protein/XP_008855213.1","XP_008855213.1")</f>
        <v>XP_008855213.1</v>
      </c>
      <c r="BK207" s="2">
        <v>29</v>
      </c>
      <c r="BL207" s="2">
        <v>45</v>
      </c>
      <c r="BM207" s="2">
        <v>18</v>
      </c>
      <c r="BN207" s="2" t="s">
        <v>2494</v>
      </c>
      <c r="BO207" s="9" t="str">
        <f>HYPERLINK(".\links\SWISSP\AGAP010962-PA-SWISSP.txt","Butyrophilin subfamily 1 member A1")</f>
        <v>Butyrophilin subfamily 1 member A1</v>
      </c>
      <c r="BP207" s="2" t="str">
        <f>HYPERLINK("http://www.uniprot.org/uniprot/Q13410","0.20")</f>
        <v>0.20</v>
      </c>
      <c r="BQ207" s="2" t="str">
        <f>HYPERLINK("http://www.uniprot.org/uniprot/Q13410#expression","Q13410")</f>
        <v>Q13410</v>
      </c>
      <c r="BR207" s="2">
        <v>22</v>
      </c>
      <c r="BS207" s="2">
        <v>41</v>
      </c>
      <c r="BT207" s="2">
        <v>22</v>
      </c>
      <c r="BU207" s="2" t="s">
        <v>115</v>
      </c>
      <c r="BV207" s="9" t="str">
        <f>HYPERLINK(".\links\FLYBASE\AGAP010962-PA-FLYBASE.txt","FBpp0071810")</f>
        <v>FBpp0071810</v>
      </c>
      <c r="BW207" s="2" t="str">
        <f>HYPERLINK("http://flybase.org/reports/FBgn0034788#alliance_summary_container","5E-37")</f>
        <v>5E-37</v>
      </c>
      <c r="BX207" s="2">
        <v>263</v>
      </c>
      <c r="BY207" s="2">
        <v>37</v>
      </c>
      <c r="BZ207" s="2">
        <v>53</v>
      </c>
      <c r="CA207" s="2">
        <v>88</v>
      </c>
      <c r="CB207" s="9" t="str">
        <f>HYPERLINK(".\links\CDD\AGAP010962-PA-CDD.txt","IgC_L, Immunoglobulin Constant domain")</f>
        <v>IgC_L, Immunoglobulin Constant domain</v>
      </c>
      <c r="CC207" s="13">
        <v>8.0000000000000002E-3</v>
      </c>
      <c r="CD207" s="2">
        <v>77.8</v>
      </c>
      <c r="CE207" s="2" t="s">
        <v>2644</v>
      </c>
      <c r="CF207" s="2" t="s">
        <v>2645</v>
      </c>
      <c r="CG207" s="9" t="str">
        <f>HYPERLINK(".\links\KOG\AGAP010962-PA-KOG.txt","Neural cell adhesion molecule L1")</f>
        <v>Neural cell adhesion molecule L1</v>
      </c>
      <c r="CH207" s="13">
        <v>3.5999999999999997E-2</v>
      </c>
      <c r="CI207" s="2">
        <v>9.9</v>
      </c>
      <c r="CJ207" s="2" t="s">
        <v>2646</v>
      </c>
      <c r="CK207" s="2" t="s">
        <v>410</v>
      </c>
      <c r="CL207" s="9" t="str">
        <f>HYPERLINK(".\links\PFAM\AGAP010962-PA-PFAM.txt","TTKRSYEDQ, Predicted coiled-coil domain-containing protein")</f>
        <v>TTKRSYEDQ, Predicted coiled-coil domain-containing protein</v>
      </c>
      <c r="CM207" s="13">
        <v>0.15</v>
      </c>
      <c r="CN207" s="2">
        <v>11</v>
      </c>
      <c r="CO207" s="2" t="s">
        <v>2647</v>
      </c>
      <c r="CP207" s="9" t="str">
        <f>HYPERLINK(".\links\SMART\AGAP010962-PA-SMART.txt","IG_like, Immunoglobulin like")</f>
        <v>IG_like, Immunoglobulin like</v>
      </c>
      <c r="CQ207" s="13">
        <v>0.04</v>
      </c>
      <c r="CR207" s="2">
        <v>80</v>
      </c>
      <c r="CS207" s="2" t="s">
        <v>2648</v>
      </c>
      <c r="CT207" s="2" t="s">
        <v>2641</v>
      </c>
      <c r="CU207" s="2" t="s">
        <v>2641</v>
      </c>
      <c r="CV207" s="2" t="s">
        <v>2641</v>
      </c>
      <c r="CW207" s="2" t="str">
        <f>HYPERLINK(".\links\pep\AGAP010962-PA-pep.txt","AGAP010962-PA")</f>
        <v>AGAP010962-PA</v>
      </c>
      <c r="CX207" s="2" t="s">
        <v>88</v>
      </c>
      <c r="CY207" s="2">
        <v>269</v>
      </c>
      <c r="CZ207" s="2" t="s">
        <v>103</v>
      </c>
      <c r="DA207" s="2" t="s">
        <v>2649</v>
      </c>
      <c r="DB207" s="2">
        <v>0</v>
      </c>
      <c r="DC207" s="2">
        <v>0</v>
      </c>
      <c r="DD207" s="2" t="str">
        <f>HYPERLINK("https://www.kegg.jp/kegg-bin/search_pathway_text?map=aga&amp;keyword=AGAP010962&amp;mode=1&amp;viewImage=true","AGAP010962")</f>
        <v>AGAP010962</v>
      </c>
      <c r="DE207" s="2" t="s">
        <v>2638</v>
      </c>
      <c r="DF207" s="2" t="s">
        <v>86</v>
      </c>
      <c r="DG207" s="2" t="s">
        <v>87</v>
      </c>
      <c r="DH207" s="2" t="str">
        <f>HYPERLINK("https://vectorbase.org/vectorbase/app/record/gene/AGAP010962","AGAP010962-RA")</f>
        <v>AGAP010962-RA</v>
      </c>
      <c r="DI207" s="2" t="s">
        <v>158</v>
      </c>
      <c r="DJ207" s="2">
        <v>1977</v>
      </c>
      <c r="DK207" s="2" t="str">
        <f>HYPERLINK(".\links\netoglyc\AGAP010962-PA-netoglyc.txt","0")</f>
        <v>0</v>
      </c>
      <c r="DL207" s="2">
        <v>14.1</v>
      </c>
      <c r="DM207" s="2">
        <v>4.8</v>
      </c>
      <c r="DN207" s="2">
        <v>4.5</v>
      </c>
      <c r="DO207" s="2" t="s">
        <v>94</v>
      </c>
      <c r="DP207" s="2" t="s">
        <v>89</v>
      </c>
      <c r="DQ207" s="2" t="str">
        <f>HYPERLINK(".\links\Sigp\AGAP010962-PA-SigP.txt","SIG")</f>
        <v>SIG</v>
      </c>
      <c r="DR207" s="2" t="s">
        <v>404</v>
      </c>
      <c r="DS207" s="2">
        <v>30.774999999999999</v>
      </c>
      <c r="DT207" s="2">
        <v>5.17</v>
      </c>
      <c r="DU207" s="2">
        <v>28.030999999999999</v>
      </c>
      <c r="DV207" s="2">
        <v>4.97</v>
      </c>
      <c r="DW207" s="2" t="s">
        <v>2643</v>
      </c>
      <c r="DX207" s="2">
        <v>269</v>
      </c>
      <c r="DY207" s="12" t="str">
        <f>HYPERLINK(".\links\tmhmm\AGAP010962-PA-tmhmm.txt","1")</f>
        <v>1</v>
      </c>
      <c r="DZ207" s="2">
        <v>8.1999999999999993</v>
      </c>
      <c r="EA207" s="2">
        <v>89.2</v>
      </c>
      <c r="EB207" s="2">
        <v>2.6</v>
      </c>
      <c r="EC207" s="2" t="str">
        <f>HYPERLINK(".\links\gpi\AGAP010962-PA-gpi.txt","Y-NoSP")</f>
        <v>Y-NoSP</v>
      </c>
      <c r="ED207" s="2">
        <v>0.23</v>
      </c>
      <c r="EF207" s="2">
        <v>6</v>
      </c>
      <c r="EG207" s="2" t="str">
        <f>HYPERLINK(".\links\pep\AGAP010962-PA-sulf.txt","1")</f>
        <v>1</v>
      </c>
      <c r="EH207" s="2" t="s">
        <v>89</v>
      </c>
      <c r="EI207" s="2">
        <v>14.126394052044599</v>
      </c>
      <c r="EJ207" s="2">
        <v>4.4609665427509304</v>
      </c>
      <c r="EK207" s="2">
        <v>4.8327137546468402</v>
      </c>
      <c r="EL207" s="2">
        <v>9.2936802973977706</v>
      </c>
      <c r="EM207" s="2" t="s">
        <v>89</v>
      </c>
      <c r="EN207" s="2">
        <v>2</v>
      </c>
      <c r="EO207" s="2">
        <v>3</v>
      </c>
      <c r="EP207" s="2" t="s">
        <v>89</v>
      </c>
      <c r="EQ207" s="2" t="s">
        <v>89</v>
      </c>
      <c r="ER207" s="2" t="s">
        <v>89</v>
      </c>
      <c r="ES207" s="2" t="s">
        <v>89</v>
      </c>
      <c r="ET207" s="2" t="str">
        <f>HYPERLINK(".\links\REFSEQ-INVERTEBRATE\AGAP010962-PA-REFSEQ-INVERTEBRATE.txt","uncharacterized protein LOC118467429")</f>
        <v>uncharacterized protein LOC118467429</v>
      </c>
      <c r="EU207" s="2" t="str">
        <f>HYPERLINK("http://www.ncbi.nlm.nih.gov/sutils/blink.cgi?pid=XP_035793812.1","1E-149")</f>
        <v>1E-149</v>
      </c>
      <c r="EV207" s="2" t="str">
        <f>HYPERLINK("http://www.ncbi.nlm.nih.gov/protein/XP_035793812.1","XP_035793812.1")</f>
        <v>XP_035793812.1</v>
      </c>
      <c r="EW207" s="2">
        <v>72</v>
      </c>
      <c r="EX207" s="2">
        <v>87</v>
      </c>
      <c r="EY207" s="2">
        <v>101</v>
      </c>
      <c r="EZ207" s="2" t="s">
        <v>2650</v>
      </c>
    </row>
    <row r="208" spans="1:156" x14ac:dyDescent="0.25">
      <c r="A208" s="2" t="s">
        <v>2504</v>
      </c>
      <c r="B208" s="2">
        <v>-1.0388485053160501</v>
      </c>
      <c r="C208" s="2">
        <f t="shared" si="3"/>
        <v>0.48671579350284483</v>
      </c>
      <c r="D208" s="2">
        <v>5.6015269556718899</v>
      </c>
      <c r="E208" s="2">
        <v>11.623555081115899</v>
      </c>
      <c r="F208" s="2">
        <v>6.5121810258929704E-4</v>
      </c>
      <c r="G208" s="2">
        <v>3.1232068190397502E-2</v>
      </c>
      <c r="H208" s="2" t="s">
        <v>2505</v>
      </c>
      <c r="I208" s="2" t="s">
        <v>87</v>
      </c>
      <c r="J208" s="2" t="str">
        <f>HYPERLINK("https://vectorbase.org/vectorbase/app/record/gene/AGAP010229","AGAP010229-RA")</f>
        <v>AGAP010229-RA</v>
      </c>
      <c r="K208" s="2" t="str">
        <f>HYPERLINK(".\links\pep\AGAP010229-PA-pep.txt","AGAP010229-PA")</f>
        <v>AGAP010229-PA</v>
      </c>
      <c r="L208" s="12" t="s">
        <v>88</v>
      </c>
      <c r="M208" s="2">
        <v>386</v>
      </c>
      <c r="N208" s="2">
        <v>0</v>
      </c>
      <c r="O208" s="2">
        <v>0</v>
      </c>
      <c r="P208" s="2" t="s">
        <v>2506</v>
      </c>
      <c r="Q208" s="9" t="s">
        <v>2507</v>
      </c>
      <c r="R208" s="2" t="s">
        <v>212</v>
      </c>
      <c r="S208" s="2" t="str">
        <f>HYPERLINK(".\links\KOG\AGAP010229-PA-KOG.txt","KOG")</f>
        <v>KOG</v>
      </c>
      <c r="T208" s="2">
        <v>0</v>
      </c>
      <c r="U208" s="2">
        <v>99.4</v>
      </c>
      <c r="V208" s="2" t="s">
        <v>2508</v>
      </c>
      <c r="W208" s="10" t="s">
        <v>2509</v>
      </c>
      <c r="X208" s="2" t="s">
        <v>212</v>
      </c>
      <c r="Y208" s="2" t="str">
        <f>HYPERLINK(".\links\EC\AGAP010229-PA-EC.txt","EC")</f>
        <v>EC</v>
      </c>
      <c r="Z208" s="13">
        <v>0</v>
      </c>
      <c r="AA208" s="2">
        <v>97.9</v>
      </c>
      <c r="AB208" s="14" t="str">
        <f>HYPERLINK(".\links\pep\AGAP010229-PA-sulf.txt","1")</f>
        <v>1</v>
      </c>
      <c r="AC208" s="14" t="str">
        <f>HYPERLINK(".\links\Sigp\AGAP010229-PA-SigP.txt","CYT")</f>
        <v>CYT</v>
      </c>
      <c r="AD208" s="2" t="s">
        <v>89</v>
      </c>
      <c r="AE208" s="2">
        <v>43.597000000000001</v>
      </c>
      <c r="AF208" s="2">
        <v>6.03</v>
      </c>
      <c r="AG208" s="2" t="s">
        <v>89</v>
      </c>
      <c r="AH208" s="2" t="s">
        <v>89</v>
      </c>
      <c r="AI208" s="2" t="s">
        <v>2510</v>
      </c>
      <c r="AJ208" s="14">
        <v>0</v>
      </c>
      <c r="AK208" s="2" t="s">
        <v>89</v>
      </c>
      <c r="AL208" s="2" t="s">
        <v>89</v>
      </c>
      <c r="AM208" s="2" t="s">
        <v>89</v>
      </c>
      <c r="AN208" s="14" t="str">
        <f>HYPERLINK(".\links\gpi\AGAP010229-PA-gpi.txt","N")</f>
        <v>N</v>
      </c>
      <c r="AO208" s="15" t="str">
        <f>HYPERLINK(".\links\netoglyc\AGAP010229-PA-netoglyc.txt","1")</f>
        <v>1</v>
      </c>
      <c r="AP208" s="14">
        <v>11.4</v>
      </c>
      <c r="AQ208" s="2">
        <v>6.2</v>
      </c>
      <c r="AR208" s="2">
        <v>5.7</v>
      </c>
      <c r="AS208" s="2" t="s">
        <v>94</v>
      </c>
      <c r="AT208" s="9" t="str">
        <f>HYPERLINK(".\links\NR-LIGHT\AGAP010229-PA-NR-LIGHT.txt","AGAP010229-PA")</f>
        <v>AGAP010229-PA</v>
      </c>
      <c r="AU208" s="2" t="str">
        <f>HYPERLINK("http://www.ncbi.nlm.nih.gov/sutils/blink.cgi?pid=XP_319417.2","0.0")</f>
        <v>0.0</v>
      </c>
      <c r="AV208" s="2" t="str">
        <f>HYPERLINK("http://www.ncbi.nlm.nih.gov/protein/XP_319417.2","XP_319417.2")</f>
        <v>XP_319417.2</v>
      </c>
      <c r="AW208" s="2">
        <v>100</v>
      </c>
      <c r="AX208" s="2">
        <v>100</v>
      </c>
      <c r="AY208" s="2">
        <v>100</v>
      </c>
      <c r="AZ208" s="2" t="s">
        <v>95</v>
      </c>
      <c r="BA208" s="9" t="str">
        <f>HYPERLINK(".\links\REFSEQ-INVERTEBRATE\AGAP010229-PA-REFSEQ-INVERTEBRATE.txt","AGAP010229-PA")</f>
        <v>AGAP010229-PA</v>
      </c>
      <c r="BB208" s="2" t="str">
        <f>HYPERLINK("http://www.ncbi.nlm.nih.gov/sutils/blink.cgi?pid=XP_319417.2","0.0")</f>
        <v>0.0</v>
      </c>
      <c r="BC208" s="2" t="str">
        <f>HYPERLINK("http://www.ncbi.nlm.nih.gov/protein/XP_319417.2","XP_319417.2")</f>
        <v>XP_319417.2</v>
      </c>
      <c r="BD208" s="2">
        <v>100</v>
      </c>
      <c r="BE208" s="2">
        <v>100</v>
      </c>
      <c r="BF208" s="2">
        <v>100</v>
      </c>
      <c r="BG208" s="2" t="s">
        <v>95</v>
      </c>
      <c r="BH208" s="9" t="str">
        <f>HYPERLINK(".\links\REFSEQ-PROTOZOA\AGAP010229-PA-REFSEQ-PROTOZOA.txt","beta-ureidopropionase")</f>
        <v>beta-ureidopropionase</v>
      </c>
      <c r="BI208" s="2" t="str">
        <f>HYPERLINK("http://www.ncbi.nlm.nih.gov/sutils/blink.cgi?pid=XP_004344241.1","1E-148")</f>
        <v>1E-148</v>
      </c>
      <c r="BJ208" s="2" t="str">
        <f>HYPERLINK("http://www.ncbi.nlm.nih.gov/protein/XP_004344241.1","XP_004344241.1")</f>
        <v>XP_004344241.1</v>
      </c>
      <c r="BK208" s="2">
        <v>66</v>
      </c>
      <c r="BL208" s="2">
        <v>78</v>
      </c>
      <c r="BM208" s="2">
        <v>98</v>
      </c>
      <c r="BN208" s="2" t="s">
        <v>150</v>
      </c>
      <c r="BO208" s="9" t="str">
        <f>HYPERLINK(".\links\SWISSP\AGAP010229-PA-SWISSP.txt","Beta-ureidopropionase")</f>
        <v>Beta-ureidopropionase</v>
      </c>
      <c r="BP208" s="2" t="str">
        <f>HYPERLINK("http://www.uniprot.org/uniprot/Q5RBM6","1E-151")</f>
        <v>1E-151</v>
      </c>
      <c r="BQ208" s="2" t="str">
        <f>HYPERLINK("http://www.uniprot.org/uniprot/Q5RBM6#expression","Q5RBM6")</f>
        <v>Q5RBM6</v>
      </c>
      <c r="BR208" s="2">
        <v>65</v>
      </c>
      <c r="BS208" s="2">
        <v>78</v>
      </c>
      <c r="BT208" s="2">
        <v>100</v>
      </c>
      <c r="BU208" s="2" t="s">
        <v>337</v>
      </c>
      <c r="BV208" s="9" t="str">
        <f>HYPERLINK(".\links\FLYBASE\AGAP010229-PA-FLYBASE.txt","FBpp0081276")</f>
        <v>FBpp0081276</v>
      </c>
      <c r="BW208" s="2" t="str">
        <f>HYPERLINK("http://flybase.org/reports/FBgn0037513#alliance_summary_container","0.0")</f>
        <v>0.0</v>
      </c>
      <c r="BX208" s="2">
        <v>386</v>
      </c>
      <c r="BY208" s="2">
        <v>71</v>
      </c>
      <c r="BZ208" s="2">
        <v>83</v>
      </c>
      <c r="CA208" s="2">
        <v>100</v>
      </c>
      <c r="CB208" s="9" t="str">
        <f>HYPERLINK(".\links\CDD\AGAP010229-PA-CDD.txt","ML_beta-AS, mammalian-like beta-alanine synthase (beta-AS) and similar proteins (class 5 nitrilases)")</f>
        <v>ML_beta-AS, mammalian-like beta-alanine synthase (beta-AS) and similar proteins (class 5 nitrilases)</v>
      </c>
      <c r="CC208" s="13">
        <v>0</v>
      </c>
      <c r="CD208" s="2">
        <v>100.3</v>
      </c>
      <c r="CE208" s="2" t="s">
        <v>2511</v>
      </c>
      <c r="CF208" s="2" t="s">
        <v>2512</v>
      </c>
      <c r="CG208" s="9" t="str">
        <f>HYPERLINK(".\links\KOG\AGAP010229-PA-KOG.txt","Carbon-nitrogen hydrolase")</f>
        <v>Carbon-nitrogen hydrolase</v>
      </c>
      <c r="CH208" s="13">
        <v>0</v>
      </c>
      <c r="CI208" s="2">
        <v>99.5</v>
      </c>
      <c r="CJ208" s="2" t="s">
        <v>2513</v>
      </c>
      <c r="CK208" s="2" t="s">
        <v>393</v>
      </c>
      <c r="CL208" s="9" t="str">
        <f>HYPERLINK(".\links\PFAM\AGAP010229-PA-PFAM.txt","CN_hydrolase, Carbon-nitrogen hydrolase")</f>
        <v>CN_hydrolase, Carbon-nitrogen hydrolase</v>
      </c>
      <c r="CM208" s="13">
        <v>8.9999999999999995E-51</v>
      </c>
      <c r="CN208" s="2">
        <v>110.5</v>
      </c>
      <c r="CO208" s="2" t="s">
        <v>2514</v>
      </c>
      <c r="CP208" s="9" t="str">
        <f>HYPERLINK(".\links\SMART\AGAP010229-PA-SMART.txt","POL3Bc, DNA polymerase III beta subunit")</f>
        <v>POL3Bc, DNA polymerase III beta subunit</v>
      </c>
      <c r="CQ208" s="13">
        <v>0.12</v>
      </c>
      <c r="CR208" s="2">
        <v>31.6</v>
      </c>
      <c r="CS208" s="2" t="s">
        <v>2515</v>
      </c>
      <c r="CT208" s="2" t="s">
        <v>2508</v>
      </c>
      <c r="CU208" s="2" t="s">
        <v>2508</v>
      </c>
      <c r="CV208" s="2" t="s">
        <v>2508</v>
      </c>
      <c r="CW208" s="2" t="str">
        <f>HYPERLINK(".\links\pep\AGAP010229-PA-pep.txt","AGAP010229-PA")</f>
        <v>AGAP010229-PA</v>
      </c>
      <c r="CX208" s="2" t="s">
        <v>88</v>
      </c>
      <c r="CY208" s="2">
        <v>386</v>
      </c>
      <c r="CZ208" s="2" t="s">
        <v>103</v>
      </c>
      <c r="DA208" s="2" t="s">
        <v>2516</v>
      </c>
      <c r="DB208" s="2">
        <v>0</v>
      </c>
      <c r="DC208" s="2">
        <v>0</v>
      </c>
      <c r="DD208" s="2" t="str">
        <f>HYPERLINK("https://www.kegg.jp/kegg-bin/search_pathway_text?map=aga&amp;keyword=AGAP010229&amp;mode=1&amp;viewImage=true","AGAP010229")</f>
        <v>AGAP010229</v>
      </c>
      <c r="DE208" s="2" t="s">
        <v>2504</v>
      </c>
      <c r="DF208" s="2" t="s">
        <v>2505</v>
      </c>
      <c r="DG208" s="2" t="s">
        <v>87</v>
      </c>
      <c r="DH208" s="2" t="str">
        <f>HYPERLINK("https://vectorbase.org/vectorbase/app/record/gene/AGAP010229","AGAP010229-RA")</f>
        <v>AGAP010229-RA</v>
      </c>
      <c r="DI208" s="2" t="s">
        <v>105</v>
      </c>
      <c r="DJ208" s="2">
        <v>1961</v>
      </c>
      <c r="DK208" s="2" t="str">
        <f>HYPERLINK(".\links\netoglyc\AGAP010229-PA-netoglyc.txt","1")</f>
        <v>1</v>
      </c>
      <c r="DL208" s="2">
        <v>11.4</v>
      </c>
      <c r="DM208" s="2">
        <v>6.2</v>
      </c>
      <c r="DN208" s="2">
        <v>5.7</v>
      </c>
      <c r="DO208" s="2" t="s">
        <v>94</v>
      </c>
      <c r="DP208" s="2" t="s">
        <v>89</v>
      </c>
      <c r="DQ208" s="2" t="str">
        <f>HYPERLINK(".\links\Sigp\AGAP010229-PA-SigP.txt","CYT")</f>
        <v>CYT</v>
      </c>
      <c r="DR208" s="2" t="s">
        <v>89</v>
      </c>
      <c r="DS208" s="2">
        <v>43.597000000000001</v>
      </c>
      <c r="DT208" s="2">
        <v>6.03</v>
      </c>
      <c r="DU208" s="2" t="s">
        <v>89</v>
      </c>
      <c r="DV208" s="2" t="s">
        <v>89</v>
      </c>
      <c r="DW208" s="2" t="s">
        <v>2510</v>
      </c>
      <c r="DX208" s="2">
        <v>386</v>
      </c>
      <c r="DY208" s="12">
        <v>0</v>
      </c>
      <c r="DZ208" s="2" t="s">
        <v>89</v>
      </c>
      <c r="EA208" s="2" t="s">
        <v>89</v>
      </c>
      <c r="EB208" s="2" t="s">
        <v>89</v>
      </c>
      <c r="EC208" s="2" t="str">
        <f>HYPERLINK(".\links\gpi\AGAP010229-PA-gpi.txt","Y-NoSP")</f>
        <v>Y-NoSP</v>
      </c>
      <c r="ED208" s="2">
        <v>0.19</v>
      </c>
      <c r="EF208" s="2">
        <v>5</v>
      </c>
      <c r="EG208" s="2" t="str">
        <f>HYPERLINK(".\links\pep\AGAP010229-PA-sulf.txt","1")</f>
        <v>1</v>
      </c>
      <c r="EH208" s="2" t="s">
        <v>89</v>
      </c>
      <c r="EI208" s="2">
        <v>11.3989637305699</v>
      </c>
      <c r="EJ208" s="2">
        <v>5.6994818652849704</v>
      </c>
      <c r="EK208" s="2">
        <v>6.2176165803108798</v>
      </c>
      <c r="EL208" s="2">
        <v>11.917098445595901</v>
      </c>
      <c r="EM208" s="2" t="s">
        <v>89</v>
      </c>
      <c r="EN208" s="2">
        <v>1</v>
      </c>
      <c r="EO208" s="2">
        <v>2</v>
      </c>
      <c r="EP208" s="2" t="s">
        <v>89</v>
      </c>
      <c r="EQ208" s="2" t="s">
        <v>89</v>
      </c>
      <c r="ER208" s="2" t="s">
        <v>89</v>
      </c>
      <c r="ES208" s="2" t="s">
        <v>89</v>
      </c>
      <c r="ET208" s="2" t="str">
        <f>HYPERLINK(".\links\REFSEQ-INVERTEBRATE\AGAP010229-PA-REFSEQ-INVERTEBRATE.txt","AGAP010229-PA")</f>
        <v>AGAP010229-PA</v>
      </c>
      <c r="EU208" s="2" t="str">
        <f>HYPERLINK("http://www.ncbi.nlm.nih.gov/sutils/blink.cgi?pid=XP_319417.2","0.0")</f>
        <v>0.0</v>
      </c>
      <c r="EV208" s="2" t="str">
        <f>HYPERLINK("http://www.ncbi.nlm.nih.gov/protein/XP_319417.2","XP_319417.2")</f>
        <v>XP_319417.2</v>
      </c>
      <c r="EW208" s="2">
        <v>100</v>
      </c>
      <c r="EX208" s="2">
        <v>100</v>
      </c>
      <c r="EY208" s="2">
        <v>100</v>
      </c>
      <c r="EZ208" s="2" t="s">
        <v>95</v>
      </c>
    </row>
    <row r="209" spans="1:156" x14ac:dyDescent="0.25">
      <c r="A209" s="2" t="s">
        <v>1617</v>
      </c>
      <c r="B209" s="2">
        <v>-1.04503264786976</v>
      </c>
      <c r="C209" s="2">
        <f t="shared" si="3"/>
        <v>0.4846339411845148</v>
      </c>
      <c r="D209" s="2">
        <v>11.181102694637</v>
      </c>
      <c r="E209" s="2">
        <v>15.0264936966369</v>
      </c>
      <c r="F209" s="2">
        <v>1.06012410764958E-4</v>
      </c>
      <c r="G209" s="2">
        <v>9.28126213233464E-3</v>
      </c>
      <c r="H209" s="2" t="s">
        <v>86</v>
      </c>
      <c r="I209" s="2" t="s">
        <v>87</v>
      </c>
      <c r="J209" s="2" t="str">
        <f>HYPERLINK("https://vectorbase.org/vectorbase/app/record/gene/AGAP006275","AGAP006275-RA")</f>
        <v>AGAP006275-RA</v>
      </c>
      <c r="K209" s="2" t="str">
        <f>HYPERLINK(".\links\pep\AGAP006275-PA-pep.txt","AGAP006275-PA")</f>
        <v>AGAP006275-PA</v>
      </c>
      <c r="L209" s="12" t="s">
        <v>88</v>
      </c>
      <c r="M209" s="2">
        <v>255</v>
      </c>
      <c r="N209" s="2">
        <v>0</v>
      </c>
      <c r="O209" s="2">
        <v>0</v>
      </c>
      <c r="P209" s="2" t="s">
        <v>89</v>
      </c>
      <c r="Q209" s="9" t="s">
        <v>399</v>
      </c>
      <c r="R209" s="2" t="s">
        <v>400</v>
      </c>
      <c r="S209" s="2" t="str">
        <f>HYPERLINK(".\links\REFSEQ-INVERTEBRATE\AGAP006275-PA-REFSEQ-INVERTEBRATE.txt","REFSEQ-INVERTEBRATE")</f>
        <v>REFSEQ-INVERTEBRATE</v>
      </c>
      <c r="T209" s="2">
        <v>0</v>
      </c>
      <c r="V209" s="2" t="s">
        <v>1618</v>
      </c>
      <c r="W209" s="10" t="s">
        <v>399</v>
      </c>
      <c r="X209" s="2" t="s">
        <v>400</v>
      </c>
      <c r="Y209" s="2" t="str">
        <f>HYPERLINK(".\links\REFSEQ-INVERTEBRATE\AGAP006275-PA-REFSEQ-INVERTEBRATE.txt","REFSEQ-INVERTEBRATE")</f>
        <v>REFSEQ-INVERTEBRATE</v>
      </c>
      <c r="Z209" s="2">
        <v>0</v>
      </c>
      <c r="AA209" s="2">
        <v>100</v>
      </c>
      <c r="AB209" s="14" t="str">
        <f>HYPERLINK(".\links\pep\AGAP006275-PA-sulf.txt","1")</f>
        <v>1</v>
      </c>
      <c r="AC209" s="14" t="str">
        <f>HYPERLINK(".\links\Sigp\AGAP006275-PA-SigP.txt","SIG")</f>
        <v>SIG</v>
      </c>
      <c r="AD209" s="2" t="s">
        <v>1227</v>
      </c>
      <c r="AE209" s="2">
        <v>28.747</v>
      </c>
      <c r="AF209" s="2">
        <v>4.34</v>
      </c>
      <c r="AG209" s="2">
        <v>26.597000000000001</v>
      </c>
      <c r="AH209" s="2">
        <v>4.29</v>
      </c>
      <c r="AI209" s="2" t="s">
        <v>1619</v>
      </c>
      <c r="AJ209" s="14">
        <v>0</v>
      </c>
      <c r="AK209" s="2" t="s">
        <v>89</v>
      </c>
      <c r="AL209" s="2" t="s">
        <v>89</v>
      </c>
      <c r="AM209" s="2" t="s">
        <v>89</v>
      </c>
      <c r="AN209" s="14" t="str">
        <f>HYPERLINK(".\links\gpi\AGAP006275-PA-gpi.txt","N")</f>
        <v>N</v>
      </c>
      <c r="AO209" s="15" t="str">
        <f>HYPERLINK(".\links\netoglyc\AGAP006275-PA-netoglyc.txt","0")</f>
        <v>0</v>
      </c>
      <c r="AP209" s="14">
        <v>14.1</v>
      </c>
      <c r="AQ209" s="2">
        <v>3.1</v>
      </c>
      <c r="AR209" s="2">
        <v>3.5</v>
      </c>
      <c r="AS209" s="2" t="s">
        <v>94</v>
      </c>
      <c r="AT209" s="9" t="str">
        <f>HYPERLINK(".\links\NR-LIGHT\AGAP006275-PA-NR-LIGHT.txt","AGAP006275-PA")</f>
        <v>AGAP006275-PA</v>
      </c>
      <c r="AU209" s="2" t="str">
        <f>HYPERLINK("http://www.ncbi.nlm.nih.gov/sutils/blink.cgi?pid=XP_316340.2","1E-145")</f>
        <v>1E-145</v>
      </c>
      <c r="AV209" s="2" t="str">
        <f>HYPERLINK("http://www.ncbi.nlm.nih.gov/protein/XP_316340.2","XP_316340.2")</f>
        <v>XP_316340.2</v>
      </c>
      <c r="AW209" s="2">
        <v>100</v>
      </c>
      <c r="AX209" s="2">
        <v>100</v>
      </c>
      <c r="AY209" s="2">
        <v>100</v>
      </c>
      <c r="AZ209" s="2" t="s">
        <v>95</v>
      </c>
      <c r="BA209" s="9" t="str">
        <f>HYPERLINK(".\links\REFSEQ-INVERTEBRATE\AGAP006275-PA-REFSEQ-INVERTEBRATE.txt","AGAP006275-PA")</f>
        <v>AGAP006275-PA</v>
      </c>
      <c r="BB209" s="2" t="str">
        <f>HYPERLINK("http://www.ncbi.nlm.nih.gov/sutils/blink.cgi?pid=XP_316340.2","1E-145")</f>
        <v>1E-145</v>
      </c>
      <c r="BC209" s="2" t="str">
        <f>HYPERLINK("http://www.ncbi.nlm.nih.gov/protein/XP_316340.2","XP_316340.2")</f>
        <v>XP_316340.2</v>
      </c>
      <c r="BD209" s="2">
        <v>100</v>
      </c>
      <c r="BE209" s="2">
        <v>100</v>
      </c>
      <c r="BF209" s="2">
        <v>100</v>
      </c>
      <c r="BG209" s="2" t="s">
        <v>95</v>
      </c>
      <c r="BH209" s="9" t="str">
        <f>HYPERLINK(".\links\REFSEQ-PROTOZOA\AGAP006275-PA-REFSEQ-PROTOZOA.txt","transmembrane protein, putative")</f>
        <v>transmembrane protein, putative</v>
      </c>
      <c r="BI209" s="2" t="str">
        <f>HYPERLINK("http://www.ncbi.nlm.nih.gov/sutils/blink.cgi?pid=XP_002899415.1","0.60")</f>
        <v>0.60</v>
      </c>
      <c r="BJ209" s="2" t="str">
        <f>HYPERLINK("http://www.ncbi.nlm.nih.gov/protein/XP_002899415.1","XP_002899415.1")</f>
        <v>XP_002899415.1</v>
      </c>
      <c r="BK209" s="2">
        <v>31</v>
      </c>
      <c r="BL209" s="2">
        <v>52</v>
      </c>
      <c r="BM209" s="2">
        <v>7</v>
      </c>
      <c r="BN209" s="2" t="s">
        <v>1323</v>
      </c>
      <c r="BO209" s="9" t="str">
        <f>HYPERLINK(".\links\SWISSP\AGAP006275-PA-SWISSP.txt","27 kDa glycoprotein")</f>
        <v>27 kDa glycoprotein</v>
      </c>
      <c r="BP209" s="2" t="str">
        <f>HYPERLINK("http://www.uniprot.org/uniprot/Q8T113","2E-004")</f>
        <v>2E-004</v>
      </c>
      <c r="BQ209" s="2" t="str">
        <f>HYPERLINK("http://www.uniprot.org/uniprot/Q8T113#expression","Q8T113")</f>
        <v>Q8T113</v>
      </c>
      <c r="BR209" s="2">
        <v>19</v>
      </c>
      <c r="BS209" s="2">
        <v>37</v>
      </c>
      <c r="BT209" s="2">
        <v>85</v>
      </c>
      <c r="BU209" s="2" t="s">
        <v>1620</v>
      </c>
      <c r="BV209" s="9" t="str">
        <f>HYPERLINK(".\links\FLYBASE\AGAP006275-PA-FLYBASE.txt","FBpp0304144")</f>
        <v>FBpp0304144</v>
      </c>
      <c r="BW209" s="2" t="str">
        <f>HYPERLINK("http://flybase.org/reports/FBgn0030740#alliance_summary_container","7E-09")</f>
        <v>7E-09</v>
      </c>
      <c r="BX209" s="2">
        <v>301</v>
      </c>
      <c r="BY209" s="2">
        <v>21</v>
      </c>
      <c r="BZ209" s="2">
        <v>40</v>
      </c>
      <c r="CA209" s="2">
        <v>67</v>
      </c>
      <c r="CB209" s="9" t="str">
        <f>HYPERLINK(".\links\CDD\AGAP006275-PA-CDD.txt","DUF1397, Protein of unknown function (DUF1397)")</f>
        <v>DUF1397, Protein of unknown function (DUF1397)</v>
      </c>
      <c r="CC209" s="13">
        <v>5.0000000000000001E-60</v>
      </c>
      <c r="CD209" s="2">
        <v>100</v>
      </c>
      <c r="CE209" s="2" t="s">
        <v>1621</v>
      </c>
      <c r="CF209" s="2" t="s">
        <v>1622</v>
      </c>
      <c r="CG209" s="9" t="str">
        <f>HYPERLINK(".\links\KOG\AGAP006275-PA-KOG.txt","Cullin 2 component")</f>
        <v>Cullin 2 component</v>
      </c>
      <c r="CH209" s="13">
        <v>0.16</v>
      </c>
      <c r="CI209" s="2">
        <v>8.5</v>
      </c>
      <c r="CJ209" s="2" t="s">
        <v>1623</v>
      </c>
      <c r="CK209" s="2" t="s">
        <v>264</v>
      </c>
      <c r="CL209" s="9" t="str">
        <f>HYPERLINK(".\links\PFAM\AGAP006275-PA-PFAM.txt","DUF1397, Protein of unknown function (DUF1397)")</f>
        <v>DUF1397, Protein of unknown function (DUF1397)</v>
      </c>
      <c r="CM209" s="13">
        <v>9.9999999999999997E-61</v>
      </c>
      <c r="CN209" s="2">
        <v>100</v>
      </c>
      <c r="CO209" s="2" t="s">
        <v>1621</v>
      </c>
      <c r="CP209" s="9" t="str">
        <f>HYPERLINK(".\links\SMART\AGAP006275-PA-SMART.txt","IL4_13, Interleukins 4 and 13")</f>
        <v>IL4_13, Interleukins 4 and 13</v>
      </c>
      <c r="CQ209" s="13">
        <v>2.6</v>
      </c>
      <c r="CR209" s="2">
        <v>34.799999999999997</v>
      </c>
      <c r="CS209" s="2" t="s">
        <v>1624</v>
      </c>
      <c r="CT209" s="2" t="s">
        <v>1618</v>
      </c>
      <c r="CU209" s="2" t="s">
        <v>1618</v>
      </c>
      <c r="CV209" s="2" t="s">
        <v>1618</v>
      </c>
      <c r="CW209" s="2" t="str">
        <f>HYPERLINK(".\links\pep\AGAP006275-PA-pep.txt","AGAP006275-PA")</f>
        <v>AGAP006275-PA</v>
      </c>
      <c r="CX209" s="2" t="s">
        <v>88</v>
      </c>
      <c r="CY209" s="2">
        <v>255</v>
      </c>
      <c r="CZ209" s="2" t="s">
        <v>103</v>
      </c>
      <c r="DA209" s="2" t="s">
        <v>1625</v>
      </c>
      <c r="DB209" s="2">
        <v>0</v>
      </c>
      <c r="DC209" s="2">
        <v>0</v>
      </c>
      <c r="DD209" s="2" t="str">
        <f>HYPERLINK("https://www.kegg.jp/kegg-bin/search_pathway_text?map=aga&amp;keyword=AGAP006275&amp;mode=1&amp;viewImage=true","AGAP006275")</f>
        <v>AGAP006275</v>
      </c>
      <c r="DE209" s="2" t="s">
        <v>1617</v>
      </c>
      <c r="DF209" s="2" t="s">
        <v>86</v>
      </c>
      <c r="DG209" s="2" t="s">
        <v>87</v>
      </c>
      <c r="DH209" s="2" t="str">
        <f>HYPERLINK("https://vectorbase.org/vectorbase/app/record/gene/AGAP006275","AGAP006275-RA")</f>
        <v>AGAP006275-RA</v>
      </c>
      <c r="DI209" s="2" t="s">
        <v>122</v>
      </c>
      <c r="DJ209" s="2">
        <v>934</v>
      </c>
      <c r="DK209" s="2" t="str">
        <f>HYPERLINK(".\links\netoglyc\AGAP006275-PA-netoglyc.txt","0")</f>
        <v>0</v>
      </c>
      <c r="DL209" s="2">
        <v>14.1</v>
      </c>
      <c r="DM209" s="2">
        <v>3.1</v>
      </c>
      <c r="DN209" s="2">
        <v>3.5</v>
      </c>
      <c r="DO209" s="2" t="s">
        <v>94</v>
      </c>
      <c r="DP209" s="2" t="s">
        <v>1626</v>
      </c>
      <c r="DQ209" s="2" t="str">
        <f>HYPERLINK(".\links\Sigp\AGAP006275-PA-SigP.txt","SIG")</f>
        <v>SIG</v>
      </c>
      <c r="DR209" s="2" t="s">
        <v>1227</v>
      </c>
      <c r="DS209" s="2">
        <v>28.747</v>
      </c>
      <c r="DT209" s="2">
        <v>4.34</v>
      </c>
      <c r="DU209" s="2">
        <v>26.597000000000001</v>
      </c>
      <c r="DV209" s="2">
        <v>4.29</v>
      </c>
      <c r="DW209" s="2" t="s">
        <v>1619</v>
      </c>
      <c r="DX209" s="2">
        <v>255</v>
      </c>
      <c r="DY209" s="12">
        <v>0</v>
      </c>
      <c r="DZ209" s="2" t="s">
        <v>89</v>
      </c>
      <c r="EA209" s="2" t="s">
        <v>89</v>
      </c>
      <c r="EB209" s="2" t="s">
        <v>89</v>
      </c>
      <c r="EC209" s="2" t="str">
        <f>HYPERLINK(".\links\gpi\AGAP006275-PA-gpi.txt","N")</f>
        <v>N</v>
      </c>
      <c r="ED209" s="2">
        <v>0.31</v>
      </c>
      <c r="EF209" s="2">
        <v>12</v>
      </c>
      <c r="EG209" s="2" t="str">
        <f>HYPERLINK(".\links\pep\AGAP006275-PA-sulf.txt","1")</f>
        <v>1</v>
      </c>
      <c r="EH209" s="2" t="s">
        <v>89</v>
      </c>
      <c r="EI209" s="2">
        <v>14.117647058823501</v>
      </c>
      <c r="EJ209" s="2">
        <v>3.52941176470588</v>
      </c>
      <c r="EK209" s="2">
        <v>3.1372549019607798</v>
      </c>
      <c r="EL209" s="2">
        <v>6.6666666666666696</v>
      </c>
      <c r="EM209" s="2" t="s">
        <v>89</v>
      </c>
      <c r="EN209" s="2" t="s">
        <v>89</v>
      </c>
      <c r="EO209" s="2" t="s">
        <v>89</v>
      </c>
      <c r="EP209" s="2" t="s">
        <v>89</v>
      </c>
      <c r="EQ209" s="2" t="s">
        <v>89</v>
      </c>
      <c r="ER209" s="2" t="s">
        <v>89</v>
      </c>
      <c r="ES209" s="2" t="s">
        <v>89</v>
      </c>
      <c r="ET209" s="2" t="str">
        <f>HYPERLINK(".\links\REFSEQ-INVERTEBRATE\AGAP006275-PA-REFSEQ-INVERTEBRATE.txt","AGAP006275-PA")</f>
        <v>AGAP006275-PA</v>
      </c>
      <c r="EU209" s="2" t="str">
        <f>HYPERLINK("http://www.ncbi.nlm.nih.gov/sutils/blink.cgi?pid=XP_316340.2","0.0")</f>
        <v>0.0</v>
      </c>
      <c r="EV209" s="2" t="str">
        <f>HYPERLINK("http://www.ncbi.nlm.nih.gov/protein/XP_316340.2","XP_316340.2")</f>
        <v>XP_316340.2</v>
      </c>
      <c r="EW209" s="2">
        <v>100</v>
      </c>
      <c r="EX209" s="2">
        <v>100</v>
      </c>
      <c r="EY209" s="2">
        <v>100</v>
      </c>
      <c r="EZ209" s="2" t="s">
        <v>95</v>
      </c>
    </row>
    <row r="210" spans="1:156" x14ac:dyDescent="0.25">
      <c r="A210" s="2" t="s">
        <v>1403</v>
      </c>
      <c r="B210" s="2">
        <v>-1.0472443203692401</v>
      </c>
      <c r="C210" s="2">
        <f t="shared" si="3"/>
        <v>0.48389155948406781</v>
      </c>
      <c r="D210" s="2">
        <v>5.0560560049015297</v>
      </c>
      <c r="E210" s="2">
        <v>24.6694889580235</v>
      </c>
      <c r="F210" s="2">
        <v>6.8053064835010697E-7</v>
      </c>
      <c r="G210" s="2">
        <v>3.1502651360798198E-4</v>
      </c>
      <c r="H210" s="2" t="s">
        <v>1404</v>
      </c>
      <c r="I210" s="2" t="s">
        <v>87</v>
      </c>
      <c r="J210" s="2" t="str">
        <f>HYPERLINK("https://vectorbase.org/vectorbase/app/record/gene/AGAP004954","AGAP004954-RA")</f>
        <v>AGAP004954-RA</v>
      </c>
      <c r="K210" s="2" t="str">
        <f>HYPERLINK(".\links\pep\AGAP004954-PA-pep.txt","AGAP004954-PA")</f>
        <v>AGAP004954-PA</v>
      </c>
      <c r="L210" s="12" t="s">
        <v>88</v>
      </c>
      <c r="M210" s="2">
        <v>265</v>
      </c>
      <c r="N210" s="2">
        <v>0</v>
      </c>
      <c r="O210" s="2">
        <v>1</v>
      </c>
      <c r="P210" s="2" t="s">
        <v>1405</v>
      </c>
      <c r="Q210" s="9" t="s">
        <v>1406</v>
      </c>
      <c r="R210" s="2" t="s">
        <v>148</v>
      </c>
      <c r="S210" s="2" t="str">
        <f>HYPERLINK(".\links\CDD\AGAP004954-PA-CDD.txt","CDD")</f>
        <v>CDD</v>
      </c>
      <c r="T210" s="2">
        <v>9.9999999999999999E-56</v>
      </c>
      <c r="U210" s="2">
        <v>107.8</v>
      </c>
      <c r="V210" s="2" t="s">
        <v>1407</v>
      </c>
      <c r="W210" s="10" t="s">
        <v>1408</v>
      </c>
      <c r="X210" s="2" t="s">
        <v>148</v>
      </c>
      <c r="Y210" s="2" t="str">
        <f>HYPERLINK(".\links\TIGR\AGAP004954-PA-TIGR.txt","TIGR")</f>
        <v>TIGR</v>
      </c>
      <c r="Z210" s="13">
        <v>2.0000000000000001E-42</v>
      </c>
      <c r="AA210" s="2">
        <v>107.8</v>
      </c>
      <c r="AB210" s="14" t="s">
        <v>89</v>
      </c>
      <c r="AC210" s="14" t="str">
        <f>HYPERLINK(".\links\Sigp\AGAP004954-PA-SigP.txt","CYT")</f>
        <v>CYT</v>
      </c>
      <c r="AD210" s="2" t="s">
        <v>89</v>
      </c>
      <c r="AE210" s="2">
        <v>31.216000000000001</v>
      </c>
      <c r="AF210" s="2">
        <v>8.85</v>
      </c>
      <c r="AG210" s="2" t="s">
        <v>89</v>
      </c>
      <c r="AH210" s="2" t="s">
        <v>89</v>
      </c>
      <c r="AI210" s="2" t="s">
        <v>93</v>
      </c>
      <c r="AJ210" s="14">
        <v>0</v>
      </c>
      <c r="AK210" s="2" t="s">
        <v>89</v>
      </c>
      <c r="AL210" s="2" t="s">
        <v>89</v>
      </c>
      <c r="AM210" s="2" t="s">
        <v>89</v>
      </c>
      <c r="AN210" s="14" t="str">
        <f>HYPERLINK(".\links\gpi\AGAP004954-PA-gpi.txt","N")</f>
        <v>N</v>
      </c>
      <c r="AO210" s="15" t="str">
        <f>HYPERLINK(".\links\netoglyc\AGAP004954-PA-netoglyc.txt","1")</f>
        <v>1</v>
      </c>
      <c r="AP210" s="14">
        <v>10.6</v>
      </c>
      <c r="AQ210" s="2">
        <v>6</v>
      </c>
      <c r="AR210" s="2">
        <v>4.2</v>
      </c>
      <c r="AS210" s="2" t="s">
        <v>94</v>
      </c>
      <c r="AT210" s="9" t="str">
        <f>HYPERLINK(".\links\NR-LIGHT\AGAP004954-PA-NR-LIGHT.txt","AGAP004954-PA")</f>
        <v>AGAP004954-PA</v>
      </c>
      <c r="AU210" s="2" t="str">
        <f>HYPERLINK("http://www.ncbi.nlm.nih.gov/sutils/blink.cgi?pid=XP_315052.4","1E-158")</f>
        <v>1E-158</v>
      </c>
      <c r="AV210" s="2" t="str">
        <f>HYPERLINK("http://www.ncbi.nlm.nih.gov/protein/XP_315052.4","XP_315052.4")</f>
        <v>XP_315052.4</v>
      </c>
      <c r="AW210" s="2">
        <v>100</v>
      </c>
      <c r="AX210" s="2">
        <v>100</v>
      </c>
      <c r="AY210" s="2">
        <v>100</v>
      </c>
      <c r="AZ210" s="2" t="s">
        <v>95</v>
      </c>
      <c r="BA210" s="9" t="str">
        <f>HYPERLINK(".\links\REFSEQ-INVERTEBRATE\AGAP004954-PA-REFSEQ-INVERTEBRATE.txt","AGAP004954-PA")</f>
        <v>AGAP004954-PA</v>
      </c>
      <c r="BB210" s="2" t="str">
        <f>HYPERLINK("http://www.ncbi.nlm.nih.gov/sutils/blink.cgi?pid=XP_315052.4","1E-158")</f>
        <v>1E-158</v>
      </c>
      <c r="BC210" s="2" t="str">
        <f>HYPERLINK("http://www.ncbi.nlm.nih.gov/protein/XP_315052.4","XP_315052.4")</f>
        <v>XP_315052.4</v>
      </c>
      <c r="BD210" s="2">
        <v>100</v>
      </c>
      <c r="BE210" s="2">
        <v>100</v>
      </c>
      <c r="BF210" s="2">
        <v>100</v>
      </c>
      <c r="BG210" s="2" t="s">
        <v>95</v>
      </c>
      <c r="BH210" s="9" t="str">
        <f>HYPERLINK(".\links\REFSEQ-PROTOZOA\AGAP004954-PA-REFSEQ-PROTOZOA.txt","hypothetical protein H696_03857")</f>
        <v>hypothetical protein H696_03857</v>
      </c>
      <c r="BI210" s="2" t="str">
        <f>HYPERLINK("http://www.ncbi.nlm.nih.gov/sutils/blink.cgi?pid=XP_009495992.1","3E-018")</f>
        <v>3E-018</v>
      </c>
      <c r="BJ210" s="2" t="str">
        <f>HYPERLINK("http://www.ncbi.nlm.nih.gov/protein/XP_009495992.1","XP_009495992.1")</f>
        <v>XP_009495992.1</v>
      </c>
      <c r="BK210" s="2">
        <v>26</v>
      </c>
      <c r="BL210" s="2">
        <v>48</v>
      </c>
      <c r="BM210" s="2">
        <v>87</v>
      </c>
      <c r="BN210" s="2" t="s">
        <v>1072</v>
      </c>
      <c r="BO210" s="9" t="str">
        <f>HYPERLINK(".\links\SWISSP\AGAP004954-PA-SWISSP.txt","Rhythmically expressed gene 2 protein")</f>
        <v>Rhythmically expressed gene 2 protein</v>
      </c>
      <c r="BP210" s="2" t="str">
        <f>HYPERLINK("http://www.uniprot.org/uniprot/Q94915","4E-075")</f>
        <v>4E-075</v>
      </c>
      <c r="BQ210" s="2" t="str">
        <f>HYPERLINK("http://www.uniprot.org/uniprot/Q94915#expression","Q94915")</f>
        <v>Q94915</v>
      </c>
      <c r="BR210" s="2">
        <v>51</v>
      </c>
      <c r="BS210" s="2">
        <v>69</v>
      </c>
      <c r="BT210" s="2">
        <v>102</v>
      </c>
      <c r="BU210" s="2" t="s">
        <v>151</v>
      </c>
      <c r="BV210" s="9" t="str">
        <f>HYPERLINK(".\links\FLYBASE\AGAP004954-PA-FLYBASE.txt","FBpp0072460")</f>
        <v>FBpp0072460</v>
      </c>
      <c r="BW210" s="2" t="str">
        <f>HYPERLINK("http://flybase.org/reports/FBgn0016715#alliance_summary_container","3E-97")</f>
        <v>3E-97</v>
      </c>
      <c r="BX210" s="2">
        <v>260</v>
      </c>
      <c r="BY210" s="2">
        <v>51</v>
      </c>
      <c r="BZ210" s="2">
        <v>69</v>
      </c>
      <c r="CA210" s="2">
        <v>102</v>
      </c>
      <c r="CB210" s="9" t="str">
        <f>HYPERLINK(".\links\CDD\AGAP004954-PA-CDD.txt","Rhythmically_expressed_gene_2_protein, REG-2-like, HAD superfamily (subfamily IA) hydrolase")</f>
        <v>Rhythmically_expressed_gene_2_protein, REG-2-like, HAD superfamily (subfamily IA) hydrolase</v>
      </c>
      <c r="CC210" s="13">
        <v>9.9999999999999999E-56</v>
      </c>
      <c r="CD210" s="2">
        <v>107.9</v>
      </c>
      <c r="CE210" s="2" t="s">
        <v>1409</v>
      </c>
      <c r="CF210" s="2" t="s">
        <v>1410</v>
      </c>
      <c r="CG210" s="9" t="str">
        <f>HYPERLINK(".\links\KOG\AGAP004954-PA-KOG.txt","Predicted hydrolase (HAD superfamily)")</f>
        <v>Predicted hydrolase (HAD superfamily)</v>
      </c>
      <c r="CH210" s="13">
        <v>7E-45</v>
      </c>
      <c r="CI210" s="2">
        <v>108</v>
      </c>
      <c r="CJ210" s="2" t="s">
        <v>1411</v>
      </c>
      <c r="CK210" s="2" t="s">
        <v>187</v>
      </c>
      <c r="CL210" s="9" t="str">
        <f>HYPERLINK(".\links\PFAM\AGAP004954-PA-PFAM.txt","HAD_2, Haloacid dehalogenase-like hydrolase")</f>
        <v>HAD_2, Haloacid dehalogenase-like hydrolase</v>
      </c>
      <c r="CM210" s="13">
        <v>3.9999999999999999E-12</v>
      </c>
      <c r="CN210" s="2">
        <v>79.2</v>
      </c>
      <c r="CO210" s="2" t="s">
        <v>784</v>
      </c>
      <c r="CP210" s="9" t="str">
        <f>HYPERLINK(".\links\SMART\AGAP004954-PA-SMART.txt","ACTIN, Actin")</f>
        <v>ACTIN, Actin</v>
      </c>
      <c r="CQ210" s="13">
        <v>1.3</v>
      </c>
      <c r="CR210" s="2">
        <v>5.0999999999999996</v>
      </c>
      <c r="CS210" s="2" t="s">
        <v>1101</v>
      </c>
      <c r="CT210" s="2" t="s">
        <v>1407</v>
      </c>
      <c r="CU210" s="2" t="s">
        <v>1407</v>
      </c>
      <c r="CV210" s="2" t="s">
        <v>1407</v>
      </c>
      <c r="CW210" s="2" t="str">
        <f>HYPERLINK(".\links\pep\AGAP004954-PA-pep.txt","AGAP004954-PA")</f>
        <v>AGAP004954-PA</v>
      </c>
      <c r="CX210" s="2" t="s">
        <v>88</v>
      </c>
      <c r="CY210" s="2">
        <v>265</v>
      </c>
      <c r="CZ210" s="2" t="s">
        <v>103</v>
      </c>
      <c r="DA210" s="2" t="s">
        <v>1412</v>
      </c>
      <c r="DB210" s="2">
        <v>0</v>
      </c>
      <c r="DC210" s="2">
        <v>1</v>
      </c>
      <c r="DD210" s="2" t="str">
        <f>HYPERLINK("https://www.kegg.jp/kegg-bin/search_pathway_text?map=aga&amp;keyword=AGAP004954&amp;mode=1&amp;viewImage=true","AGAP004954")</f>
        <v>AGAP004954</v>
      </c>
      <c r="DE210" s="2" t="s">
        <v>1403</v>
      </c>
      <c r="DF210" s="2" t="s">
        <v>1404</v>
      </c>
      <c r="DG210" s="2" t="s">
        <v>87</v>
      </c>
      <c r="DH210" s="2" t="str">
        <f>HYPERLINK("https://vectorbase.org/vectorbase/app/record/gene/AGAP004954","AGAP004954-RA")</f>
        <v>AGAP004954-RA</v>
      </c>
      <c r="DI210" s="2" t="s">
        <v>122</v>
      </c>
      <c r="DJ210" s="2">
        <v>954</v>
      </c>
      <c r="DK210" s="2" t="str">
        <f>HYPERLINK(".\links\netoglyc\AGAP004954-PA-netoglyc.txt","1")</f>
        <v>1</v>
      </c>
      <c r="DL210" s="2">
        <v>10.6</v>
      </c>
      <c r="DM210" s="2">
        <v>6</v>
      </c>
      <c r="DN210" s="2">
        <v>4.2</v>
      </c>
      <c r="DO210" s="2" t="s">
        <v>94</v>
      </c>
      <c r="DP210" s="2" t="s">
        <v>89</v>
      </c>
      <c r="DQ210" s="2" t="str">
        <f>HYPERLINK(".\links\Sigp\AGAP004954-PA-SigP.txt","CYT")</f>
        <v>CYT</v>
      </c>
      <c r="DR210" s="2" t="s">
        <v>89</v>
      </c>
      <c r="DS210" s="2">
        <v>31.216000000000001</v>
      </c>
      <c r="DT210" s="2">
        <v>8.85</v>
      </c>
      <c r="DU210" s="2" t="s">
        <v>89</v>
      </c>
      <c r="DV210" s="2" t="s">
        <v>89</v>
      </c>
      <c r="DW210" s="2" t="s">
        <v>93</v>
      </c>
      <c r="DX210" s="2">
        <v>265</v>
      </c>
      <c r="DY210" s="12">
        <v>0</v>
      </c>
      <c r="DZ210" s="2" t="s">
        <v>89</v>
      </c>
      <c r="EA210" s="2" t="s">
        <v>89</v>
      </c>
      <c r="EB210" s="2" t="s">
        <v>89</v>
      </c>
      <c r="EC210" s="2" t="str">
        <f>HYPERLINK(".\links\gpi\AGAP004954-PA-gpi.txt","Y-NoSP")</f>
        <v>Y-NoSP</v>
      </c>
      <c r="ED210" s="2">
        <v>0.33</v>
      </c>
      <c r="EF210" s="2">
        <v>2</v>
      </c>
      <c r="EG210" s="2" t="s">
        <v>89</v>
      </c>
      <c r="EH210" s="2" t="s">
        <v>89</v>
      </c>
      <c r="EI210" s="2">
        <v>10.5660377358491</v>
      </c>
      <c r="EJ210" s="2">
        <v>4.1509433962264204</v>
      </c>
      <c r="EK210" s="2">
        <v>6.0377358490565998</v>
      </c>
      <c r="EL210" s="2">
        <v>10.188679245283</v>
      </c>
      <c r="EM210" s="2" t="s">
        <v>89</v>
      </c>
      <c r="EN210" s="2" t="s">
        <v>89</v>
      </c>
      <c r="EO210" s="2">
        <v>1</v>
      </c>
      <c r="EP210" s="2" t="s">
        <v>89</v>
      </c>
      <c r="EQ210" s="2" t="s">
        <v>89</v>
      </c>
      <c r="ER210" s="2" t="s">
        <v>89</v>
      </c>
      <c r="ES210" s="2" t="s">
        <v>89</v>
      </c>
      <c r="ET210" s="2" t="str">
        <f>HYPERLINK(".\links\REFSEQ-INVERTEBRATE\AGAP004954-PA-REFSEQ-INVERTEBRATE.txt","AGAP004954-PA")</f>
        <v>AGAP004954-PA</v>
      </c>
      <c r="EU210" s="2" t="str">
        <f>HYPERLINK("http://www.ncbi.nlm.nih.gov/sutils/blink.cgi?pid=XP_315052.4","0.0")</f>
        <v>0.0</v>
      </c>
      <c r="EV210" s="2" t="str">
        <f>HYPERLINK("http://www.ncbi.nlm.nih.gov/protein/XP_315052.4","XP_315052.4")</f>
        <v>XP_315052.4</v>
      </c>
      <c r="EW210" s="2">
        <v>100</v>
      </c>
      <c r="EX210" s="2">
        <v>100</v>
      </c>
      <c r="EY210" s="2">
        <v>100</v>
      </c>
      <c r="EZ210" s="2" t="s">
        <v>95</v>
      </c>
    </row>
    <row r="211" spans="1:156" x14ac:dyDescent="0.25">
      <c r="A211" s="2" t="s">
        <v>2271</v>
      </c>
      <c r="B211" s="2">
        <v>-1.0485434991495399</v>
      </c>
      <c r="C211" s="2">
        <f t="shared" si="3"/>
        <v>0.48345600058122873</v>
      </c>
      <c r="D211" s="2">
        <v>9.2017865045368605</v>
      </c>
      <c r="E211" s="2">
        <v>21.229158279335099</v>
      </c>
      <c r="F211" s="2">
        <v>4.0751751084690304E-6</v>
      </c>
      <c r="G211" s="2">
        <v>9.7494966936311097E-4</v>
      </c>
      <c r="H211" s="2" t="s">
        <v>86</v>
      </c>
      <c r="I211" s="2" t="s">
        <v>87</v>
      </c>
      <c r="J211" s="2" t="str">
        <f>HYPERLINK("https://vectorbase.org/vectorbase/app/record/gene/AGAP009527","AGAP009527-RA")</f>
        <v>AGAP009527-RA</v>
      </c>
      <c r="K211" s="2" t="str">
        <f>HYPERLINK(".\links\pep\AGAP009527-PA-pep.txt","AGAP009527-PA")</f>
        <v>AGAP009527-PA</v>
      </c>
      <c r="L211" s="12" t="s">
        <v>88</v>
      </c>
      <c r="M211" s="2">
        <v>94</v>
      </c>
      <c r="N211" s="2">
        <v>0</v>
      </c>
      <c r="O211" s="2">
        <v>0</v>
      </c>
      <c r="P211" s="2" t="s">
        <v>89</v>
      </c>
      <c r="Q211" s="9" t="s">
        <v>2272</v>
      </c>
      <c r="R211" s="2" t="s">
        <v>2273</v>
      </c>
      <c r="S211" s="2" t="str">
        <f>HYPERLINK(".\links\REFSEQ-INVERTEBRATE\AGAP009527-PA-REFSEQ-INVERTEBRATE.txt","REFSEQ-INVERTEBRATE")</f>
        <v>REFSEQ-INVERTEBRATE</v>
      </c>
      <c r="T211" s="2">
        <v>1E-13</v>
      </c>
      <c r="U211" s="2">
        <v>86.6</v>
      </c>
      <c r="V211" s="2" t="s">
        <v>2274</v>
      </c>
      <c r="W211" s="10" t="s">
        <v>2275</v>
      </c>
      <c r="X211" s="2" t="s">
        <v>2273</v>
      </c>
      <c r="Y211" s="2" t="str">
        <f>HYPERLINK(".\links\ARTHORPODA\AGAP009527-PA-ARTHORPODA.txt","ARTHORPODA")</f>
        <v>ARTHORPODA</v>
      </c>
      <c r="Z211" s="13">
        <v>5.0000000000000002E-62</v>
      </c>
      <c r="AA211" s="2">
        <v>100</v>
      </c>
      <c r="AB211" s="14" t="s">
        <v>89</v>
      </c>
      <c r="AC211" s="14" t="str">
        <f>HYPERLINK(".\links\Sigp\AGAP009527-PA-SigP.txt","SIG")</f>
        <v>SIG</v>
      </c>
      <c r="AD211" s="2" t="s">
        <v>1035</v>
      </c>
      <c r="AE211" s="2">
        <v>10.363</v>
      </c>
      <c r="AF211" s="2">
        <v>8.76</v>
      </c>
      <c r="AG211" s="2">
        <v>7.7629999999999999</v>
      </c>
      <c r="AH211" s="2">
        <v>8.6199999999999992</v>
      </c>
      <c r="AI211" s="2" t="s">
        <v>2276</v>
      </c>
      <c r="AJ211" s="14" t="str">
        <f>HYPERLINK(".\links\tmhmm\AGAP009527-PA-tmhmm.txt","1")</f>
        <v>1</v>
      </c>
      <c r="AK211" s="2">
        <v>23.4</v>
      </c>
      <c r="AL211" s="2">
        <v>5.3</v>
      </c>
      <c r="AM211" s="2">
        <v>71.3</v>
      </c>
      <c r="AN211" s="14" t="str">
        <f>HYPERLINK(".\links\gpi\AGAP009527-PA-gpi.txt","N")</f>
        <v>N</v>
      </c>
      <c r="AO211" s="15" t="str">
        <f>HYPERLINK(".\links\netoglyc\AGAP009527-PA-netoglyc.txt","0")</f>
        <v>0</v>
      </c>
      <c r="AP211" s="14">
        <v>11.7</v>
      </c>
      <c r="AQ211" s="2">
        <v>5.3</v>
      </c>
      <c r="AR211" s="2">
        <v>5.3</v>
      </c>
      <c r="AS211" s="2" t="s">
        <v>94</v>
      </c>
      <c r="AT211" s="9" t="str">
        <f>HYPERLINK(".\links\NR-LIGHT\AGAP009527-PA-NR-LIGHT.txt","AGAP009527-PA")</f>
        <v>AGAP009527-PA</v>
      </c>
      <c r="AU211" s="2" t="str">
        <f>HYPERLINK("http://www.ncbi.nlm.nih.gov/sutils/blink.cgi?pid=XP_310163.2","1E-047")</f>
        <v>1E-047</v>
      </c>
      <c r="AV211" s="2" t="str">
        <f>HYPERLINK("http://www.ncbi.nlm.nih.gov/protein/XP_310163.2","XP_310163.2")</f>
        <v>XP_310163.2</v>
      </c>
      <c r="AW211" s="2">
        <v>100</v>
      </c>
      <c r="AX211" s="2">
        <v>100</v>
      </c>
      <c r="AY211" s="2">
        <v>100</v>
      </c>
      <c r="AZ211" s="2" t="s">
        <v>95</v>
      </c>
      <c r="BA211" s="9" t="str">
        <f>HYPERLINK(".\links\REFSEQ-INVERTEBRATE\AGAP009527-PA-REFSEQ-INVERTEBRATE.txt","AGAP009527-PA")</f>
        <v>AGAP009527-PA</v>
      </c>
      <c r="BB211" s="2" t="str">
        <f>HYPERLINK("http://www.ncbi.nlm.nih.gov/sutils/blink.cgi?pid=XP_310163.2","9E-048")</f>
        <v>9E-048</v>
      </c>
      <c r="BC211" s="2" t="str">
        <f>HYPERLINK("http://www.ncbi.nlm.nih.gov/protein/XP_310163.2","XP_310163.2")</f>
        <v>XP_310163.2</v>
      </c>
      <c r="BD211" s="2">
        <v>100</v>
      </c>
      <c r="BE211" s="2">
        <v>100</v>
      </c>
      <c r="BF211" s="2">
        <v>100</v>
      </c>
      <c r="BG211" s="2" t="s">
        <v>95</v>
      </c>
      <c r="BH211" s="9" t="str">
        <f>HYPERLINK(".\links\REFSEQ-PROTOZOA\AGAP009527-PA-REFSEQ-PROTOZOA.txt","serine protease inhibitor dipetalogastin precursor")</f>
        <v>serine protease inhibitor dipetalogastin precursor</v>
      </c>
      <c r="BI211" s="2" t="str">
        <f>HYPERLINK("http://www.ncbi.nlm.nih.gov/sutils/blink.cgi?pid=XP_003882944.1","1E-005")</f>
        <v>1E-005</v>
      </c>
      <c r="BJ211" s="2" t="str">
        <f>HYPERLINK("http://www.ncbi.nlm.nih.gov/protein/XP_003882944.1","XP_003882944.1")</f>
        <v>XP_003882944.1</v>
      </c>
      <c r="BK211" s="2">
        <v>38</v>
      </c>
      <c r="BL211" s="2">
        <v>57</v>
      </c>
      <c r="BM211" s="2">
        <v>6</v>
      </c>
      <c r="BN211" s="2" t="s">
        <v>2277</v>
      </c>
      <c r="BO211" s="9" t="str">
        <f>HYPERLINK(".\links\SWISSP\AGAP009527-PA-SWISSP.txt","Ovomucoid")</f>
        <v>Ovomucoid</v>
      </c>
      <c r="BP211" s="2" t="str">
        <f>HYPERLINK("http://www.uniprot.org/uniprot/P05560","5E-007")</f>
        <v>5E-007</v>
      </c>
      <c r="BQ211" s="2" t="str">
        <f>HYPERLINK("http://www.uniprot.org/uniprot/P05560#expression","P05560")</f>
        <v>P05560</v>
      </c>
      <c r="BR211" s="2">
        <v>49</v>
      </c>
      <c r="BS211" s="2">
        <v>60</v>
      </c>
      <c r="BT211" s="2">
        <v>26</v>
      </c>
      <c r="BU211" s="2" t="s">
        <v>2278</v>
      </c>
      <c r="BV211" s="9" t="str">
        <f>HYPERLINK(".\links\FLYBASE\AGAP009527-PA-FLYBASE.txt","FBpp0305613")</f>
        <v>FBpp0305613</v>
      </c>
      <c r="BW211" s="2" t="str">
        <f>HYPERLINK("http://flybase.org/reports/FBgn0051704#alliance_summary_container","5E-08")</f>
        <v>5E-08</v>
      </c>
      <c r="BX211" s="2">
        <v>68</v>
      </c>
      <c r="BY211" s="2">
        <v>35</v>
      </c>
      <c r="BZ211" s="2">
        <v>53</v>
      </c>
      <c r="CA211" s="2">
        <v>118</v>
      </c>
      <c r="CB211" s="9" t="str">
        <f>HYPERLINK(".\links\CDD\AGAP009527-PA-CDD.txt","Kazal_1, Kazal-type serine protease inhibitor domain")</f>
        <v>Kazal_1, Kazal-type serine protease inhibitor domain</v>
      </c>
      <c r="CC211" s="13">
        <v>1.9999999999999999E-6</v>
      </c>
      <c r="CD211" s="2">
        <v>91.8</v>
      </c>
      <c r="CE211" s="2" t="s">
        <v>2279</v>
      </c>
      <c r="CF211" s="2" t="s">
        <v>2280</v>
      </c>
      <c r="CG211" s="9" t="str">
        <f>HYPERLINK(".\links\KOG\AGAP009527-PA-KOG.txt","Organic anion transporter")</f>
        <v>Organic anion transporter</v>
      </c>
      <c r="CH211" s="13">
        <v>6.5000000000000002E-2</v>
      </c>
      <c r="CI211" s="2">
        <v>6.4</v>
      </c>
      <c r="CJ211" s="2" t="s">
        <v>2281</v>
      </c>
      <c r="CK211" s="2" t="s">
        <v>2060</v>
      </c>
      <c r="CL211" s="9" t="str">
        <f>HYPERLINK(".\links\PFAM\AGAP009527-PA-PFAM.txt","Kazal_1, Kazal-type serine protease inhibitor domain")</f>
        <v>Kazal_1, Kazal-type serine protease inhibitor domain</v>
      </c>
      <c r="CM211" s="13">
        <v>3.9999999999999998E-7</v>
      </c>
      <c r="CN211" s="2">
        <v>91.8</v>
      </c>
      <c r="CO211" s="2" t="s">
        <v>2279</v>
      </c>
      <c r="CP211" s="9" t="str">
        <f>HYPERLINK(".\links\SMART\AGAP009527-PA-SMART.txt","KAZAL, Kazal type serine protease inhibitors")</f>
        <v>KAZAL, Kazal type serine protease inhibitors</v>
      </c>
      <c r="CQ211" s="13">
        <v>5.9999999999999995E-8</v>
      </c>
      <c r="CR211" s="2">
        <v>100</v>
      </c>
      <c r="CS211" s="2" t="s">
        <v>2282</v>
      </c>
      <c r="CT211" s="2" t="s">
        <v>2274</v>
      </c>
      <c r="CU211" s="2" t="s">
        <v>2274</v>
      </c>
      <c r="CV211" s="2" t="s">
        <v>2274</v>
      </c>
      <c r="CW211" s="2" t="str">
        <f>HYPERLINK(".\links\pep\AGAP009527-PA-pep.txt","AGAP009527-PA")</f>
        <v>AGAP009527-PA</v>
      </c>
      <c r="CX211" s="2" t="s">
        <v>88</v>
      </c>
      <c r="CY211" s="2">
        <v>94</v>
      </c>
      <c r="CZ211" s="2" t="s">
        <v>103</v>
      </c>
      <c r="DA211" s="2" t="s">
        <v>2283</v>
      </c>
      <c r="DB211" s="2">
        <v>0</v>
      </c>
      <c r="DC211" s="2">
        <v>0</v>
      </c>
      <c r="DD211" s="2" t="str">
        <f>HYPERLINK("https://www.kegg.jp/kegg-bin/search_pathway_text?map=aga&amp;keyword=AGAP009527&amp;mode=1&amp;viewImage=true","AGAP009527")</f>
        <v>AGAP009527</v>
      </c>
      <c r="DE211" s="2" t="s">
        <v>2271</v>
      </c>
      <c r="DF211" s="2" t="s">
        <v>86</v>
      </c>
      <c r="DG211" s="2" t="s">
        <v>87</v>
      </c>
      <c r="DH211" s="2" t="str">
        <f>HYPERLINK("https://vectorbase.org/vectorbase/app/record/gene/AGAP009527","AGAP009527-RA")</f>
        <v>AGAP009527-RA</v>
      </c>
      <c r="DI211" s="2" t="s">
        <v>105</v>
      </c>
      <c r="DJ211" s="2">
        <v>566</v>
      </c>
      <c r="DK211" s="2" t="str">
        <f>HYPERLINK(".\links\netoglyc\AGAP009527-PA-netoglyc.txt","0")</f>
        <v>0</v>
      </c>
      <c r="DL211" s="2">
        <v>11.7</v>
      </c>
      <c r="DM211" s="2">
        <v>5.3</v>
      </c>
      <c r="DN211" s="2">
        <v>5.3</v>
      </c>
      <c r="DO211" s="2" t="s">
        <v>94</v>
      </c>
      <c r="DP211" s="2" t="s">
        <v>89</v>
      </c>
      <c r="DQ211" s="2" t="str">
        <f>HYPERLINK(".\links\Sigp\AGAP009527-PA-SigP.txt","SIG")</f>
        <v>SIG</v>
      </c>
      <c r="DR211" s="2" t="s">
        <v>1035</v>
      </c>
      <c r="DS211" s="2">
        <v>10.363</v>
      </c>
      <c r="DT211" s="2">
        <v>8.76</v>
      </c>
      <c r="DU211" s="2">
        <v>7.7629999999999999</v>
      </c>
      <c r="DV211" s="2">
        <v>8.6199999999999992</v>
      </c>
      <c r="DW211" s="2" t="s">
        <v>2276</v>
      </c>
      <c r="DX211" s="2">
        <v>94</v>
      </c>
      <c r="DY211" s="12" t="str">
        <f>HYPERLINK(".\links\tmhmm\AGAP009527-PA-tmhmm.txt","1")</f>
        <v>1</v>
      </c>
      <c r="DZ211" s="2">
        <v>23.4</v>
      </c>
      <c r="EA211" s="2">
        <v>5.3</v>
      </c>
      <c r="EB211" s="2">
        <v>71.3</v>
      </c>
      <c r="EC211" s="2" t="str">
        <f>HYPERLINK(".\links\gpi\AGAP009527-PA-gpi.txt","Y-NoSP")</f>
        <v>Y-NoSP</v>
      </c>
      <c r="ED211" s="2">
        <v>0.42</v>
      </c>
      <c r="EE211" s="2" t="s">
        <v>2284</v>
      </c>
      <c r="EF211" s="2">
        <v>7</v>
      </c>
      <c r="EG211" s="2" t="s">
        <v>89</v>
      </c>
      <c r="EH211" s="2" t="s">
        <v>89</v>
      </c>
      <c r="EI211" s="2">
        <v>11.702127659574501</v>
      </c>
      <c r="EJ211" s="2">
        <v>5.31914893617021</v>
      </c>
      <c r="EK211" s="2">
        <v>5.31914893617021</v>
      </c>
      <c r="EL211" s="2">
        <v>10.6382978723404</v>
      </c>
      <c r="EM211" s="2">
        <v>1</v>
      </c>
      <c r="EN211" s="2" t="s">
        <v>89</v>
      </c>
      <c r="EO211" s="2">
        <v>1</v>
      </c>
      <c r="EP211" s="2" t="s">
        <v>89</v>
      </c>
      <c r="EQ211" s="2" t="s">
        <v>89</v>
      </c>
      <c r="ER211" s="2" t="s">
        <v>89</v>
      </c>
      <c r="ES211" s="2" t="s">
        <v>89</v>
      </c>
      <c r="ET211" s="2" t="str">
        <f>HYPERLINK(".\links\REFSEQ-INVERTEBRATE\AGAP009527-PA-REFSEQ-INVERTEBRATE.txt","AGAP009527-PA")</f>
        <v>AGAP009527-PA</v>
      </c>
      <c r="EU211" s="2" t="str">
        <f>HYPERLINK("http://www.ncbi.nlm.nih.gov/sutils/blink.cgi?pid=XP_310163.2","8E-62")</f>
        <v>8E-62</v>
      </c>
      <c r="EV211" s="2" t="str">
        <f>HYPERLINK("http://www.ncbi.nlm.nih.gov/protein/XP_310163.2","XP_310163.2")</f>
        <v>XP_310163.2</v>
      </c>
      <c r="EW211" s="2">
        <v>100</v>
      </c>
      <c r="EX211" s="2">
        <v>100</v>
      </c>
      <c r="EY211" s="2">
        <v>100</v>
      </c>
      <c r="EZ211" s="2" t="s">
        <v>95</v>
      </c>
    </row>
    <row r="212" spans="1:156" x14ac:dyDescent="0.25">
      <c r="A212" s="2" t="s">
        <v>2852</v>
      </c>
      <c r="B212" s="2">
        <v>-1.0487752596234901</v>
      </c>
      <c r="C212" s="2">
        <f t="shared" si="3"/>
        <v>0.48337834245572719</v>
      </c>
      <c r="D212" s="2">
        <v>9.1074177705992394</v>
      </c>
      <c r="E212" s="2">
        <v>25.753579481647598</v>
      </c>
      <c r="F212" s="2">
        <v>3.8790691014736001E-7</v>
      </c>
      <c r="G212" s="2">
        <v>2.41988193636534E-4</v>
      </c>
      <c r="H212" s="2" t="s">
        <v>86</v>
      </c>
      <c r="I212" s="2" t="s">
        <v>87</v>
      </c>
      <c r="J212" s="2" t="str">
        <f>HYPERLINK("https://vectorbase.org/vectorbase/app/record/gene/AGAP012418","AGAP012418-RA")</f>
        <v>AGAP012418-RA</v>
      </c>
      <c r="K212" s="2" t="str">
        <f>HYPERLINK(".\links\pep\AGAP012418-PA-pep.txt","AGAP012418-PA")</f>
        <v>AGAP012418-PA</v>
      </c>
      <c r="L212" s="12" t="s">
        <v>88</v>
      </c>
      <c r="M212" s="2">
        <v>89</v>
      </c>
      <c r="N212" s="2">
        <v>0</v>
      </c>
      <c r="O212" s="2">
        <v>0</v>
      </c>
      <c r="P212" s="2" t="s">
        <v>89</v>
      </c>
      <c r="Q212" s="9" t="s">
        <v>1197</v>
      </c>
      <c r="R212" s="2" t="s">
        <v>700</v>
      </c>
      <c r="S212" s="2" t="str">
        <f>HYPERLINK(".\links\REFSEQ-INVERTEBRATE\AGAP012418-PA-REFSEQ-INVERTEBRATE.txt","REFSEQ-INVERTEBRATE")</f>
        <v>REFSEQ-INVERTEBRATE</v>
      </c>
      <c r="T212" s="2">
        <v>3.0000000000000001E-45</v>
      </c>
      <c r="V212" s="2" t="s">
        <v>2853</v>
      </c>
      <c r="W212" s="10" t="s">
        <v>1197</v>
      </c>
      <c r="X212" s="2" t="s">
        <v>700</v>
      </c>
      <c r="Y212" s="2" t="str">
        <f>HYPERLINK(".\links\REFSEQ-INVERTEBRATE\AGAP012418-PA-REFSEQ-INVERTEBRATE.txt","REFSEQ-INVERTEBRATE")</f>
        <v>REFSEQ-INVERTEBRATE</v>
      </c>
      <c r="Z212" s="13">
        <v>5.0000000000000001E-60</v>
      </c>
      <c r="AB212" s="14" t="s">
        <v>89</v>
      </c>
      <c r="AC212" s="14" t="str">
        <f>HYPERLINK(".\links\Sigp\AGAP012418-PA-SigP.txt","CYT")</f>
        <v>CYT</v>
      </c>
      <c r="AD212" s="2" t="s">
        <v>89</v>
      </c>
      <c r="AE212" s="2">
        <v>10.226000000000001</v>
      </c>
      <c r="AF212" s="2">
        <v>9.4499999999999993</v>
      </c>
      <c r="AG212" s="2" t="s">
        <v>89</v>
      </c>
      <c r="AH212" s="2" t="s">
        <v>89</v>
      </c>
      <c r="AI212" s="2" t="s">
        <v>2854</v>
      </c>
      <c r="AJ212" s="14" t="str">
        <f>HYPERLINK(".\links\tmhmm\AGAP012418-PA-tmhmm.txt","1")</f>
        <v>1</v>
      </c>
      <c r="AK212" s="2">
        <v>21.3</v>
      </c>
      <c r="AL212" s="2">
        <v>19.100000000000001</v>
      </c>
      <c r="AM212" s="2">
        <v>59.6</v>
      </c>
      <c r="AN212" s="14" t="str">
        <f>HYPERLINK(".\links\gpi\AGAP012418-PA-gpi.txt","N")</f>
        <v>N</v>
      </c>
      <c r="AO212" s="15" t="str">
        <f>HYPERLINK(".\links\netoglyc\AGAP012418-PA-netoglyc.txt","0")</f>
        <v>0</v>
      </c>
      <c r="AP212" s="14">
        <v>10.1</v>
      </c>
      <c r="AQ212" s="2">
        <v>6.7</v>
      </c>
      <c r="AR212" s="2">
        <v>6.7</v>
      </c>
      <c r="AS212" s="2" t="s">
        <v>94</v>
      </c>
      <c r="AT212" s="9" t="str">
        <f>HYPERLINK(".\links\NR-LIGHT\AGAP012418-PA-NR-LIGHT.txt","AGAP012418-PA")</f>
        <v>AGAP012418-PA</v>
      </c>
      <c r="AU212" s="2" t="str">
        <f>HYPERLINK("http://www.ncbi.nlm.nih.gov/sutils/blink.cgi?pid=XP_320137.2","3E-045")</f>
        <v>3E-045</v>
      </c>
      <c r="AV212" s="2" t="str">
        <f>HYPERLINK("http://www.ncbi.nlm.nih.gov/protein/XP_320137.2","XP_320137.2")</f>
        <v>XP_320137.2</v>
      </c>
      <c r="AW212" s="2">
        <v>100</v>
      </c>
      <c r="AX212" s="2">
        <v>100</v>
      </c>
      <c r="AY212" s="2">
        <v>100</v>
      </c>
      <c r="AZ212" s="2" t="s">
        <v>95</v>
      </c>
      <c r="BA212" s="9" t="str">
        <f>HYPERLINK(".\links\REFSEQ-INVERTEBRATE\AGAP012418-PA-REFSEQ-INVERTEBRATE.txt","AGAP012418-PA")</f>
        <v>AGAP012418-PA</v>
      </c>
      <c r="BB212" s="2" t="str">
        <f>HYPERLINK("http://www.ncbi.nlm.nih.gov/sutils/blink.cgi?pid=XP_320137.2","3E-045")</f>
        <v>3E-045</v>
      </c>
      <c r="BC212" s="2" t="str">
        <f>HYPERLINK("http://www.ncbi.nlm.nih.gov/protein/XP_320137.2","XP_320137.2")</f>
        <v>XP_320137.2</v>
      </c>
      <c r="BD212" s="2">
        <v>100</v>
      </c>
      <c r="BE212" s="2">
        <v>100</v>
      </c>
      <c r="BF212" s="2">
        <v>100</v>
      </c>
      <c r="BG212" s="2" t="s">
        <v>95</v>
      </c>
      <c r="BH212" s="9" t="str">
        <f>HYPERLINK(".\links\REFSEQ-PROTOZOA\AGAP012418-PA-REFSEQ-PROTOZOA.txt","predicted protein")</f>
        <v>predicted protein</v>
      </c>
      <c r="BI212" s="2" t="str">
        <f>HYPERLINK("http://www.ncbi.nlm.nih.gov/sutils/blink.cgi?pid=XP_002672949.1","14")</f>
        <v>14</v>
      </c>
      <c r="BJ212" s="2" t="str">
        <f>HYPERLINK("http://www.ncbi.nlm.nih.gov/protein/XP_002672949.1","XP_002672949.1")</f>
        <v>XP_002672949.1</v>
      </c>
      <c r="BK212" s="2">
        <v>27</v>
      </c>
      <c r="BL212" s="2">
        <v>42</v>
      </c>
      <c r="BM212" s="2">
        <v>16</v>
      </c>
      <c r="BN212" s="2" t="s">
        <v>1037</v>
      </c>
      <c r="BO212" s="9" t="str">
        <f>HYPERLINK(".\links\SWISSP\AGAP012418-PA-SWISSP.txt","Ribosomal RNA large subunit methyltransferase I")</f>
        <v>Ribosomal RNA large subunit methyltransferase I</v>
      </c>
      <c r="BP212" s="2" t="str">
        <f>HYPERLINK("http://www.uniprot.org/uniprot/Q6LQ36","4.6")</f>
        <v>4.6</v>
      </c>
      <c r="BQ212" s="2" t="str">
        <f>HYPERLINK("http://www.uniprot.org/uniprot/Q6LQ36#expression","Q6LQ36")</f>
        <v>Q6LQ36</v>
      </c>
      <c r="BR212" s="2">
        <v>31</v>
      </c>
      <c r="BS212" s="2">
        <v>48</v>
      </c>
      <c r="BT212" s="2">
        <v>16</v>
      </c>
      <c r="BU212" s="2" t="s">
        <v>2855</v>
      </c>
      <c r="BV212" s="9" t="str">
        <f>HYPERLINK(".\links\FLYBASE\AGAP012418-PA-FLYBASE.txt","FBpp0074979")</f>
        <v>FBpp0074979</v>
      </c>
      <c r="BW212" s="2" t="str">
        <f>HYPERLINK("http://flybase.org/reports/FBgn0040793#alliance_summary_container","1E-20")</f>
        <v>1E-20</v>
      </c>
      <c r="BX212" s="2">
        <v>90</v>
      </c>
      <c r="BY212" s="2">
        <v>47</v>
      </c>
      <c r="BZ212" s="2">
        <v>63</v>
      </c>
      <c r="CA212" s="2">
        <v>93</v>
      </c>
      <c r="CB212" s="9" t="str">
        <f>HYPERLINK(".\links\CDD\AGAP012418-PA-CDD.txt","Deltameth_res, Deltamethrin resistance")</f>
        <v>Deltameth_res, Deltamethrin resistance</v>
      </c>
      <c r="CC212" s="13">
        <v>7.0000000000000003E-17</v>
      </c>
      <c r="CD212" s="2">
        <v>100</v>
      </c>
      <c r="CE212" s="2" t="s">
        <v>2856</v>
      </c>
      <c r="CF212" s="2" t="s">
        <v>2857</v>
      </c>
      <c r="CG212" s="9" t="str">
        <f>HYPERLINK(".\links\KOG\AGAP012418-PA-KOG.txt","Uncharacterized conserved protein related to ribosomal protein S8E")</f>
        <v>Uncharacterized conserved protein related to ribosomal protein S8E</v>
      </c>
      <c r="CH212" s="13">
        <v>4.5999999999999996</v>
      </c>
      <c r="CI212" s="2">
        <v>5.4</v>
      </c>
      <c r="CJ212" s="2" t="s">
        <v>2858</v>
      </c>
      <c r="CK212" s="2" t="s">
        <v>187</v>
      </c>
      <c r="CL212" s="9" t="str">
        <f>HYPERLINK(".\links\PFAM\AGAP012418-PA-PFAM.txt","Deltameth_res, Deltamethrin resistance")</f>
        <v>Deltameth_res, Deltamethrin resistance</v>
      </c>
      <c r="CM212" s="13">
        <v>2.0000000000000001E-17</v>
      </c>
      <c r="CN212" s="2">
        <v>100</v>
      </c>
      <c r="CO212" s="2" t="s">
        <v>2856</v>
      </c>
      <c r="CP212" s="9" t="str">
        <f>HYPERLINK(".\links\SMART\AGAP012418-PA-SMART.txt","BID_1, Bacterial Ig-like domain (group 1)")</f>
        <v>BID_1, Bacterial Ig-like domain (group 1)</v>
      </c>
      <c r="CQ212" s="13">
        <v>3</v>
      </c>
      <c r="CR212" s="2">
        <v>23.9</v>
      </c>
      <c r="CS212" s="2" t="s">
        <v>2859</v>
      </c>
      <c r="CT212" s="2" t="s">
        <v>2853</v>
      </c>
      <c r="CU212" s="2" t="s">
        <v>2853</v>
      </c>
      <c r="CV212" s="2" t="s">
        <v>2853</v>
      </c>
      <c r="CW212" s="2" t="str">
        <f>HYPERLINK(".\links\pep\AGAP012418-PA-pep.txt","AGAP012418-PA")</f>
        <v>AGAP012418-PA</v>
      </c>
      <c r="CX212" s="2" t="s">
        <v>88</v>
      </c>
      <c r="CY212" s="2">
        <v>89</v>
      </c>
      <c r="CZ212" s="2" t="s">
        <v>103</v>
      </c>
      <c r="DA212" s="2" t="s">
        <v>2860</v>
      </c>
      <c r="DB212" s="2">
        <v>0</v>
      </c>
      <c r="DC212" s="2">
        <v>0</v>
      </c>
      <c r="DD212" s="2" t="str">
        <f>HYPERLINK("https://www.kegg.jp/kegg-bin/search_pathway_text?map=aga&amp;keyword=AGAP012418&amp;mode=1&amp;viewImage=true","AGAP012418")</f>
        <v>AGAP012418</v>
      </c>
      <c r="DE212" s="2" t="s">
        <v>2852</v>
      </c>
      <c r="DF212" s="2" t="s">
        <v>86</v>
      </c>
      <c r="DG212" s="2" t="s">
        <v>87</v>
      </c>
      <c r="DH212" s="2" t="str">
        <f>HYPERLINK("https://vectorbase.org/vectorbase/app/record/gene/AGAP012418","AGAP012418-RA")</f>
        <v>AGAP012418-RA</v>
      </c>
      <c r="DI212" s="2" t="s">
        <v>122</v>
      </c>
      <c r="DJ212" s="2">
        <v>447</v>
      </c>
      <c r="DK212" s="2" t="str">
        <f>HYPERLINK(".\links\netoglyc\AGAP012418-PA-netoglyc.txt","0")</f>
        <v>0</v>
      </c>
      <c r="DL212" s="2">
        <v>10.1</v>
      </c>
      <c r="DM212" s="2">
        <v>6.7</v>
      </c>
      <c r="DN212" s="2">
        <v>6.7</v>
      </c>
      <c r="DO212" s="2" t="s">
        <v>94</v>
      </c>
      <c r="DP212" s="2" t="s">
        <v>89</v>
      </c>
      <c r="DQ212" s="2" t="str">
        <f>HYPERLINK(".\links\Sigp\AGAP012418-PA-SigP.txt","CYT")</f>
        <v>CYT</v>
      </c>
      <c r="DR212" s="2" t="s">
        <v>89</v>
      </c>
      <c r="DS212" s="2">
        <v>10.226000000000001</v>
      </c>
      <c r="DT212" s="2">
        <v>9.4499999999999993</v>
      </c>
      <c r="DU212" s="2" t="s">
        <v>89</v>
      </c>
      <c r="DV212" s="2" t="s">
        <v>89</v>
      </c>
      <c r="DW212" s="2" t="s">
        <v>2854</v>
      </c>
      <c r="DX212" s="2">
        <v>89</v>
      </c>
      <c r="DY212" s="12" t="str">
        <f>HYPERLINK(".\links\tmhmm\AGAP012418-PA-tmhmm.txt","1")</f>
        <v>1</v>
      </c>
      <c r="DZ212" s="2">
        <v>21.3</v>
      </c>
      <c r="EA212" s="2">
        <v>19.100000000000001</v>
      </c>
      <c r="EB212" s="2">
        <v>59.6</v>
      </c>
      <c r="EC212" s="2" t="str">
        <f>HYPERLINK(".\links\gpi\AGAP012418-PA-gpi.txt","N")</f>
        <v>N</v>
      </c>
      <c r="ED212" s="2">
        <v>0.38</v>
      </c>
      <c r="EF212" s="2">
        <v>0</v>
      </c>
      <c r="EG212" s="2" t="s">
        <v>89</v>
      </c>
      <c r="EH212" s="2" t="s">
        <v>89</v>
      </c>
      <c r="EI212" s="2">
        <v>10.1123595505618</v>
      </c>
      <c r="EJ212" s="2">
        <v>6.7415730337078603</v>
      </c>
      <c r="EK212" s="2">
        <v>6.7415730337078603</v>
      </c>
      <c r="EL212" s="2">
        <v>13.483146067415699</v>
      </c>
      <c r="EM212" s="2" t="s">
        <v>89</v>
      </c>
      <c r="EN212" s="2" t="s">
        <v>89</v>
      </c>
      <c r="EO212" s="2" t="s">
        <v>89</v>
      </c>
      <c r="EP212" s="2" t="s">
        <v>89</v>
      </c>
      <c r="EQ212" s="2" t="s">
        <v>89</v>
      </c>
      <c r="ER212" s="2" t="s">
        <v>89</v>
      </c>
      <c r="ES212" s="2" t="s">
        <v>89</v>
      </c>
      <c r="ET212" s="2" t="str">
        <f>HYPERLINK(".\links\REFSEQ-INVERTEBRATE\AGAP012418-PA-REFSEQ-INVERTEBRATE.txt","AGAP012418-PA")</f>
        <v>AGAP012418-PA</v>
      </c>
      <c r="EU212" s="2" t="str">
        <f>HYPERLINK("http://www.ncbi.nlm.nih.gov/sutils/blink.cgi?pid=XP_320137.2","8E-60")</f>
        <v>8E-60</v>
      </c>
      <c r="EV212" s="2" t="str">
        <f>HYPERLINK("http://www.ncbi.nlm.nih.gov/protein/XP_320137.2","XP_320137.2")</f>
        <v>XP_320137.2</v>
      </c>
      <c r="EW212" s="2">
        <v>100</v>
      </c>
      <c r="EX212" s="2">
        <v>100</v>
      </c>
      <c r="EY212" s="2">
        <v>100</v>
      </c>
      <c r="EZ212" s="2" t="s">
        <v>95</v>
      </c>
    </row>
    <row r="213" spans="1:156" x14ac:dyDescent="0.25">
      <c r="A213" s="2" t="s">
        <v>1298</v>
      </c>
      <c r="B213" s="2">
        <v>-1.0504534897629501</v>
      </c>
      <c r="C213" s="2">
        <f t="shared" si="3"/>
        <v>0.48281637444942882</v>
      </c>
      <c r="D213" s="2">
        <v>5.5554299393038402</v>
      </c>
      <c r="E213" s="2">
        <v>16.055494217627601</v>
      </c>
      <c r="F213" s="2">
        <v>6.15128829245366E-5</v>
      </c>
      <c r="G213" s="2">
        <v>6.2480582990797296E-3</v>
      </c>
      <c r="H213" s="2" t="s">
        <v>86</v>
      </c>
      <c r="I213" s="2" t="s">
        <v>87</v>
      </c>
      <c r="J213" s="2" t="str">
        <f>HYPERLINK("https://vectorbase.org/vectorbase/app/record/gene/AGAP004748","AGAP004748-RA")</f>
        <v>AGAP004748-RA</v>
      </c>
      <c r="K213" s="2" t="str">
        <f>HYPERLINK(".\links\pep\AGAP004748-PA-pep.txt","AGAP004748-PA")</f>
        <v>AGAP004748-PA</v>
      </c>
      <c r="L213" s="12" t="s">
        <v>88</v>
      </c>
      <c r="M213" s="2">
        <v>46</v>
      </c>
      <c r="N213" s="2">
        <v>0</v>
      </c>
      <c r="O213" s="2">
        <v>0</v>
      </c>
      <c r="P213" s="2" t="s">
        <v>89</v>
      </c>
      <c r="Q213" s="9" t="s">
        <v>1299</v>
      </c>
      <c r="R213" s="2" t="s">
        <v>91</v>
      </c>
      <c r="S213" s="2" t="str">
        <f>HYPERLINK(".\links\REFSEQ-INVERTEBRATE\AGAP004748-PA-REFSEQ-INVERTEBRATE.txt","REFSEQ-INVERTEBRATE")</f>
        <v>REFSEQ-INVERTEBRATE</v>
      </c>
      <c r="T213" s="2">
        <v>1.0000000000000001E-17</v>
      </c>
      <c r="U213" s="2">
        <v>100</v>
      </c>
      <c r="V213" s="2" t="s">
        <v>1299</v>
      </c>
      <c r="W213" s="10" t="s">
        <v>1300</v>
      </c>
      <c r="X213" s="2" t="s">
        <v>91</v>
      </c>
      <c r="Y213" s="2" t="str">
        <f>HYPERLINK(".\links\ARTHORPODA\AGAP004748-PA-ARTHORPODA.txt","ARTHORPODA")</f>
        <v>ARTHORPODA</v>
      </c>
      <c r="Z213" s="13">
        <v>4.0000000000000002E-26</v>
      </c>
      <c r="AA213" s="2">
        <v>100</v>
      </c>
      <c r="AB213" s="14" t="s">
        <v>89</v>
      </c>
      <c r="AC213" s="14" t="str">
        <f>HYPERLINK(".\links\Sigp\AGAP004748-PA-SigP.txt","CYT")</f>
        <v>CYT</v>
      </c>
      <c r="AD213" s="2" t="s">
        <v>89</v>
      </c>
      <c r="AE213" s="2">
        <v>5.35</v>
      </c>
      <c r="AF213" s="2">
        <v>9.3000000000000007</v>
      </c>
      <c r="AG213" s="2" t="s">
        <v>89</v>
      </c>
      <c r="AH213" s="2" t="s">
        <v>89</v>
      </c>
      <c r="AI213" s="2" t="s">
        <v>1301</v>
      </c>
      <c r="AJ213" s="14" t="str">
        <f>HYPERLINK(".\links\tmhmm\AGAP004748-PA-tmhmm.txt","1")</f>
        <v>1</v>
      </c>
      <c r="AK213" s="2">
        <v>37</v>
      </c>
      <c r="AL213" s="2">
        <v>4.3</v>
      </c>
      <c r="AM213" s="2">
        <v>58.7</v>
      </c>
      <c r="AN213" s="14" t="str">
        <f>HYPERLINK(".\links\gpi\AGAP004748-PA-gpi.txt","N")</f>
        <v>N</v>
      </c>
      <c r="AO213" s="15" t="str">
        <f>HYPERLINK(".\links\netoglyc\AGAP004748-PA-netoglyc.txt","0")</f>
        <v>0</v>
      </c>
      <c r="AP213" s="14">
        <v>6.5</v>
      </c>
      <c r="AQ213" s="2">
        <v>2.2000000000000002</v>
      </c>
      <c r="AR213" s="2">
        <v>4.3</v>
      </c>
      <c r="AS213" s="2" t="s">
        <v>94</v>
      </c>
      <c r="AT213" s="9" t="str">
        <f>HYPERLINK(".\links\NR-LIGHT\AGAP004748-PA-NR-LIGHT.txt","AGAP004748-PA")</f>
        <v>AGAP004748-PA</v>
      </c>
      <c r="AU213" s="2" t="str">
        <f>HYPERLINK("http://www.ncbi.nlm.nih.gov/sutils/blink.cgi?pid=XP_318070.2","2E-017")</f>
        <v>2E-017</v>
      </c>
      <c r="AV213" s="2" t="str">
        <f>HYPERLINK("http://www.ncbi.nlm.nih.gov/protein/XP_318070.2","XP_318070.2")</f>
        <v>XP_318070.2</v>
      </c>
      <c r="AW213" s="2">
        <v>100</v>
      </c>
      <c r="AX213" s="2">
        <v>100</v>
      </c>
      <c r="AY213" s="2">
        <v>100</v>
      </c>
      <c r="AZ213" s="2" t="s">
        <v>95</v>
      </c>
      <c r="BA213" s="9" t="str">
        <f>HYPERLINK(".\links\REFSEQ-INVERTEBRATE\AGAP004748-PA-REFSEQ-INVERTEBRATE.txt","AGAP004748-PA")</f>
        <v>AGAP004748-PA</v>
      </c>
      <c r="BB213" s="2" t="str">
        <f>HYPERLINK("http://www.ncbi.nlm.nih.gov/sutils/blink.cgi?pid=XP_318070.2","1E-017")</f>
        <v>1E-017</v>
      </c>
      <c r="BC213" s="2" t="str">
        <f>HYPERLINK("http://www.ncbi.nlm.nih.gov/protein/XP_318070.2","XP_318070.2")</f>
        <v>XP_318070.2</v>
      </c>
      <c r="BD213" s="2">
        <v>100</v>
      </c>
      <c r="BE213" s="2">
        <v>100</v>
      </c>
      <c r="BF213" s="2">
        <v>100</v>
      </c>
      <c r="BG213" s="2" t="s">
        <v>95</v>
      </c>
      <c r="BH213" s="9" t="str">
        <f>HYPERLINK(".\links\REFSEQ-PROTOZOA\AGAP004748-PA-REFSEQ-PROTOZOA.txt","hypothetical protein GUITHDRAFT_63367, partial")</f>
        <v>hypothetical protein GUITHDRAFT_63367, partial</v>
      </c>
      <c r="BI213" s="2" t="str">
        <f>HYPERLINK("http://www.ncbi.nlm.nih.gov/sutils/blink.cgi?pid=XP_005841622.1","70")</f>
        <v>70</v>
      </c>
      <c r="BJ213" s="2" t="str">
        <f>HYPERLINK("http://www.ncbi.nlm.nih.gov/protein/XP_005841622.1","XP_005841622.1")</f>
        <v>XP_005841622.1</v>
      </c>
      <c r="BK213" s="2">
        <v>33</v>
      </c>
      <c r="BL213" s="2">
        <v>44</v>
      </c>
      <c r="BM213" s="2">
        <v>14</v>
      </c>
      <c r="BN213" s="2" t="s">
        <v>406</v>
      </c>
      <c r="BO213" s="9" t="str">
        <f>HYPERLINK(".\links\SWISSP\AGAP004748-PA-SWISSP.txt","Mitochondrial import receptor subunit TOM5 homolog")</f>
        <v>Mitochondrial import receptor subunit TOM5 homolog</v>
      </c>
      <c r="BP213" s="2" t="str">
        <f>HYPERLINK("http://www.uniprot.org/uniprot/B1AXP6","3.4")</f>
        <v>3.4</v>
      </c>
      <c r="BQ213" s="2" t="str">
        <f>HYPERLINK("http://www.uniprot.org/uniprot/B1AXP6#expression","B1AXP6")</f>
        <v>B1AXP6</v>
      </c>
      <c r="BR213" s="2">
        <v>31</v>
      </c>
      <c r="BS213" s="2">
        <v>59</v>
      </c>
      <c r="BT213" s="2">
        <v>92</v>
      </c>
      <c r="BU213" s="2" t="s">
        <v>566</v>
      </c>
      <c r="BV213" s="9" t="str">
        <f>HYPERLINK(".\links\FLYBASE\AGAP004748-PA-FLYBASE.txt","FBpp0073001")</f>
        <v>FBpp0073001</v>
      </c>
      <c r="BW213" s="2" t="str">
        <f>HYPERLINK("http://flybase.org/reports/FBgn0052267#alliance_summary_container","0.006")</f>
        <v>0.006</v>
      </c>
      <c r="BX213" s="2">
        <v>49</v>
      </c>
      <c r="BY213" s="2">
        <v>34</v>
      </c>
      <c r="BZ213" s="2">
        <v>60</v>
      </c>
      <c r="CA213" s="2">
        <v>94</v>
      </c>
      <c r="CB213" s="9" t="str">
        <f>HYPERLINK(".\links\CDD\AGAP004748-PA-CDD.txt","TOM_sub5, Mitochondrial import receptor subunit TOM5 homolog")</f>
        <v>TOM_sub5, Mitochondrial import receptor subunit TOM5 homolog</v>
      </c>
      <c r="CC213" s="13">
        <v>1.6</v>
      </c>
      <c r="CD213" s="2">
        <v>92.2</v>
      </c>
      <c r="CE213" s="2" t="s">
        <v>1302</v>
      </c>
      <c r="CF213" s="2" t="s">
        <v>1303</v>
      </c>
      <c r="CG213" s="9" t="str">
        <f>HYPERLINK(".\links\KOG\AGAP004748-PA-KOG.txt","U5 snRNP-specific protein")</f>
        <v>U5 snRNP-specific protein</v>
      </c>
      <c r="CH213" s="13">
        <v>8.5</v>
      </c>
      <c r="CI213" s="2">
        <v>2.8</v>
      </c>
      <c r="CJ213" s="2" t="s">
        <v>1304</v>
      </c>
      <c r="CK213" s="2" t="s">
        <v>252</v>
      </c>
      <c r="CL213" s="9" t="str">
        <f>HYPERLINK(".\links\PFAM\AGAP004748-PA-PFAM.txt","TOM_sub5, Mitochondrial import receptor subunit TOM5 homolog")</f>
        <v>TOM_sub5, Mitochondrial import receptor subunit TOM5 homolog</v>
      </c>
      <c r="CM213" s="13">
        <v>0.38</v>
      </c>
      <c r="CN213" s="2">
        <v>92.2</v>
      </c>
      <c r="CO213" s="2" t="s">
        <v>1302</v>
      </c>
      <c r="CP213" s="9" t="str">
        <f>HYPERLINK(".\links\SMART\AGAP004748-PA-SMART.txt","RuBisCO_small, Ribulose bisphosphate carboxylase, small chain")</f>
        <v>RuBisCO_small, Ribulose bisphosphate carboxylase, small chain</v>
      </c>
      <c r="CQ213" s="13">
        <v>4.9000000000000004</v>
      </c>
      <c r="CR213" s="2">
        <v>20.8</v>
      </c>
      <c r="CS213" s="2" t="s">
        <v>1305</v>
      </c>
      <c r="CT213" s="2" t="s">
        <v>1299</v>
      </c>
      <c r="CU213" s="2" t="s">
        <v>1299</v>
      </c>
      <c r="CV213" s="2" t="s">
        <v>1299</v>
      </c>
      <c r="CW213" s="2" t="str">
        <f>HYPERLINK(".\links\pep\AGAP004748-PA-pep.txt","AGAP004748-PA")</f>
        <v>AGAP004748-PA</v>
      </c>
      <c r="CX213" s="2" t="s">
        <v>88</v>
      </c>
      <c r="CY213" s="2">
        <v>46</v>
      </c>
      <c r="CZ213" s="2" t="s">
        <v>103</v>
      </c>
      <c r="DA213" s="2" t="s">
        <v>1306</v>
      </c>
      <c r="DB213" s="2">
        <v>0</v>
      </c>
      <c r="DC213" s="2">
        <v>0</v>
      </c>
      <c r="DD213" s="2" t="str">
        <f>HYPERLINK("https://www.kegg.jp/kegg-bin/search_pathway_text?map=aga&amp;keyword=AGAP004748&amp;mode=1&amp;viewImage=true","AGAP004748")</f>
        <v>AGAP004748</v>
      </c>
      <c r="DE213" s="2" t="s">
        <v>1298</v>
      </c>
      <c r="DF213" s="2" t="s">
        <v>86</v>
      </c>
      <c r="DG213" s="2" t="s">
        <v>87</v>
      </c>
      <c r="DH213" s="2" t="str">
        <f>HYPERLINK("https://vectorbase.org/vectorbase/app/record/gene/AGAP004748","AGAP004748-RA")</f>
        <v>AGAP004748-RA</v>
      </c>
      <c r="DI213" s="2" t="s">
        <v>158</v>
      </c>
      <c r="DJ213" s="2">
        <v>357</v>
      </c>
      <c r="DK213" s="2" t="str">
        <f>HYPERLINK(".\links\netoglyc\AGAP004748-PA-netoglyc.txt","0")</f>
        <v>0</v>
      </c>
      <c r="DL213" s="2">
        <v>6.5</v>
      </c>
      <c r="DM213" s="2">
        <v>2.2000000000000002</v>
      </c>
      <c r="DN213" s="2">
        <v>4.3</v>
      </c>
      <c r="DO213" s="2" t="s">
        <v>94</v>
      </c>
      <c r="DP213" s="2" t="s">
        <v>89</v>
      </c>
      <c r="DQ213" s="2" t="str">
        <f>HYPERLINK(".\links\Sigp\AGAP004748-PA-SigP.txt","CYT")</f>
        <v>CYT</v>
      </c>
      <c r="DR213" s="2" t="s">
        <v>89</v>
      </c>
      <c r="DS213" s="2">
        <v>5.35</v>
      </c>
      <c r="DT213" s="2">
        <v>9.3000000000000007</v>
      </c>
      <c r="DU213" s="2" t="s">
        <v>89</v>
      </c>
      <c r="DV213" s="2" t="s">
        <v>89</v>
      </c>
      <c r="DW213" s="2" t="s">
        <v>1301</v>
      </c>
      <c r="DX213" s="2">
        <v>46</v>
      </c>
      <c r="DY213" s="12" t="str">
        <f>HYPERLINK(".\links\tmhmm\AGAP004748-PA-tmhmm.txt","1")</f>
        <v>1</v>
      </c>
      <c r="DZ213" s="2">
        <v>37</v>
      </c>
      <c r="EA213" s="2">
        <v>4.3</v>
      </c>
      <c r="EB213" s="2">
        <v>58.7</v>
      </c>
      <c r="EC213" s="2" t="str">
        <f>HYPERLINK(".\links\gpi\AGAP004748-PA-gpi.txt","Y-NoSP")</f>
        <v>Y-NoSP</v>
      </c>
      <c r="ED213" s="2">
        <v>0.54</v>
      </c>
      <c r="EF213" s="2">
        <v>1</v>
      </c>
      <c r="EG213" s="2" t="s">
        <v>89</v>
      </c>
      <c r="EH213" s="2" t="s">
        <v>89</v>
      </c>
      <c r="EI213" s="2">
        <v>6.5217391304347796</v>
      </c>
      <c r="EJ213" s="2">
        <v>4.3478260869565197</v>
      </c>
      <c r="EK213" s="2">
        <v>2.1739130434782599</v>
      </c>
      <c r="EL213" s="2">
        <v>6.5217391304347796</v>
      </c>
      <c r="EM213" s="2" t="s">
        <v>89</v>
      </c>
      <c r="EN213" s="2" t="s">
        <v>89</v>
      </c>
      <c r="EO213" s="2" t="s">
        <v>89</v>
      </c>
      <c r="EP213" s="2" t="s">
        <v>89</v>
      </c>
      <c r="EQ213" s="2" t="s">
        <v>89</v>
      </c>
      <c r="ER213" s="2" t="s">
        <v>89</v>
      </c>
      <c r="ES213" s="2" t="s">
        <v>89</v>
      </c>
      <c r="ET213" s="2" t="str">
        <f>HYPERLINK(".\links\REFSEQ-INVERTEBRATE\AGAP004748-PA-REFSEQ-INVERTEBRATE.txt","AGAP004748-PA")</f>
        <v>AGAP004748-PA</v>
      </c>
      <c r="EU213" s="2" t="str">
        <f>HYPERLINK("http://www.ncbi.nlm.nih.gov/sutils/blink.cgi?pid=XP_318070.2","6E-26")</f>
        <v>6E-26</v>
      </c>
      <c r="EV213" s="2" t="str">
        <f>HYPERLINK("http://www.ncbi.nlm.nih.gov/protein/XP_318070.2","XP_318070.2")</f>
        <v>XP_318070.2</v>
      </c>
      <c r="EW213" s="2">
        <v>100</v>
      </c>
      <c r="EX213" s="2">
        <v>100</v>
      </c>
      <c r="EY213" s="2">
        <v>100</v>
      </c>
      <c r="EZ213" s="2" t="s">
        <v>95</v>
      </c>
    </row>
    <row r="214" spans="1:156" x14ac:dyDescent="0.25">
      <c r="A214" s="2" t="s">
        <v>2678</v>
      </c>
      <c r="B214" s="2">
        <v>-1.0515955365307501</v>
      </c>
      <c r="C214" s="2">
        <f t="shared" si="3"/>
        <v>0.48243432510679707</v>
      </c>
      <c r="D214" s="2">
        <v>5.9525096295836102</v>
      </c>
      <c r="E214" s="2">
        <v>20.179221469647601</v>
      </c>
      <c r="F214" s="2">
        <v>7.05147423776391E-6</v>
      </c>
      <c r="G214" s="2">
        <v>1.4414789618595199E-3</v>
      </c>
      <c r="H214" s="2" t="s">
        <v>86</v>
      </c>
      <c r="I214" s="2" t="s">
        <v>87</v>
      </c>
      <c r="J214" s="2" t="str">
        <f>HYPERLINK("https://vectorbase.org/vectorbase/app/record/gene/AGAP011184","AGAP011184-RA")</f>
        <v>AGAP011184-RA</v>
      </c>
      <c r="K214" s="2" t="str">
        <f>HYPERLINK(".\links\pep\AGAP011184-PA-pep.txt","AGAP011184-PA")</f>
        <v>AGAP011184-PA</v>
      </c>
      <c r="L214" s="12" t="s">
        <v>88</v>
      </c>
      <c r="M214" s="2">
        <v>296</v>
      </c>
      <c r="N214" s="2">
        <v>0</v>
      </c>
      <c r="O214" s="2">
        <v>2</v>
      </c>
      <c r="P214" s="2" t="s">
        <v>89</v>
      </c>
      <c r="Q214" s="9" t="s">
        <v>2639</v>
      </c>
      <c r="R214" s="2" t="s">
        <v>2640</v>
      </c>
      <c r="S214" s="2" t="str">
        <f>HYPERLINK(".\links\REFSEQ-INVERTEBRATE\AGAP011184-PA-REFSEQ-INVERTEBRATE.txt","REFSEQ-INVERTEBRATE")</f>
        <v>REFSEQ-INVERTEBRATE</v>
      </c>
      <c r="T214" s="2">
        <v>0</v>
      </c>
      <c r="V214" s="2" t="s">
        <v>2679</v>
      </c>
      <c r="W214" s="10" t="s">
        <v>2639</v>
      </c>
      <c r="X214" s="2" t="s">
        <v>2642</v>
      </c>
      <c r="Y214" s="2" t="str">
        <f>HYPERLINK(".\links\REFSEQ-INVERTEBRATE\AGAP011184-PA-REFSEQ-INVERTEBRATE.txt","REFSEQ-INVERTEBRATE")</f>
        <v>REFSEQ-INVERTEBRATE</v>
      </c>
      <c r="Z214" s="13">
        <v>0</v>
      </c>
      <c r="AA214" s="2">
        <v>100</v>
      </c>
      <c r="AB214" s="14" t="s">
        <v>89</v>
      </c>
      <c r="AC214" s="14" t="str">
        <f>HYPERLINK(".\links\Sigp\AGAP011184-PA-SigP.txt","SIG")</f>
        <v>SIG</v>
      </c>
      <c r="AD214" s="2" t="s">
        <v>1035</v>
      </c>
      <c r="AE214" s="2">
        <v>32.798999999999999</v>
      </c>
      <c r="AF214" s="2">
        <v>6.48</v>
      </c>
      <c r="AG214" s="2">
        <v>30.16</v>
      </c>
      <c r="AH214" s="2">
        <v>6.31</v>
      </c>
      <c r="AI214" s="2" t="s">
        <v>2680</v>
      </c>
      <c r="AJ214" s="14">
        <v>0</v>
      </c>
      <c r="AK214" s="2" t="s">
        <v>89</v>
      </c>
      <c r="AL214" s="2" t="s">
        <v>89</v>
      </c>
      <c r="AM214" s="2" t="s">
        <v>89</v>
      </c>
      <c r="AN214" s="14" t="str">
        <f>HYPERLINK(".\links\gpi\AGAP011184-PA-gpi.txt","Y")</f>
        <v>Y</v>
      </c>
      <c r="AO214" s="15" t="str">
        <f>HYPERLINK(".\links\netoglyc\AGAP011184-PA-netoglyc.txt","0")</f>
        <v>0</v>
      </c>
      <c r="AP214" s="14">
        <v>12.2</v>
      </c>
      <c r="AQ214" s="2">
        <v>5.4</v>
      </c>
      <c r="AR214" s="2">
        <v>6.4</v>
      </c>
      <c r="AS214" s="2" t="s">
        <v>94</v>
      </c>
      <c r="AT214" s="9" t="str">
        <f>HYPERLINK(".\links\NR-LIGHT\AGAP011184-PA-NR-LIGHT.txt","AGAP011184-PA, partial")</f>
        <v>AGAP011184-PA, partial</v>
      </c>
      <c r="AU214" s="2" t="str">
        <f>HYPERLINK("http://www.ncbi.nlm.nih.gov/sutils/blink.cgi?pid=XP_309462.4","1E-148")</f>
        <v>1E-148</v>
      </c>
      <c r="AV214" s="2" t="str">
        <f>HYPERLINK("http://www.ncbi.nlm.nih.gov/protein/XP_309462.4","XP_309462.4")</f>
        <v>XP_309462.4</v>
      </c>
      <c r="AW214" s="2">
        <v>100</v>
      </c>
      <c r="AX214" s="2">
        <v>100</v>
      </c>
      <c r="AY214" s="2">
        <v>100</v>
      </c>
      <c r="AZ214" s="2" t="s">
        <v>95</v>
      </c>
      <c r="BA214" s="9" t="str">
        <f>HYPERLINK(".\links\REFSEQ-INVERTEBRATE\AGAP011184-PA-REFSEQ-INVERTEBRATE.txt","AGAP011184-PA, partial")</f>
        <v>AGAP011184-PA, partial</v>
      </c>
      <c r="BB214" s="2" t="str">
        <f>HYPERLINK("http://www.ncbi.nlm.nih.gov/sutils/blink.cgi?pid=XP_309462.4","1E-148")</f>
        <v>1E-148</v>
      </c>
      <c r="BC214" s="2" t="str">
        <f>HYPERLINK("http://www.ncbi.nlm.nih.gov/protein/XP_309462.4","XP_309462.4")</f>
        <v>XP_309462.4</v>
      </c>
      <c r="BD214" s="2">
        <v>100</v>
      </c>
      <c r="BE214" s="2">
        <v>100</v>
      </c>
      <c r="BF214" s="2">
        <v>100</v>
      </c>
      <c r="BG214" s="2" t="s">
        <v>95</v>
      </c>
      <c r="BH214" s="9" t="str">
        <f>HYPERLINK(".\links\REFSEQ-PROTOZOA\AGAP011184-PA-REFSEQ-PROTOZOA.txt","hypothetical protein DICPUDRAFT_147685")</f>
        <v>hypothetical protein DICPUDRAFT_147685</v>
      </c>
      <c r="BI214" s="2" t="str">
        <f>HYPERLINK("http://www.ncbi.nlm.nih.gov/sutils/blink.cgi?pid=XP_003283965.1","0.27")</f>
        <v>0.27</v>
      </c>
      <c r="BJ214" s="2" t="str">
        <f>HYPERLINK("http://www.ncbi.nlm.nih.gov/protein/XP_003283965.1","XP_003283965.1")</f>
        <v>XP_003283965.1</v>
      </c>
      <c r="BK214" s="2">
        <v>23</v>
      </c>
      <c r="BL214" s="2">
        <v>36</v>
      </c>
      <c r="BM214" s="2">
        <v>33</v>
      </c>
      <c r="BN214" s="2" t="s">
        <v>1142</v>
      </c>
      <c r="BO214" s="9" t="str">
        <f>HYPERLINK(".\links\SWISSP\AGAP011184-PA-SWISSP.txt","Kielin/chordin-like protein")</f>
        <v>Kielin/chordin-like protein</v>
      </c>
      <c r="BP214" s="2" t="str">
        <f>HYPERLINK("http://www.uniprot.org/uniprot/Q9IBG7","1E-004")</f>
        <v>1E-004</v>
      </c>
      <c r="BQ214" s="2" t="str">
        <f>HYPERLINK("http://www.uniprot.org/uniprot/Q9IBG7#expression","Q9IBG7")</f>
        <v>Q9IBG7</v>
      </c>
      <c r="BR214" s="2">
        <v>26</v>
      </c>
      <c r="BS214" s="2">
        <v>35</v>
      </c>
      <c r="BT214" s="2">
        <v>10</v>
      </c>
      <c r="BU214" s="2" t="s">
        <v>447</v>
      </c>
      <c r="BV214" s="9" t="str">
        <f>HYPERLINK(".\links\FLYBASE\AGAP011184-PA-FLYBASE.txt","FBpp0296948")</f>
        <v>FBpp0296948</v>
      </c>
      <c r="BW214" s="2" t="str">
        <f>HYPERLINK("http://flybase.org/reports/FBgn0039257#alliance_summary_container","0.055")</f>
        <v>0.055</v>
      </c>
      <c r="BX214" s="2">
        <v>2819</v>
      </c>
      <c r="BY214" s="2">
        <v>22</v>
      </c>
      <c r="BZ214" s="2">
        <v>34</v>
      </c>
      <c r="CA214" s="2">
        <v>5</v>
      </c>
      <c r="CB214" s="9" t="str">
        <f>HYPERLINK(".\links\CDD\AGAP011184-PA-CDD.txt","CopD, Copper resistance protein D")</f>
        <v>CopD, Copper resistance protein D</v>
      </c>
      <c r="CC214" s="13">
        <v>0.89</v>
      </c>
      <c r="CD214" s="2">
        <v>30.2</v>
      </c>
      <c r="CE214" s="2" t="s">
        <v>2681</v>
      </c>
      <c r="CF214" s="2" t="s">
        <v>2682</v>
      </c>
      <c r="CG214" s="9" t="str">
        <f>HYPERLINK(".\links\KOG\AGAP011184-PA-KOG.txt","subunit 3")</f>
        <v>subunit 3</v>
      </c>
      <c r="CH214" s="13">
        <v>0.94</v>
      </c>
      <c r="CI214" s="2">
        <v>5.2</v>
      </c>
      <c r="CJ214" s="2" t="s">
        <v>2683</v>
      </c>
      <c r="CK214" s="2" t="s">
        <v>692</v>
      </c>
      <c r="CL214" s="9" t="str">
        <f>HYPERLINK(".\links\PFAM\AGAP011184-PA-PFAM.txt","CopD, Copper resistance protein D")</f>
        <v>CopD, Copper resistance protein D</v>
      </c>
      <c r="CM214" s="13">
        <v>0.19</v>
      </c>
      <c r="CN214" s="2">
        <v>30.2</v>
      </c>
      <c r="CO214" s="2" t="s">
        <v>2681</v>
      </c>
      <c r="CP214" s="9" t="str">
        <f>HYPERLINK(".\links\SMART\AGAP011184-PA-SMART.txt","TOP2c, TopoisomeraseII")</f>
        <v>TOP2c, TopoisomeraseII</v>
      </c>
      <c r="CQ214" s="13">
        <v>1.7</v>
      </c>
      <c r="CR214" s="2">
        <v>2.9</v>
      </c>
      <c r="CS214" s="2" t="s">
        <v>2684</v>
      </c>
      <c r="CT214" s="2" t="s">
        <v>2679</v>
      </c>
      <c r="CU214" s="2" t="s">
        <v>2679</v>
      </c>
      <c r="CV214" s="2" t="s">
        <v>2679</v>
      </c>
      <c r="CW214" s="2" t="str">
        <f>HYPERLINK(".\links\pep\AGAP011184-PA-pep.txt","AGAP011184-PA")</f>
        <v>AGAP011184-PA</v>
      </c>
      <c r="CX214" s="2" t="s">
        <v>88</v>
      </c>
      <c r="CY214" s="2">
        <v>296</v>
      </c>
      <c r="CZ214" s="2" t="s">
        <v>103</v>
      </c>
      <c r="DA214" s="2" t="s">
        <v>2685</v>
      </c>
      <c r="DB214" s="2">
        <v>0</v>
      </c>
      <c r="DC214" s="2">
        <v>2</v>
      </c>
      <c r="DD214" s="2" t="str">
        <f>HYPERLINK("https://www.kegg.jp/kegg-bin/search_pathway_text?map=aga&amp;keyword=AGAP011184&amp;mode=1&amp;viewImage=true","AGAP011184")</f>
        <v>AGAP011184</v>
      </c>
      <c r="DE214" s="2" t="s">
        <v>2678</v>
      </c>
      <c r="DF214" s="2" t="s">
        <v>86</v>
      </c>
      <c r="DG214" s="2" t="s">
        <v>87</v>
      </c>
      <c r="DH214" s="2" t="str">
        <f>HYPERLINK("https://vectorbase.org/vectorbase/app/record/gene/AGAP011184","AGAP011184-RA")</f>
        <v>AGAP011184-RA</v>
      </c>
      <c r="DI214" s="2" t="s">
        <v>140</v>
      </c>
      <c r="DJ214" s="2">
        <v>1273</v>
      </c>
      <c r="DK214" s="2" t="str">
        <f>HYPERLINK(".\links\netoglyc\AGAP011184-PA-netoglyc.txt","0")</f>
        <v>0</v>
      </c>
      <c r="DL214" s="2">
        <v>12.2</v>
      </c>
      <c r="DM214" s="2">
        <v>5.4</v>
      </c>
      <c r="DN214" s="2">
        <v>6.4</v>
      </c>
      <c r="DO214" s="2" t="s">
        <v>94</v>
      </c>
      <c r="DP214" s="2" t="s">
        <v>2686</v>
      </c>
      <c r="DQ214" s="2" t="str">
        <f>HYPERLINK(".\links\Sigp\AGAP011184-PA-SigP.txt","SIG")</f>
        <v>SIG</v>
      </c>
      <c r="DR214" s="2" t="s">
        <v>1035</v>
      </c>
      <c r="DS214" s="2">
        <v>32.798999999999999</v>
      </c>
      <c r="DT214" s="2">
        <v>6.48</v>
      </c>
      <c r="DU214" s="2">
        <v>30.16</v>
      </c>
      <c r="DV214" s="2">
        <v>6.31</v>
      </c>
      <c r="DW214" s="2" t="s">
        <v>2680</v>
      </c>
      <c r="DX214" s="2">
        <v>296</v>
      </c>
      <c r="DY214" s="12">
        <v>0</v>
      </c>
      <c r="DZ214" s="2" t="s">
        <v>89</v>
      </c>
      <c r="EA214" s="2" t="s">
        <v>89</v>
      </c>
      <c r="EB214" s="2" t="s">
        <v>89</v>
      </c>
      <c r="EC214" s="2" t="str">
        <f>HYPERLINK(".\links\gpi\AGAP011184-PA-gpi.txt","")</f>
        <v/>
      </c>
      <c r="ED214" s="2">
        <v>0.28000000000000003</v>
      </c>
      <c r="EE214" s="2" t="s">
        <v>2687</v>
      </c>
      <c r="EF214" s="2">
        <v>26</v>
      </c>
      <c r="EG214" s="2" t="s">
        <v>89</v>
      </c>
      <c r="EH214" s="2" t="s">
        <v>89</v>
      </c>
      <c r="EI214" s="2">
        <v>12.1621621621622</v>
      </c>
      <c r="EJ214" s="2">
        <v>6.4189189189189202</v>
      </c>
      <c r="EK214" s="2">
        <v>5.4054054054054097</v>
      </c>
      <c r="EL214" s="2">
        <v>11.8243243243243</v>
      </c>
      <c r="EM214" s="2" t="s">
        <v>89</v>
      </c>
      <c r="EN214" s="2" t="s">
        <v>89</v>
      </c>
      <c r="EO214" s="2" t="s">
        <v>89</v>
      </c>
      <c r="EP214" s="2" t="s">
        <v>89</v>
      </c>
      <c r="EQ214" s="2" t="s">
        <v>89</v>
      </c>
      <c r="ER214" s="2" t="s">
        <v>89</v>
      </c>
      <c r="ES214" s="2" t="s">
        <v>89</v>
      </c>
      <c r="ET214" s="2" t="str">
        <f>HYPERLINK(".\links\REFSEQ-INVERTEBRATE\AGAP011184-PA-REFSEQ-INVERTEBRATE.txt","AGAP011184-PA, partial")</f>
        <v>AGAP011184-PA, partial</v>
      </c>
      <c r="EU214" s="2" t="str">
        <f>HYPERLINK("http://www.ncbi.nlm.nih.gov/sutils/blink.cgi?pid=XP_309462.4","0.0")</f>
        <v>0.0</v>
      </c>
      <c r="EV214" s="2" t="str">
        <f>HYPERLINK("http://www.ncbi.nlm.nih.gov/protein/XP_309462.4","XP_309462.4")</f>
        <v>XP_309462.4</v>
      </c>
      <c r="EW214" s="2">
        <v>100</v>
      </c>
      <c r="EX214" s="2">
        <v>100</v>
      </c>
      <c r="EY214" s="2">
        <v>100</v>
      </c>
      <c r="EZ214" s="2" t="s">
        <v>95</v>
      </c>
    </row>
    <row r="215" spans="1:156" x14ac:dyDescent="0.25">
      <c r="A215" s="2" t="s">
        <v>2881</v>
      </c>
      <c r="B215" s="2">
        <v>-1.0533553674204701</v>
      </c>
      <c r="C215" s="2">
        <f t="shared" si="3"/>
        <v>0.48184619996743427</v>
      </c>
      <c r="D215" s="2">
        <v>6.28327950947258</v>
      </c>
      <c r="E215" s="2">
        <v>18.6341132500539</v>
      </c>
      <c r="F215" s="2">
        <v>1.5836137268803199E-5</v>
      </c>
      <c r="G215" s="2">
        <v>2.34370168316275E-3</v>
      </c>
      <c r="H215" s="2" t="s">
        <v>86</v>
      </c>
      <c r="I215" s="2" t="s">
        <v>87</v>
      </c>
      <c r="J215" s="2" t="str">
        <f>HYPERLINK("https://vectorbase.org/vectorbase/app/record/gene/AGAP012524","AGAP012524-RA")</f>
        <v>AGAP012524-RA</v>
      </c>
      <c r="K215" s="2" t="str">
        <f>HYPERLINK(".\links\pep\AGAP012524-PA-pep.txt","AGAP012524-PA")</f>
        <v>AGAP012524-PA</v>
      </c>
      <c r="L215" s="12" t="s">
        <v>88</v>
      </c>
      <c r="M215" s="2">
        <v>74</v>
      </c>
      <c r="N215" s="2">
        <v>0</v>
      </c>
      <c r="O215" s="2">
        <v>0</v>
      </c>
      <c r="P215" s="2" t="s">
        <v>89</v>
      </c>
      <c r="Q215" s="9" t="s">
        <v>2882</v>
      </c>
      <c r="R215" s="2" t="s">
        <v>91</v>
      </c>
      <c r="S215" s="2" t="str">
        <f>HYPERLINK(".\links\REFSEQ-INVERTEBRATE\AGAP012524-PA-REFSEQ-INVERTEBRATE.txt","REFSEQ-INVERTEBRATE")</f>
        <v>REFSEQ-INVERTEBRATE</v>
      </c>
      <c r="T215" s="2">
        <v>3.9999999999999998E-36</v>
      </c>
      <c r="U215" s="2">
        <v>100</v>
      </c>
      <c r="V215" s="2" t="s">
        <v>2882</v>
      </c>
      <c r="W215" s="10" t="s">
        <v>564</v>
      </c>
      <c r="X215" s="2" t="s">
        <v>91</v>
      </c>
      <c r="Y215" s="2" t="str">
        <f>HYPERLINK(".\links\ARTHORPODA\AGAP012524-PA-ARTHORPODA.txt","ARTHORPODA")</f>
        <v>ARTHORPODA</v>
      </c>
      <c r="Z215" s="13">
        <v>2E-45</v>
      </c>
      <c r="AA215" s="2">
        <v>100</v>
      </c>
      <c r="AB215" s="14" t="s">
        <v>89</v>
      </c>
      <c r="AC215" s="14" t="str">
        <f>HYPERLINK(".\links\Sigp\AGAP012524-PA-SigP.txt","BL/SIG")</f>
        <v>BL/SIG</v>
      </c>
      <c r="AD215" s="2" t="s">
        <v>89</v>
      </c>
      <c r="AE215" s="2">
        <v>8.2170000000000005</v>
      </c>
      <c r="AF215" s="2">
        <v>9.35</v>
      </c>
      <c r="AG215" s="2" t="s">
        <v>89</v>
      </c>
      <c r="AH215" s="2" t="s">
        <v>89</v>
      </c>
      <c r="AI215" s="2" t="s">
        <v>2883</v>
      </c>
      <c r="AJ215" s="14">
        <v>0</v>
      </c>
      <c r="AK215" s="2" t="s">
        <v>89</v>
      </c>
      <c r="AL215" s="2" t="s">
        <v>89</v>
      </c>
      <c r="AM215" s="2" t="s">
        <v>89</v>
      </c>
      <c r="AN215" s="14" t="str">
        <f>HYPERLINK(".\links\gpi\AGAP012524-PA-gpi.txt","N")</f>
        <v>N</v>
      </c>
      <c r="AO215" s="15" t="str">
        <f>HYPERLINK(".\links\netoglyc\AGAP012524-PA-netoglyc.txt","0")</f>
        <v>0</v>
      </c>
      <c r="AP215" s="14">
        <v>23</v>
      </c>
      <c r="AQ215" s="2">
        <v>2.7</v>
      </c>
      <c r="AR215" s="2">
        <v>8.1</v>
      </c>
      <c r="AS215" s="2" t="s">
        <v>94</v>
      </c>
      <c r="AT215" s="9" t="str">
        <f>HYPERLINK(".\links\NR-LIGHT\AGAP012524-PA-NR-LIGHT.txt","AGAP012524-PA")</f>
        <v>AGAP012524-PA</v>
      </c>
      <c r="AU215" s="2" t="str">
        <f>HYPERLINK("http://www.ncbi.nlm.nih.gov/sutils/blink.cgi?pid=XP_001230369.1","4E-036")</f>
        <v>4E-036</v>
      </c>
      <c r="AV215" s="2" t="str">
        <f>HYPERLINK("http://www.ncbi.nlm.nih.gov/protein/XP_001230369.1","XP_001230369.1")</f>
        <v>XP_001230369.1</v>
      </c>
      <c r="AW215" s="2">
        <v>100</v>
      </c>
      <c r="AX215" s="2">
        <v>100</v>
      </c>
      <c r="AY215" s="2">
        <v>100</v>
      </c>
      <c r="AZ215" s="2" t="s">
        <v>95</v>
      </c>
      <c r="BA215" s="9" t="str">
        <f>HYPERLINK(".\links\REFSEQ-INVERTEBRATE\AGAP012524-PA-REFSEQ-INVERTEBRATE.txt","AGAP012524-PA")</f>
        <v>AGAP012524-PA</v>
      </c>
      <c r="BB215" s="2" t="str">
        <f>HYPERLINK("http://www.ncbi.nlm.nih.gov/sutils/blink.cgi?pid=XP_001230369.1","4E-036")</f>
        <v>4E-036</v>
      </c>
      <c r="BC215" s="2" t="str">
        <f>HYPERLINK("http://www.ncbi.nlm.nih.gov/protein/XP_001230369.1","XP_001230369.1")</f>
        <v>XP_001230369.1</v>
      </c>
      <c r="BD215" s="2">
        <v>100</v>
      </c>
      <c r="BE215" s="2">
        <v>100</v>
      </c>
      <c r="BF215" s="2">
        <v>100</v>
      </c>
      <c r="BG215" s="2" t="s">
        <v>95</v>
      </c>
      <c r="BH215" s="9" t="str">
        <f>HYPERLINK(".\links\REFSEQ-PROTOZOA\AGAP012524-PA-REFSEQ-PROTOZOA.txt","PRELI family protein")</f>
        <v>PRELI family protein</v>
      </c>
      <c r="BI215" s="2" t="str">
        <f>HYPERLINK("http://www.ncbi.nlm.nih.gov/sutils/blink.cgi?pid=XP_008885043.1","3.8")</f>
        <v>3.8</v>
      </c>
      <c r="BJ215" s="2" t="str">
        <f>HYPERLINK("http://www.ncbi.nlm.nih.gov/protein/XP_008885043.1","XP_008885043.1")</f>
        <v>XP_008885043.1</v>
      </c>
      <c r="BK215" s="2">
        <v>48</v>
      </c>
      <c r="BL215" s="2">
        <v>62</v>
      </c>
      <c r="BM215" s="2">
        <v>6</v>
      </c>
      <c r="BN215" s="2" t="s">
        <v>2884</v>
      </c>
      <c r="BO215" s="9" t="str">
        <f>HYPERLINK(".\links\SWISSP\AGAP012524-PA-SWISSP.txt","Olfactory receptor 56B4")</f>
        <v>Olfactory receptor 56B4</v>
      </c>
      <c r="BP215" s="2" t="str">
        <f>HYPERLINK("http://www.uniprot.org/uniprot/Q8NH76","7.6")</f>
        <v>7.6</v>
      </c>
      <c r="BQ215" s="2" t="str">
        <f>HYPERLINK("http://www.uniprot.org/uniprot/Q8NH76#expression","Q8NH76")</f>
        <v>Q8NH76</v>
      </c>
      <c r="BR215" s="2">
        <v>35</v>
      </c>
      <c r="BS215" s="2">
        <v>44</v>
      </c>
      <c r="BT215" s="2">
        <v>18</v>
      </c>
      <c r="BU215" s="2" t="s">
        <v>115</v>
      </c>
      <c r="BV215" s="9" t="str">
        <f>HYPERLINK(".\links\FLYBASE\AGAP012524-PA-FLYBASE.txt","FBpp0302960")</f>
        <v>FBpp0302960</v>
      </c>
      <c r="BW215" s="2" t="str">
        <f>HYPERLINK("http://flybase.org/reports/FBgn0041184#alliance_summary_container","4.3")</f>
        <v>4.3</v>
      </c>
      <c r="BX215" s="2">
        <v>737</v>
      </c>
      <c r="BY215" s="2">
        <v>32</v>
      </c>
      <c r="BZ215" s="2">
        <v>54</v>
      </c>
      <c r="CA215" s="2">
        <v>5</v>
      </c>
      <c r="CB215" s="9" t="str">
        <f>HYPERLINK(".\links\CDD\AGAP012524-PA-CDD.txt","DUF3723, Protein of unknown function (DUF3723)")</f>
        <v>DUF3723, Protein of unknown function (DUF3723)</v>
      </c>
      <c r="CC215" s="13">
        <v>4.7</v>
      </c>
      <c r="CD215" s="2">
        <v>14.9</v>
      </c>
      <c r="CE215" s="2" t="s">
        <v>2885</v>
      </c>
      <c r="CF215" s="2" t="s">
        <v>2886</v>
      </c>
      <c r="CG215" s="9" t="str">
        <f>HYPERLINK(".\links\KOG\AGAP012524-PA-KOG.txt","interacts with stathmin")</f>
        <v>interacts with stathmin</v>
      </c>
      <c r="CH215" s="13">
        <v>3.1</v>
      </c>
      <c r="CI215" s="2">
        <v>1.8</v>
      </c>
      <c r="CJ215" s="2" t="s">
        <v>2887</v>
      </c>
      <c r="CK215" s="2" t="s">
        <v>2888</v>
      </c>
      <c r="CL215" s="9" t="str">
        <f>HYPERLINK(".\links\PFAM\AGAP012524-PA-PFAM.txt","DUF3723, Protein of unknown function (DUF3723)")</f>
        <v>DUF3723, Protein of unknown function (DUF3723)</v>
      </c>
      <c r="CM215" s="13">
        <v>1.1000000000000001</v>
      </c>
      <c r="CN215" s="2">
        <v>14.9</v>
      </c>
      <c r="CO215" s="2" t="s">
        <v>2885</v>
      </c>
      <c r="CP215" s="9" t="str">
        <f>HYPERLINK(".\links\SMART\AGAP012524-PA-SMART.txt","HECTc, Domain Homologous to E6-AP Carboxyl Terminus with")</f>
        <v>HECTc, Domain Homologous to E6-AP Carboxyl Terminus with</v>
      </c>
      <c r="CQ215" s="13">
        <v>1</v>
      </c>
      <c r="CR215" s="2">
        <v>9.5</v>
      </c>
      <c r="CS215" s="2" t="s">
        <v>2414</v>
      </c>
      <c r="CT215" s="2" t="s">
        <v>2882</v>
      </c>
      <c r="CU215" s="2" t="s">
        <v>2882</v>
      </c>
      <c r="CV215" s="2" t="s">
        <v>2882</v>
      </c>
      <c r="CW215" s="2" t="str">
        <f>HYPERLINK(".\links\pep\AGAP012524-PA-pep.txt","AGAP012524-PA")</f>
        <v>AGAP012524-PA</v>
      </c>
      <c r="CX215" s="2" t="s">
        <v>88</v>
      </c>
      <c r="CY215" s="2">
        <v>74</v>
      </c>
      <c r="CZ215" s="2" t="s">
        <v>103</v>
      </c>
      <c r="DA215" s="2" t="s">
        <v>2889</v>
      </c>
      <c r="DB215" s="2">
        <v>0</v>
      </c>
      <c r="DC215" s="2">
        <v>0</v>
      </c>
      <c r="DD215" s="2" t="str">
        <f>HYPERLINK("https://www.kegg.jp/kegg-bin/search_pathway_text?map=aga&amp;keyword=AGAP012524&amp;mode=1&amp;viewImage=true","AGAP012524")</f>
        <v>AGAP012524</v>
      </c>
      <c r="DE215" s="2" t="s">
        <v>2881</v>
      </c>
      <c r="DF215" s="2" t="s">
        <v>86</v>
      </c>
      <c r="DG215" s="2" t="s">
        <v>87</v>
      </c>
      <c r="DH215" s="2" t="str">
        <f>HYPERLINK("https://vectorbase.org/vectorbase/app/record/gene/AGAP012524","AGAP012524-RA")</f>
        <v>AGAP012524-RA</v>
      </c>
      <c r="DI215" s="2" t="s">
        <v>158</v>
      </c>
      <c r="DJ215" s="2">
        <v>833</v>
      </c>
      <c r="DK215" s="2" t="str">
        <f>HYPERLINK(".\links\netoglyc\AGAP012524-PA-netoglyc.txt","0")</f>
        <v>0</v>
      </c>
      <c r="DL215" s="2">
        <v>23</v>
      </c>
      <c r="DM215" s="2">
        <v>2.7</v>
      </c>
      <c r="DN215" s="2">
        <v>8.1</v>
      </c>
      <c r="DO215" s="2" t="s">
        <v>94</v>
      </c>
      <c r="DP215" s="2" t="s">
        <v>89</v>
      </c>
      <c r="DQ215" s="2" t="str">
        <f>HYPERLINK(".\links\Sigp\AGAP012524-PA-SigP.txt","BL/SIG")</f>
        <v>BL/SIG</v>
      </c>
      <c r="DR215" s="2" t="s">
        <v>89</v>
      </c>
      <c r="DS215" s="2">
        <v>8.2170000000000005</v>
      </c>
      <c r="DT215" s="2">
        <v>9.35</v>
      </c>
      <c r="DU215" s="2" t="s">
        <v>89</v>
      </c>
      <c r="DV215" s="2" t="s">
        <v>89</v>
      </c>
      <c r="DW215" s="2" t="s">
        <v>2883</v>
      </c>
      <c r="DX215" s="2">
        <v>74</v>
      </c>
      <c r="DY215" s="12">
        <v>0</v>
      </c>
      <c r="DZ215" s="2" t="s">
        <v>89</v>
      </c>
      <c r="EA215" s="2" t="s">
        <v>89</v>
      </c>
      <c r="EB215" s="2" t="s">
        <v>89</v>
      </c>
      <c r="EC215" s="2" t="str">
        <f>HYPERLINK(".\links\gpi\AGAP012524-PA-gpi.txt","Y-NoSP")</f>
        <v>Y-NoSP</v>
      </c>
      <c r="ED215" s="2">
        <v>0.64</v>
      </c>
      <c r="EE215" s="2" t="s">
        <v>2890</v>
      </c>
      <c r="EF215" s="2">
        <v>5</v>
      </c>
      <c r="EG215" s="2" t="s">
        <v>89</v>
      </c>
      <c r="EH215" s="2" t="s">
        <v>89</v>
      </c>
      <c r="EI215" s="2">
        <v>22.972972972973</v>
      </c>
      <c r="EJ215" s="2">
        <v>8.1081081081081106</v>
      </c>
      <c r="EK215" s="2">
        <v>2.7027027027027</v>
      </c>
      <c r="EL215" s="2">
        <v>10.8108108108108</v>
      </c>
      <c r="EM215" s="2" t="s">
        <v>89</v>
      </c>
      <c r="EN215" s="2" t="s">
        <v>89</v>
      </c>
      <c r="EO215" s="2" t="s">
        <v>89</v>
      </c>
      <c r="EP215" s="2" t="s">
        <v>89</v>
      </c>
      <c r="EQ215" s="2" t="s">
        <v>89</v>
      </c>
      <c r="ER215" s="2" t="s">
        <v>89</v>
      </c>
      <c r="ES215" s="2" t="s">
        <v>89</v>
      </c>
      <c r="ET215" s="2" t="str">
        <f>HYPERLINK(".\links\REFSEQ-INVERTEBRATE\AGAP012524-PA-REFSEQ-INVERTEBRATE.txt","AGAP012524-PA")</f>
        <v>AGAP012524-PA</v>
      </c>
      <c r="EU215" s="2" t="str">
        <f>HYPERLINK("http://www.ncbi.nlm.nih.gov/sutils/blink.cgi?pid=XP_001230369.1","2E-45")</f>
        <v>2E-45</v>
      </c>
      <c r="EV215" s="2" t="str">
        <f>HYPERLINK("http://www.ncbi.nlm.nih.gov/protein/XP_001230369.1","XP_001230369.1")</f>
        <v>XP_001230369.1</v>
      </c>
      <c r="EW215" s="2">
        <v>100</v>
      </c>
      <c r="EX215" s="2">
        <v>100</v>
      </c>
      <c r="EY215" s="2">
        <v>100</v>
      </c>
      <c r="EZ215" s="2" t="s">
        <v>95</v>
      </c>
    </row>
    <row r="216" spans="1:156" x14ac:dyDescent="0.25">
      <c r="A216" s="2" t="s">
        <v>396</v>
      </c>
      <c r="B216" s="2">
        <v>-1.05632787116967</v>
      </c>
      <c r="C216" s="2">
        <f t="shared" si="3"/>
        <v>0.48085443450353726</v>
      </c>
      <c r="D216" s="2">
        <v>8.4450572456197897</v>
      </c>
      <c r="E216" s="2">
        <v>19.899408617197398</v>
      </c>
      <c r="F216" s="2">
        <v>8.1625570868518593E-6</v>
      </c>
      <c r="G216" s="2">
        <v>1.56874365556033E-3</v>
      </c>
      <c r="H216" s="2" t="s">
        <v>397</v>
      </c>
      <c r="I216" s="2" t="s">
        <v>87</v>
      </c>
      <c r="J216" s="2" t="str">
        <f>HYPERLINK("https://vectorbase.org/vectorbase/app/record/gene/AGAP001127","AGAP001127-RA")</f>
        <v>AGAP001127-RA</v>
      </c>
      <c r="K216" s="2" t="str">
        <f>HYPERLINK(".\links\pep\AGAP001127-PA-pep.txt","AGAP001127-PA")</f>
        <v>AGAP001127-PA</v>
      </c>
      <c r="L216" s="12" t="s">
        <v>88</v>
      </c>
      <c r="M216" s="2">
        <v>469</v>
      </c>
      <c r="N216" s="2">
        <v>0</v>
      </c>
      <c r="O216" s="2">
        <v>0</v>
      </c>
      <c r="P216" s="2" t="s">
        <v>398</v>
      </c>
      <c r="Q216" s="9" t="s">
        <v>399</v>
      </c>
      <c r="R216" s="2" t="s">
        <v>400</v>
      </c>
      <c r="S216" s="2" t="str">
        <f>HYPERLINK(".\links\CDD\AGAP001127-PA-CDD.txt","CDD")</f>
        <v>CDD</v>
      </c>
      <c r="T216" s="2">
        <v>0</v>
      </c>
      <c r="U216" s="2">
        <v>100</v>
      </c>
      <c r="V216" s="2" t="s">
        <v>401</v>
      </c>
      <c r="W216" s="10" t="s">
        <v>402</v>
      </c>
      <c r="X216" s="2" t="s">
        <v>403</v>
      </c>
      <c r="Y216" s="2" t="str">
        <f>HYPERLINK(".\links\REFSEQ-INVERTEBRATE\AGAP001127-PA-REFSEQ-INVERTEBRATE.txt","REFSEQ-INVERTEBRATE")</f>
        <v>REFSEQ-INVERTEBRATE</v>
      </c>
      <c r="Z216" s="2">
        <v>0</v>
      </c>
      <c r="AA216" s="2">
        <v>102.8</v>
      </c>
      <c r="AB216" s="14" t="str">
        <f>HYPERLINK(".\links\pep\AGAP001127-PA-sulf.txt","1")</f>
        <v>1</v>
      </c>
      <c r="AC216" s="14" t="str">
        <f>HYPERLINK(".\links\Sigp\AGAP001127-PA-SigP.txt","SIG")</f>
        <v>SIG</v>
      </c>
      <c r="AD216" s="2" t="s">
        <v>404</v>
      </c>
      <c r="AE216" s="2">
        <v>53.491</v>
      </c>
      <c r="AF216" s="2">
        <v>5.68</v>
      </c>
      <c r="AG216" s="2">
        <v>51.01</v>
      </c>
      <c r="AH216" s="2">
        <v>5.54</v>
      </c>
      <c r="AI216" s="2" t="s">
        <v>405</v>
      </c>
      <c r="AJ216" s="14" t="str">
        <f>HYPERLINK(".\links\tmhmm\AGAP001127-PA-tmhmm.txt","1")</f>
        <v>1</v>
      </c>
      <c r="AK216" s="2">
        <v>4.7</v>
      </c>
      <c r="AL216" s="2">
        <v>93.8</v>
      </c>
      <c r="AM216" s="2">
        <v>1.5</v>
      </c>
      <c r="AN216" s="14" t="str">
        <f>HYPERLINK(".\links\gpi\AGAP001127-PA-gpi.txt","N")</f>
        <v>N</v>
      </c>
      <c r="AO216" s="15" t="str">
        <f>HYPERLINK(".\links\netoglyc\AGAP001127-PA-netoglyc.txt","0")</f>
        <v>0</v>
      </c>
      <c r="AP216" s="14">
        <v>12.6</v>
      </c>
      <c r="AQ216" s="2">
        <v>4.3</v>
      </c>
      <c r="AR216" s="2">
        <v>2.8</v>
      </c>
      <c r="AS216" s="2" t="s">
        <v>94</v>
      </c>
      <c r="AT216" s="9" t="str">
        <f>HYPERLINK(".\links\NR-LIGHT\AGAP001127-PA-NR-LIGHT.txt","AGAP001127-PA")</f>
        <v>AGAP001127-PA</v>
      </c>
      <c r="AU216" s="2" t="str">
        <f>HYPERLINK("http://www.ncbi.nlm.nih.gov/sutils/blink.cgi?pid=XP_001238574.2","0.0")</f>
        <v>0.0</v>
      </c>
      <c r="AV216" s="2" t="str">
        <f>HYPERLINK("http://www.ncbi.nlm.nih.gov/protein/XP_001238574.2","XP_001238574.2")</f>
        <v>XP_001238574.2</v>
      </c>
      <c r="AW216" s="2">
        <v>100</v>
      </c>
      <c r="AX216" s="2">
        <v>100</v>
      </c>
      <c r="AY216" s="2">
        <v>100</v>
      </c>
      <c r="AZ216" s="2" t="s">
        <v>95</v>
      </c>
      <c r="BA216" s="9" t="str">
        <f>HYPERLINK(".\links\REFSEQ-INVERTEBRATE\AGAP001127-PA-REFSEQ-INVERTEBRATE.txt","AGAP001127-PA")</f>
        <v>AGAP001127-PA</v>
      </c>
      <c r="BB216" s="2" t="str">
        <f>HYPERLINK("http://www.ncbi.nlm.nih.gov/sutils/blink.cgi?pid=XP_001238574.2","0.0")</f>
        <v>0.0</v>
      </c>
      <c r="BC216" s="2" t="str">
        <f>HYPERLINK("http://www.ncbi.nlm.nih.gov/protein/XP_001238574.2","XP_001238574.2")</f>
        <v>XP_001238574.2</v>
      </c>
      <c r="BD216" s="2">
        <v>100</v>
      </c>
      <c r="BE216" s="2">
        <v>100</v>
      </c>
      <c r="BF216" s="2">
        <v>100</v>
      </c>
      <c r="BG216" s="2" t="s">
        <v>95</v>
      </c>
      <c r="BH216" s="9" t="str">
        <f>HYPERLINK(".\links\REFSEQ-PROTOZOA\AGAP001127-PA-REFSEQ-PROTOZOA.txt","hypothetical protein GUITHDRAFT_73681, partial")</f>
        <v>hypothetical protein GUITHDRAFT_73681, partial</v>
      </c>
      <c r="BI216" s="2" t="str">
        <f>HYPERLINK("http://www.ncbi.nlm.nih.gov/sutils/blink.cgi?pid=XP_005829670.1","3E-028")</f>
        <v>3E-028</v>
      </c>
      <c r="BJ216" s="2" t="str">
        <f>HYPERLINK("http://www.ncbi.nlm.nih.gov/protein/XP_005829670.1","XP_005829670.1")</f>
        <v>XP_005829670.1</v>
      </c>
      <c r="BK216" s="2">
        <v>29</v>
      </c>
      <c r="BL216" s="2">
        <v>45</v>
      </c>
      <c r="BM216" s="2">
        <v>94</v>
      </c>
      <c r="BN216" s="2" t="s">
        <v>406</v>
      </c>
      <c r="BO216" s="9" t="str">
        <f>HYPERLINK(".\links\SWISSP\AGAP001127-PA-SWISSP.txt","Protein artichoke")</f>
        <v>Protein artichoke</v>
      </c>
      <c r="BP216" s="2" t="str">
        <f>HYPERLINK("http://www.uniprot.org/uniprot/Q9VPF0","2E-023")</f>
        <v>2E-023</v>
      </c>
      <c r="BQ216" s="2" t="str">
        <f>HYPERLINK("http://www.uniprot.org/uniprot/Q9VPF0#expression","Q9VPF0")</f>
        <v>Q9VPF0</v>
      </c>
      <c r="BR216" s="2">
        <v>27</v>
      </c>
      <c r="BS216" s="2">
        <v>45</v>
      </c>
      <c r="BT216" s="2">
        <v>24</v>
      </c>
      <c r="BU216" s="2" t="s">
        <v>151</v>
      </c>
      <c r="BV216" s="9" t="str">
        <f>HYPERLINK(".\links\FLYBASE\AGAP001127-PA-FLYBASE.txt","FBpp0085620")</f>
        <v>FBpp0085620</v>
      </c>
      <c r="BW216" s="2" t="str">
        <f>HYPERLINK("http://flybase.org/reports/FBgn0004364#alliance_summary_container","2E-23")</f>
        <v>2E-23</v>
      </c>
      <c r="BX216" s="2">
        <v>1385</v>
      </c>
      <c r="BY216" s="2">
        <v>31</v>
      </c>
      <c r="BZ216" s="2">
        <v>48</v>
      </c>
      <c r="CA216" s="2">
        <v>23</v>
      </c>
      <c r="CB216" s="9" t="str">
        <f>HYPERLINK(".\links\CDD\AGAP001127-PA-CDD.txt","LRR_RI, leucine-rich repeats, ribonuclease inhibitor (RI)-like subfamily")</f>
        <v>LRR_RI, leucine-rich repeats, ribonuclease inhibitor (RI)-like subfamily</v>
      </c>
      <c r="CC216" s="13">
        <v>2.0000000000000002E-31</v>
      </c>
      <c r="CD216" s="2">
        <v>115.5</v>
      </c>
      <c r="CE216" s="2" t="s">
        <v>407</v>
      </c>
      <c r="CF216" s="2" t="s">
        <v>408</v>
      </c>
      <c r="CG216" s="9" t="str">
        <f>HYPERLINK(".\links\KOG\AGAP001127-PA-KOG.txt","Membrane glycoprotein LIG-1")</f>
        <v>Membrane glycoprotein LIG-1</v>
      </c>
      <c r="CH216" s="13">
        <v>6.0000000000000001E-28</v>
      </c>
      <c r="CI216" s="2">
        <v>42.2</v>
      </c>
      <c r="CJ216" s="2" t="s">
        <v>409</v>
      </c>
      <c r="CK216" s="2" t="s">
        <v>410</v>
      </c>
      <c r="CL216" s="9" t="str">
        <f>HYPERLINK(".\links\PFAM\AGAP001127-PA-PFAM.txt","LRR_8, Leucine rich repeat")</f>
        <v>LRR_8, Leucine rich repeat</v>
      </c>
      <c r="CM216" s="13">
        <v>7.9999999999999996E-6</v>
      </c>
      <c r="CN216" s="2">
        <v>103.3</v>
      </c>
      <c r="CO216" s="2" t="s">
        <v>411</v>
      </c>
      <c r="CP216" s="9" t="str">
        <f>HYPERLINK(".\links\SMART\AGAP001127-PA-SMART.txt","LRR, Leucine-rich repeats, outliers")</f>
        <v>LRR, Leucine-rich repeats, outliers</v>
      </c>
      <c r="CQ216" s="13">
        <v>1.7999999999999999E-2</v>
      </c>
      <c r="CR216" s="2">
        <v>95.8</v>
      </c>
      <c r="CS216" s="2" t="s">
        <v>412</v>
      </c>
      <c r="CT216" s="2" t="s">
        <v>401</v>
      </c>
      <c r="CU216" s="2" t="s">
        <v>401</v>
      </c>
      <c r="CV216" s="2" t="s">
        <v>401</v>
      </c>
      <c r="CW216" s="2" t="str">
        <f>HYPERLINK(".\links\pep\AGAP001127-PA-pep.txt","AGAP001127-PA")</f>
        <v>AGAP001127-PA</v>
      </c>
      <c r="CX216" s="2" t="s">
        <v>88</v>
      </c>
      <c r="CY216" s="2">
        <v>469</v>
      </c>
      <c r="CZ216" s="2" t="s">
        <v>103</v>
      </c>
      <c r="DA216" s="2" t="s">
        <v>413</v>
      </c>
      <c r="DB216" s="2">
        <v>0</v>
      </c>
      <c r="DC216" s="2">
        <v>0</v>
      </c>
      <c r="DD216" s="2" t="str">
        <f>HYPERLINK("https://www.kegg.jp/kegg-bin/search_pathway_text?map=aga&amp;keyword=AGAP001127&amp;mode=1&amp;viewImage=true","AGAP001127")</f>
        <v>AGAP001127</v>
      </c>
      <c r="DE216" s="2" t="s">
        <v>396</v>
      </c>
      <c r="DF216" s="2" t="s">
        <v>397</v>
      </c>
      <c r="DG216" s="2" t="s">
        <v>87</v>
      </c>
      <c r="DH216" s="2" t="str">
        <f>HYPERLINK("https://vectorbase.org/vectorbase/app/record/gene/AGAP001127","AGAP001127-RA")</f>
        <v>AGAP001127-RA</v>
      </c>
      <c r="DI216" s="2" t="s">
        <v>158</v>
      </c>
      <c r="DJ216" s="2">
        <v>2102</v>
      </c>
      <c r="DK216" s="2" t="str">
        <f>HYPERLINK(".\links\netoglyc\AGAP001127-PA-netoglyc.txt","0")</f>
        <v>0</v>
      </c>
      <c r="DL216" s="2">
        <v>12.6</v>
      </c>
      <c r="DM216" s="2">
        <v>4.3</v>
      </c>
      <c r="DN216" s="2">
        <v>2.8</v>
      </c>
      <c r="DO216" s="2" t="s">
        <v>94</v>
      </c>
      <c r="DP216" s="2" t="s">
        <v>89</v>
      </c>
      <c r="DQ216" s="2" t="str">
        <f>HYPERLINK(".\links\Sigp\AGAP001127-PA-SigP.txt","SIG")</f>
        <v>SIG</v>
      </c>
      <c r="DR216" s="2" t="s">
        <v>404</v>
      </c>
      <c r="DS216" s="2">
        <v>53.491</v>
      </c>
      <c r="DT216" s="2">
        <v>5.68</v>
      </c>
      <c r="DU216" s="2">
        <v>51.01</v>
      </c>
      <c r="DV216" s="2">
        <v>5.54</v>
      </c>
      <c r="DW216" s="2" t="s">
        <v>405</v>
      </c>
      <c r="DX216" s="2">
        <v>469</v>
      </c>
      <c r="DY216" s="12" t="str">
        <f>HYPERLINK(".\links\tmhmm\AGAP001127-PA-tmhmm.txt","1")</f>
        <v>1</v>
      </c>
      <c r="DZ216" s="2">
        <v>4.7</v>
      </c>
      <c r="EA216" s="2">
        <v>93.8</v>
      </c>
      <c r="EB216" s="2">
        <v>1.5</v>
      </c>
      <c r="EC216" s="2" t="str">
        <f>HYPERLINK(".\links\gpi\AGAP001127-PA-gpi.txt","Y-NoSP")</f>
        <v>Y-NoSP</v>
      </c>
      <c r="ED216" s="2">
        <v>0.4</v>
      </c>
      <c r="EF216" s="2">
        <v>6</v>
      </c>
      <c r="EG216" s="2" t="str">
        <f>HYPERLINK(".\links\pep\AGAP001127-PA-sulf.txt","1")</f>
        <v>1</v>
      </c>
      <c r="EH216" s="2" t="s">
        <v>89</v>
      </c>
      <c r="EI216" s="2">
        <v>12.5799573560768</v>
      </c>
      <c r="EJ216" s="2">
        <v>2.7718550106609801</v>
      </c>
      <c r="EK216" s="2">
        <v>4.2643923240938202</v>
      </c>
      <c r="EL216" s="2">
        <v>7.0362473347548002</v>
      </c>
      <c r="EM216" s="2" t="s">
        <v>89</v>
      </c>
      <c r="EN216" s="2" t="s">
        <v>89</v>
      </c>
      <c r="EO216" s="2" t="s">
        <v>89</v>
      </c>
      <c r="EP216" s="2" t="s">
        <v>89</v>
      </c>
      <c r="EQ216" s="2" t="s">
        <v>89</v>
      </c>
      <c r="ER216" s="2" t="s">
        <v>89</v>
      </c>
      <c r="ES216" s="2" t="s">
        <v>89</v>
      </c>
      <c r="ET216" s="2" t="str">
        <f>HYPERLINK(".\links\REFSEQ-INVERTEBRATE\AGAP001127-PA-REFSEQ-INVERTEBRATE.txt","AGAP001127-PA")</f>
        <v>AGAP001127-PA</v>
      </c>
      <c r="EU216" s="2" t="str">
        <f>HYPERLINK("http://www.ncbi.nlm.nih.gov/sutils/blink.cgi?pid=XP_001238574.2","0.0")</f>
        <v>0.0</v>
      </c>
      <c r="EV216" s="2" t="str">
        <f>HYPERLINK("http://www.ncbi.nlm.nih.gov/protein/XP_001238574.2","XP_001238574.2")</f>
        <v>XP_001238574.2</v>
      </c>
      <c r="EW216" s="2">
        <v>100</v>
      </c>
      <c r="EX216" s="2">
        <v>100</v>
      </c>
      <c r="EY216" s="2">
        <v>100</v>
      </c>
      <c r="EZ216" s="2" t="s">
        <v>95</v>
      </c>
    </row>
    <row r="217" spans="1:156" x14ac:dyDescent="0.25">
      <c r="A217" s="2" t="s">
        <v>481</v>
      </c>
      <c r="B217" s="2">
        <v>-1.0609116852382701</v>
      </c>
      <c r="C217" s="2">
        <f t="shared" si="3"/>
        <v>0.47932906053825408</v>
      </c>
      <c r="D217" s="2">
        <v>9.9020410629799205</v>
      </c>
      <c r="E217" s="2">
        <v>13.210811444507</v>
      </c>
      <c r="F217" s="2">
        <v>2.7833883893446301E-4</v>
      </c>
      <c r="G217" s="2">
        <v>1.7960446170516502E-2</v>
      </c>
      <c r="H217" s="2" t="s">
        <v>482</v>
      </c>
      <c r="I217" s="2" t="s">
        <v>87</v>
      </c>
      <c r="J217" s="2" t="str">
        <f>HYPERLINK("https://vectorbase.org/vectorbase/app/record/gene/AGAP001595","AGAP001595-RA")</f>
        <v>AGAP001595-RA</v>
      </c>
      <c r="K217" s="2" t="str">
        <f>HYPERLINK(".\links\pep\AGAP001595-PA-pep.txt","AGAP001595-PA")</f>
        <v>AGAP001595-PA</v>
      </c>
      <c r="L217" s="12" t="s">
        <v>88</v>
      </c>
      <c r="M217" s="2">
        <v>56</v>
      </c>
      <c r="N217" s="2">
        <v>0</v>
      </c>
      <c r="O217" s="2">
        <v>0</v>
      </c>
      <c r="P217" s="2" t="s">
        <v>483</v>
      </c>
      <c r="Q217" s="9" t="s">
        <v>484</v>
      </c>
      <c r="R217" s="2" t="s">
        <v>245</v>
      </c>
      <c r="S217" s="2" t="str">
        <f>HYPERLINK(".\links\SWISSP\AGAP001595-PA-SWISSP.txt","SWISSP")</f>
        <v>SWISSP</v>
      </c>
      <c r="T217" s="2">
        <v>3.9999999999999998E-29</v>
      </c>
      <c r="U217" s="2">
        <v>100</v>
      </c>
      <c r="V217" s="2" t="s">
        <v>485</v>
      </c>
      <c r="W217" s="10" t="s">
        <v>486</v>
      </c>
      <c r="X217" s="2" t="s">
        <v>245</v>
      </c>
      <c r="Y217" s="2" t="str">
        <f>HYPERLINK(".\links\UNIPROTKB\AGAP001595-PA-UNIPROTKB.txt","UNIPROTKB")</f>
        <v>UNIPROTKB</v>
      </c>
      <c r="Z217" s="13">
        <v>1.9999999999999999E-36</v>
      </c>
      <c r="AA217" s="2">
        <v>100</v>
      </c>
      <c r="AB217" s="14" t="s">
        <v>89</v>
      </c>
      <c r="AC217" s="14" t="str">
        <f>HYPERLINK(".\links\Sigp\AGAP001595-PA-SigP.txt","CYT")</f>
        <v>CYT</v>
      </c>
      <c r="AD217" s="2" t="s">
        <v>89</v>
      </c>
      <c r="AE217" s="2">
        <v>6.7210000000000001</v>
      </c>
      <c r="AF217" s="2">
        <v>9.8699999999999992</v>
      </c>
      <c r="AG217" s="2" t="s">
        <v>89</v>
      </c>
      <c r="AH217" s="2" t="s">
        <v>89</v>
      </c>
      <c r="AI217" s="2" t="s">
        <v>93</v>
      </c>
      <c r="AJ217" s="14">
        <v>0</v>
      </c>
      <c r="AK217" s="2" t="s">
        <v>89</v>
      </c>
      <c r="AL217" s="2" t="s">
        <v>89</v>
      </c>
      <c r="AM217" s="2" t="s">
        <v>89</v>
      </c>
      <c r="AN217" s="14" t="str">
        <f>HYPERLINK(".\links\gpi\AGAP001595-PA-gpi.txt","N")</f>
        <v>N</v>
      </c>
      <c r="AO217" s="15" t="str">
        <f>HYPERLINK(".\links\netoglyc\AGAP001595-PA-netoglyc.txt","0")</f>
        <v>0</v>
      </c>
      <c r="AP217" s="14">
        <v>5.4</v>
      </c>
      <c r="AQ217" s="2">
        <v>10.7</v>
      </c>
      <c r="AR217" s="2">
        <v>1.8</v>
      </c>
      <c r="AS217" s="2" t="s">
        <v>94</v>
      </c>
      <c r="AT217" s="9" t="str">
        <f>HYPERLINK(".\links\NR-LIGHT\AGAP001595-PA-NR-LIGHT.txt","AGAP001595-PA")</f>
        <v>AGAP001595-PA</v>
      </c>
      <c r="AU217" s="2" t="str">
        <f>HYPERLINK("http://www.ncbi.nlm.nih.gov/sutils/blink.cgi?pid=XP_321509.4","1E-028")</f>
        <v>1E-028</v>
      </c>
      <c r="AV217" s="2" t="str">
        <f>HYPERLINK("http://www.ncbi.nlm.nih.gov/protein/XP_321509.4","XP_321509.4")</f>
        <v>XP_321509.4</v>
      </c>
      <c r="AW217" s="2">
        <v>100</v>
      </c>
      <c r="AX217" s="2">
        <v>100</v>
      </c>
      <c r="AY217" s="2">
        <v>100</v>
      </c>
      <c r="AZ217" s="2" t="s">
        <v>95</v>
      </c>
      <c r="BA217" s="9" t="str">
        <f>HYPERLINK(".\links\REFSEQ-INVERTEBRATE\AGAP001595-PA-REFSEQ-INVERTEBRATE.txt","AGAP001595-PA")</f>
        <v>AGAP001595-PA</v>
      </c>
      <c r="BB217" s="2" t="str">
        <f>HYPERLINK("http://www.ncbi.nlm.nih.gov/sutils/blink.cgi?pid=XP_321509.4","1E-028")</f>
        <v>1E-028</v>
      </c>
      <c r="BC217" s="2" t="str">
        <f>HYPERLINK("http://www.ncbi.nlm.nih.gov/protein/XP_321509.4","XP_321509.4")</f>
        <v>XP_321509.4</v>
      </c>
      <c r="BD217" s="2">
        <v>100</v>
      </c>
      <c r="BE217" s="2">
        <v>100</v>
      </c>
      <c r="BF217" s="2">
        <v>100</v>
      </c>
      <c r="BG217" s="2" t="s">
        <v>95</v>
      </c>
      <c r="BH217" s="9" t="str">
        <f>HYPERLINK(".\links\REFSEQ-PROTOZOA\AGAP001595-PA-REFSEQ-PROTOZOA.txt","40S ribosomal protein S29")</f>
        <v>40S ribosomal protein S29</v>
      </c>
      <c r="BI217" s="2" t="str">
        <f>HYPERLINK("http://www.ncbi.nlm.nih.gov/sutils/blink.cgi?pid=XP_004991696.1","5E-019")</f>
        <v>5E-019</v>
      </c>
      <c r="BJ217" s="2" t="str">
        <f>HYPERLINK("http://www.ncbi.nlm.nih.gov/protein/XP_004991696.1","XP_004991696.1")</f>
        <v>XP_004991696.1</v>
      </c>
      <c r="BK217" s="2">
        <v>74</v>
      </c>
      <c r="BL217" s="2">
        <v>88</v>
      </c>
      <c r="BM217" s="2">
        <v>61</v>
      </c>
      <c r="BN217" s="2" t="s">
        <v>182</v>
      </c>
      <c r="BO217" s="9" t="str">
        <f>HYPERLINK(".\links\SWISSP\AGAP001595-PA-SWISSP.txt","40S ribosomal protein S29")</f>
        <v>40S ribosomal protein S29</v>
      </c>
      <c r="BP217" s="2" t="str">
        <f>HYPERLINK("http://www.uniprot.org/uniprot/Q9NB51","4E-029")</f>
        <v>4E-029</v>
      </c>
      <c r="BQ217" s="2" t="str">
        <f>HYPERLINK("http://www.uniprot.org/uniprot/Q9NB51#expression","Q9NB51")</f>
        <v>Q9NB51</v>
      </c>
      <c r="BR217" s="2">
        <v>98</v>
      </c>
      <c r="BS217" s="2">
        <v>100</v>
      </c>
      <c r="BT217" s="2">
        <v>100</v>
      </c>
      <c r="BU217" s="2" t="s">
        <v>487</v>
      </c>
      <c r="BV217" s="9" t="str">
        <f>HYPERLINK(".\links\FLYBASE\AGAP001595-PA-FLYBASE.txt","FBpp0306740")</f>
        <v>FBpp0306740</v>
      </c>
      <c r="BW217" s="2" t="str">
        <f>HYPERLINK("http://flybase.org/reports/FBgn0261599#alliance_summary_container","2E-33")</f>
        <v>2E-33</v>
      </c>
      <c r="BX217" s="2">
        <v>56</v>
      </c>
      <c r="BY217" s="2">
        <v>89</v>
      </c>
      <c r="BZ217" s="2">
        <v>92</v>
      </c>
      <c r="CA217" s="2">
        <v>100</v>
      </c>
      <c r="CB217" s="9" t="str">
        <f>HYPERLINK(".\links\CDD\AGAP001595-PA-CDD.txt","PTZ00218, 40S ribosomal protein S29")</f>
        <v>PTZ00218, 40S ribosomal protein S29</v>
      </c>
      <c r="CC217" s="13">
        <v>2E-16</v>
      </c>
      <c r="CD217" s="2">
        <v>96.3</v>
      </c>
      <c r="CE217" s="2" t="s">
        <v>488</v>
      </c>
      <c r="CF217" s="2" t="s">
        <v>489</v>
      </c>
      <c r="CG217" s="9" t="str">
        <f>HYPERLINK(".\links\KOG\AGAP001595-PA-KOG.txt","40S ribosomal protein S29")</f>
        <v>40S ribosomal protein S29</v>
      </c>
      <c r="CH217" s="13">
        <v>1.9999999999999999E-20</v>
      </c>
      <c r="CI217" s="2">
        <v>100</v>
      </c>
      <c r="CJ217" s="2" t="s">
        <v>490</v>
      </c>
      <c r="CK217" s="2" t="s">
        <v>252</v>
      </c>
      <c r="CL217" s="9" t="str">
        <f>HYPERLINK(".\links\PFAM\AGAP001595-PA-PFAM.txt","Ribosomal_S14, Ribosomal protein S14p/S29e")</f>
        <v>Ribosomal_S14, Ribosomal protein S14p/S29e</v>
      </c>
      <c r="CM217" s="13">
        <v>7.9999999999999996E-6</v>
      </c>
      <c r="CN217" s="2">
        <v>98.1</v>
      </c>
      <c r="CO217" s="2" t="s">
        <v>491</v>
      </c>
      <c r="CP217" s="9" t="str">
        <f>HYPERLINK(".\links\SMART\AGAP001595-PA-SMART.txt","Aha1_N, Activator of Hsp90 ATPase, N-terminal")</f>
        <v>Aha1_N, Activator of Hsp90 ATPase, N-terminal</v>
      </c>
      <c r="CQ217" s="13">
        <v>0.44</v>
      </c>
      <c r="CR217" s="2">
        <v>14.2</v>
      </c>
      <c r="CS217" s="2" t="s">
        <v>492</v>
      </c>
      <c r="CT217" s="2" t="s">
        <v>485</v>
      </c>
      <c r="CU217" s="2" t="s">
        <v>485</v>
      </c>
      <c r="CV217" s="2" t="s">
        <v>485</v>
      </c>
      <c r="CW217" s="2" t="str">
        <f>HYPERLINK(".\links\pep\AGAP001595-PA-pep.txt","AGAP001595-PA")</f>
        <v>AGAP001595-PA</v>
      </c>
      <c r="CX217" s="2" t="s">
        <v>88</v>
      </c>
      <c r="CY217" s="2">
        <v>56</v>
      </c>
      <c r="CZ217" s="2" t="s">
        <v>103</v>
      </c>
      <c r="DA217" s="2" t="s">
        <v>493</v>
      </c>
      <c r="DB217" s="2">
        <v>0</v>
      </c>
      <c r="DC217" s="2">
        <v>0</v>
      </c>
      <c r="DD217" s="2" t="str">
        <f>HYPERLINK("https://www.kegg.jp/kegg-bin/search_pathway_text?map=aga&amp;keyword=AGAP001595&amp;mode=1&amp;viewImage=true","AGAP001595")</f>
        <v>AGAP001595</v>
      </c>
      <c r="DE217" s="2" t="s">
        <v>481</v>
      </c>
      <c r="DF217" s="2" t="s">
        <v>482</v>
      </c>
      <c r="DG217" s="2" t="s">
        <v>87</v>
      </c>
      <c r="DH217" s="2" t="str">
        <f>HYPERLINK("https://vectorbase.org/vectorbase/app/record/gene/AGAP001595","AGAP001595-RA")</f>
        <v>AGAP001595-RA</v>
      </c>
      <c r="DI217" s="2" t="s">
        <v>122</v>
      </c>
      <c r="DJ217" s="2">
        <v>389</v>
      </c>
      <c r="DK217" s="2" t="str">
        <f>HYPERLINK(".\links\netoglyc\AGAP001595-PA-netoglyc.txt","0")</f>
        <v>0</v>
      </c>
      <c r="DL217" s="2">
        <v>5.4</v>
      </c>
      <c r="DM217" s="2">
        <v>10.7</v>
      </c>
      <c r="DN217" s="2">
        <v>1.8</v>
      </c>
      <c r="DO217" s="2" t="s">
        <v>94</v>
      </c>
      <c r="DP217" s="2" t="s">
        <v>89</v>
      </c>
      <c r="DQ217" s="2" t="str">
        <f>HYPERLINK(".\links\Sigp\AGAP001595-PA-SigP.txt","CYT")</f>
        <v>CYT</v>
      </c>
      <c r="DR217" s="2" t="s">
        <v>89</v>
      </c>
      <c r="DS217" s="2">
        <v>6.7210000000000001</v>
      </c>
      <c r="DT217" s="2">
        <v>9.8699999999999992</v>
      </c>
      <c r="DU217" s="2" t="s">
        <v>89</v>
      </c>
      <c r="DV217" s="2" t="s">
        <v>89</v>
      </c>
      <c r="DW217" s="2" t="s">
        <v>93</v>
      </c>
      <c r="DX217" s="2">
        <v>56</v>
      </c>
      <c r="DY217" s="12">
        <v>0</v>
      </c>
      <c r="DZ217" s="2" t="s">
        <v>89</v>
      </c>
      <c r="EA217" s="2" t="s">
        <v>89</v>
      </c>
      <c r="EB217" s="2" t="s">
        <v>89</v>
      </c>
      <c r="EC217" s="2" t="str">
        <f>HYPERLINK(".\links\gpi\AGAP001595-PA-gpi.txt","N")</f>
        <v>N</v>
      </c>
      <c r="ED217" s="2">
        <v>0.64</v>
      </c>
      <c r="EE217" s="2" t="s">
        <v>494</v>
      </c>
      <c r="EF217" s="2">
        <v>4</v>
      </c>
      <c r="EG217" s="2" t="s">
        <v>89</v>
      </c>
      <c r="EH217" s="2" t="s">
        <v>89</v>
      </c>
      <c r="EI217" s="2">
        <v>5.3571428571428603</v>
      </c>
      <c r="EJ217" s="2">
        <v>1.78571428571429</v>
      </c>
      <c r="EK217" s="2">
        <v>10.714285714285699</v>
      </c>
      <c r="EL217" s="2">
        <v>12.5</v>
      </c>
      <c r="EM217" s="2" t="s">
        <v>89</v>
      </c>
      <c r="EN217" s="2" t="s">
        <v>89</v>
      </c>
      <c r="EO217" s="2" t="s">
        <v>89</v>
      </c>
      <c r="EP217" s="2" t="s">
        <v>89</v>
      </c>
      <c r="EQ217" s="2" t="s">
        <v>89</v>
      </c>
      <c r="ER217" s="2" t="s">
        <v>89</v>
      </c>
      <c r="ES217" s="2" t="s">
        <v>89</v>
      </c>
      <c r="ET217" s="2" t="str">
        <f>HYPERLINK(".\links\REFSEQ-INVERTEBRATE\AGAP001595-PA-REFSEQ-INVERTEBRATE.txt","AGAP001595-PA")</f>
        <v>AGAP001595-PA</v>
      </c>
      <c r="EU217" s="2" t="str">
        <f>HYPERLINK("http://www.ncbi.nlm.nih.gov/sutils/blink.cgi?pid=XP_321509.4","1E-35")</f>
        <v>1E-35</v>
      </c>
      <c r="EV217" s="2" t="str">
        <f>HYPERLINK("http://www.ncbi.nlm.nih.gov/protein/XP_321509.4","XP_321509.4")</f>
        <v>XP_321509.4</v>
      </c>
      <c r="EW217" s="2">
        <v>100</v>
      </c>
      <c r="EX217" s="2">
        <v>100</v>
      </c>
      <c r="EY217" s="2">
        <v>100</v>
      </c>
      <c r="EZ217" s="2" t="s">
        <v>95</v>
      </c>
    </row>
    <row r="218" spans="1:156" x14ac:dyDescent="0.25">
      <c r="A218" s="2" t="s">
        <v>1654</v>
      </c>
      <c r="B218" s="2">
        <v>-1.06462980409605</v>
      </c>
      <c r="C218" s="2">
        <f t="shared" si="3"/>
        <v>0.47809532243630182</v>
      </c>
      <c r="D218" s="2">
        <v>3.6528741372380802</v>
      </c>
      <c r="E218" s="2">
        <v>13.9558513577451</v>
      </c>
      <c r="F218" s="2">
        <v>1.8715421746809399E-4</v>
      </c>
      <c r="G218" s="2">
        <v>1.3373362103240201E-2</v>
      </c>
      <c r="H218" s="2" t="s">
        <v>86</v>
      </c>
      <c r="I218" s="2" t="s">
        <v>87</v>
      </c>
      <c r="J218" s="2" t="str">
        <f>HYPERLINK("https://vectorbase.org/vectorbase/app/record/gene/AGAP006409","AGAP006409-RA")</f>
        <v>AGAP006409-RA</v>
      </c>
      <c r="K218" s="2" t="str">
        <f>HYPERLINK(".\links\pep\AGAP006409-PA-pep.txt","AGAP006409-PA")</f>
        <v>AGAP006409-PA</v>
      </c>
      <c r="L218" s="12" t="s">
        <v>88</v>
      </c>
      <c r="M218" s="2">
        <v>88</v>
      </c>
      <c r="N218" s="2">
        <v>0</v>
      </c>
      <c r="O218" s="2">
        <v>0</v>
      </c>
      <c r="P218" s="2" t="s">
        <v>89</v>
      </c>
      <c r="Q218" s="9" t="s">
        <v>399</v>
      </c>
      <c r="R218" s="2" t="s">
        <v>400</v>
      </c>
      <c r="S218" s="2" t="str">
        <f>HYPERLINK(".\links\REFSEQ-INVERTEBRATE\AGAP006409-PA-REFSEQ-INVERTEBRATE.txt","REFSEQ-INVERTEBRATE")</f>
        <v>REFSEQ-INVERTEBRATE</v>
      </c>
      <c r="T218" s="2">
        <v>6.9999999999999999E-43</v>
      </c>
      <c r="V218" s="2" t="s">
        <v>1655</v>
      </c>
      <c r="W218" s="10" t="s">
        <v>399</v>
      </c>
      <c r="X218" s="2" t="s">
        <v>400</v>
      </c>
      <c r="Y218" s="2" t="str">
        <f>HYPERLINK(".\links\REFSEQ-INVERTEBRATE\AGAP006409-PA-REFSEQ-INVERTEBRATE.txt","REFSEQ-INVERTEBRATE")</f>
        <v>REFSEQ-INVERTEBRATE</v>
      </c>
      <c r="Z218" s="13">
        <v>6.0000000000000002E-59</v>
      </c>
      <c r="AA218" s="2">
        <v>100</v>
      </c>
      <c r="AB218" s="14" t="s">
        <v>89</v>
      </c>
      <c r="AC218" s="14" t="str">
        <f>HYPERLINK(".\links\Sigp\AGAP006409-PA-SigP.txt","SIG")</f>
        <v>SIG</v>
      </c>
      <c r="AD218" s="2" t="s">
        <v>1656</v>
      </c>
      <c r="AE218" s="2">
        <v>10.055999999999999</v>
      </c>
      <c r="AF218" s="2">
        <v>7.94</v>
      </c>
      <c r="AG218" s="2">
        <v>6.9109999999999996</v>
      </c>
      <c r="AH218" s="2">
        <v>6.45</v>
      </c>
      <c r="AI218" s="2" t="s">
        <v>1657</v>
      </c>
      <c r="AJ218" s="14" t="str">
        <f>HYPERLINK(".\links\tmhmm\AGAP006409-PA-tmhmm.txt","1")</f>
        <v>1</v>
      </c>
      <c r="AK218" s="2">
        <v>25</v>
      </c>
      <c r="AL218" s="2">
        <v>60.2</v>
      </c>
      <c r="AM218" s="2">
        <v>14.8</v>
      </c>
      <c r="AN218" s="14" t="str">
        <f>HYPERLINK(".\links\gpi\AGAP006409-PA-gpi.txt","N")</f>
        <v>N</v>
      </c>
      <c r="AO218" s="15" t="str">
        <f>HYPERLINK(".\links\netoglyc\AGAP006409-PA-netoglyc.txt","1")</f>
        <v>1</v>
      </c>
      <c r="AP218" s="14">
        <v>13.6</v>
      </c>
      <c r="AQ218" s="2">
        <v>4.5</v>
      </c>
      <c r="AR218" s="2">
        <v>5.7</v>
      </c>
      <c r="AS218" s="2" t="s">
        <v>94</v>
      </c>
      <c r="AT218" s="9" t="str">
        <f>HYPERLINK(".\links\NR-LIGHT\AGAP006409-PA-NR-LIGHT.txt","AGAP006409-PA")</f>
        <v>AGAP006409-PA</v>
      </c>
      <c r="AU218" s="2" t="str">
        <f>HYPERLINK("http://www.ncbi.nlm.nih.gov/sutils/blink.cgi?pid=XP_001237810.1","8E-043")</f>
        <v>8E-043</v>
      </c>
      <c r="AV218" s="2" t="str">
        <f>HYPERLINK("http://www.ncbi.nlm.nih.gov/protein/XP_001237810.1","XP_001237810.1")</f>
        <v>XP_001237810.1</v>
      </c>
      <c r="AW218" s="2">
        <v>100</v>
      </c>
      <c r="AX218" s="2">
        <v>100</v>
      </c>
      <c r="AY218" s="2">
        <v>100</v>
      </c>
      <c r="AZ218" s="2" t="s">
        <v>95</v>
      </c>
      <c r="BA218" s="9" t="str">
        <f>HYPERLINK(".\links\REFSEQ-INVERTEBRATE\AGAP006409-PA-REFSEQ-INVERTEBRATE.txt","AGAP006409-PA")</f>
        <v>AGAP006409-PA</v>
      </c>
      <c r="BB218" s="2" t="str">
        <f>HYPERLINK("http://www.ncbi.nlm.nih.gov/sutils/blink.cgi?pid=XP_001237810.1","7E-043")</f>
        <v>7E-043</v>
      </c>
      <c r="BC218" s="2" t="str">
        <f>HYPERLINK("http://www.ncbi.nlm.nih.gov/protein/XP_001237810.1","XP_001237810.1")</f>
        <v>XP_001237810.1</v>
      </c>
      <c r="BD218" s="2">
        <v>100</v>
      </c>
      <c r="BE218" s="2">
        <v>100</v>
      </c>
      <c r="BF218" s="2">
        <v>100</v>
      </c>
      <c r="BG218" s="2" t="s">
        <v>95</v>
      </c>
      <c r="BH218" s="9" t="str">
        <f>HYPERLINK(".\links\REFSEQ-PROTOZOA\AGAP006409-PA-REFSEQ-PROTOZOA.txt","hypothetical protein ACA1_174590")</f>
        <v>hypothetical protein ACA1_174590</v>
      </c>
      <c r="BI218" s="2" t="str">
        <f>HYPERLINK("http://www.ncbi.nlm.nih.gov/sutils/blink.cgi?pid=XP_004356698.1","1.6")</f>
        <v>1.6</v>
      </c>
      <c r="BJ218" s="2" t="str">
        <f>HYPERLINK("http://www.ncbi.nlm.nih.gov/protein/XP_004356698.1","XP_004356698.1")</f>
        <v>XP_004356698.1</v>
      </c>
      <c r="BK218" s="2">
        <v>35</v>
      </c>
      <c r="BL218" s="2">
        <v>54</v>
      </c>
      <c r="BM218" s="2">
        <v>46</v>
      </c>
      <c r="BN218" s="2" t="s">
        <v>114</v>
      </c>
      <c r="BO218" s="9" t="str">
        <f>HYPERLINK(".\links\SWISSP\AGAP006409-PA-SWISSP.txt","Small integral membrane protein 12-A")</f>
        <v>Small integral membrane protein 12-A</v>
      </c>
      <c r="BP218" s="2" t="str">
        <f>HYPERLINK("http://www.uniprot.org/uniprot/A1L2P2","9E-007")</f>
        <v>9E-007</v>
      </c>
      <c r="BQ218" s="2" t="str">
        <f>HYPERLINK("http://www.uniprot.org/uniprot/A1L2P2#expression","A1L2P2")</f>
        <v>A1L2P2</v>
      </c>
      <c r="BR218" s="2">
        <v>40</v>
      </c>
      <c r="BS218" s="2">
        <v>54</v>
      </c>
      <c r="BT218" s="2">
        <v>97</v>
      </c>
      <c r="BU218" s="2" t="s">
        <v>447</v>
      </c>
      <c r="BV218" s="9" t="str">
        <f>HYPERLINK(".\links\FLYBASE\AGAP006409-PA-FLYBASE.txt","FBpp0111336")</f>
        <v>FBpp0111336</v>
      </c>
      <c r="BW218" s="2" t="str">
        <f>HYPERLINK("http://flybase.org/reports/FBgn0085257#alliance_summary_container","2E-33")</f>
        <v>2E-33</v>
      </c>
      <c r="BX218" s="2">
        <v>88</v>
      </c>
      <c r="BY218" s="2">
        <v>63</v>
      </c>
      <c r="BZ218" s="2">
        <v>76</v>
      </c>
      <c r="CA218" s="2">
        <v>97</v>
      </c>
      <c r="CB218" s="9" t="str">
        <f>HYPERLINK(".\links\CDD\AGAP006409-PA-CDD.txt","UPF0767, UPF0767 family")</f>
        <v>UPF0767, UPF0767 family</v>
      </c>
      <c r="CC218" s="13">
        <v>2.0000000000000002E-30</v>
      </c>
      <c r="CD218" s="2">
        <v>100</v>
      </c>
      <c r="CE218" s="2" t="s">
        <v>1658</v>
      </c>
      <c r="CF218" s="2" t="s">
        <v>1659</v>
      </c>
      <c r="CG218" s="9" t="str">
        <f>HYPERLINK(".\links\KOG\AGAP006409-PA-KOG.txt","Uncharacterized conserved protein")</f>
        <v>Uncharacterized conserved protein</v>
      </c>
      <c r="CH218" s="13">
        <v>0.11</v>
      </c>
      <c r="CI218" s="2">
        <v>3.9</v>
      </c>
      <c r="CJ218" s="2" t="s">
        <v>1660</v>
      </c>
      <c r="CK218" s="2" t="s">
        <v>101</v>
      </c>
      <c r="CL218" s="9" t="str">
        <f>HYPERLINK(".\links\PFAM\AGAP006409-PA-PFAM.txt","UPF0767, UPF0767 family")</f>
        <v>UPF0767, UPF0767 family</v>
      </c>
      <c r="CM218" s="13">
        <v>5.0000000000000004E-31</v>
      </c>
      <c r="CN218" s="2">
        <v>100</v>
      </c>
      <c r="CO218" s="2" t="s">
        <v>1658</v>
      </c>
      <c r="CP218" s="9" t="str">
        <f>HYPERLINK(".\links\SMART\AGAP006409-PA-SMART.txt","ANATO, Anaphylatoxin homologous domain")</f>
        <v>ANATO, Anaphylatoxin homologous domain</v>
      </c>
      <c r="CQ218" s="13">
        <v>1</v>
      </c>
      <c r="CR218" s="2">
        <v>31.4</v>
      </c>
      <c r="CS218" s="2" t="s">
        <v>1661</v>
      </c>
      <c r="CT218" s="2" t="s">
        <v>1655</v>
      </c>
      <c r="CU218" s="2" t="s">
        <v>1655</v>
      </c>
      <c r="CV218" s="2" t="s">
        <v>1655</v>
      </c>
      <c r="CW218" s="2" t="str">
        <f>HYPERLINK(".\links\pep\AGAP006409-PA-pep.txt","AGAP006409-PA")</f>
        <v>AGAP006409-PA</v>
      </c>
      <c r="CX218" s="2" t="s">
        <v>88</v>
      </c>
      <c r="CY218" s="2">
        <v>88</v>
      </c>
      <c r="CZ218" s="2" t="s">
        <v>103</v>
      </c>
      <c r="DA218" s="2" t="s">
        <v>1662</v>
      </c>
      <c r="DB218" s="2">
        <v>0</v>
      </c>
      <c r="DC218" s="2">
        <v>0</v>
      </c>
      <c r="DD218" s="2" t="str">
        <f>HYPERLINK("https://www.kegg.jp/kegg-bin/search_pathway_text?map=aga&amp;keyword=AGAP006409&amp;mode=1&amp;viewImage=true","AGAP006409")</f>
        <v>AGAP006409</v>
      </c>
      <c r="DE218" s="2" t="s">
        <v>1654</v>
      </c>
      <c r="DF218" s="2" t="s">
        <v>86</v>
      </c>
      <c r="DG218" s="2" t="s">
        <v>87</v>
      </c>
      <c r="DH218" s="2" t="str">
        <f>HYPERLINK("https://vectorbase.org/vectorbase/app/record/gene/AGAP006409","AGAP006409-RA")</f>
        <v>AGAP006409-RA</v>
      </c>
      <c r="DI218" s="2" t="s">
        <v>105</v>
      </c>
      <c r="DJ218" s="2">
        <v>499</v>
      </c>
      <c r="DK218" s="2" t="str">
        <f>HYPERLINK(".\links\netoglyc\AGAP006409-PA-netoglyc.txt","1")</f>
        <v>1</v>
      </c>
      <c r="DL218" s="2">
        <v>13.6</v>
      </c>
      <c r="DM218" s="2">
        <v>4.5</v>
      </c>
      <c r="DN218" s="2">
        <v>5.7</v>
      </c>
      <c r="DO218" s="2" t="s">
        <v>94</v>
      </c>
      <c r="DP218" s="2" t="s">
        <v>89</v>
      </c>
      <c r="DQ218" s="2" t="str">
        <f>HYPERLINK(".\links\Sigp\AGAP006409-PA-SigP.txt","SIG")</f>
        <v>SIG</v>
      </c>
      <c r="DR218" s="2" t="s">
        <v>1656</v>
      </c>
      <c r="DS218" s="2">
        <v>10.055999999999999</v>
      </c>
      <c r="DT218" s="2">
        <v>7.94</v>
      </c>
      <c r="DU218" s="2">
        <v>6.9109999999999996</v>
      </c>
      <c r="DV218" s="2">
        <v>6.45</v>
      </c>
      <c r="DW218" s="2" t="s">
        <v>1657</v>
      </c>
      <c r="DX218" s="2">
        <v>88</v>
      </c>
      <c r="DY218" s="12" t="str">
        <f>HYPERLINK(".\links\tmhmm\AGAP006409-PA-tmhmm.txt","1")</f>
        <v>1</v>
      </c>
      <c r="DZ218" s="2">
        <v>25</v>
      </c>
      <c r="EA218" s="2">
        <v>60.2</v>
      </c>
      <c r="EB218" s="2">
        <v>14.8</v>
      </c>
      <c r="EC218" s="2" t="str">
        <f>HYPERLINK(".\links\gpi\AGAP006409-PA-gpi.txt","N")</f>
        <v>N</v>
      </c>
      <c r="ED218" s="2">
        <v>0.28999999999999998</v>
      </c>
      <c r="EF218" s="2">
        <v>0</v>
      </c>
      <c r="EG218" s="2" t="s">
        <v>89</v>
      </c>
      <c r="EH218" s="2" t="s">
        <v>89</v>
      </c>
      <c r="EI218" s="2">
        <v>13.636363636363599</v>
      </c>
      <c r="EJ218" s="2">
        <v>5.6818181818181799</v>
      </c>
      <c r="EK218" s="2">
        <v>4.5454545454545503</v>
      </c>
      <c r="EL218" s="2">
        <v>10.2272727272727</v>
      </c>
      <c r="EM218" s="2" t="s">
        <v>89</v>
      </c>
      <c r="EN218" s="2" t="s">
        <v>89</v>
      </c>
      <c r="EO218" s="2" t="s">
        <v>89</v>
      </c>
      <c r="EP218" s="2" t="s">
        <v>89</v>
      </c>
      <c r="EQ218" s="2" t="s">
        <v>89</v>
      </c>
      <c r="ER218" s="2" t="s">
        <v>89</v>
      </c>
      <c r="ES218" s="2" t="s">
        <v>89</v>
      </c>
      <c r="ET218" s="2" t="str">
        <f>HYPERLINK(".\links\REFSEQ-INVERTEBRATE\AGAP006409-PA-REFSEQ-INVERTEBRATE.txt","AGAP006409-PA")</f>
        <v>AGAP006409-PA</v>
      </c>
      <c r="EU218" s="2" t="str">
        <f>HYPERLINK("http://www.ncbi.nlm.nih.gov/sutils/blink.cgi?pid=XP_001237810.1","9E-59")</f>
        <v>9E-59</v>
      </c>
      <c r="EV218" s="2" t="str">
        <f>HYPERLINK("http://www.ncbi.nlm.nih.gov/protein/XP_001237810.1","XP_001237810.1")</f>
        <v>XP_001237810.1</v>
      </c>
      <c r="EW218" s="2">
        <v>100</v>
      </c>
      <c r="EX218" s="2">
        <v>100</v>
      </c>
      <c r="EY218" s="2">
        <v>100</v>
      </c>
      <c r="EZ218" s="2" t="s">
        <v>95</v>
      </c>
    </row>
    <row r="219" spans="1:156" x14ac:dyDescent="0.25">
      <c r="A219" s="2" t="s">
        <v>1952</v>
      </c>
      <c r="B219" s="2">
        <v>-1.07563684207806</v>
      </c>
      <c r="C219" s="2">
        <f t="shared" si="3"/>
        <v>0.47446157490383839</v>
      </c>
      <c r="D219" s="2">
        <v>8.7950181299850403</v>
      </c>
      <c r="E219" s="2">
        <v>17.874126112689702</v>
      </c>
      <c r="F219" s="2">
        <v>2.3600808830988102E-5</v>
      </c>
      <c r="G219" s="2">
        <v>3.1807317927029098E-3</v>
      </c>
      <c r="H219" s="2" t="s">
        <v>1953</v>
      </c>
      <c r="I219" s="2" t="s">
        <v>87</v>
      </c>
      <c r="J219" s="2" t="str">
        <f>HYPERLINK("https://vectorbase.org/vectorbase/app/record/gene/AGAP007768","AGAP007768-RA")</f>
        <v>AGAP007768-RA</v>
      </c>
      <c r="K219" s="2" t="str">
        <f>HYPERLINK(".\links\pep\AGAP007768-PA-pep.txt","AGAP007768-PA")</f>
        <v>AGAP007768-PA</v>
      </c>
      <c r="L219" s="12" t="s">
        <v>88</v>
      </c>
      <c r="M219" s="2">
        <v>78</v>
      </c>
      <c r="N219" s="2">
        <v>0</v>
      </c>
      <c r="O219" s="2">
        <v>1</v>
      </c>
      <c r="P219" s="2" t="s">
        <v>1954</v>
      </c>
      <c r="Q219" s="9" t="s">
        <v>1955</v>
      </c>
      <c r="R219" s="2" t="s">
        <v>292</v>
      </c>
      <c r="S219" s="2" t="str">
        <f>HYPERLINK(".\links\NR-LIGHT\AGAP007768-PA-NR-LIGHT.txt","NR-LIGHT")</f>
        <v>NR-LIGHT</v>
      </c>
      <c r="T219" s="2">
        <v>6.9999999999999997E-34</v>
      </c>
      <c r="U219" s="2">
        <v>97.4</v>
      </c>
      <c r="V219" s="2" t="s">
        <v>1956</v>
      </c>
      <c r="W219" s="10" t="s">
        <v>1957</v>
      </c>
      <c r="X219" s="2" t="s">
        <v>292</v>
      </c>
      <c r="Y219" s="2" t="str">
        <f>HYPERLINK(".\links\REFSEQ-INVERTEBRATE\AGAP007768-PA-REFSEQ-INVERTEBRATE.txt","REFSEQ-INVERTEBRATE")</f>
        <v>REFSEQ-INVERTEBRATE</v>
      </c>
      <c r="Z219" s="13">
        <v>2E-50</v>
      </c>
      <c r="AA219" s="2">
        <v>100</v>
      </c>
      <c r="AB219" s="14" t="str">
        <f>HYPERLINK(".\links\pep\AGAP007768-PA-sulf.txt","1")</f>
        <v>1</v>
      </c>
      <c r="AC219" s="14" t="str">
        <f>HYPERLINK(".\links\Sigp\AGAP007768-PA-SigP.txt","ANC")</f>
        <v>ANC</v>
      </c>
      <c r="AD219" s="2" t="s">
        <v>89</v>
      </c>
      <c r="AE219" s="2">
        <v>8.8179999999999996</v>
      </c>
      <c r="AF219" s="2">
        <v>9.7799999999999994</v>
      </c>
      <c r="AG219" s="2">
        <v>4.7619999999999996</v>
      </c>
      <c r="AH219" s="2">
        <v>9.1</v>
      </c>
      <c r="AI219" s="2" t="s">
        <v>1958</v>
      </c>
      <c r="AJ219" s="14">
        <v>0</v>
      </c>
      <c r="AK219" s="2" t="s">
        <v>89</v>
      </c>
      <c r="AL219" s="2" t="s">
        <v>89</v>
      </c>
      <c r="AM219" s="2" t="s">
        <v>89</v>
      </c>
      <c r="AN219" s="14" t="str">
        <f>HYPERLINK(".\links\gpi\AGAP007768-PA-gpi.txt","N")</f>
        <v>N</v>
      </c>
      <c r="AO219" s="15" t="str">
        <f>HYPERLINK(".\links\netoglyc\AGAP007768-PA-netoglyc.txt","1")</f>
        <v>1</v>
      </c>
      <c r="AP219" s="14">
        <v>9</v>
      </c>
      <c r="AQ219" s="2">
        <v>3.8</v>
      </c>
      <c r="AR219" s="2">
        <v>3.8</v>
      </c>
      <c r="AS219" s="2" t="s">
        <v>94</v>
      </c>
      <c r="AT219" s="9" t="str">
        <f>HYPERLINK(".\links\NR-LIGHT\AGAP007768-PA-NR-LIGHT.txt","AGAP007768-PA")</f>
        <v>AGAP007768-PA</v>
      </c>
      <c r="AU219" s="2" t="str">
        <f>HYPERLINK("http://www.ncbi.nlm.nih.gov/sutils/blink.cgi?pid=XP_001237970.1","3E-037")</f>
        <v>3E-037</v>
      </c>
      <c r="AV219" s="2" t="str">
        <f>HYPERLINK("http://www.ncbi.nlm.nih.gov/protein/XP_001237970.1","XP_001237970.1")</f>
        <v>XP_001237970.1</v>
      </c>
      <c r="AW219" s="2">
        <v>100</v>
      </c>
      <c r="AX219" s="2">
        <v>100</v>
      </c>
      <c r="AY219" s="2">
        <v>100</v>
      </c>
      <c r="AZ219" s="2" t="s">
        <v>95</v>
      </c>
      <c r="BA219" s="9" t="str">
        <f>HYPERLINK(".\links\REFSEQ-INVERTEBRATE\AGAP007768-PA-REFSEQ-INVERTEBRATE.txt","AGAP007768-PA")</f>
        <v>AGAP007768-PA</v>
      </c>
      <c r="BB219" s="2" t="str">
        <f>HYPERLINK("http://www.ncbi.nlm.nih.gov/sutils/blink.cgi?pid=XP_001237970.1","3E-037")</f>
        <v>3E-037</v>
      </c>
      <c r="BC219" s="2" t="str">
        <f>HYPERLINK("http://www.ncbi.nlm.nih.gov/protein/XP_001237970.1","XP_001237970.1")</f>
        <v>XP_001237970.1</v>
      </c>
      <c r="BD219" s="2">
        <v>100</v>
      </c>
      <c r="BE219" s="2">
        <v>100</v>
      </c>
      <c r="BF219" s="2">
        <v>100</v>
      </c>
      <c r="BG219" s="2" t="s">
        <v>95</v>
      </c>
      <c r="BH219" s="9" t="str">
        <f>HYPERLINK(".\links\REFSEQ-PROTOZOA\AGAP007768-PA-REFSEQ-PROTOZOA.txt","inhibitor of apoptosis-promoting Bax1 protein")</f>
        <v>inhibitor of apoptosis-promoting Bax1 protein</v>
      </c>
      <c r="BI219" s="2" t="str">
        <f>HYPERLINK("http://www.ncbi.nlm.nih.gov/sutils/blink.cgi?pid=XP_001023586.1","2.2")</f>
        <v>2.2</v>
      </c>
      <c r="BJ219" s="2" t="str">
        <f>HYPERLINK("http://www.ncbi.nlm.nih.gov/protein/XP_001023586.1","XP_001023586.1")</f>
        <v>XP_001023586.1</v>
      </c>
      <c r="BK219" s="2">
        <v>33</v>
      </c>
      <c r="BL219" s="2">
        <v>52</v>
      </c>
      <c r="BM219" s="2">
        <v>17</v>
      </c>
      <c r="BN219" s="2" t="s">
        <v>1057</v>
      </c>
      <c r="BO219" s="9" t="str">
        <f>HYPERLINK(".\links\SWISSP\AGAP007768-PA-SWISSP.txt","Cytochrome c oxidase subunit 6C-1")</f>
        <v>Cytochrome c oxidase subunit 6C-1</v>
      </c>
      <c r="BP219" s="2" t="str">
        <f>HYPERLINK("http://www.uniprot.org/uniprot/P80977","2E-007")</f>
        <v>2E-007</v>
      </c>
      <c r="BQ219" s="2" t="str">
        <f>HYPERLINK("http://www.uniprot.org/uniprot/P80977#expression","P80977")</f>
        <v>P80977</v>
      </c>
      <c r="BR219" s="2">
        <v>35</v>
      </c>
      <c r="BS219" s="2">
        <v>61</v>
      </c>
      <c r="BT219" s="2">
        <v>92</v>
      </c>
      <c r="BU219" s="2" t="s">
        <v>1959</v>
      </c>
      <c r="BV219" s="9" t="str">
        <f>HYPERLINK(".\links\FLYBASE\AGAP007768-PA-FLYBASE.txt","FBpp0297878")</f>
        <v>FBpp0297878</v>
      </c>
      <c r="BW219" s="2" t="str">
        <f>HYPERLINK("http://flybase.org/reports/FBgn0015031#alliance_summary_container","7E-25")</f>
        <v>7E-25</v>
      </c>
      <c r="BX219" s="2">
        <v>77</v>
      </c>
      <c r="BY219" s="2">
        <v>60</v>
      </c>
      <c r="BZ219" s="2">
        <v>70</v>
      </c>
      <c r="CA219" s="2">
        <v>92</v>
      </c>
      <c r="CB219" s="9" t="str">
        <f>HYPERLINK(".\links\CDD\AGAP007768-PA-CDD.txt","Cyt_c_Oxidase_VIc, Cytochrome c oxidase subunit VIc")</f>
        <v>Cyt_c_Oxidase_VIc, Cytochrome c oxidase subunit VIc</v>
      </c>
      <c r="CC219" s="13">
        <v>3E-24</v>
      </c>
      <c r="CD219" s="2">
        <v>100</v>
      </c>
      <c r="CE219" s="2" t="s">
        <v>1960</v>
      </c>
      <c r="CF219" s="2" t="s">
        <v>1961</v>
      </c>
      <c r="CG219" s="9" t="str">
        <f>HYPERLINK(".\links\KOG\AGAP007768-PA-KOG.txt","Threonine aldolase")</f>
        <v>Threonine aldolase</v>
      </c>
      <c r="CH219" s="13">
        <v>1.9</v>
      </c>
      <c r="CI219" s="2">
        <v>6</v>
      </c>
      <c r="CJ219" s="2" t="s">
        <v>1962</v>
      </c>
      <c r="CK219" s="2" t="s">
        <v>393</v>
      </c>
      <c r="CL219" s="9" t="str">
        <f>HYPERLINK(".\links\PFAM\AGAP007768-PA-PFAM.txt","COX6C, Cytochrome c oxidase subunit VIc")</f>
        <v>COX6C, Cytochrome c oxidase subunit VIc</v>
      </c>
      <c r="CM219" s="13">
        <v>6.9999999999999999E-23</v>
      </c>
      <c r="CN219" s="2">
        <v>100</v>
      </c>
      <c r="CO219" s="2" t="s">
        <v>1963</v>
      </c>
      <c r="CP219" s="9" t="str">
        <f>HYPERLINK(".\links\SMART\AGAP007768-PA-SMART.txt","SMI1_KNR4, SMI1 / KNR4 family")</f>
        <v>SMI1_KNR4, SMI1 / KNR4 family</v>
      </c>
      <c r="CQ219" s="13">
        <v>1.1000000000000001</v>
      </c>
      <c r="CR219" s="2">
        <v>7.9</v>
      </c>
      <c r="CS219" s="2" t="s">
        <v>1964</v>
      </c>
      <c r="CT219" s="2" t="s">
        <v>1956</v>
      </c>
      <c r="CU219" s="2" t="s">
        <v>1956</v>
      </c>
      <c r="CV219" s="2" t="s">
        <v>1956</v>
      </c>
      <c r="CW219" s="2" t="str">
        <f>HYPERLINK(".\links\pep\AGAP007768-PA-pep.txt","AGAP007768-PA")</f>
        <v>AGAP007768-PA</v>
      </c>
      <c r="CX219" s="2" t="s">
        <v>88</v>
      </c>
      <c r="CY219" s="2">
        <v>78</v>
      </c>
      <c r="CZ219" s="2" t="s">
        <v>103</v>
      </c>
      <c r="DA219" s="2" t="s">
        <v>1965</v>
      </c>
      <c r="DB219" s="2">
        <v>0</v>
      </c>
      <c r="DC219" s="2">
        <v>1</v>
      </c>
      <c r="DD219" s="2" t="str">
        <f>HYPERLINK("https://www.kegg.jp/kegg-bin/search_pathway_text?map=aga&amp;keyword=AGAP007768&amp;mode=1&amp;viewImage=true","AGAP007768")</f>
        <v>AGAP007768</v>
      </c>
      <c r="DE219" s="2" t="s">
        <v>1952</v>
      </c>
      <c r="DF219" s="2" t="s">
        <v>1953</v>
      </c>
      <c r="DG219" s="2" t="s">
        <v>87</v>
      </c>
      <c r="DH219" s="2" t="str">
        <f>HYPERLINK("https://vectorbase.org/vectorbase/app/record/gene/AGAP007768","AGAP007768-RA")</f>
        <v>AGAP007768-RA</v>
      </c>
      <c r="DI219" s="2" t="s">
        <v>158</v>
      </c>
      <c r="DJ219" s="2">
        <v>542</v>
      </c>
      <c r="DK219" s="2" t="str">
        <f>HYPERLINK(".\links\netoglyc\AGAP007768-PA-netoglyc.txt","1")</f>
        <v>1</v>
      </c>
      <c r="DL219" s="2">
        <v>9</v>
      </c>
      <c r="DM219" s="2">
        <v>3.8</v>
      </c>
      <c r="DN219" s="2">
        <v>3.8</v>
      </c>
      <c r="DO219" s="2" t="s">
        <v>94</v>
      </c>
      <c r="DP219" s="2" t="s">
        <v>89</v>
      </c>
      <c r="DQ219" s="2" t="str">
        <f>HYPERLINK(".\links\Sigp\AGAP007768-PA-SigP.txt","ANC")</f>
        <v>ANC</v>
      </c>
      <c r="DR219" s="2" t="s">
        <v>89</v>
      </c>
      <c r="DS219" s="2">
        <v>8.8179999999999996</v>
      </c>
      <c r="DT219" s="2">
        <v>9.7799999999999994</v>
      </c>
      <c r="DU219" s="2">
        <v>4.7619999999999996</v>
      </c>
      <c r="DV219" s="2">
        <v>9.1</v>
      </c>
      <c r="DW219" s="2" t="s">
        <v>1958</v>
      </c>
      <c r="DX219" s="2">
        <v>78</v>
      </c>
      <c r="DY219" s="12">
        <v>0</v>
      </c>
      <c r="DZ219" s="2" t="s">
        <v>89</v>
      </c>
      <c r="EA219" s="2" t="s">
        <v>89</v>
      </c>
      <c r="EB219" s="2" t="s">
        <v>89</v>
      </c>
      <c r="EC219" s="2" t="str">
        <f>HYPERLINK(".\links\gpi\AGAP007768-PA-gpi.txt","N")</f>
        <v>N</v>
      </c>
      <c r="ED219" s="2">
        <v>0.39</v>
      </c>
      <c r="EF219" s="2">
        <v>1</v>
      </c>
      <c r="EG219" s="2" t="str">
        <f>HYPERLINK(".\links\pep\AGAP007768-PA-sulf.txt","1")</f>
        <v>1</v>
      </c>
      <c r="EH219" s="2" t="s">
        <v>89</v>
      </c>
      <c r="EI219" s="2">
        <v>8.9743589743589691</v>
      </c>
      <c r="EJ219" s="2">
        <v>3.8461538461538498</v>
      </c>
      <c r="EK219" s="2">
        <v>3.8461538461538498</v>
      </c>
      <c r="EL219" s="2">
        <v>7.6923076923076898</v>
      </c>
      <c r="EM219" s="2" t="s">
        <v>89</v>
      </c>
      <c r="EN219" s="2" t="s">
        <v>89</v>
      </c>
      <c r="EO219" s="2" t="s">
        <v>89</v>
      </c>
      <c r="EP219" s="2" t="s">
        <v>89</v>
      </c>
      <c r="EQ219" s="2" t="s">
        <v>89</v>
      </c>
      <c r="ER219" s="2" t="s">
        <v>89</v>
      </c>
      <c r="ES219" s="2" t="s">
        <v>89</v>
      </c>
      <c r="ET219" s="2" t="str">
        <f>HYPERLINK(".\links\REFSEQ-INVERTEBRATE\AGAP007768-PA-REFSEQ-INVERTEBRATE.txt","AGAP007768-PA")</f>
        <v>AGAP007768-PA</v>
      </c>
      <c r="EU219" s="2" t="str">
        <f>HYPERLINK("http://www.ncbi.nlm.nih.gov/sutils/blink.cgi?pid=XP_001237970.1","4E-52")</f>
        <v>4E-52</v>
      </c>
      <c r="EV219" s="2" t="str">
        <f>HYPERLINK("http://www.ncbi.nlm.nih.gov/protein/XP_001237970.1","XP_001237970.1")</f>
        <v>XP_001237970.1</v>
      </c>
      <c r="EW219" s="2">
        <v>100</v>
      </c>
      <c r="EX219" s="2">
        <v>100</v>
      </c>
      <c r="EY219" s="2">
        <v>100</v>
      </c>
      <c r="EZ219" s="2" t="s">
        <v>95</v>
      </c>
    </row>
    <row r="220" spans="1:156" x14ac:dyDescent="0.25">
      <c r="A220" s="2" t="s">
        <v>1469</v>
      </c>
      <c r="B220" s="2">
        <v>-1.07617550644147</v>
      </c>
      <c r="C220" s="2">
        <f t="shared" si="3"/>
        <v>0.47428445650506906</v>
      </c>
      <c r="D220" s="2">
        <v>6.27786782758304</v>
      </c>
      <c r="E220" s="2">
        <v>16.419590862856701</v>
      </c>
      <c r="F220" s="2">
        <v>5.0757912107835097E-5</v>
      </c>
      <c r="G220" s="2">
        <v>5.4041949021212E-3</v>
      </c>
      <c r="H220" s="2" t="s">
        <v>1470</v>
      </c>
      <c r="I220" s="2" t="s">
        <v>87</v>
      </c>
      <c r="J220" s="2" t="str">
        <f>HYPERLINK("https://vectorbase.org/vectorbase/app/record/gene/AGAP005149","AGAP005149-RA")</f>
        <v>AGAP005149-RA</v>
      </c>
      <c r="K220" s="2" t="str">
        <f>HYPERLINK(".\links\pep\AGAP005149-PA-pep.txt","AGAP005149-PA")</f>
        <v>AGAP005149-PA</v>
      </c>
      <c r="L220" s="12" t="s">
        <v>88</v>
      </c>
      <c r="M220" s="2">
        <v>64</v>
      </c>
      <c r="N220" s="2">
        <v>0</v>
      </c>
      <c r="O220" s="2">
        <v>0</v>
      </c>
      <c r="P220" s="2" t="s">
        <v>1471</v>
      </c>
      <c r="Q220" s="9" t="s">
        <v>1472</v>
      </c>
      <c r="R220" s="2" t="s">
        <v>195</v>
      </c>
      <c r="S220" s="2" t="str">
        <f>HYPERLINK(".\links\PFAM\AGAP005149-PA-PFAM.txt","PFAM")</f>
        <v>PFAM</v>
      </c>
      <c r="T220" s="2">
        <v>5.0000000000000004E-16</v>
      </c>
      <c r="U220" s="2">
        <v>100</v>
      </c>
      <c r="V220" s="2" t="s">
        <v>1473</v>
      </c>
      <c r="W220" s="10" t="s">
        <v>1474</v>
      </c>
      <c r="X220" s="2" t="s">
        <v>195</v>
      </c>
      <c r="Y220" s="2" t="str">
        <f>HYPERLINK(".\links\ARTHORPODA\AGAP005149-PA-ARTHORPODA.txt","ARTHORPODA")</f>
        <v>ARTHORPODA</v>
      </c>
      <c r="Z220" s="13">
        <v>2.9999999999999999E-41</v>
      </c>
      <c r="AA220" s="2">
        <v>100</v>
      </c>
      <c r="AB220" s="14" t="s">
        <v>89</v>
      </c>
      <c r="AC220" s="14" t="str">
        <f>HYPERLINK(".\links\Sigp\AGAP005149-PA-SigP.txt","CYT")</f>
        <v>CYT</v>
      </c>
      <c r="AD220" s="2" t="s">
        <v>89</v>
      </c>
      <c r="AE220" s="2">
        <v>7.6289999999999996</v>
      </c>
      <c r="AF220" s="2">
        <v>9.64</v>
      </c>
      <c r="AG220" s="2" t="s">
        <v>89</v>
      </c>
      <c r="AH220" s="2" t="s">
        <v>89</v>
      </c>
      <c r="AI220" s="2" t="s">
        <v>93</v>
      </c>
      <c r="AJ220" s="14">
        <v>0</v>
      </c>
      <c r="AK220" s="2" t="s">
        <v>89</v>
      </c>
      <c r="AL220" s="2" t="s">
        <v>89</v>
      </c>
      <c r="AM220" s="2" t="s">
        <v>89</v>
      </c>
      <c r="AN220" s="14" t="str">
        <f>HYPERLINK(".\links\gpi\AGAP005149-PA-gpi.txt","N")</f>
        <v>N</v>
      </c>
      <c r="AO220" s="15" t="str">
        <f>HYPERLINK(".\links\netoglyc\AGAP005149-PA-netoglyc.txt","1")</f>
        <v>1</v>
      </c>
      <c r="AP220" s="14">
        <v>9.4</v>
      </c>
      <c r="AQ220" s="2">
        <v>4.7</v>
      </c>
      <c r="AR220" s="2">
        <v>7.8</v>
      </c>
      <c r="AS220" s="2" t="s">
        <v>94</v>
      </c>
      <c r="AT220" s="9" t="str">
        <f>HYPERLINK(".\links\NR-LIGHT\AGAP005149-PA-NR-LIGHT.txt","AGAP005149-PA")</f>
        <v>AGAP005149-PA</v>
      </c>
      <c r="AU220" s="2" t="str">
        <f>HYPERLINK("http://www.ncbi.nlm.nih.gov/sutils/blink.cgi?pid=XP_314037.2","1E-030")</f>
        <v>1E-030</v>
      </c>
      <c r="AV220" s="2" t="str">
        <f>HYPERLINK("http://www.ncbi.nlm.nih.gov/protein/XP_314037.2","XP_314037.2")</f>
        <v>XP_314037.2</v>
      </c>
      <c r="AW220" s="2">
        <v>100</v>
      </c>
      <c r="AX220" s="2">
        <v>100</v>
      </c>
      <c r="AY220" s="2">
        <v>100</v>
      </c>
      <c r="AZ220" s="2" t="s">
        <v>95</v>
      </c>
      <c r="BA220" s="9" t="str">
        <f>HYPERLINK(".\links\REFSEQ-INVERTEBRATE\AGAP005149-PA-REFSEQ-INVERTEBRATE.txt","AGAP005149-PA")</f>
        <v>AGAP005149-PA</v>
      </c>
      <c r="BB220" s="2" t="str">
        <f>HYPERLINK("http://www.ncbi.nlm.nih.gov/sutils/blink.cgi?pid=XP_314037.2","1E-030")</f>
        <v>1E-030</v>
      </c>
      <c r="BC220" s="2" t="str">
        <f>HYPERLINK("http://www.ncbi.nlm.nih.gov/protein/XP_314037.2","XP_314037.2")</f>
        <v>XP_314037.2</v>
      </c>
      <c r="BD220" s="2">
        <v>100</v>
      </c>
      <c r="BE220" s="2">
        <v>100</v>
      </c>
      <c r="BF220" s="2">
        <v>100</v>
      </c>
      <c r="BG220" s="2" t="s">
        <v>95</v>
      </c>
      <c r="BH220" s="9" t="str">
        <f>HYPERLINK(".\links\REFSEQ-PROTOZOA\AGAP005149-PA-REFSEQ-PROTOZOA.txt","H/ACA ribonucleoprotein complex subunit 3")</f>
        <v>H/ACA ribonucleoprotein complex subunit 3</v>
      </c>
      <c r="BI220" s="2" t="str">
        <f>HYPERLINK("http://www.ncbi.nlm.nih.gov/sutils/blink.cgi?pid=XP_002997366.1","2E-018")</f>
        <v>2E-018</v>
      </c>
      <c r="BJ220" s="2" t="str">
        <f>HYPERLINK("http://www.ncbi.nlm.nih.gov/protein/XP_002997366.1","XP_002997366.1")</f>
        <v>XP_002997366.1</v>
      </c>
      <c r="BK220" s="2">
        <v>65</v>
      </c>
      <c r="BL220" s="2">
        <v>79</v>
      </c>
      <c r="BM220" s="2">
        <v>98</v>
      </c>
      <c r="BN220" s="2" t="s">
        <v>1323</v>
      </c>
      <c r="BO220" s="9" t="str">
        <f>HYPERLINK(".\links\SWISSP\AGAP005149-PA-SWISSP.txt","H/ACA ribonucleoprotein complex subunit 3")</f>
        <v>H/ACA ribonucleoprotein complex subunit 3</v>
      </c>
      <c r="BP220" s="2" t="str">
        <f>HYPERLINK("http://www.uniprot.org/uniprot/Q9V5P6","5E-025")</f>
        <v>5E-025</v>
      </c>
      <c r="BQ220" s="2" t="str">
        <f>HYPERLINK("http://www.uniprot.org/uniprot/Q9V5P6#expression","Q9V5P6")</f>
        <v>Q9V5P6</v>
      </c>
      <c r="BR220" s="2">
        <v>79</v>
      </c>
      <c r="BS220" s="2">
        <v>89</v>
      </c>
      <c r="BT220" s="2">
        <v>100</v>
      </c>
      <c r="BU220" s="2" t="s">
        <v>151</v>
      </c>
      <c r="BV220" s="9" t="str">
        <f>HYPERLINK(".\links\FLYBASE\AGAP005149-PA-FLYBASE.txt","FBpp0087347")</f>
        <v>FBpp0087347</v>
      </c>
      <c r="BW220" s="2" t="str">
        <f>HYPERLINK("http://flybase.org/reports/FBgn0033548#alliance_summary_container","3E-34")</f>
        <v>3E-34</v>
      </c>
      <c r="BX220" s="2">
        <v>64</v>
      </c>
      <c r="BY220" s="2">
        <v>79</v>
      </c>
      <c r="BZ220" s="2">
        <v>89</v>
      </c>
      <c r="CA220" s="2">
        <v>100</v>
      </c>
      <c r="CB220" s="9" t="str">
        <f>HYPERLINK(".\links\CDD\AGAP005149-PA-CDD.txt","Nop10p, Nucleolar RNA-binding protein, Nop10p family")</f>
        <v>Nop10p, Nucleolar RNA-binding protein, Nop10p family</v>
      </c>
      <c r="CC220" s="13">
        <v>2.0000000000000002E-15</v>
      </c>
      <c r="CD220" s="2">
        <v>100</v>
      </c>
      <c r="CE220" s="2" t="s">
        <v>1475</v>
      </c>
      <c r="CF220" s="2" t="s">
        <v>1476</v>
      </c>
      <c r="CG220" s="9" t="str">
        <f>HYPERLINK(".\links\KOG\AGAP005149-PA-KOG.txt","subunit NOP10")</f>
        <v>subunit NOP10</v>
      </c>
      <c r="CH220" s="13">
        <v>3E-24</v>
      </c>
      <c r="CI220" s="2">
        <v>100</v>
      </c>
      <c r="CJ220" s="2" t="s">
        <v>1477</v>
      </c>
      <c r="CK220" s="2" t="s">
        <v>692</v>
      </c>
      <c r="CL220" s="9" t="str">
        <f>HYPERLINK(".\links\PFAM\AGAP005149-PA-PFAM.txt","Nop10p, Nucleolar RNA-binding protein, Nop10p family")</f>
        <v>Nop10p, Nucleolar RNA-binding protein, Nop10p family</v>
      </c>
      <c r="CM220" s="13">
        <v>5.0000000000000004E-16</v>
      </c>
      <c r="CN220" s="2">
        <v>100</v>
      </c>
      <c r="CO220" s="2" t="s">
        <v>1475</v>
      </c>
      <c r="CP220" s="9" t="str">
        <f>HYPERLINK(".\links\SMART\AGAP005149-PA-SMART.txt","TSPN, Thrombospondin N-terminal -like domains")</f>
        <v>TSPN, Thrombospondin N-terminal -like domains</v>
      </c>
      <c r="CQ220" s="13">
        <v>1.4</v>
      </c>
      <c r="CR220" s="2">
        <v>29.3</v>
      </c>
      <c r="CS220" s="2" t="s">
        <v>1478</v>
      </c>
      <c r="CT220" s="2" t="s">
        <v>1473</v>
      </c>
      <c r="CU220" s="2" t="s">
        <v>1473</v>
      </c>
      <c r="CV220" s="2" t="s">
        <v>1473</v>
      </c>
      <c r="CW220" s="2" t="str">
        <f>HYPERLINK(".\links\pep\AGAP005149-PA-pep.txt","AGAP005149-PA")</f>
        <v>AGAP005149-PA</v>
      </c>
      <c r="CX220" s="2" t="s">
        <v>88</v>
      </c>
      <c r="CY220" s="2">
        <v>64</v>
      </c>
      <c r="CZ220" s="2" t="s">
        <v>103</v>
      </c>
      <c r="DA220" s="2" t="s">
        <v>1479</v>
      </c>
      <c r="DB220" s="2">
        <v>0</v>
      </c>
      <c r="DC220" s="2">
        <v>0</v>
      </c>
      <c r="DD220" s="2" t="str">
        <f>HYPERLINK("https://www.kegg.jp/kegg-bin/search_pathway_text?map=aga&amp;keyword=AGAP005149&amp;mode=1&amp;viewImage=true","AGAP005149")</f>
        <v>AGAP005149</v>
      </c>
      <c r="DE220" s="2" t="s">
        <v>1469</v>
      </c>
      <c r="DF220" s="2" t="s">
        <v>1470</v>
      </c>
      <c r="DG220" s="2" t="s">
        <v>87</v>
      </c>
      <c r="DH220" s="2" t="str">
        <f>HYPERLINK("https://vectorbase.org/vectorbase/app/record/gene/AGAP005149","AGAP005149-RA")</f>
        <v>AGAP005149-RA</v>
      </c>
      <c r="DI220" s="2" t="s">
        <v>105</v>
      </c>
      <c r="DJ220" s="2">
        <v>336</v>
      </c>
      <c r="DK220" s="2" t="str">
        <f>HYPERLINK(".\links\netoglyc\AGAP005149-PA-netoglyc.txt","1")</f>
        <v>1</v>
      </c>
      <c r="DL220" s="2">
        <v>9.4</v>
      </c>
      <c r="DM220" s="2">
        <v>4.7</v>
      </c>
      <c r="DN220" s="2">
        <v>7.8</v>
      </c>
      <c r="DO220" s="2" t="s">
        <v>94</v>
      </c>
      <c r="DP220" s="2" t="s">
        <v>89</v>
      </c>
      <c r="DQ220" s="2" t="str">
        <f>HYPERLINK(".\links\Sigp\AGAP005149-PA-SigP.txt","CYT")</f>
        <v>CYT</v>
      </c>
      <c r="DR220" s="2" t="s">
        <v>89</v>
      </c>
      <c r="DS220" s="2">
        <v>7.6289999999999996</v>
      </c>
      <c r="DT220" s="2">
        <v>9.64</v>
      </c>
      <c r="DU220" s="2" t="s">
        <v>89</v>
      </c>
      <c r="DV220" s="2" t="s">
        <v>89</v>
      </c>
      <c r="DW220" s="2" t="s">
        <v>93</v>
      </c>
      <c r="DX220" s="2">
        <v>64</v>
      </c>
      <c r="DY220" s="12">
        <v>0</v>
      </c>
      <c r="DZ220" s="2" t="s">
        <v>89</v>
      </c>
      <c r="EA220" s="2" t="s">
        <v>89</v>
      </c>
      <c r="EB220" s="2" t="s">
        <v>89</v>
      </c>
      <c r="EC220" s="2" t="str">
        <f>HYPERLINK(".\links\gpi\AGAP005149-PA-gpi.txt","N")</f>
        <v>N</v>
      </c>
      <c r="ED220" s="2">
        <v>0.42</v>
      </c>
      <c r="EE220" s="2" t="s">
        <v>1480</v>
      </c>
      <c r="EF220" s="2">
        <v>0</v>
      </c>
      <c r="EG220" s="2" t="s">
        <v>89</v>
      </c>
      <c r="EH220" s="2" t="s">
        <v>89</v>
      </c>
      <c r="EI220" s="2">
        <v>9.375</v>
      </c>
      <c r="EJ220" s="2">
        <v>7.8125</v>
      </c>
      <c r="EK220" s="2">
        <v>4.6875</v>
      </c>
      <c r="EL220" s="2">
        <v>12.5</v>
      </c>
      <c r="EM220" s="2" t="s">
        <v>89</v>
      </c>
      <c r="EN220" s="2" t="s">
        <v>89</v>
      </c>
      <c r="EO220" s="2" t="s">
        <v>89</v>
      </c>
      <c r="EP220" s="2" t="s">
        <v>89</v>
      </c>
      <c r="EQ220" s="2" t="s">
        <v>89</v>
      </c>
      <c r="ER220" s="2" t="s">
        <v>89</v>
      </c>
      <c r="ES220" s="2" t="s">
        <v>89</v>
      </c>
      <c r="ET220" s="2" t="str">
        <f>HYPERLINK(".\links\REFSEQ-INVERTEBRATE\AGAP005149-PA-REFSEQ-INVERTEBRATE.txt","AGAP005149-PA")</f>
        <v>AGAP005149-PA</v>
      </c>
      <c r="EU220" s="2" t="str">
        <f>HYPERLINK("http://www.ncbi.nlm.nih.gov/sutils/blink.cgi?pid=XP_314037.2","5E-41")</f>
        <v>5E-41</v>
      </c>
      <c r="EV220" s="2" t="str">
        <f>HYPERLINK("http://www.ncbi.nlm.nih.gov/protein/XP_314037.2","XP_314037.2")</f>
        <v>XP_314037.2</v>
      </c>
      <c r="EW220" s="2">
        <v>100</v>
      </c>
      <c r="EX220" s="2">
        <v>100</v>
      </c>
      <c r="EY220" s="2">
        <v>100</v>
      </c>
      <c r="EZ220" s="2" t="s">
        <v>95</v>
      </c>
    </row>
    <row r="221" spans="1:156" x14ac:dyDescent="0.25">
      <c r="A221" s="2" t="s">
        <v>2427</v>
      </c>
      <c r="B221" s="2">
        <v>-1.0763173246176401</v>
      </c>
      <c r="C221" s="2">
        <f t="shared" si="3"/>
        <v>0.47423783622230292</v>
      </c>
      <c r="D221" s="2">
        <v>6.8422814892403903</v>
      </c>
      <c r="E221" s="2">
        <v>29.198848681746099</v>
      </c>
      <c r="F221" s="2">
        <v>6.5318006696000499E-8</v>
      </c>
      <c r="G221" s="2">
        <v>9.9348688184616699E-5</v>
      </c>
      <c r="H221" s="2" t="s">
        <v>2428</v>
      </c>
      <c r="I221" s="2" t="s">
        <v>87</v>
      </c>
      <c r="J221" s="2" t="str">
        <f>HYPERLINK("https://vectorbase.org/vectorbase/app/record/gene/AGAP010133","AGAP010133-RA")</f>
        <v>AGAP010133-RA</v>
      </c>
      <c r="K221" s="2" t="str">
        <f>HYPERLINK(".\links\pep\AGAP010133-PA-pep.txt","AGAP010133-PA")</f>
        <v>AGAP010133-PA</v>
      </c>
      <c r="L221" s="12" t="s">
        <v>88</v>
      </c>
      <c r="M221" s="2">
        <v>492</v>
      </c>
      <c r="N221" s="2">
        <v>0</v>
      </c>
      <c r="O221" s="2">
        <v>1</v>
      </c>
      <c r="P221" s="2" t="s">
        <v>2429</v>
      </c>
      <c r="Q221" s="9" t="s">
        <v>2430</v>
      </c>
      <c r="R221" s="2" t="s">
        <v>2431</v>
      </c>
      <c r="S221" s="2" t="str">
        <f>HYPERLINK(".\links\KOG\AGAP010133-PA-KOG.txt","KOG")</f>
        <v>KOG</v>
      </c>
      <c r="T221" s="2">
        <v>0</v>
      </c>
      <c r="U221" s="2">
        <v>95</v>
      </c>
      <c r="V221" s="2" t="s">
        <v>2432</v>
      </c>
      <c r="W221" s="10" t="s">
        <v>2433</v>
      </c>
      <c r="X221" s="2" t="s">
        <v>2431</v>
      </c>
      <c r="Y221" s="2" t="str">
        <f>HYPERLINK(".\links\CDD\AGAP010133-PA-CDD.txt","CDD")</f>
        <v>CDD</v>
      </c>
      <c r="Z221" s="2">
        <v>0</v>
      </c>
      <c r="AA221" s="2">
        <v>93.8</v>
      </c>
      <c r="AB221" s="14" t="str">
        <f>HYPERLINK(".\links\pep\AGAP010133-PA-sulf.txt","1")</f>
        <v>1</v>
      </c>
      <c r="AC221" s="14" t="str">
        <f>HYPERLINK(".\links\Sigp\AGAP010133-PA-SigP.txt","BL")</f>
        <v>BL</v>
      </c>
      <c r="AD221" s="2" t="s">
        <v>2434</v>
      </c>
      <c r="AE221" s="2">
        <v>55.722000000000001</v>
      </c>
      <c r="AF221" s="2">
        <v>5.9</v>
      </c>
      <c r="AG221" s="2">
        <v>51.819000000000003</v>
      </c>
      <c r="AH221" s="2">
        <v>5.78</v>
      </c>
      <c r="AI221" s="2" t="s">
        <v>2435</v>
      </c>
      <c r="AJ221" s="14" t="str">
        <f>HYPERLINK(".\links\tmhmm\AGAP010133-PA-tmhmm.txt","2")</f>
        <v>2</v>
      </c>
      <c r="AK221" s="2">
        <v>8.9</v>
      </c>
      <c r="AL221" s="2">
        <v>84.8</v>
      </c>
      <c r="AM221" s="2">
        <v>6.3</v>
      </c>
      <c r="AN221" s="14" t="str">
        <f>HYPERLINK(".\links\gpi\AGAP010133-PA-gpi.txt","N")</f>
        <v>N</v>
      </c>
      <c r="AO221" s="15" t="str">
        <f>HYPERLINK(".\links\netoglyc\AGAP010133-PA-netoglyc.txt","0")</f>
        <v>0</v>
      </c>
      <c r="AP221" s="14">
        <v>14.6</v>
      </c>
      <c r="AQ221" s="2">
        <v>6.5</v>
      </c>
      <c r="AR221" s="2">
        <v>6.3</v>
      </c>
      <c r="AS221" s="2" t="s">
        <v>94</v>
      </c>
      <c r="AT221" s="9" t="str">
        <f>HYPERLINK(".\links\NR-LIGHT\AGAP010133-PA-NR-LIGHT.txt","AGAP010133-PA")</f>
        <v>AGAP010133-PA</v>
      </c>
      <c r="AU221" s="2" t="str">
        <f>HYPERLINK("http://www.ncbi.nlm.nih.gov/sutils/blink.cgi?pid=XP_319288.2","0.0")</f>
        <v>0.0</v>
      </c>
      <c r="AV221" s="2" t="str">
        <f>HYPERLINK("http://www.ncbi.nlm.nih.gov/protein/XP_319288.2","XP_319288.2")</f>
        <v>XP_319288.2</v>
      </c>
      <c r="AW221" s="2">
        <v>100</v>
      </c>
      <c r="AX221" s="2">
        <v>100</v>
      </c>
      <c r="AY221" s="2">
        <v>100</v>
      </c>
      <c r="AZ221" s="2" t="s">
        <v>95</v>
      </c>
      <c r="BA221" s="9" t="str">
        <f>HYPERLINK(".\links\REFSEQ-INVERTEBRATE\AGAP010133-PA-REFSEQ-INVERTEBRATE.txt","AGAP010133-PA")</f>
        <v>AGAP010133-PA</v>
      </c>
      <c r="BB221" s="2" t="str">
        <f>HYPERLINK("http://www.ncbi.nlm.nih.gov/sutils/blink.cgi?pid=XP_319288.2","0.0")</f>
        <v>0.0</v>
      </c>
      <c r="BC221" s="2" t="str">
        <f>HYPERLINK("http://www.ncbi.nlm.nih.gov/protein/XP_319288.2","XP_319288.2")</f>
        <v>XP_319288.2</v>
      </c>
      <c r="BD221" s="2">
        <v>100</v>
      </c>
      <c r="BE221" s="2">
        <v>100</v>
      </c>
      <c r="BF221" s="2">
        <v>100</v>
      </c>
      <c r="BG221" s="2" t="s">
        <v>95</v>
      </c>
      <c r="BH221" s="9" t="str">
        <f>HYPERLINK(".\links\REFSEQ-PROTOZOA\AGAP010133-PA-REFSEQ-PROTOZOA.txt","hypothetical protein CAOG_04346")</f>
        <v>hypothetical protein CAOG_04346</v>
      </c>
      <c r="BI221" s="2" t="str">
        <f>HYPERLINK("http://www.ncbi.nlm.nih.gov/sutils/blink.cgi?pid=XP_004348174.1","3E-036")</f>
        <v>3E-036</v>
      </c>
      <c r="BJ221" s="2" t="str">
        <f>HYPERLINK("http://www.ncbi.nlm.nih.gov/protein/XP_004348174.1","XP_004348174.1")</f>
        <v>XP_004348174.1</v>
      </c>
      <c r="BK221" s="2">
        <v>26</v>
      </c>
      <c r="BL221" s="2">
        <v>44</v>
      </c>
      <c r="BM221" s="2">
        <v>98</v>
      </c>
      <c r="BN221" s="2" t="s">
        <v>150</v>
      </c>
      <c r="BO221" s="9" t="str">
        <f>HYPERLINK(".\links\SWISSP\AGAP010133-PA-SWISSP.txt","Protein croquemort")</f>
        <v>Protein croquemort</v>
      </c>
      <c r="BP221" s="2" t="str">
        <f>HYPERLINK("http://www.uniprot.org/uniprot/Q27367","1E-116")</f>
        <v>1E-116</v>
      </c>
      <c r="BQ221" s="2" t="str">
        <f>HYPERLINK("http://www.uniprot.org/uniprot/Q27367#expression","Q27367")</f>
        <v>Q27367</v>
      </c>
      <c r="BR221" s="2">
        <v>42</v>
      </c>
      <c r="BS221" s="2">
        <v>60</v>
      </c>
      <c r="BT221" s="2">
        <v>98</v>
      </c>
      <c r="BU221" s="2" t="s">
        <v>151</v>
      </c>
      <c r="BV221" s="9" t="str">
        <f>HYPERLINK(".\links\FLYBASE\AGAP010133-PA-FLYBASE.txt","FBpp0293283")</f>
        <v>FBpp0293283</v>
      </c>
      <c r="BW221" s="2" t="str">
        <f>HYPERLINK("http://flybase.org/reports/FBgn0015924#alliance_summary_container","1E-143")</f>
        <v>1E-143</v>
      </c>
      <c r="BX221" s="2">
        <v>491</v>
      </c>
      <c r="BY221" s="2">
        <v>42</v>
      </c>
      <c r="BZ221" s="2">
        <v>60</v>
      </c>
      <c r="CA221" s="2">
        <v>99</v>
      </c>
      <c r="CB221" s="9" t="str">
        <f>HYPERLINK(".\links\CDD\AGAP010133-PA-CDD.txt","CD36, CD36 family")</f>
        <v>CD36, CD36 family</v>
      </c>
      <c r="CC221" s="13">
        <v>9.9999999999999994E-149</v>
      </c>
      <c r="CD221" s="2">
        <v>102.2</v>
      </c>
      <c r="CE221" s="2" t="s">
        <v>2436</v>
      </c>
      <c r="CF221" s="2" t="s">
        <v>2437</v>
      </c>
      <c r="CG221" s="9" t="str">
        <f>HYPERLINK(".\links\KOG\AGAP010133-PA-KOG.txt","Plasma membrane glycoprotein CD36 and related membrane receptors")</f>
        <v>Plasma membrane glycoprotein CD36 and related membrane receptors</v>
      </c>
      <c r="CH221" s="13">
        <v>9.9999999999999994E-107</v>
      </c>
      <c r="CI221" s="2">
        <v>95.1</v>
      </c>
      <c r="CJ221" s="2" t="s">
        <v>2438</v>
      </c>
      <c r="CK221" s="2" t="s">
        <v>410</v>
      </c>
      <c r="CL221" s="9" t="str">
        <f>HYPERLINK(".\links\PFAM\AGAP010133-PA-PFAM.txt","CD36, CD36 family")</f>
        <v>CD36, CD36 family</v>
      </c>
      <c r="CM221" s="13">
        <v>9.9999999999999998E-150</v>
      </c>
      <c r="CN221" s="2">
        <v>102.2</v>
      </c>
      <c r="CO221" s="2" t="s">
        <v>2436</v>
      </c>
      <c r="CP221" s="9" t="str">
        <f>HYPERLINK(".\links\SMART\AGAP010133-PA-SMART.txt","Glyco_25, Glycosyl hydrolases family 25")</f>
        <v>Glyco_25, Glycosyl hydrolases family 25</v>
      </c>
      <c r="CQ221" s="13">
        <v>0.68</v>
      </c>
      <c r="CR221" s="2">
        <v>39.4</v>
      </c>
      <c r="CS221" s="2" t="s">
        <v>2439</v>
      </c>
      <c r="CT221" s="2" t="s">
        <v>2432</v>
      </c>
      <c r="CU221" s="2" t="s">
        <v>2432</v>
      </c>
      <c r="CV221" s="2" t="s">
        <v>2432</v>
      </c>
      <c r="CW221" s="2" t="str">
        <f>HYPERLINK(".\links\pep\AGAP010133-PA-pep.txt","AGAP010133-PA")</f>
        <v>AGAP010133-PA</v>
      </c>
      <c r="CX221" s="2" t="s">
        <v>88</v>
      </c>
      <c r="CY221" s="2">
        <v>492</v>
      </c>
      <c r="CZ221" s="2" t="s">
        <v>103</v>
      </c>
      <c r="DA221" s="2" t="s">
        <v>2440</v>
      </c>
      <c r="DB221" s="2">
        <v>0</v>
      </c>
      <c r="DC221" s="2">
        <v>1</v>
      </c>
      <c r="DD221" s="2" t="str">
        <f>HYPERLINK("https://www.kegg.jp/kegg-bin/search_pathway_text?map=aga&amp;keyword=AGAP010133&amp;mode=1&amp;viewImage=true","AGAP010133")</f>
        <v>AGAP010133</v>
      </c>
      <c r="DE221" s="2" t="s">
        <v>2427</v>
      </c>
      <c r="DF221" s="2" t="s">
        <v>2428</v>
      </c>
      <c r="DG221" s="2" t="s">
        <v>87</v>
      </c>
      <c r="DH221" s="2" t="str">
        <f>HYPERLINK("https://vectorbase.org/vectorbase/app/record/gene/AGAP010133","AGAP010133-RA")</f>
        <v>AGAP010133-RA</v>
      </c>
      <c r="DI221" s="2" t="s">
        <v>122</v>
      </c>
      <c r="DJ221" s="2">
        <v>2286</v>
      </c>
      <c r="DK221" s="2" t="str">
        <f>HYPERLINK(".\links\netoglyc\AGAP010133-PA-netoglyc.txt","0")</f>
        <v>0</v>
      </c>
      <c r="DL221" s="2">
        <v>14.6</v>
      </c>
      <c r="DM221" s="2">
        <v>6.5</v>
      </c>
      <c r="DN221" s="2">
        <v>6.3</v>
      </c>
      <c r="DO221" s="2" t="s">
        <v>94</v>
      </c>
      <c r="DP221" s="2" t="s">
        <v>89</v>
      </c>
      <c r="DQ221" s="2" t="str">
        <f>HYPERLINK(".\links\Sigp\AGAP010133-PA-SigP.txt","BL")</f>
        <v>BL</v>
      </c>
      <c r="DR221" s="2" t="s">
        <v>2434</v>
      </c>
      <c r="DS221" s="2">
        <v>55.722000000000001</v>
      </c>
      <c r="DT221" s="2">
        <v>5.9</v>
      </c>
      <c r="DU221" s="2">
        <v>51.819000000000003</v>
      </c>
      <c r="DV221" s="2">
        <v>5.78</v>
      </c>
      <c r="DW221" s="2" t="s">
        <v>2435</v>
      </c>
      <c r="DX221" s="2">
        <v>492</v>
      </c>
      <c r="DY221" s="12" t="str">
        <f>HYPERLINK(".\links\tmhmm\AGAP010133-PA-tmhmm.txt","2")</f>
        <v>2</v>
      </c>
      <c r="DZ221" s="2">
        <v>8.9</v>
      </c>
      <c r="EA221" s="2">
        <v>84.8</v>
      </c>
      <c r="EB221" s="2">
        <v>6.3</v>
      </c>
      <c r="EC221" s="2" t="str">
        <f>HYPERLINK(".\links\gpi\AGAP010133-PA-gpi.txt","N")</f>
        <v>N</v>
      </c>
      <c r="ED221" s="2">
        <v>0.23</v>
      </c>
      <c r="EF221" s="2">
        <v>10</v>
      </c>
      <c r="EG221" s="2" t="str">
        <f>HYPERLINK(".\links\pep\AGAP010133-PA-sulf.txt","1")</f>
        <v>1</v>
      </c>
      <c r="EH221" s="2" t="s">
        <v>89</v>
      </c>
      <c r="EI221" s="2">
        <v>14.634146341463399</v>
      </c>
      <c r="EJ221" s="2">
        <v>6.3008130081300804</v>
      </c>
      <c r="EK221" s="2">
        <v>6.5040650406504099</v>
      </c>
      <c r="EL221" s="2">
        <v>12.8048780487805</v>
      </c>
      <c r="EM221" s="2" t="s">
        <v>89</v>
      </c>
      <c r="EN221" s="2">
        <v>2</v>
      </c>
      <c r="EO221" s="2">
        <v>2</v>
      </c>
      <c r="EP221" s="2" t="s">
        <v>89</v>
      </c>
      <c r="EQ221" s="2" t="s">
        <v>89</v>
      </c>
      <c r="ER221" s="2" t="s">
        <v>89</v>
      </c>
      <c r="ES221" s="2" t="s">
        <v>89</v>
      </c>
      <c r="ET221" s="2" t="str">
        <f>HYPERLINK(".\links\REFSEQ-INVERTEBRATE\AGAP010133-PA-REFSEQ-INVERTEBRATE.txt","AGAP010133-PA")</f>
        <v>AGAP010133-PA</v>
      </c>
      <c r="EU221" s="2" t="str">
        <f>HYPERLINK("http://www.ncbi.nlm.nih.gov/sutils/blink.cgi?pid=XP_319288.2","0.0")</f>
        <v>0.0</v>
      </c>
      <c r="EV221" s="2" t="str">
        <f>HYPERLINK("http://www.ncbi.nlm.nih.gov/protein/XP_319288.2","XP_319288.2")</f>
        <v>XP_319288.2</v>
      </c>
      <c r="EW221" s="2">
        <v>100</v>
      </c>
      <c r="EX221" s="2">
        <v>100</v>
      </c>
      <c r="EY221" s="2">
        <v>100</v>
      </c>
      <c r="EZ221" s="2" t="s">
        <v>95</v>
      </c>
    </row>
    <row r="222" spans="1:156" x14ac:dyDescent="0.25">
      <c r="A222" s="2" t="s">
        <v>1801</v>
      </c>
      <c r="B222" s="2">
        <v>-1.07819423153608</v>
      </c>
      <c r="C222" s="2">
        <f t="shared" si="3"/>
        <v>0.47362126688263706</v>
      </c>
      <c r="D222" s="2">
        <v>4.3381252493496296</v>
      </c>
      <c r="E222" s="2">
        <v>15.4993068052894</v>
      </c>
      <c r="F222" s="2">
        <v>8.2535515872840398E-5</v>
      </c>
      <c r="G222" s="2">
        <v>7.9886876136193805E-3</v>
      </c>
      <c r="H222" s="2" t="s">
        <v>86</v>
      </c>
      <c r="I222" s="2" t="s">
        <v>87</v>
      </c>
      <c r="J222" s="2" t="str">
        <f>HYPERLINK("https://vectorbase.org/vectorbase/app/record/gene/AGAP007064","AGAP007064-RB")</f>
        <v>AGAP007064-RB</v>
      </c>
      <c r="K222" s="2" t="str">
        <f>HYPERLINK(".\links\pep\AGAP007064-PB-pep.txt","AGAP007064-PB")</f>
        <v>AGAP007064-PB</v>
      </c>
      <c r="L222" s="12" t="s">
        <v>88</v>
      </c>
      <c r="M222" s="2">
        <v>131</v>
      </c>
      <c r="N222" s="2">
        <v>0</v>
      </c>
      <c r="O222" s="2">
        <v>0</v>
      </c>
      <c r="P222" s="2" t="s">
        <v>89</v>
      </c>
      <c r="Q222" s="9" t="s">
        <v>1802</v>
      </c>
      <c r="R222" s="2" t="s">
        <v>700</v>
      </c>
      <c r="S222" s="2" t="str">
        <f>HYPERLINK(".\links\REFSEQ-INVERTEBRATE\AGAP007064-PB-REFSEQ-INVERTEBRATE.txt","REFSEQ-INVERTEBRATE")</f>
        <v>REFSEQ-INVERTEBRATE</v>
      </c>
      <c r="T222" s="2">
        <v>6E-68</v>
      </c>
      <c r="U222" s="2">
        <v>100</v>
      </c>
      <c r="V222" s="2" t="s">
        <v>1803</v>
      </c>
      <c r="W222" s="10" t="s">
        <v>1802</v>
      </c>
      <c r="X222" s="2" t="s">
        <v>700</v>
      </c>
      <c r="Y222" s="2" t="str">
        <f>HYPERLINK(".\links\REFSEQ-INVERTEBRATE\AGAP007064-PB-REFSEQ-INVERTEBRATE.txt","REFSEQ-INVERTEBRATE")</f>
        <v>REFSEQ-INVERTEBRATE</v>
      </c>
      <c r="Z222" s="13">
        <v>9.9999999999999993E-89</v>
      </c>
      <c r="AA222" s="2">
        <v>100</v>
      </c>
      <c r="AB222" s="14" t="s">
        <v>89</v>
      </c>
      <c r="AC222" s="14" t="str">
        <f>HYPERLINK(".\links\Sigp\AGAP007064-PB-SigP.txt","CYT")</f>
        <v>CYT</v>
      </c>
      <c r="AD222" s="2" t="s">
        <v>89</v>
      </c>
      <c r="AE222" s="2">
        <v>14.628</v>
      </c>
      <c r="AF222" s="2">
        <v>5.05</v>
      </c>
      <c r="AG222" s="2" t="s">
        <v>89</v>
      </c>
      <c r="AH222" s="2" t="s">
        <v>89</v>
      </c>
      <c r="AI222" s="2" t="s">
        <v>1804</v>
      </c>
      <c r="AJ222" s="14" t="str">
        <f>HYPERLINK(".\links\tmhmm\AGAP007064-PB-tmhmm.txt","1")</f>
        <v>1</v>
      </c>
      <c r="AK222" s="2">
        <v>16.8</v>
      </c>
      <c r="AL222" s="2">
        <v>64.099999999999994</v>
      </c>
      <c r="AM222" s="2">
        <v>19.100000000000001</v>
      </c>
      <c r="AN222" s="14" t="str">
        <f>HYPERLINK(".\links\gpi\AGAP007064-PB-gpi.txt","N")</f>
        <v>N</v>
      </c>
      <c r="AO222" s="15" t="str">
        <f>HYPERLINK(".\links\netoglyc\AGAP007064-PB-netoglyc.txt","0")</f>
        <v>0</v>
      </c>
      <c r="AP222" s="14">
        <v>6.1</v>
      </c>
      <c r="AQ222" s="2">
        <v>8.4</v>
      </c>
      <c r="AR222" s="2">
        <v>3.8</v>
      </c>
      <c r="AS222" s="2" t="s">
        <v>94</v>
      </c>
      <c r="AT222" s="9" t="str">
        <f>HYPERLINK(".\links\NR-LIGHT\AGAP007064-PB-NR-LIGHT.txt","AGAP007064-PB")</f>
        <v>AGAP007064-PB</v>
      </c>
      <c r="AU222" s="2" t="str">
        <f>HYPERLINK("http://www.ncbi.nlm.nih.gov/sutils/blink.cgi?pid=XP_001688061.1","7E-068")</f>
        <v>7E-068</v>
      </c>
      <c r="AV222" s="2" t="str">
        <f>HYPERLINK("http://www.ncbi.nlm.nih.gov/protein/XP_001688061.1","XP_001688061.1")</f>
        <v>XP_001688061.1</v>
      </c>
      <c r="AW222" s="2">
        <v>100</v>
      </c>
      <c r="AX222" s="2">
        <v>100</v>
      </c>
      <c r="AY222" s="2">
        <v>100</v>
      </c>
      <c r="AZ222" s="2" t="s">
        <v>95</v>
      </c>
      <c r="BA222" s="9" t="str">
        <f>HYPERLINK(".\links\REFSEQ-INVERTEBRATE\AGAP007064-PB-REFSEQ-INVERTEBRATE.txt","AGAP007064-PB")</f>
        <v>AGAP007064-PB</v>
      </c>
      <c r="BB222" s="2" t="str">
        <f>HYPERLINK("http://www.ncbi.nlm.nih.gov/sutils/blink.cgi?pid=XP_001688061.1","6E-068")</f>
        <v>6E-068</v>
      </c>
      <c r="BC222" s="2" t="str">
        <f>HYPERLINK("http://www.ncbi.nlm.nih.gov/protein/XP_001688061.1","XP_001688061.1")</f>
        <v>XP_001688061.1</v>
      </c>
      <c r="BD222" s="2">
        <v>100</v>
      </c>
      <c r="BE222" s="2">
        <v>100</v>
      </c>
      <c r="BF222" s="2">
        <v>100</v>
      </c>
      <c r="BG222" s="2" t="s">
        <v>95</v>
      </c>
      <c r="BH222" s="9" t="str">
        <f>HYPERLINK(".\links\REFSEQ-PROTOZOA\AGAP007064-PB-REFSEQ-PROTOZOA.txt","hypothetical protein AK88_00476")</f>
        <v>hypothetical protein AK88_00476</v>
      </c>
      <c r="BI222" s="2" t="str">
        <f>HYPERLINK("http://www.ncbi.nlm.nih.gov/sutils/blink.cgi?pid=XP_012333550.1","0.15")</f>
        <v>0.15</v>
      </c>
      <c r="BJ222" s="2" t="str">
        <f>HYPERLINK("http://www.ncbi.nlm.nih.gov/protein/XP_012333550.1","XP_012333550.1")</f>
        <v>XP_012333550.1</v>
      </c>
      <c r="BK222" s="2">
        <v>26</v>
      </c>
      <c r="BL222" s="2">
        <v>45</v>
      </c>
      <c r="BM222" s="2">
        <v>35</v>
      </c>
      <c r="BN222" s="2" t="s">
        <v>1805</v>
      </c>
      <c r="BO222" s="9" t="str">
        <f>HYPERLINK(".\links\SWISSP\AGAP007064-PB-SWISSP.txt","von Willebrand factor (Fragment)")</f>
        <v>von Willebrand factor (Fragment)</v>
      </c>
      <c r="BP222" s="2" t="str">
        <f>HYPERLINK("http://www.uniprot.org/uniprot/Q28833","0.083")</f>
        <v>0.083</v>
      </c>
      <c r="BQ222" s="2" t="str">
        <f>HYPERLINK("http://www.uniprot.org/uniprot/Q28833#expression","Q28833")</f>
        <v>Q28833</v>
      </c>
      <c r="BR222" s="2">
        <v>29</v>
      </c>
      <c r="BS222" s="2">
        <v>44</v>
      </c>
      <c r="BT222" s="2">
        <v>5</v>
      </c>
      <c r="BU222" s="2" t="s">
        <v>904</v>
      </c>
      <c r="BV222" s="9" t="str">
        <f>HYPERLINK(".\links\FLYBASE\AGAP007064-PB-FLYBASE.txt","FBpp0292256")</f>
        <v>FBpp0292256</v>
      </c>
      <c r="BW222" s="2" t="str">
        <f>HYPERLINK("http://flybase.org/reports/FBgn0259238#alliance_summary_container","9E-18")</f>
        <v>9E-18</v>
      </c>
      <c r="BX222" s="2">
        <v>140</v>
      </c>
      <c r="BY222" s="2">
        <v>45</v>
      </c>
      <c r="BZ222" s="2">
        <v>66</v>
      </c>
      <c r="CA222" s="2">
        <v>59</v>
      </c>
      <c r="CB222" s="9" t="str">
        <f>HYPERLINK(".\links\CDD\AGAP007064-PB-CDD.txt","Spo7, Spo7-like protein")</f>
        <v>Spo7, Spo7-like protein</v>
      </c>
      <c r="CC222" s="13">
        <v>1.4E-2</v>
      </c>
      <c r="CD222" s="2">
        <v>26.9</v>
      </c>
      <c r="CE222" s="2" t="s">
        <v>1806</v>
      </c>
      <c r="CF222" s="2" t="s">
        <v>1807</v>
      </c>
      <c r="CG222" s="9" t="str">
        <f>HYPERLINK(".\links\KOG\AGAP007064-PB-KOG.txt","Ca2+-modulated nonselective cation channel polycystin")</f>
        <v>Ca2+-modulated nonselective cation channel polycystin</v>
      </c>
      <c r="CH222" s="13">
        <v>0.13</v>
      </c>
      <c r="CI222" s="2">
        <v>3.6</v>
      </c>
      <c r="CJ222" s="2" t="s">
        <v>1808</v>
      </c>
      <c r="CK222" s="2" t="s">
        <v>1809</v>
      </c>
      <c r="CL222" s="9" t="str">
        <f>HYPERLINK(".\links\PFAM\AGAP007064-PB-PFAM.txt","Spo7, Spo7-like protein")</f>
        <v>Spo7, Spo7-like protein</v>
      </c>
      <c r="CM222" s="13">
        <v>3.0000000000000001E-3</v>
      </c>
      <c r="CN222" s="2">
        <v>26.9</v>
      </c>
      <c r="CO222" s="2" t="s">
        <v>1806</v>
      </c>
      <c r="CP222" s="9" t="str">
        <f>HYPERLINK(".\links\SMART\AGAP007064-PB-SMART.txt","Sec7, Sec7 domain")</f>
        <v>Sec7, Sec7 domain</v>
      </c>
      <c r="CQ222" s="13">
        <v>0.13</v>
      </c>
      <c r="CR222" s="2">
        <v>18.5</v>
      </c>
      <c r="CS222" s="2" t="s">
        <v>1810</v>
      </c>
      <c r="CT222" s="2" t="s">
        <v>1803</v>
      </c>
      <c r="CU222" s="2" t="s">
        <v>1803</v>
      </c>
      <c r="CV222" s="2" t="s">
        <v>1803</v>
      </c>
      <c r="CW222" s="2" t="str">
        <f>HYPERLINK(".\links\pep\AGAP007064-PB-pep.txt","AGAP007064-PB")</f>
        <v>AGAP007064-PB</v>
      </c>
      <c r="CX222" s="2" t="s">
        <v>88</v>
      </c>
      <c r="CY222" s="2">
        <v>131</v>
      </c>
      <c r="CZ222" s="2" t="s">
        <v>103</v>
      </c>
      <c r="DA222" s="2" t="s">
        <v>1811</v>
      </c>
      <c r="DB222" s="2">
        <v>0</v>
      </c>
      <c r="DC222" s="2">
        <v>0</v>
      </c>
      <c r="DD222" s="2" t="str">
        <f>HYPERLINK("https://www.kegg.jp/kegg-bin/search_pathway_text?map=aga&amp;keyword=AGAP007064&amp;mode=1&amp;viewImage=true","AGAP007064")</f>
        <v>AGAP007064</v>
      </c>
      <c r="DE222" s="2" t="s">
        <v>1801</v>
      </c>
      <c r="DF222" s="2" t="s">
        <v>86</v>
      </c>
      <c r="DG222" s="2" t="s">
        <v>87</v>
      </c>
      <c r="DH222" s="2" t="str">
        <f>HYPERLINK("https://vectorbase.org/vectorbase/app/record/gene/AGAP007064","AGAP007064-RB")</f>
        <v>AGAP007064-RB</v>
      </c>
      <c r="DI222" s="2" t="s">
        <v>105</v>
      </c>
      <c r="DJ222" s="2">
        <v>1359</v>
      </c>
      <c r="DK222" s="2" t="str">
        <f>HYPERLINK(".\links\netoglyc\AGAP007064-PB-netoglyc.txt","0")</f>
        <v>0</v>
      </c>
      <c r="DL222" s="2">
        <v>6.1</v>
      </c>
      <c r="DM222" s="2">
        <v>8.4</v>
      </c>
      <c r="DN222" s="2">
        <v>3.8</v>
      </c>
      <c r="DO222" s="2" t="s">
        <v>94</v>
      </c>
      <c r="DP222" s="2" t="s">
        <v>89</v>
      </c>
      <c r="DQ222" s="2" t="str">
        <f>HYPERLINK(".\links\Sigp\AGAP007064-PB-SigP.txt","CYT")</f>
        <v>CYT</v>
      </c>
      <c r="DR222" s="2" t="s">
        <v>89</v>
      </c>
      <c r="DS222" s="2">
        <v>14.628</v>
      </c>
      <c r="DT222" s="2">
        <v>5.05</v>
      </c>
      <c r="DU222" s="2" t="s">
        <v>89</v>
      </c>
      <c r="DV222" s="2" t="s">
        <v>89</v>
      </c>
      <c r="DW222" s="2" t="s">
        <v>1804</v>
      </c>
      <c r="DX222" s="2">
        <v>131</v>
      </c>
      <c r="DY222" s="12" t="str">
        <f>HYPERLINK(".\links\tmhmm\AGAP007064-PB-tmhmm.txt","1")</f>
        <v>1</v>
      </c>
      <c r="DZ222" s="2">
        <v>16.8</v>
      </c>
      <c r="EA222" s="2">
        <v>64.099999999999994</v>
      </c>
      <c r="EB222" s="2">
        <v>19.100000000000001</v>
      </c>
      <c r="EC222" s="2" t="str">
        <f>HYPERLINK(".\links\gpi\AGAP007064-PB-gpi.txt","N")</f>
        <v>N</v>
      </c>
      <c r="ED222" s="2">
        <v>0.57999999999999996</v>
      </c>
      <c r="EE222" s="2" t="s">
        <v>1812</v>
      </c>
      <c r="EF222" s="2">
        <v>0</v>
      </c>
      <c r="EG222" s="2" t="s">
        <v>89</v>
      </c>
      <c r="EH222" s="2" t="s">
        <v>89</v>
      </c>
      <c r="EI222" s="2">
        <v>6.1068702290076304</v>
      </c>
      <c r="EJ222" s="2">
        <v>3.8167938931297698</v>
      </c>
      <c r="EK222" s="2">
        <v>8.3969465648855</v>
      </c>
      <c r="EL222" s="2">
        <v>12.2137404580153</v>
      </c>
      <c r="EM222" s="2">
        <v>1</v>
      </c>
      <c r="EN222" s="2" t="s">
        <v>89</v>
      </c>
      <c r="EO222" s="2">
        <v>1</v>
      </c>
      <c r="EP222" s="2" t="s">
        <v>89</v>
      </c>
      <c r="EQ222" s="2" t="s">
        <v>89</v>
      </c>
      <c r="ER222" s="2" t="s">
        <v>89</v>
      </c>
      <c r="ES222" s="2" t="s">
        <v>89</v>
      </c>
      <c r="ET222" s="2" t="str">
        <f>HYPERLINK(".\links\REFSEQ-INVERTEBRATE\AGAP007064-PB-REFSEQ-INVERTEBRATE.txt","AGAP007064-PB")</f>
        <v>AGAP007064-PB</v>
      </c>
      <c r="EU222" s="2" t="str">
        <f>HYPERLINK("http://www.ncbi.nlm.nih.gov/sutils/blink.cgi?pid=XP_001688061.1","2E-88")</f>
        <v>2E-88</v>
      </c>
      <c r="EV222" s="2" t="str">
        <f>HYPERLINK("http://www.ncbi.nlm.nih.gov/protein/XP_001688061.1","XP_001688061.1")</f>
        <v>XP_001688061.1</v>
      </c>
      <c r="EW222" s="2">
        <v>100</v>
      </c>
      <c r="EX222" s="2">
        <v>100</v>
      </c>
      <c r="EY222" s="2">
        <v>100</v>
      </c>
      <c r="EZ222" s="2" t="s">
        <v>95</v>
      </c>
    </row>
    <row r="223" spans="1:156" x14ac:dyDescent="0.25">
      <c r="A223" s="2" t="s">
        <v>2872</v>
      </c>
      <c r="B223" s="2">
        <v>-1.0828619935397199</v>
      </c>
      <c r="C223" s="2">
        <f t="shared" si="3"/>
        <v>0.47209136710363331</v>
      </c>
      <c r="D223" s="2">
        <v>4.7482521163383096</v>
      </c>
      <c r="E223" s="2">
        <v>12.0792558356572</v>
      </c>
      <c r="F223" s="2">
        <v>5.0985944254024597E-4</v>
      </c>
      <c r="G223" s="2">
        <v>2.70073307697811E-2</v>
      </c>
      <c r="H223" s="2" t="s">
        <v>86</v>
      </c>
      <c r="I223" s="2" t="s">
        <v>87</v>
      </c>
      <c r="J223" s="2" t="str">
        <f>HYPERLINK("https://vectorbase.org/vectorbase/app/record/gene/AGAP012517","AGAP012517-RA")</f>
        <v>AGAP012517-RA</v>
      </c>
      <c r="K223" s="2" t="str">
        <f>HYPERLINK(".\links\pep\AGAP012517-PA-pep.txt","AGAP012517-PA")</f>
        <v>AGAP012517-PA</v>
      </c>
      <c r="L223" s="12" t="s">
        <v>88</v>
      </c>
      <c r="M223" s="2">
        <v>210</v>
      </c>
      <c r="N223" s="2">
        <v>0</v>
      </c>
      <c r="O223" s="2">
        <v>0</v>
      </c>
      <c r="P223" s="2" t="s">
        <v>89</v>
      </c>
      <c r="Q223" s="9" t="s">
        <v>2873</v>
      </c>
      <c r="R223" s="2" t="s">
        <v>586</v>
      </c>
      <c r="S223" s="2" t="str">
        <f>HYPERLINK(".\links\REFSEQ-INVERTEBRATE\AGAP012517-PA-REFSEQ-INVERTEBRATE.txt","REFSEQ-INVERTEBRATE")</f>
        <v>REFSEQ-INVERTEBRATE</v>
      </c>
      <c r="T223" s="2">
        <v>1.9999999999999999E-72</v>
      </c>
      <c r="U223" s="2">
        <v>100</v>
      </c>
      <c r="V223" s="2" t="s">
        <v>2874</v>
      </c>
      <c r="W223" s="10" t="s">
        <v>2875</v>
      </c>
      <c r="X223" s="2" t="s">
        <v>586</v>
      </c>
      <c r="Y223" s="2" t="str">
        <f>HYPERLINK(".\links\PFAM\AGAP012517-PA-PFAM.txt","PFAM")</f>
        <v>PFAM</v>
      </c>
      <c r="Z223" s="13">
        <v>4E-52</v>
      </c>
      <c r="AA223" s="2">
        <v>88.4</v>
      </c>
      <c r="AB223" s="14" t="str">
        <f>HYPERLINK(".\links\pep\AGAP012517-PA-sulf.txt","1")</f>
        <v>1</v>
      </c>
      <c r="AC223" s="14" t="str">
        <f>HYPERLINK(".\links\Sigp\AGAP012517-PA-SigP.txt","CYT")</f>
        <v>CYT</v>
      </c>
      <c r="AD223" s="2" t="s">
        <v>89</v>
      </c>
      <c r="AE223" s="2">
        <v>24.489000000000001</v>
      </c>
      <c r="AF223" s="2">
        <v>6.84</v>
      </c>
      <c r="AG223" s="2" t="s">
        <v>89</v>
      </c>
      <c r="AH223" s="2" t="s">
        <v>89</v>
      </c>
      <c r="AI223" s="2" t="s">
        <v>93</v>
      </c>
      <c r="AJ223" s="14">
        <v>0</v>
      </c>
      <c r="AK223" s="2" t="s">
        <v>89</v>
      </c>
      <c r="AL223" s="2" t="s">
        <v>89</v>
      </c>
      <c r="AM223" s="2" t="s">
        <v>89</v>
      </c>
      <c r="AN223" s="14" t="str">
        <f>HYPERLINK(".\links\gpi\AGAP012517-PA-gpi.txt","N")</f>
        <v>N</v>
      </c>
      <c r="AO223" s="15" t="str">
        <f>HYPERLINK(".\links\netoglyc\AGAP012517-PA-netoglyc.txt","0")</f>
        <v>0</v>
      </c>
      <c r="AP223" s="14">
        <v>12.4</v>
      </c>
      <c r="AQ223" s="2">
        <v>3.3</v>
      </c>
      <c r="AR223" s="2">
        <v>3.8</v>
      </c>
      <c r="AS223" s="2" t="s">
        <v>94</v>
      </c>
      <c r="AT223" s="9" t="str">
        <f>HYPERLINK(".\links\NR-LIGHT\AGAP012517-PA-NR-LIGHT.txt","AGAP012517-PA")</f>
        <v>AGAP012517-PA</v>
      </c>
      <c r="AU223" s="2" t="str">
        <f>HYPERLINK("http://www.ncbi.nlm.nih.gov/sutils/blink.cgi?pid=XP_307420.3","1E-119")</f>
        <v>1E-119</v>
      </c>
      <c r="AV223" s="2" t="str">
        <f>HYPERLINK("http://www.ncbi.nlm.nih.gov/protein/XP_307420.3","XP_307420.3")</f>
        <v>XP_307420.3</v>
      </c>
      <c r="AW223" s="2">
        <v>100</v>
      </c>
      <c r="AX223" s="2">
        <v>100</v>
      </c>
      <c r="AY223" s="2">
        <v>100</v>
      </c>
      <c r="AZ223" s="2" t="s">
        <v>95</v>
      </c>
      <c r="BA223" s="9" t="str">
        <f>HYPERLINK(".\links\REFSEQ-INVERTEBRATE\AGAP012517-PA-REFSEQ-INVERTEBRATE.txt","AGAP012517-PA")</f>
        <v>AGAP012517-PA</v>
      </c>
      <c r="BB223" s="2" t="str">
        <f>HYPERLINK("http://www.ncbi.nlm.nih.gov/sutils/blink.cgi?pid=XP_307420.3","1E-119")</f>
        <v>1E-119</v>
      </c>
      <c r="BC223" s="2" t="str">
        <f>HYPERLINK("http://www.ncbi.nlm.nih.gov/protein/XP_307420.3","XP_307420.3")</f>
        <v>XP_307420.3</v>
      </c>
      <c r="BD223" s="2">
        <v>100</v>
      </c>
      <c r="BE223" s="2">
        <v>100</v>
      </c>
      <c r="BF223" s="2">
        <v>100</v>
      </c>
      <c r="BG223" s="2" t="s">
        <v>95</v>
      </c>
      <c r="BH223" s="9" t="str">
        <f>HYPERLINK(".\links\REFSEQ-PROTOZOA\AGAP012517-PA-REFSEQ-PROTOZOA.txt","hypothetical protein GUITHDRAFT_84632")</f>
        <v>hypothetical protein GUITHDRAFT_84632</v>
      </c>
      <c r="BI223" s="2" t="str">
        <f>HYPERLINK("http://www.ncbi.nlm.nih.gov/sutils/blink.cgi?pid=XP_005839523.1","1E-025")</f>
        <v>1E-025</v>
      </c>
      <c r="BJ223" s="2" t="str">
        <f>HYPERLINK("http://www.ncbi.nlm.nih.gov/protein/XP_005839523.1","XP_005839523.1")</f>
        <v>XP_005839523.1</v>
      </c>
      <c r="BK223" s="2">
        <v>33</v>
      </c>
      <c r="BL223" s="2">
        <v>57</v>
      </c>
      <c r="BM223" s="2">
        <v>85</v>
      </c>
      <c r="BN223" s="2" t="s">
        <v>406</v>
      </c>
      <c r="BO223" s="9" t="str">
        <f>HYPERLINK(".\links\SWISSP\AGAP012517-PA-SWISSP.txt","Protein DPCD")</f>
        <v>Protein DPCD</v>
      </c>
      <c r="BP223" s="2" t="str">
        <f>HYPERLINK("http://www.uniprot.org/uniprot/Q0P448","4E-038")</f>
        <v>4E-038</v>
      </c>
      <c r="BQ223" s="2" t="str">
        <f>HYPERLINK("http://www.uniprot.org/uniprot/Q0P448#expression","Q0P448")</f>
        <v>Q0P448</v>
      </c>
      <c r="BR223" s="2">
        <v>36</v>
      </c>
      <c r="BS223" s="2">
        <v>61</v>
      </c>
      <c r="BT223" s="2">
        <v>100</v>
      </c>
      <c r="BU223" s="2" t="s">
        <v>744</v>
      </c>
      <c r="BV223" s="9" t="str">
        <f>HYPERLINK(".\links\FLYBASE\AGAP012517-PA-FLYBASE.txt","FBpp0303820")</f>
        <v>FBpp0303820</v>
      </c>
      <c r="BW223" s="2" t="str">
        <f>HYPERLINK("http://flybase.org/reports/FBgn0035164#alliance_summary_container","2E-64")</f>
        <v>2E-64</v>
      </c>
      <c r="BX223" s="2">
        <v>222</v>
      </c>
      <c r="BY223" s="2">
        <v>45</v>
      </c>
      <c r="BZ223" s="2">
        <v>65</v>
      </c>
      <c r="CA223" s="2">
        <v>102</v>
      </c>
      <c r="CB223" s="9" t="str">
        <f>HYPERLINK(".\links\CDD\AGAP012517-PA-CDD.txt","DPCD, DPCD protein family")</f>
        <v>DPCD, DPCD protein family</v>
      </c>
      <c r="CC223" s="13">
        <v>3.9999999999999999E-64</v>
      </c>
      <c r="CD223" s="2">
        <v>98.4</v>
      </c>
      <c r="CE223" s="2" t="s">
        <v>2876</v>
      </c>
      <c r="CF223" s="2" t="s">
        <v>2877</v>
      </c>
      <c r="CG223" s="9" t="str">
        <f>HYPERLINK(".\links\KOG\AGAP012517-PA-KOG.txt","Uncharacterized conserved protein")</f>
        <v>Uncharacterized conserved protein</v>
      </c>
      <c r="CH223" s="13">
        <v>0.25</v>
      </c>
      <c r="CI223" s="2">
        <v>17.7</v>
      </c>
      <c r="CJ223" s="2" t="s">
        <v>2878</v>
      </c>
      <c r="CK223" s="2" t="s">
        <v>101</v>
      </c>
      <c r="CL223" s="9" t="str">
        <f>HYPERLINK(".\links\PFAM\AGAP012517-PA-PFAM.txt","DPCD, DPCD protein family")</f>
        <v>DPCD, DPCD protein family</v>
      </c>
      <c r="CM223" s="13">
        <v>8.9999999999999995E-65</v>
      </c>
      <c r="CN223" s="2">
        <v>98.4</v>
      </c>
      <c r="CO223" s="2" t="s">
        <v>2876</v>
      </c>
      <c r="CP223" s="9" t="str">
        <f>HYPERLINK(".\links\SMART\AGAP012517-PA-SMART.txt","Cadherin_pro, Cadherin prodomain like")</f>
        <v>Cadherin_pro, Cadherin prodomain like</v>
      </c>
      <c r="CQ223" s="13">
        <v>0.31</v>
      </c>
      <c r="CR223" s="2">
        <v>36.799999999999997</v>
      </c>
      <c r="CS223" s="2" t="s">
        <v>2879</v>
      </c>
      <c r="CT223" s="2" t="s">
        <v>2874</v>
      </c>
      <c r="CU223" s="2" t="s">
        <v>2874</v>
      </c>
      <c r="CV223" s="2" t="s">
        <v>2874</v>
      </c>
      <c r="CW223" s="2" t="str">
        <f>HYPERLINK(".\links\pep\AGAP012517-PA-pep.txt","AGAP012517-PA")</f>
        <v>AGAP012517-PA</v>
      </c>
      <c r="CX223" s="2" t="s">
        <v>88</v>
      </c>
      <c r="CY223" s="2">
        <v>210</v>
      </c>
      <c r="CZ223" s="2" t="s">
        <v>103</v>
      </c>
      <c r="DA223" s="2" t="s">
        <v>2880</v>
      </c>
      <c r="DB223" s="2">
        <v>0</v>
      </c>
      <c r="DC223" s="2">
        <v>0</v>
      </c>
      <c r="DD223" s="2" t="str">
        <f>HYPERLINK("https://www.kegg.jp/kegg-bin/search_pathway_text?map=aga&amp;keyword=AGAP012517&amp;mode=1&amp;viewImage=true","AGAP012517")</f>
        <v>AGAP012517</v>
      </c>
      <c r="DE223" s="2" t="s">
        <v>2872</v>
      </c>
      <c r="DF223" s="2" t="s">
        <v>86</v>
      </c>
      <c r="DG223" s="2" t="s">
        <v>87</v>
      </c>
      <c r="DH223" s="2" t="str">
        <f>HYPERLINK("https://vectorbase.org/vectorbase/app/record/gene/AGAP012517","AGAP012517-RA")</f>
        <v>AGAP012517-RA</v>
      </c>
      <c r="DI223" s="2" t="s">
        <v>122</v>
      </c>
      <c r="DJ223" s="2">
        <v>754</v>
      </c>
      <c r="DK223" s="2" t="str">
        <f>HYPERLINK(".\links\netoglyc\AGAP012517-PA-netoglyc.txt","0")</f>
        <v>0</v>
      </c>
      <c r="DL223" s="2">
        <v>12.4</v>
      </c>
      <c r="DM223" s="2">
        <v>3.3</v>
      </c>
      <c r="DN223" s="2">
        <v>3.8</v>
      </c>
      <c r="DO223" s="2" t="s">
        <v>94</v>
      </c>
      <c r="DP223" s="2" t="s">
        <v>89</v>
      </c>
      <c r="DQ223" s="2" t="str">
        <f>HYPERLINK(".\links\Sigp\AGAP012517-PA-SigP.txt","CYT")</f>
        <v>CYT</v>
      </c>
      <c r="DR223" s="2" t="s">
        <v>89</v>
      </c>
      <c r="DS223" s="2">
        <v>24.489000000000001</v>
      </c>
      <c r="DT223" s="2">
        <v>6.84</v>
      </c>
      <c r="DU223" s="2" t="s">
        <v>89</v>
      </c>
      <c r="DV223" s="2" t="s">
        <v>89</v>
      </c>
      <c r="DW223" s="2" t="s">
        <v>93</v>
      </c>
      <c r="DX223" s="2">
        <v>210</v>
      </c>
      <c r="DY223" s="12">
        <v>0</v>
      </c>
      <c r="DZ223" s="2" t="s">
        <v>89</v>
      </c>
      <c r="EA223" s="2" t="s">
        <v>89</v>
      </c>
      <c r="EB223" s="2" t="s">
        <v>89</v>
      </c>
      <c r="EC223" s="2" t="str">
        <f>HYPERLINK(".\links\gpi\AGAP012517-PA-gpi.txt","N")</f>
        <v>N</v>
      </c>
      <c r="ED223" s="2">
        <v>0.41</v>
      </c>
      <c r="EF223" s="2">
        <v>6</v>
      </c>
      <c r="EG223" s="2" t="str">
        <f>HYPERLINK(".\links\pep\AGAP012517-PA-sulf.txt","1")</f>
        <v>1</v>
      </c>
      <c r="EH223" s="2" t="s">
        <v>89</v>
      </c>
      <c r="EI223" s="2">
        <v>12.380952380952399</v>
      </c>
      <c r="EJ223" s="2">
        <v>3.8095238095238102</v>
      </c>
      <c r="EK223" s="2">
        <v>3.3333333333333299</v>
      </c>
      <c r="EL223" s="2">
        <v>7.1428571428571397</v>
      </c>
      <c r="EM223" s="2" t="s">
        <v>89</v>
      </c>
      <c r="EN223" s="2" t="s">
        <v>89</v>
      </c>
      <c r="EO223" s="2" t="s">
        <v>89</v>
      </c>
      <c r="EP223" s="2" t="s">
        <v>89</v>
      </c>
      <c r="EQ223" s="2" t="s">
        <v>89</v>
      </c>
      <c r="ER223" s="2" t="s">
        <v>89</v>
      </c>
      <c r="ES223" s="2" t="s">
        <v>89</v>
      </c>
      <c r="ET223" s="2" t="str">
        <f>HYPERLINK(".\links\REFSEQ-INVERTEBRATE\AGAP012517-PA-REFSEQ-INVERTEBRATE.txt","AGAP012517-PA")</f>
        <v>AGAP012517-PA</v>
      </c>
      <c r="EU223" s="2" t="str">
        <f>HYPERLINK("http://www.ncbi.nlm.nih.gov/sutils/blink.cgi?pid=XP_307420.3","1E-154")</f>
        <v>1E-154</v>
      </c>
      <c r="EV223" s="2" t="str">
        <f>HYPERLINK("http://www.ncbi.nlm.nih.gov/protein/XP_307420.3","XP_307420.3")</f>
        <v>XP_307420.3</v>
      </c>
      <c r="EW223" s="2">
        <v>100</v>
      </c>
      <c r="EX223" s="2">
        <v>100</v>
      </c>
      <c r="EY223" s="2">
        <v>100</v>
      </c>
      <c r="EZ223" s="2" t="s">
        <v>95</v>
      </c>
    </row>
    <row r="224" spans="1:156" x14ac:dyDescent="0.25">
      <c r="A224" s="2" t="s">
        <v>3027</v>
      </c>
      <c r="B224" s="2">
        <v>-1.0852829522612999</v>
      </c>
      <c r="C224" s="2">
        <f t="shared" si="3"/>
        <v>0.47129982400848675</v>
      </c>
      <c r="D224" s="2">
        <v>11.0680298932061</v>
      </c>
      <c r="E224" s="2">
        <v>23.279201806950802</v>
      </c>
      <c r="F224" s="2">
        <v>1.40106904391742E-6</v>
      </c>
      <c r="G224" s="2">
        <v>5.1438559002030195E-4</v>
      </c>
      <c r="H224" s="2" t="s">
        <v>3028</v>
      </c>
      <c r="I224" s="2" t="s">
        <v>89</v>
      </c>
      <c r="J224" s="2" t="str">
        <f>HYPERLINK("https://vectorbase.org/vectorbase/app/record/gene/AGAP028370","AGAP028370-RA")</f>
        <v>AGAP028370-RA</v>
      </c>
      <c r="K224" s="2" t="str">
        <f>HYPERLINK(".\links\pep\AGAP028370-PA-pep.txt","AGAP028370-PA")</f>
        <v>AGAP028370-PA</v>
      </c>
      <c r="L224" s="12" t="s">
        <v>88</v>
      </c>
      <c r="M224" s="2">
        <v>226</v>
      </c>
      <c r="N224" s="2">
        <v>0</v>
      </c>
      <c r="O224" s="2">
        <v>1</v>
      </c>
      <c r="P224" s="2" t="s">
        <v>3029</v>
      </c>
      <c r="Q224" s="9" t="s">
        <v>3030</v>
      </c>
      <c r="R224" s="2" t="s">
        <v>663</v>
      </c>
      <c r="S224" s="2" t="str">
        <f>HYPERLINK(".\links\CDD\AGAP028370-PA-CDD.txt","CDD")</f>
        <v>CDD</v>
      </c>
      <c r="T224" s="2">
        <v>6.0000000000000004E-91</v>
      </c>
      <c r="U224" s="2">
        <v>101.3</v>
      </c>
      <c r="V224" s="2" t="s">
        <v>3031</v>
      </c>
      <c r="W224" s="10" t="s">
        <v>3032</v>
      </c>
      <c r="X224" s="2" t="s">
        <v>663</v>
      </c>
      <c r="Y224" s="2" t="str">
        <f>HYPERLINK(".\links\PRK\AGAP028370-PA-PRK.txt","PRK")</f>
        <v>PRK</v>
      </c>
      <c r="Z224" s="13">
        <v>0</v>
      </c>
      <c r="AA224" s="2">
        <v>101.3</v>
      </c>
      <c r="AB224" s="14" t="s">
        <v>89</v>
      </c>
      <c r="AC224" s="14" t="str">
        <f>HYPERLINK(".\links\Sigp\AGAP028370-PA-SigP.txt","CYT")</f>
        <v>CYT</v>
      </c>
      <c r="AD224" s="2" t="s">
        <v>89</v>
      </c>
      <c r="AE224" s="2">
        <v>25.28</v>
      </c>
      <c r="AF224" s="2">
        <v>7.06</v>
      </c>
      <c r="AG224" s="2" t="s">
        <v>89</v>
      </c>
      <c r="AH224" s="2" t="s">
        <v>89</v>
      </c>
      <c r="AI224" s="2" t="s">
        <v>3033</v>
      </c>
      <c r="AJ224" s="14" t="str">
        <f>HYPERLINK(".\links\tmhmm\AGAP028370-PA-tmhmm.txt","5")</f>
        <v>5</v>
      </c>
      <c r="AK224" s="2">
        <v>46</v>
      </c>
      <c r="AL224" s="2">
        <v>38.9</v>
      </c>
      <c r="AM224" s="2">
        <v>15</v>
      </c>
      <c r="AN224" s="14" t="str">
        <f>HYPERLINK(".\links\gpi\AGAP028370-PA-gpi.txt","N")</f>
        <v>N</v>
      </c>
      <c r="AO224" s="15" t="str">
        <f>HYPERLINK(".\links\netoglyc\AGAP028370-PA-netoglyc.txt","0")</f>
        <v>0</v>
      </c>
      <c r="AP224" s="14">
        <v>18.100000000000001</v>
      </c>
      <c r="AQ224" s="2">
        <v>4.9000000000000004</v>
      </c>
      <c r="AR224" s="2">
        <v>5.3</v>
      </c>
      <c r="AS224" s="2" t="s">
        <v>94</v>
      </c>
      <c r="AT224" s="9" t="str">
        <f>HYPERLINK(".\links\NR-LIGHT\AGAP028370-PA-NR-LIGHT.txt","ATP6 gene product (mitochondrion)")</f>
        <v>ATP6 gene product (mitochondrion)</v>
      </c>
      <c r="AU224" s="2" t="str">
        <f>HYPERLINK("http://www.ncbi.nlm.nih.gov/sutils/blink.cgi?pid=NP_008073.1","1E-125")</f>
        <v>1E-125</v>
      </c>
      <c r="AV224" s="2" t="str">
        <f>HYPERLINK("http://www.ncbi.nlm.nih.gov/protein/NP_008073.1","NP_008073.1")</f>
        <v>NP_008073.1</v>
      </c>
      <c r="AW224" s="2">
        <v>100</v>
      </c>
      <c r="AX224" s="2">
        <v>100</v>
      </c>
      <c r="AY224" s="2">
        <v>100</v>
      </c>
      <c r="AZ224" s="2" t="s">
        <v>215</v>
      </c>
      <c r="BA224" s="9" t="str">
        <f>HYPERLINK(".\links\REFSEQ-INVERTEBRATE\AGAP028370-PA-REFSEQ-INVERTEBRATE.txt","ATP synthase F0 subunit 6 (mitochondrion)")</f>
        <v>ATP synthase F0 subunit 6 (mitochondrion)</v>
      </c>
      <c r="BB224" s="2" t="str">
        <f>HYPERLINK("http://www.ncbi.nlm.nih.gov/sutils/blink.cgi?pid=YP_009176732.1","1E-125")</f>
        <v>1E-125</v>
      </c>
      <c r="BC224" s="2" t="str">
        <f>HYPERLINK("http://www.ncbi.nlm.nih.gov/protein/YP_009176732.1","YP_009176732.1")</f>
        <v>YP_009176732.1</v>
      </c>
      <c r="BD224" s="2">
        <v>100</v>
      </c>
      <c r="BE224" s="2">
        <v>100</v>
      </c>
      <c r="BF224" s="2">
        <v>100</v>
      </c>
      <c r="BG224" s="2" t="s">
        <v>3021</v>
      </c>
      <c r="BH224" s="9" t="str">
        <f>HYPERLINK(".\links\REFSEQ-PROTOZOA\AGAP028370-PA-REFSEQ-PROTOZOA.txt","ATP synthase F0 subunit a (mitochondrion)")</f>
        <v>ATP synthase F0 subunit a (mitochondrion)</v>
      </c>
      <c r="BI224" s="2" t="str">
        <f>HYPERLINK("http://www.ncbi.nlm.nih.gov/sutils/blink.cgi?pid=YP_009092450.1","2E-028")</f>
        <v>2E-028</v>
      </c>
      <c r="BJ224" s="2" t="str">
        <f>HYPERLINK("http://www.ncbi.nlm.nih.gov/protein/YP_009092450.1","YP_009092450.1")</f>
        <v>YP_009092450.1</v>
      </c>
      <c r="BK224" s="2">
        <v>37</v>
      </c>
      <c r="BL224" s="2">
        <v>60</v>
      </c>
      <c r="BM224" s="2">
        <v>76</v>
      </c>
      <c r="BN224" s="2" t="s">
        <v>3034</v>
      </c>
      <c r="BO224" s="9" t="str">
        <f>HYPERLINK(".\links\SWISSP\AGAP028370-PA-SWISSP.txt","ATP synthase subunit a")</f>
        <v>ATP synthase subunit a</v>
      </c>
      <c r="BP224" s="2" t="str">
        <f>HYPERLINK("http://www.uniprot.org/uniprot/P34834","1E-126")</f>
        <v>1E-126</v>
      </c>
      <c r="BQ224" s="2" t="str">
        <f>HYPERLINK("http://www.uniprot.org/uniprot/P34834#expression","P34834")</f>
        <v>P34834</v>
      </c>
      <c r="BR224" s="2">
        <v>100</v>
      </c>
      <c r="BS224" s="2">
        <v>100</v>
      </c>
      <c r="BT224" s="2">
        <v>100</v>
      </c>
      <c r="BU224" s="2" t="s">
        <v>215</v>
      </c>
      <c r="BV224" s="9" t="str">
        <f>HYPERLINK(".\links\FLYBASE\AGAP028370-PA-FLYBASE.txt","FBpp0390630")</f>
        <v>FBpp0390630</v>
      </c>
      <c r="BW224" s="2" t="str">
        <f>HYPERLINK("http://flybase.org/reports/FBgn0013672#alliance_summary_container","1E-130")</f>
        <v>1E-130</v>
      </c>
      <c r="BX224" s="2">
        <v>224</v>
      </c>
      <c r="BY224" s="2">
        <v>84</v>
      </c>
      <c r="BZ224" s="2">
        <v>92</v>
      </c>
      <c r="CA224" s="2">
        <v>101</v>
      </c>
      <c r="CB224" s="9" t="str">
        <f>HYPERLINK(".\links\CDD\AGAP028370-PA-CDD.txt","ATP6, ATP synthase F0 subunit 6")</f>
        <v>ATP6, ATP synthase F0 subunit 6</v>
      </c>
      <c r="CC224" s="13">
        <v>6.0000000000000004E-91</v>
      </c>
      <c r="CD224" s="2">
        <v>101.3</v>
      </c>
      <c r="CE224" s="2" t="s">
        <v>3035</v>
      </c>
      <c r="CF224" s="2" t="s">
        <v>3036</v>
      </c>
      <c r="CG224" s="9" t="str">
        <f>HYPERLINK(".\links\KOG\AGAP028370-PA-KOG.txt","ATP synthase F0 subunit 6 and related proteins")</f>
        <v>ATP synthase F0 subunit 6 and related proteins</v>
      </c>
      <c r="CH224" s="13">
        <v>1.9999999999999999E-44</v>
      </c>
      <c r="CI224" s="2">
        <v>92.5</v>
      </c>
      <c r="CJ224" s="2" t="s">
        <v>3037</v>
      </c>
      <c r="CK224" s="2" t="s">
        <v>155</v>
      </c>
      <c r="CL224" s="9" t="str">
        <f>HYPERLINK(".\links\PFAM\AGAP028370-PA-PFAM.txt","ATP-synt_A, ATP synthase A chain")</f>
        <v>ATP-synt_A, ATP synthase A chain</v>
      </c>
      <c r="CM224" s="13">
        <v>2.0000000000000001E-26</v>
      </c>
      <c r="CN224" s="2">
        <v>92.2</v>
      </c>
      <c r="CO224" s="2" t="s">
        <v>3038</v>
      </c>
      <c r="CP224" s="9" t="str">
        <f>HYPERLINK(".\links\SMART\AGAP028370-PA-SMART.txt","POLBc, DNA polymerase type-B family")</f>
        <v>POLBc, DNA polymerase type-B family</v>
      </c>
      <c r="CQ224" s="13">
        <v>2.2000000000000002</v>
      </c>
      <c r="CR224" s="2">
        <v>21.3</v>
      </c>
      <c r="CS224" s="2" t="s">
        <v>2731</v>
      </c>
      <c r="CT224" s="2" t="s">
        <v>3031</v>
      </c>
      <c r="CU224" s="2" t="s">
        <v>3031</v>
      </c>
      <c r="CV224" s="2" t="s">
        <v>3031</v>
      </c>
      <c r="CW224" s="2" t="str">
        <f>HYPERLINK(".\links\pep\AGAP028370-PA-pep.txt","AGAP028370-PA")</f>
        <v>AGAP028370-PA</v>
      </c>
      <c r="CX224" s="2" t="s">
        <v>88</v>
      </c>
      <c r="CY224" s="2">
        <v>226</v>
      </c>
      <c r="CZ224" s="2" t="s">
        <v>103</v>
      </c>
      <c r="DA224" s="2">
        <v>0</v>
      </c>
      <c r="DB224" s="2">
        <v>1</v>
      </c>
      <c r="DD224" s="2" t="str">
        <f>HYPERLINK("https://www.kegg.jp/kegg-bin/search_pathway_text?map=aga&amp;keyword=AGAP028370&amp;mode=1&amp;viewImage=true","AGAP028370")</f>
        <v>AGAP028370</v>
      </c>
      <c r="DE224" s="2" t="s">
        <v>3027</v>
      </c>
      <c r="DF224" s="2" t="s">
        <v>3028</v>
      </c>
      <c r="DG224" s="2" t="s">
        <v>89</v>
      </c>
      <c r="DH224" s="2" t="str">
        <f>HYPERLINK("https://vectorbase.org/vectorbase/app/record/gene/AGAP028370","AGAP028370-RA")</f>
        <v>AGAP028370-RA</v>
      </c>
      <c r="DI224" s="2" t="s">
        <v>140</v>
      </c>
      <c r="DJ224" s="2">
        <v>681</v>
      </c>
      <c r="DK224" s="2" t="str">
        <f>HYPERLINK(".\links\netoglyc\AGAP028370-PA-netoglyc.txt","0")</f>
        <v>0</v>
      </c>
      <c r="DL224" s="2">
        <v>18.100000000000001</v>
      </c>
      <c r="DM224" s="2">
        <v>4.9000000000000004</v>
      </c>
      <c r="DN224" s="2">
        <v>5.3</v>
      </c>
      <c r="DO224" s="2" t="s">
        <v>94</v>
      </c>
      <c r="DP224" s="2" t="s">
        <v>89</v>
      </c>
      <c r="DQ224" s="2" t="str">
        <f>HYPERLINK(".\links\Sigp\AGAP028370-PA-SigP.txt","CYT")</f>
        <v>CYT</v>
      </c>
      <c r="DR224" s="2" t="s">
        <v>89</v>
      </c>
      <c r="DS224" s="2">
        <v>25.28</v>
      </c>
      <c r="DT224" s="2">
        <v>7.06</v>
      </c>
      <c r="DU224" s="2" t="s">
        <v>89</v>
      </c>
      <c r="DV224" s="2" t="s">
        <v>89</v>
      </c>
      <c r="DW224" s="2" t="s">
        <v>3033</v>
      </c>
      <c r="DX224" s="2">
        <v>226</v>
      </c>
      <c r="DY224" s="12" t="str">
        <f>HYPERLINK(".\links\tmhmm\AGAP028370-PA-tmhmm.txt","5")</f>
        <v>5</v>
      </c>
      <c r="DZ224" s="2">
        <v>46</v>
      </c>
      <c r="EA224" s="2">
        <v>38.9</v>
      </c>
      <c r="EB224" s="2">
        <v>15</v>
      </c>
      <c r="EC224" s="2" t="str">
        <f>HYPERLINK(".\links\gpi\AGAP028370-PA-gpi.txt","N")</f>
        <v>N</v>
      </c>
      <c r="ED224" s="2">
        <v>0.56000000000000005</v>
      </c>
      <c r="EF224" s="2">
        <v>1</v>
      </c>
      <c r="EG224" s="2" t="s">
        <v>89</v>
      </c>
      <c r="EH224" s="2" t="s">
        <v>89</v>
      </c>
      <c r="EI224" s="2">
        <v>18.141592920354</v>
      </c>
      <c r="EJ224" s="2">
        <v>5.3097345132743401</v>
      </c>
      <c r="EK224" s="2">
        <v>4.8672566371681398</v>
      </c>
      <c r="EL224" s="2">
        <v>10.1769911504425</v>
      </c>
      <c r="EM224" s="2" t="s">
        <v>89</v>
      </c>
      <c r="EN224" s="2" t="s">
        <v>89</v>
      </c>
      <c r="EO224" s="2">
        <v>1</v>
      </c>
      <c r="EP224" s="2" t="s">
        <v>89</v>
      </c>
      <c r="EQ224" s="2" t="s">
        <v>89</v>
      </c>
      <c r="ER224" s="2" t="s">
        <v>89</v>
      </c>
      <c r="ES224" s="2" t="s">
        <v>89</v>
      </c>
      <c r="ET224" s="2" t="str">
        <f>HYPERLINK(".\links\REFSEQ-INVERTEBRATE\AGAP028370-PA-REFSEQ-INVERTEBRATE.txt","ATP6 gene product (mitochondrion)")</f>
        <v>ATP6 gene product (mitochondrion)</v>
      </c>
      <c r="EU224" s="2" t="str">
        <f>HYPERLINK("http://www.ncbi.nlm.nih.gov/sutils/blink.cgi?pid=NP_008073.1","1E-157")</f>
        <v>1E-157</v>
      </c>
      <c r="EV224" s="2" t="str">
        <f>HYPERLINK("http://www.ncbi.nlm.nih.gov/protein/NP_008073.1","NP_008073.1")</f>
        <v>NP_008073.1</v>
      </c>
      <c r="EW224" s="2">
        <v>100</v>
      </c>
      <c r="EX224" s="2">
        <v>100</v>
      </c>
      <c r="EY224" s="2">
        <v>100</v>
      </c>
      <c r="EZ224" s="2" t="s">
        <v>215</v>
      </c>
    </row>
    <row r="225" spans="1:156" x14ac:dyDescent="0.25">
      <c r="A225" s="2" t="s">
        <v>2403</v>
      </c>
      <c r="B225" s="2">
        <v>-1.1016078582886699</v>
      </c>
      <c r="C225" s="2">
        <f t="shared" si="3"/>
        <v>0.46599686094184789</v>
      </c>
      <c r="D225" s="2">
        <v>5.7038899782202996</v>
      </c>
      <c r="E225" s="2">
        <v>24.261955123278899</v>
      </c>
      <c r="F225" s="2">
        <v>8.4083559053142804E-7</v>
      </c>
      <c r="G225" s="2">
        <v>3.7301568884950498E-4</v>
      </c>
      <c r="H225" s="2" t="s">
        <v>2404</v>
      </c>
      <c r="I225" s="2" t="s">
        <v>87</v>
      </c>
      <c r="J225" s="2" t="str">
        <f>HYPERLINK("https://vectorbase.org/vectorbase/app/record/gene/AGAP010072","AGAP010072-RA")</f>
        <v>AGAP010072-RA</v>
      </c>
      <c r="K225" s="2" t="str">
        <f>HYPERLINK(".\links\pep\AGAP010072-PA-pep.txt","AGAP010072-PA")</f>
        <v>AGAP010072-PA</v>
      </c>
      <c r="L225" s="12" t="s">
        <v>88</v>
      </c>
      <c r="M225" s="2">
        <v>140</v>
      </c>
      <c r="N225" s="2">
        <v>0</v>
      </c>
      <c r="O225" s="2">
        <v>0</v>
      </c>
      <c r="P225" s="2" t="s">
        <v>2405</v>
      </c>
      <c r="Q225" s="9" t="s">
        <v>2406</v>
      </c>
      <c r="R225" s="2" t="s">
        <v>145</v>
      </c>
      <c r="S225" s="2" t="str">
        <f>HYPERLINK(".\links\KOG\AGAP010072-PA-KOG.txt","KOG")</f>
        <v>KOG</v>
      </c>
      <c r="T225" s="2">
        <v>3.0000000000000003E-39</v>
      </c>
      <c r="U225" s="2">
        <v>70.3</v>
      </c>
      <c r="V225" s="2" t="s">
        <v>2407</v>
      </c>
      <c r="W225" s="10" t="s">
        <v>2408</v>
      </c>
      <c r="X225" s="2" t="s">
        <v>145</v>
      </c>
      <c r="Y225" s="2" t="str">
        <f>HYPERLINK(".\links\REFSEQVERTEBRATE95\AGAP010072-PA-REFSEQVERTEBRATE95.txt","REFSEQVERTEBRATE95")</f>
        <v>REFSEQVERTEBRATE95</v>
      </c>
      <c r="Z225" s="13">
        <v>2E-50</v>
      </c>
      <c r="AA225" s="2">
        <v>72.099999999999994</v>
      </c>
      <c r="AB225" s="14" t="s">
        <v>89</v>
      </c>
      <c r="AC225" s="14" t="str">
        <f>HYPERLINK(".\links\Sigp\AGAP010072-PA-SigP.txt","SIG")</f>
        <v>SIG</v>
      </c>
      <c r="AD225" s="2" t="s">
        <v>2409</v>
      </c>
      <c r="AE225" s="2">
        <v>15.233000000000001</v>
      </c>
      <c r="AF225" s="2">
        <v>7.57</v>
      </c>
      <c r="AG225" s="2">
        <v>11.714</v>
      </c>
      <c r="AH225" s="2">
        <v>5.31</v>
      </c>
      <c r="AI225" s="2" t="s">
        <v>373</v>
      </c>
      <c r="AJ225" s="14">
        <v>0</v>
      </c>
      <c r="AK225" s="2" t="s">
        <v>89</v>
      </c>
      <c r="AL225" s="2" t="s">
        <v>89</v>
      </c>
      <c r="AM225" s="2" t="s">
        <v>89</v>
      </c>
      <c r="AN225" s="14" t="str">
        <f>HYPERLINK(".\links\gpi\AGAP010072-PA-gpi.txt","N")</f>
        <v>N</v>
      </c>
      <c r="AO225" s="15" t="str">
        <f>HYPERLINK(".\links\netoglyc\AGAP010072-PA-netoglyc.txt","0")</f>
        <v>0</v>
      </c>
      <c r="AP225" s="14">
        <v>15</v>
      </c>
      <c r="AQ225" s="2">
        <v>7.9</v>
      </c>
      <c r="AR225" s="2">
        <v>1.4</v>
      </c>
      <c r="AS225" s="2" t="s">
        <v>94</v>
      </c>
      <c r="AT225" s="9" t="str">
        <f>HYPERLINK(".\links\NR-LIGHT\AGAP010072-PA-NR-LIGHT.txt","AGAP010072-PA")</f>
        <v>AGAP010072-PA</v>
      </c>
      <c r="AU225" s="2" t="str">
        <f>HYPERLINK("http://www.ncbi.nlm.nih.gov/sutils/blink.cgi?pid=XP_319229.4","3E-073")</f>
        <v>3E-073</v>
      </c>
      <c r="AV225" s="2" t="str">
        <f>HYPERLINK("http://www.ncbi.nlm.nih.gov/protein/XP_319229.4","XP_319229.4")</f>
        <v>XP_319229.4</v>
      </c>
      <c r="AW225" s="2">
        <v>100</v>
      </c>
      <c r="AX225" s="2">
        <v>100</v>
      </c>
      <c r="AY225" s="2">
        <v>100</v>
      </c>
      <c r="AZ225" s="2" t="s">
        <v>95</v>
      </c>
      <c r="BA225" s="9" t="str">
        <f>HYPERLINK(".\links\REFSEQ-INVERTEBRATE\AGAP010072-PA-REFSEQ-INVERTEBRATE.txt","AGAP010072-PA")</f>
        <v>AGAP010072-PA</v>
      </c>
      <c r="BB225" s="2" t="str">
        <f>HYPERLINK("http://www.ncbi.nlm.nih.gov/sutils/blink.cgi?pid=XP_319229.4","2E-073")</f>
        <v>2E-073</v>
      </c>
      <c r="BC225" s="2" t="str">
        <f>HYPERLINK("http://www.ncbi.nlm.nih.gov/protein/XP_319229.4","XP_319229.4")</f>
        <v>XP_319229.4</v>
      </c>
      <c r="BD225" s="2">
        <v>100</v>
      </c>
      <c r="BE225" s="2">
        <v>100</v>
      </c>
      <c r="BF225" s="2">
        <v>100</v>
      </c>
      <c r="BG225" s="2" t="s">
        <v>95</v>
      </c>
      <c r="BH225" s="9" t="str">
        <f>HYPERLINK(".\links\REFSEQ-PROTOZOA\AGAP010072-PA-REFSEQ-PROTOZOA.txt","unnamed protein product")</f>
        <v>unnamed protein product</v>
      </c>
      <c r="BI225" s="2" t="str">
        <f>HYPERLINK("http://www.ncbi.nlm.nih.gov/sutils/blink.cgi?pid=XP_005716304.1","5E-024")</f>
        <v>5E-024</v>
      </c>
      <c r="BJ225" s="2" t="str">
        <f>HYPERLINK("http://www.ncbi.nlm.nih.gov/protein/XP_005716304.1","XP_005716304.1")</f>
        <v>XP_005716304.1</v>
      </c>
      <c r="BK225" s="2">
        <v>41</v>
      </c>
      <c r="BL225" s="2">
        <v>60</v>
      </c>
      <c r="BM225" s="2">
        <v>100</v>
      </c>
      <c r="BN225" s="2" t="s">
        <v>2410</v>
      </c>
      <c r="BO225" s="9" t="str">
        <f>HYPERLINK(".\links\SWISSP\AGAP010072-PA-SWISSP.txt","Iron-sulfur cluster assembly 2 homolog, mitochondrial")</f>
        <v>Iron-sulfur cluster assembly 2 homolog, mitochondrial</v>
      </c>
      <c r="BP225" s="2" t="str">
        <f>HYPERLINK("http://www.uniprot.org/uniprot/Q9DCB8","2E-031")</f>
        <v>2E-031</v>
      </c>
      <c r="BQ225" s="2" t="str">
        <f>HYPERLINK("http://www.uniprot.org/uniprot/Q9DCB8#expression","Q9DCB8")</f>
        <v>Q9DCB8</v>
      </c>
      <c r="BR225" s="2">
        <v>45</v>
      </c>
      <c r="BS225" s="2">
        <v>69</v>
      </c>
      <c r="BT225" s="2">
        <v>92</v>
      </c>
      <c r="BU225" s="2" t="s">
        <v>566</v>
      </c>
      <c r="BV225" s="9" t="str">
        <f>HYPERLINK(".\links\FLYBASE\AGAP010072-PA-FLYBASE.txt","FBpp0306445")</f>
        <v>FBpp0306445</v>
      </c>
      <c r="BW225" s="2" t="str">
        <f>HYPERLINK("http://flybase.org/reports/FBgn0039205#alliance_summary_container","6E-49")</f>
        <v>6E-49</v>
      </c>
      <c r="BX225" s="2">
        <v>139</v>
      </c>
      <c r="BY225" s="2">
        <v>57</v>
      </c>
      <c r="BZ225" s="2">
        <v>75</v>
      </c>
      <c r="CA225" s="2">
        <v>91</v>
      </c>
      <c r="CB225" s="9" t="str">
        <f>HYPERLINK(".\links\CDD\AGAP010072-PA-CDD.txt","Uncharacterized_protein_in_nifU_5'region, Iron-sulfur cluster assembly accessory protein")</f>
        <v>Uncharacterized_protein_in_nifU_5'region, Iron-sulfur cluster assembly accessory protein</v>
      </c>
      <c r="CC225" s="13">
        <v>2.0000000000000002E-30</v>
      </c>
      <c r="CD225" s="2">
        <v>101</v>
      </c>
      <c r="CE225" s="2" t="s">
        <v>650</v>
      </c>
      <c r="CF225" s="2" t="s">
        <v>2411</v>
      </c>
      <c r="CG225" s="9" t="str">
        <f>HYPERLINK(".\links\KOG\AGAP010072-PA-KOG.txt","Mitochondrial Fe-S cluster biosynthesis protein ISA2 (contains a HesB-like domain)")</f>
        <v>Mitochondrial Fe-S cluster biosynthesis protein ISA2 (contains a HesB-like domain)</v>
      </c>
      <c r="CH225" s="13">
        <v>3.0000000000000003E-39</v>
      </c>
      <c r="CI225" s="2">
        <v>70.400000000000006</v>
      </c>
      <c r="CJ225" s="2" t="s">
        <v>2412</v>
      </c>
      <c r="CK225" s="2" t="s">
        <v>2413</v>
      </c>
      <c r="CL225" s="9" t="str">
        <f>HYPERLINK(".\links\PFAM\AGAP010072-PA-PFAM.txt","Fe-S_biosyn, Iron-sulphur cluster biosynthesis")</f>
        <v>Fe-S_biosyn, Iron-sulphur cluster biosynthesis</v>
      </c>
      <c r="CM225" s="13">
        <v>8.0000000000000005E-9</v>
      </c>
      <c r="CN225" s="2">
        <v>98.2</v>
      </c>
      <c r="CO225" s="2" t="s">
        <v>654</v>
      </c>
      <c r="CP225" s="9" t="str">
        <f>HYPERLINK(".\links\SMART\AGAP010072-PA-SMART.txt","HECTc, Domain Homologous to E6-AP Carboxyl Terminus with")</f>
        <v>HECTc, Domain Homologous to E6-AP Carboxyl Terminus with</v>
      </c>
      <c r="CQ225" s="13">
        <v>9.8000000000000004E-2</v>
      </c>
      <c r="CR225" s="2">
        <v>6.1</v>
      </c>
      <c r="CS225" s="2" t="s">
        <v>2414</v>
      </c>
      <c r="CT225" s="2" t="s">
        <v>2407</v>
      </c>
      <c r="CU225" s="2" t="s">
        <v>2407</v>
      </c>
      <c r="CV225" s="2" t="s">
        <v>2407</v>
      </c>
      <c r="CW225" s="2" t="str">
        <f>HYPERLINK(".\links\pep\AGAP010072-PA-pep.txt","AGAP010072-PA")</f>
        <v>AGAP010072-PA</v>
      </c>
      <c r="CX225" s="2" t="s">
        <v>88</v>
      </c>
      <c r="CY225" s="2">
        <v>140</v>
      </c>
      <c r="CZ225" s="2" t="s">
        <v>103</v>
      </c>
      <c r="DA225" s="2" t="s">
        <v>2415</v>
      </c>
      <c r="DB225" s="2">
        <v>0</v>
      </c>
      <c r="DC225" s="2">
        <v>0</v>
      </c>
      <c r="DD225" s="2" t="str">
        <f>HYPERLINK("https://www.kegg.jp/kegg-bin/search_pathway_text?map=aga&amp;keyword=AGAP010072&amp;mode=1&amp;viewImage=true","AGAP010072")</f>
        <v>AGAP010072</v>
      </c>
      <c r="DE225" s="2" t="s">
        <v>2403</v>
      </c>
      <c r="DF225" s="2" t="s">
        <v>2404</v>
      </c>
      <c r="DG225" s="2" t="s">
        <v>87</v>
      </c>
      <c r="DH225" s="2" t="str">
        <f>HYPERLINK("https://vectorbase.org/vectorbase/app/record/gene/AGAP010072","AGAP010072-RA")</f>
        <v>AGAP010072-RA</v>
      </c>
      <c r="DI225" s="2" t="s">
        <v>105</v>
      </c>
      <c r="DJ225" s="2">
        <v>615</v>
      </c>
      <c r="DK225" s="2" t="str">
        <f>HYPERLINK(".\links\netoglyc\AGAP010072-PA-netoglyc.txt","0")</f>
        <v>0</v>
      </c>
      <c r="DL225" s="2">
        <v>15</v>
      </c>
      <c r="DM225" s="2">
        <v>7.9</v>
      </c>
      <c r="DN225" s="2">
        <v>1.4</v>
      </c>
      <c r="DO225" s="2" t="s">
        <v>94</v>
      </c>
      <c r="DP225" s="2" t="s">
        <v>89</v>
      </c>
      <c r="DQ225" s="2" t="str">
        <f>HYPERLINK(".\links\Sigp\AGAP010072-PA-SigP.txt","SIG")</f>
        <v>SIG</v>
      </c>
      <c r="DR225" s="2" t="s">
        <v>2409</v>
      </c>
      <c r="DS225" s="2">
        <v>15.233000000000001</v>
      </c>
      <c r="DT225" s="2">
        <v>7.57</v>
      </c>
      <c r="DU225" s="2">
        <v>11.714</v>
      </c>
      <c r="DV225" s="2">
        <v>5.31</v>
      </c>
      <c r="DW225" s="2" t="s">
        <v>373</v>
      </c>
      <c r="DX225" s="2">
        <v>140</v>
      </c>
      <c r="DY225" s="12">
        <v>0</v>
      </c>
      <c r="DZ225" s="2" t="s">
        <v>89</v>
      </c>
      <c r="EA225" s="2" t="s">
        <v>89</v>
      </c>
      <c r="EB225" s="2" t="s">
        <v>89</v>
      </c>
      <c r="EC225" s="2" t="str">
        <f>HYPERLINK(".\links\gpi\AGAP010072-PA-gpi.txt","Y-NoSP")</f>
        <v>Y-NoSP</v>
      </c>
      <c r="ED225" s="2">
        <v>0.32</v>
      </c>
      <c r="EF225" s="2">
        <v>6</v>
      </c>
      <c r="EG225" s="2" t="s">
        <v>89</v>
      </c>
      <c r="EH225" s="2" t="s">
        <v>89</v>
      </c>
      <c r="EI225" s="2">
        <v>15</v>
      </c>
      <c r="EJ225" s="2">
        <v>1.4285714285714299</v>
      </c>
      <c r="EK225" s="2">
        <v>7.8571428571428603</v>
      </c>
      <c r="EL225" s="2">
        <v>9.28571428571429</v>
      </c>
      <c r="EM225" s="2" t="s">
        <v>89</v>
      </c>
      <c r="EN225" s="2" t="s">
        <v>89</v>
      </c>
      <c r="EO225" s="2" t="s">
        <v>89</v>
      </c>
      <c r="EP225" s="2" t="s">
        <v>89</v>
      </c>
      <c r="EQ225" s="2" t="s">
        <v>89</v>
      </c>
      <c r="ER225" s="2" t="s">
        <v>89</v>
      </c>
      <c r="ES225" s="2" t="s">
        <v>89</v>
      </c>
      <c r="ET225" s="2" t="str">
        <f>HYPERLINK(".\links\REFSEQ-INVERTEBRATE\AGAP010072-PA-REFSEQ-INVERTEBRATE.txt","AGAP010072-PA")</f>
        <v>AGAP010072-PA</v>
      </c>
      <c r="EU225" s="2" t="str">
        <f>HYPERLINK("http://www.ncbi.nlm.nih.gov/sutils/blink.cgi?pid=XP_319229.4","3E-98")</f>
        <v>3E-98</v>
      </c>
      <c r="EV225" s="2" t="str">
        <f>HYPERLINK("http://www.ncbi.nlm.nih.gov/protein/XP_319229.4","XP_319229.4")</f>
        <v>XP_319229.4</v>
      </c>
      <c r="EW225" s="2">
        <v>100</v>
      </c>
      <c r="EX225" s="2">
        <v>100</v>
      </c>
      <c r="EY225" s="2">
        <v>100</v>
      </c>
      <c r="EZ225" s="2" t="s">
        <v>95</v>
      </c>
    </row>
    <row r="226" spans="1:156" x14ac:dyDescent="0.25">
      <c r="A226" s="2" t="s">
        <v>3054</v>
      </c>
      <c r="B226" s="2">
        <v>-1.1052503026198801</v>
      </c>
      <c r="C226" s="2">
        <f t="shared" si="3"/>
        <v>0.46482181932590161</v>
      </c>
      <c r="D226" s="2">
        <v>10.213765602945699</v>
      </c>
      <c r="E226" s="2">
        <v>23.025302616225598</v>
      </c>
      <c r="F226" s="2">
        <v>1.5988322444787201E-6</v>
      </c>
      <c r="G226" s="2">
        <v>5.6742556356549796E-4</v>
      </c>
      <c r="H226" s="2" t="s">
        <v>3055</v>
      </c>
      <c r="I226" s="2" t="s">
        <v>89</v>
      </c>
      <c r="J226" s="2" t="str">
        <f>HYPERLINK("https://vectorbase.org/vectorbase/app/record/gene/AGAP028380","AGAP028380-RA")</f>
        <v>AGAP028380-RA</v>
      </c>
      <c r="K226" s="2" t="str">
        <f>HYPERLINK(".\links\pep\AGAP028380-PA-pep.txt","AGAP028380-PA")</f>
        <v>AGAP028380-PA</v>
      </c>
      <c r="L226" s="12" t="s">
        <v>88</v>
      </c>
      <c r="M226" s="2">
        <v>580</v>
      </c>
      <c r="N226" s="2">
        <v>0</v>
      </c>
      <c r="O226" s="2">
        <v>0</v>
      </c>
      <c r="P226" s="2" t="s">
        <v>3056</v>
      </c>
      <c r="Q226" s="9" t="s">
        <v>3057</v>
      </c>
      <c r="R226" s="2" t="s">
        <v>3043</v>
      </c>
      <c r="S226" s="2" t="str">
        <f>HYPERLINK(".\links\KOG\AGAP028380-PA-KOG.txt","KOG")</f>
        <v>KOG</v>
      </c>
      <c r="T226" s="2">
        <v>1E-58</v>
      </c>
      <c r="U226" s="2">
        <v>100.8</v>
      </c>
      <c r="V226" s="2" t="s">
        <v>3058</v>
      </c>
      <c r="W226" s="10" t="s">
        <v>3059</v>
      </c>
      <c r="X226" s="2" t="s">
        <v>3043</v>
      </c>
      <c r="Y226" s="2" t="str">
        <f>HYPERLINK(".\links\COG\AGAP028380-PA-COG.txt","COG")</f>
        <v>COG</v>
      </c>
      <c r="Z226" s="13">
        <v>2.9999999999999999E-50</v>
      </c>
      <c r="AA226" s="2">
        <v>63.8</v>
      </c>
      <c r="AB226" s="14" t="s">
        <v>89</v>
      </c>
      <c r="AC226" s="14" t="str">
        <f>HYPERLINK(".\links\Sigp\AGAP028380-PA-SigP.txt","CYT")</f>
        <v>CYT</v>
      </c>
      <c r="AD226" s="2" t="s">
        <v>89</v>
      </c>
      <c r="AE226" s="2">
        <v>66.302999999999997</v>
      </c>
      <c r="AF226" s="2">
        <v>6.5</v>
      </c>
      <c r="AG226" s="2" t="s">
        <v>89</v>
      </c>
      <c r="AH226" s="2" t="s">
        <v>89</v>
      </c>
      <c r="AI226" s="2" t="s">
        <v>3060</v>
      </c>
      <c r="AJ226" s="14" t="str">
        <f>HYPERLINK(".\links\tmhmm\AGAP028380-PA-tmhmm.txt","16")</f>
        <v>16</v>
      </c>
      <c r="AK226" s="2">
        <v>58.8</v>
      </c>
      <c r="AL226" s="2">
        <v>21</v>
      </c>
      <c r="AM226" s="2">
        <v>20.2</v>
      </c>
      <c r="AN226" s="14" t="str">
        <f>HYPERLINK(".\links\gpi\AGAP028380-PA-gpi.txt","Y")</f>
        <v>Y</v>
      </c>
      <c r="AO226" s="15" t="str">
        <f>HYPERLINK(".\links\netoglyc\AGAP028380-PA-netoglyc.txt","0")</f>
        <v>0</v>
      </c>
      <c r="AP226" s="14">
        <v>13.6</v>
      </c>
      <c r="AQ226" s="2">
        <v>5.5</v>
      </c>
      <c r="AR226" s="2">
        <v>2.1</v>
      </c>
      <c r="AS226" s="2" t="s">
        <v>94</v>
      </c>
      <c r="AT226" s="9" t="str">
        <f>HYPERLINK(".\links\NR-LIGHT\AGAP028380-PA-NR-LIGHT.txt","ND5 gene product (mitochondrion)")</f>
        <v>ND5 gene product (mitochondrion)</v>
      </c>
      <c r="AU226" s="2" t="str">
        <f>HYPERLINK("http://www.ncbi.nlm.nih.gov/sutils/blink.cgi?pid=NP_008076.1","0.0")</f>
        <v>0.0</v>
      </c>
      <c r="AV226" s="2" t="str">
        <f>HYPERLINK("http://www.ncbi.nlm.nih.gov/protein/NP_008076.1","NP_008076.1")</f>
        <v>NP_008076.1</v>
      </c>
      <c r="AW226" s="2">
        <v>100</v>
      </c>
      <c r="AX226" s="2">
        <v>100</v>
      </c>
      <c r="AY226" s="2">
        <v>100</v>
      </c>
      <c r="AZ226" s="2" t="s">
        <v>215</v>
      </c>
      <c r="BA226" s="9" t="str">
        <f>HYPERLINK(".\links\REFSEQ-INVERTEBRATE\AGAP028380-PA-REFSEQ-INVERTEBRATE.txt","ND5 gene product (mitochondrion)")</f>
        <v>ND5 gene product (mitochondrion)</v>
      </c>
      <c r="BB226" s="2" t="str">
        <f>HYPERLINK("http://www.ncbi.nlm.nih.gov/sutils/blink.cgi?pid=NP_008076.1","0.0")</f>
        <v>0.0</v>
      </c>
      <c r="BC226" s="2" t="str">
        <f>HYPERLINK("http://www.ncbi.nlm.nih.gov/protein/NP_008076.1","NP_008076.1")</f>
        <v>NP_008076.1</v>
      </c>
      <c r="BD226" s="2">
        <v>100</v>
      </c>
      <c r="BE226" s="2">
        <v>100</v>
      </c>
      <c r="BF226" s="2">
        <v>100</v>
      </c>
      <c r="BG226" s="2" t="s">
        <v>215</v>
      </c>
      <c r="BH226" s="9" t="str">
        <f>HYPERLINK(".\links\REFSEQ-PROTOZOA\AGAP028380-PA-REFSEQ-PROTOZOA.txt","NADH dehydrogenase subunit 5 (mitochondrion)")</f>
        <v>NADH dehydrogenase subunit 5 (mitochondrion)</v>
      </c>
      <c r="BI226" s="2" t="str">
        <f>HYPERLINK("http://www.ncbi.nlm.nih.gov/sutils/blink.cgi?pid=YP_009325894.1","3E-081")</f>
        <v>3E-081</v>
      </c>
      <c r="BJ226" s="2" t="str">
        <f>HYPERLINK("http://www.ncbi.nlm.nih.gov/protein/YP_009325894.1","YP_009325894.1")</f>
        <v>YP_009325894.1</v>
      </c>
      <c r="BK226" s="2">
        <v>35</v>
      </c>
      <c r="BL226" s="2">
        <v>53</v>
      </c>
      <c r="BM226" s="2">
        <v>93</v>
      </c>
      <c r="BN226" s="2" t="s">
        <v>3061</v>
      </c>
      <c r="BO226" s="9" t="str">
        <f>HYPERLINK(".\links\SWISSP\AGAP028380-PA-SWISSP.txt","NADH-ubiquinone oxidoreductase chain 5")</f>
        <v>NADH-ubiquinone oxidoreductase chain 5</v>
      </c>
      <c r="BP226" s="2" t="str">
        <f>HYPERLINK("http://www.uniprot.org/uniprot/P34854","0.0")</f>
        <v>0.0</v>
      </c>
      <c r="BQ226" s="2" t="str">
        <f>HYPERLINK("http://www.uniprot.org/uniprot/P34854#expression","P34854")</f>
        <v>P34854</v>
      </c>
      <c r="BR226" s="2">
        <v>100</v>
      </c>
      <c r="BS226" s="2">
        <v>100</v>
      </c>
      <c r="BT226" s="2">
        <v>100</v>
      </c>
      <c r="BU226" s="2" t="s">
        <v>215</v>
      </c>
      <c r="BV226" s="9" t="str">
        <f>HYPERLINK(".\links\FLYBASE\AGAP028380-PA-FLYBASE.txt","FBpp0390633")</f>
        <v>FBpp0390633</v>
      </c>
      <c r="BW226" s="2" t="str">
        <f>HYPERLINK("http://flybase.org/reports/FBgn0013684#alliance_summary_container","0.0")</f>
        <v>0.0</v>
      </c>
      <c r="BX226" s="2">
        <v>572</v>
      </c>
      <c r="BY226" s="2">
        <v>77</v>
      </c>
      <c r="BZ226" s="2">
        <v>86</v>
      </c>
      <c r="CA226" s="2">
        <v>98</v>
      </c>
      <c r="CB226" s="9" t="str">
        <f>HYPERLINK(".\links\CDD\AGAP028380-PA-CDD.txt","ND5, NADH dehydrogenase subunit 5")</f>
        <v>ND5, NADH dehydrogenase subunit 5</v>
      </c>
      <c r="CC226" s="13">
        <v>0</v>
      </c>
      <c r="CD226" s="2">
        <v>100</v>
      </c>
      <c r="CE226" s="2" t="s">
        <v>3062</v>
      </c>
      <c r="CF226" s="2" t="s">
        <v>3063</v>
      </c>
      <c r="CG226" s="9" t="str">
        <f>HYPERLINK(".\links\KOG\AGAP028380-PA-KOG.txt","5, and related proteins")</f>
        <v>5, and related proteins</v>
      </c>
      <c r="CH226" s="13">
        <v>1E-58</v>
      </c>
      <c r="CI226" s="2">
        <v>100.8</v>
      </c>
      <c r="CJ226" s="2" t="s">
        <v>3064</v>
      </c>
      <c r="CK226" s="2" t="s">
        <v>155</v>
      </c>
      <c r="CL226" s="9" t="str">
        <f>HYPERLINK(".\links\PFAM\AGAP028380-PA-PFAM.txt","Proton_antipo_M, Proton-conducting membrane transporter")</f>
        <v>Proton_antipo_M, Proton-conducting membrane transporter</v>
      </c>
      <c r="CM226" s="13">
        <v>6E-57</v>
      </c>
      <c r="CN226" s="2">
        <v>100.3</v>
      </c>
      <c r="CO226" s="2" t="s">
        <v>3065</v>
      </c>
      <c r="CP226" s="9" t="str">
        <f>HYPERLINK(".\links\SMART\AGAP028380-PA-SMART.txt","MBT, Present in Drosophila Scm, l(3)mbt, and vertebrate SCML2")</f>
        <v>MBT, Present in Drosophila Scm, l(3)mbt, and vertebrate SCML2</v>
      </c>
      <c r="CQ226" s="13">
        <v>1.6</v>
      </c>
      <c r="CR226" s="2">
        <v>18.8</v>
      </c>
      <c r="CS226" s="2" t="s">
        <v>3066</v>
      </c>
      <c r="CT226" s="2" t="s">
        <v>3058</v>
      </c>
      <c r="CU226" s="2" t="s">
        <v>3058</v>
      </c>
      <c r="CV226" s="2" t="s">
        <v>3058</v>
      </c>
      <c r="CW226" s="2" t="str">
        <f>HYPERLINK(".\links\pep\AGAP028380-PA-pep.txt","AGAP028380-PA")</f>
        <v>AGAP028380-PA</v>
      </c>
      <c r="CX226" s="2" t="s">
        <v>3067</v>
      </c>
      <c r="CY226" s="2">
        <v>580</v>
      </c>
      <c r="CZ226" s="2" t="s">
        <v>103</v>
      </c>
      <c r="DA226" s="2">
        <v>0</v>
      </c>
      <c r="DB226" s="2">
        <v>0</v>
      </c>
      <c r="DD226" s="2" t="str">
        <f>HYPERLINK("https://www.kegg.jp/kegg-bin/search_pathway_text?map=aga&amp;keyword=AGAP028380&amp;mode=1&amp;viewImage=true","AGAP028380")</f>
        <v>AGAP028380</v>
      </c>
      <c r="DE226" s="2" t="s">
        <v>3054</v>
      </c>
      <c r="DF226" s="2" t="s">
        <v>3055</v>
      </c>
      <c r="DG226" s="2" t="s">
        <v>89</v>
      </c>
      <c r="DH226" s="2" t="str">
        <f>HYPERLINK("https://vectorbase.org/vectorbase/app/record/gene/AGAP028380","AGAP028380-RA")</f>
        <v>AGAP028380-RA</v>
      </c>
      <c r="DI226" s="2" t="s">
        <v>105</v>
      </c>
      <c r="DJ226" s="2">
        <v>1743</v>
      </c>
      <c r="DK226" s="2" t="str">
        <f>HYPERLINK(".\links\netoglyc\AGAP028380-PA-netoglyc.txt","0")</f>
        <v>0</v>
      </c>
      <c r="DL226" s="2">
        <v>13.6</v>
      </c>
      <c r="DM226" s="2">
        <v>5.5</v>
      </c>
      <c r="DN226" s="2">
        <v>2.1</v>
      </c>
      <c r="DO226" s="2" t="s">
        <v>94</v>
      </c>
      <c r="DP226" s="2" t="s">
        <v>89</v>
      </c>
      <c r="DQ226" s="2" t="str">
        <f>HYPERLINK(".\links\Sigp\AGAP028380-PA-SigP.txt","CYT")</f>
        <v>CYT</v>
      </c>
      <c r="DR226" s="2" t="s">
        <v>89</v>
      </c>
      <c r="DS226" s="2">
        <v>66.271000000000001</v>
      </c>
      <c r="DT226" s="2">
        <v>6.56</v>
      </c>
      <c r="DU226" s="2" t="s">
        <v>89</v>
      </c>
      <c r="DV226" s="2" t="s">
        <v>89</v>
      </c>
      <c r="DW226" s="2" t="s">
        <v>3068</v>
      </c>
      <c r="DX226" s="2">
        <v>580</v>
      </c>
      <c r="DY226" s="12" t="str">
        <f>HYPERLINK(".\links\tmhmm\AGAP028380-PA-tmhmm.txt","16")</f>
        <v>16</v>
      </c>
      <c r="DZ226" s="2">
        <v>58.8</v>
      </c>
      <c r="EA226" s="2">
        <v>21</v>
      </c>
      <c r="EB226" s="2">
        <v>20.2</v>
      </c>
      <c r="EC226" s="2" t="str">
        <f>HYPERLINK(".\links\gpi\AGAP028380-PA-gpi.txt","Y-NoSP")</f>
        <v>Y-NoSP</v>
      </c>
      <c r="ED226" s="2">
        <v>0.59</v>
      </c>
      <c r="EE226" s="2" t="s">
        <v>3069</v>
      </c>
      <c r="EF226" s="2">
        <v>10</v>
      </c>
      <c r="EG226" s="2" t="s">
        <v>89</v>
      </c>
      <c r="EH226" s="2" t="s">
        <v>89</v>
      </c>
      <c r="EI226" s="2">
        <v>13.6206896551724</v>
      </c>
      <c r="EJ226" s="2">
        <v>2.0689655172413799</v>
      </c>
      <c r="EK226" s="2">
        <v>5.5172413793103496</v>
      </c>
      <c r="EL226" s="2">
        <v>7.5862068965517198</v>
      </c>
      <c r="EM226" s="2" t="s">
        <v>89</v>
      </c>
      <c r="EN226" s="2" t="s">
        <v>89</v>
      </c>
      <c r="EO226" s="2" t="s">
        <v>89</v>
      </c>
      <c r="EP226" s="2" t="s">
        <v>89</v>
      </c>
      <c r="EQ226" s="2" t="s">
        <v>89</v>
      </c>
      <c r="ER226" s="2" t="s">
        <v>89</v>
      </c>
      <c r="ES226" s="2" t="s">
        <v>89</v>
      </c>
      <c r="ET226" s="2" t="str">
        <f>HYPERLINK(".\links\REFSEQ-INVERTEBRATE\AGAP028380-PA-REFSEQ-INVERTEBRATE.txt","ND5 gene product (mitochondrion)")</f>
        <v>ND5 gene product (mitochondrion)</v>
      </c>
      <c r="EU226" s="2" t="str">
        <f>HYPERLINK("http://www.ncbi.nlm.nih.gov/sutils/blink.cgi?pid=NP_008076.1","0.0")</f>
        <v>0.0</v>
      </c>
      <c r="EV226" s="2" t="str">
        <f>HYPERLINK("http://www.ncbi.nlm.nih.gov/protein/NP_008076.1","NP_008076.1")</f>
        <v>NP_008076.1</v>
      </c>
      <c r="EW226" s="2">
        <v>100</v>
      </c>
      <c r="EX226" s="2">
        <v>100</v>
      </c>
      <c r="EY226" s="2">
        <v>100</v>
      </c>
      <c r="EZ226" s="2" t="s">
        <v>215</v>
      </c>
    </row>
    <row r="227" spans="1:156" x14ac:dyDescent="0.25">
      <c r="A227" s="2" t="s">
        <v>2839</v>
      </c>
      <c r="B227" s="2">
        <v>-1.1059623696519201</v>
      </c>
      <c r="C227" s="2">
        <f t="shared" si="3"/>
        <v>0.46459245510417191</v>
      </c>
      <c r="D227" s="2">
        <v>5.4870621933254196</v>
      </c>
      <c r="E227" s="2">
        <v>13.7569977644639</v>
      </c>
      <c r="F227" s="2">
        <v>2.0804434250682599E-4</v>
      </c>
      <c r="G227" s="2">
        <v>1.4669192812385301E-2</v>
      </c>
      <c r="H227" s="2" t="s">
        <v>2840</v>
      </c>
      <c r="I227" s="2" t="s">
        <v>87</v>
      </c>
      <c r="J227" s="2" t="str">
        <f>HYPERLINK("https://vectorbase.org/vectorbase/app/record/gene/AGAP012396","AGAP012396-RA")</f>
        <v>AGAP012396-RA</v>
      </c>
      <c r="K227" s="2" t="str">
        <f>HYPERLINK(".\links\pep\AGAP012396-PA-pep.txt","AGAP012396-PA")</f>
        <v>AGAP012396-PA</v>
      </c>
      <c r="L227" s="12" t="s">
        <v>88</v>
      </c>
      <c r="M227" s="2">
        <v>73</v>
      </c>
      <c r="N227" s="2">
        <v>0</v>
      </c>
      <c r="O227" s="2">
        <v>0</v>
      </c>
      <c r="P227" s="2" t="s">
        <v>2841</v>
      </c>
      <c r="Q227" s="9" t="s">
        <v>2842</v>
      </c>
      <c r="R227" s="2" t="s">
        <v>2843</v>
      </c>
      <c r="S227" s="2" t="str">
        <f>HYPERLINK(".\links\REFSEQ-INVERTEBRATE\AGAP012396-PA-REFSEQ-INVERTEBRATE.txt","REFSEQ-INVERTEBRATE")</f>
        <v>REFSEQ-INVERTEBRATE</v>
      </c>
      <c r="T227" s="2">
        <v>9.9999999999999994E-37</v>
      </c>
      <c r="U227" s="2">
        <v>100</v>
      </c>
      <c r="V227" s="2" t="s">
        <v>2844</v>
      </c>
      <c r="W227" s="10" t="s">
        <v>2842</v>
      </c>
      <c r="X227" s="2" t="s">
        <v>2843</v>
      </c>
      <c r="Y227" s="2" t="str">
        <f>HYPERLINK(".\links\REFSEQ-INVERTEBRATE\AGAP012396-PA-REFSEQ-INVERTEBRATE.txt","REFSEQ-INVERTEBRATE")</f>
        <v>REFSEQ-INVERTEBRATE</v>
      </c>
      <c r="Z227" s="13">
        <v>9E-46</v>
      </c>
      <c r="AA227" s="2">
        <v>100</v>
      </c>
      <c r="AB227" s="14" t="s">
        <v>89</v>
      </c>
      <c r="AC227" s="14" t="str">
        <f>HYPERLINK(".\links\Sigp\AGAP012396-PA-SigP.txt","ANC")</f>
        <v>ANC</v>
      </c>
      <c r="AD227" s="2" t="s">
        <v>89</v>
      </c>
      <c r="AE227" s="2">
        <v>7.89</v>
      </c>
      <c r="AF227" s="2">
        <v>5.43</v>
      </c>
      <c r="AG227" s="2">
        <v>4.1059999999999999</v>
      </c>
      <c r="AH227" s="2">
        <v>4.75</v>
      </c>
      <c r="AI227" s="2" t="s">
        <v>2845</v>
      </c>
      <c r="AJ227" s="14" t="str">
        <f>HYPERLINK(".\links\tmhmm\AGAP012396-PA-tmhmm.txt","1")</f>
        <v>1</v>
      </c>
      <c r="AK227" s="2">
        <v>30.1</v>
      </c>
      <c r="AL227" s="2">
        <v>41.1</v>
      </c>
      <c r="AM227" s="2">
        <v>28.8</v>
      </c>
      <c r="AN227" s="14" t="str">
        <f>HYPERLINK(".\links\gpi\AGAP012396-PA-gpi.txt","N")</f>
        <v>N</v>
      </c>
      <c r="AO227" s="15" t="str">
        <f>HYPERLINK(".\links\netoglyc\AGAP012396-PA-netoglyc.txt","0")</f>
        <v>0</v>
      </c>
      <c r="AP227" s="14">
        <v>11</v>
      </c>
      <c r="AQ227" s="2">
        <v>5.5</v>
      </c>
      <c r="AR227" s="2">
        <v>1.4</v>
      </c>
      <c r="AS227" s="2" t="s">
        <v>94</v>
      </c>
      <c r="AT227" s="9" t="str">
        <f>HYPERLINK(".\links\NR-LIGHT\AGAP012396-PA-NR-LIGHT.txt","AGAP012396-PA")</f>
        <v>AGAP012396-PA</v>
      </c>
      <c r="AU227" s="2" t="str">
        <f>HYPERLINK("http://www.ncbi.nlm.nih.gov/sutils/blink.cgi?pid=XP_001238260.1","1E-036")</f>
        <v>1E-036</v>
      </c>
      <c r="AV227" s="2" t="str">
        <f>HYPERLINK("http://www.ncbi.nlm.nih.gov/protein/XP_001238260.1","XP_001238260.1")</f>
        <v>XP_001238260.1</v>
      </c>
      <c r="AW227" s="2">
        <v>100</v>
      </c>
      <c r="AX227" s="2">
        <v>100</v>
      </c>
      <c r="AY227" s="2">
        <v>100</v>
      </c>
      <c r="AZ227" s="2" t="s">
        <v>95</v>
      </c>
      <c r="BA227" s="9" t="str">
        <f>HYPERLINK(".\links\REFSEQ-INVERTEBRATE\AGAP012396-PA-REFSEQ-INVERTEBRATE.txt","AGAP012396-PA")</f>
        <v>AGAP012396-PA</v>
      </c>
      <c r="BB227" s="2" t="str">
        <f>HYPERLINK("http://www.ncbi.nlm.nih.gov/sutils/blink.cgi?pid=XP_001238260.1","1E-036")</f>
        <v>1E-036</v>
      </c>
      <c r="BC227" s="2" t="str">
        <f>HYPERLINK("http://www.ncbi.nlm.nih.gov/protein/XP_001238260.1","XP_001238260.1")</f>
        <v>XP_001238260.1</v>
      </c>
      <c r="BD227" s="2">
        <v>100</v>
      </c>
      <c r="BE227" s="2">
        <v>100</v>
      </c>
      <c r="BF227" s="2">
        <v>100</v>
      </c>
      <c r="BG227" s="2" t="s">
        <v>95</v>
      </c>
      <c r="BH227" s="9" t="str">
        <f>HYPERLINK(".\links\REFSEQ-PROTOZOA\AGAP012396-PA-REFSEQ-PROTOZOA.txt","hypothetical protein EMH_0079040")</f>
        <v>hypothetical protein EMH_0079040</v>
      </c>
      <c r="BI227" s="2" t="str">
        <f>HYPERLINK("http://www.ncbi.nlm.nih.gov/sutils/blink.cgi?pid=XP_013355526.1","0.25")</f>
        <v>0.25</v>
      </c>
      <c r="BJ227" s="2" t="str">
        <f>HYPERLINK("http://www.ncbi.nlm.nih.gov/protein/XP_013355526.1","XP_013355526.1")</f>
        <v>XP_013355526.1</v>
      </c>
      <c r="BK227" s="2">
        <v>48</v>
      </c>
      <c r="BL227" s="2">
        <v>58</v>
      </c>
      <c r="BM227" s="2">
        <v>5</v>
      </c>
      <c r="BN227" s="2" t="s">
        <v>2035</v>
      </c>
      <c r="BO227" s="9" t="str">
        <f>HYPERLINK(".\links\SWISSP\AGAP012396-PA-SWISSP.txt","Protein midgut expression 1")</f>
        <v>Protein midgut expression 1</v>
      </c>
      <c r="BP227" s="2" t="str">
        <f>HYPERLINK("http://www.uniprot.org/uniprot/P23487","2E-006")</f>
        <v>2E-006</v>
      </c>
      <c r="BQ227" s="2" t="str">
        <f>HYPERLINK("http://www.uniprot.org/uniprot/P23487#expression","P23487")</f>
        <v>P23487</v>
      </c>
      <c r="BR227" s="2">
        <v>33</v>
      </c>
      <c r="BS227" s="2">
        <v>53</v>
      </c>
      <c r="BT227" s="2">
        <v>90</v>
      </c>
      <c r="BU227" s="2" t="s">
        <v>151</v>
      </c>
      <c r="BV227" s="9" t="str">
        <f>HYPERLINK(".\links\FLYBASE\AGAP012396-PA-FLYBASE.txt","FBpp0293209")</f>
        <v>FBpp0293209</v>
      </c>
      <c r="BW227" s="2" t="str">
        <f>HYPERLINK("http://flybase.org/reports/FBgn0259740#alliance_summary_container","0.001")</f>
        <v>0.001</v>
      </c>
      <c r="BX227" s="2">
        <v>77</v>
      </c>
      <c r="BY227" s="2">
        <v>34</v>
      </c>
      <c r="BZ227" s="2">
        <v>56</v>
      </c>
      <c r="CA227" s="2">
        <v>95</v>
      </c>
      <c r="CB227" s="9" t="str">
        <f>HYPERLINK(".\links\CDD\AGAP012396-PA-CDD.txt","FUSC, Fusaric acid resistance protein family")</f>
        <v>FUSC, Fusaric acid resistance protein family</v>
      </c>
      <c r="CC227" s="13">
        <v>7.6999999999999999E-2</v>
      </c>
      <c r="CD227" s="2">
        <v>8.6</v>
      </c>
      <c r="CE227" s="2" t="s">
        <v>2846</v>
      </c>
      <c r="CF227" s="2" t="s">
        <v>2847</v>
      </c>
      <c r="CG227" s="9" t="str">
        <f>HYPERLINK(".\links\KOG\AGAP012396-PA-KOG.txt","Hypoxia-inducible factor 1/Neuronal PAS domain protein NPAS1")</f>
        <v>Hypoxia-inducible factor 1/Neuronal PAS domain protein NPAS1</v>
      </c>
      <c r="CH227" s="13">
        <v>0.28999999999999998</v>
      </c>
      <c r="CI227" s="2">
        <v>5.3</v>
      </c>
      <c r="CJ227" s="2" t="s">
        <v>2848</v>
      </c>
      <c r="CK227" s="2" t="s">
        <v>2849</v>
      </c>
      <c r="CL227" s="9" t="str">
        <f>HYPERLINK(".\links\PFAM\AGAP012396-PA-PFAM.txt","FUSC, Fusaric acid resistance protein family")</f>
        <v>FUSC, Fusaric acid resistance protein family</v>
      </c>
      <c r="CM227" s="13">
        <v>1.7999999999999999E-2</v>
      </c>
      <c r="CN227" s="2">
        <v>8.6</v>
      </c>
      <c r="CO227" s="2" t="s">
        <v>2846</v>
      </c>
      <c r="CP227" s="9" t="str">
        <f>HYPERLINK(".\links\SMART\AGAP012396-PA-SMART.txt","Cation_ATPase_N, Cation transporter/ATPase, N-terminus")</f>
        <v>Cation_ATPase_N, Cation transporter/ATPase, N-terminus</v>
      </c>
      <c r="CQ227" s="13">
        <v>1.3</v>
      </c>
      <c r="CR227" s="2">
        <v>14.7</v>
      </c>
      <c r="CS227" s="2" t="s">
        <v>682</v>
      </c>
      <c r="CT227" s="2" t="s">
        <v>2844</v>
      </c>
      <c r="CU227" s="2" t="s">
        <v>2844</v>
      </c>
      <c r="CV227" s="2" t="s">
        <v>2844</v>
      </c>
      <c r="CW227" s="2" t="str">
        <f>HYPERLINK(".\links\pep\AGAP012396-PA-pep.txt","AGAP012396-PA")</f>
        <v>AGAP012396-PA</v>
      </c>
      <c r="CX227" s="2" t="s">
        <v>88</v>
      </c>
      <c r="CY227" s="2">
        <v>73</v>
      </c>
      <c r="CZ227" s="2" t="s">
        <v>103</v>
      </c>
      <c r="DA227" s="2" t="s">
        <v>2850</v>
      </c>
      <c r="DB227" s="2">
        <v>0</v>
      </c>
      <c r="DC227" s="2">
        <v>0</v>
      </c>
      <c r="DD227" s="2" t="str">
        <f>HYPERLINK("https://www.kegg.jp/kegg-bin/search_pathway_text?map=aga&amp;keyword=AGAP012396&amp;mode=1&amp;viewImage=true","AGAP012396")</f>
        <v>AGAP012396</v>
      </c>
      <c r="DE227" s="2" t="s">
        <v>2839</v>
      </c>
      <c r="DF227" s="2" t="s">
        <v>2840</v>
      </c>
      <c r="DG227" s="2" t="s">
        <v>87</v>
      </c>
      <c r="DH227" s="2" t="str">
        <f>HYPERLINK("https://vectorbase.org/vectorbase/app/record/gene/AGAP012396","AGAP012396-RA")</f>
        <v>AGAP012396-RA</v>
      </c>
      <c r="DI227" s="2" t="s">
        <v>122</v>
      </c>
      <c r="DJ227" s="2">
        <v>756</v>
      </c>
      <c r="DK227" s="2" t="str">
        <f>HYPERLINK(".\links\netoglyc\AGAP012396-PA-netoglyc.txt","0")</f>
        <v>0</v>
      </c>
      <c r="DL227" s="2">
        <v>11</v>
      </c>
      <c r="DM227" s="2">
        <v>5.5</v>
      </c>
      <c r="DN227" s="2">
        <v>1.4</v>
      </c>
      <c r="DO227" s="2" t="s">
        <v>94</v>
      </c>
      <c r="DP227" s="2" t="s">
        <v>89</v>
      </c>
      <c r="DQ227" s="2" t="str">
        <f>HYPERLINK(".\links\Sigp\AGAP012396-PA-SigP.txt","ANC")</f>
        <v>ANC</v>
      </c>
      <c r="DR227" s="2" t="s">
        <v>89</v>
      </c>
      <c r="DS227" s="2">
        <v>7.89</v>
      </c>
      <c r="DT227" s="2">
        <v>5.43</v>
      </c>
      <c r="DU227" s="2">
        <v>4.1059999999999999</v>
      </c>
      <c r="DV227" s="2">
        <v>4.75</v>
      </c>
      <c r="DW227" s="2" t="s">
        <v>2845</v>
      </c>
      <c r="DX227" s="2">
        <v>73</v>
      </c>
      <c r="DY227" s="12" t="str">
        <f>HYPERLINK(".\links\tmhmm\AGAP012396-PA-tmhmm.txt","1")</f>
        <v>1</v>
      </c>
      <c r="DZ227" s="2">
        <v>30.1</v>
      </c>
      <c r="EA227" s="2">
        <v>41.1</v>
      </c>
      <c r="EB227" s="2">
        <v>28.8</v>
      </c>
      <c r="EC227" s="2" t="str">
        <f>HYPERLINK(".\links\gpi\AGAP012396-PA-gpi.txt","Y-NoSP")</f>
        <v>Y-NoSP</v>
      </c>
      <c r="ED227" s="2">
        <v>0.57999999999999996</v>
      </c>
      <c r="EE227" s="2" t="s">
        <v>2851</v>
      </c>
      <c r="EF227" s="2">
        <v>8</v>
      </c>
      <c r="EG227" s="2" t="s">
        <v>89</v>
      </c>
      <c r="EH227" s="2" t="s">
        <v>89</v>
      </c>
      <c r="EI227" s="2">
        <v>10.958904109589</v>
      </c>
      <c r="EJ227" s="2">
        <v>1.3698630136986301</v>
      </c>
      <c r="EK227" s="2">
        <v>5.4794520547945202</v>
      </c>
      <c r="EL227" s="2">
        <v>6.8493150684931496</v>
      </c>
      <c r="EM227" s="2" t="s">
        <v>89</v>
      </c>
      <c r="EN227" s="2" t="s">
        <v>89</v>
      </c>
      <c r="EO227" s="2" t="s">
        <v>89</v>
      </c>
      <c r="EP227" s="2" t="s">
        <v>89</v>
      </c>
      <c r="EQ227" s="2" t="s">
        <v>89</v>
      </c>
      <c r="ER227" s="2" t="s">
        <v>89</v>
      </c>
      <c r="ES227" s="2" t="s">
        <v>89</v>
      </c>
      <c r="ET227" s="2" t="str">
        <f>HYPERLINK(".\links\REFSEQ-INVERTEBRATE\AGAP012396-PA-REFSEQ-INVERTEBRATE.txt","AGAP012396-PA")</f>
        <v>AGAP012396-PA</v>
      </c>
      <c r="EU227" s="2" t="str">
        <f>HYPERLINK("http://www.ncbi.nlm.nih.gov/sutils/blink.cgi?pid=XP_001238260.1","1E-45")</f>
        <v>1E-45</v>
      </c>
      <c r="EV227" s="2" t="str">
        <f>HYPERLINK("http://www.ncbi.nlm.nih.gov/protein/XP_001238260.1","XP_001238260.1")</f>
        <v>XP_001238260.1</v>
      </c>
      <c r="EW227" s="2">
        <v>100</v>
      </c>
      <c r="EX227" s="2">
        <v>100</v>
      </c>
      <c r="EY227" s="2">
        <v>100</v>
      </c>
      <c r="EZ227" s="2" t="s">
        <v>95</v>
      </c>
    </row>
    <row r="228" spans="1:156" x14ac:dyDescent="0.25">
      <c r="A228" s="2" t="s">
        <v>141</v>
      </c>
      <c r="B228" s="2">
        <v>-1.1060479058125501</v>
      </c>
      <c r="C228" s="2">
        <f t="shared" si="3"/>
        <v>0.46456491062962596</v>
      </c>
      <c r="D228" s="2">
        <v>7.6127974339888098</v>
      </c>
      <c r="E228" s="2">
        <v>13.695469757930301</v>
      </c>
      <c r="F228" s="2">
        <v>2.1497242928817699E-4</v>
      </c>
      <c r="G228" s="2">
        <v>1.4862412043059801E-2</v>
      </c>
      <c r="H228" s="2" t="s">
        <v>142</v>
      </c>
      <c r="I228" s="2" t="s">
        <v>87</v>
      </c>
      <c r="J228" s="2" t="str">
        <f>HYPERLINK("https://vectorbase.org/vectorbase/app/record/gene/AGAP000260","AGAP000260-RA")</f>
        <v>AGAP000260-RA</v>
      </c>
      <c r="K228" s="2" t="str">
        <f>HYPERLINK(".\links\pep\AGAP000260-PA-pep.txt","AGAP000260-PA")</f>
        <v>AGAP000260-PA</v>
      </c>
      <c r="L228" s="12" t="s">
        <v>88</v>
      </c>
      <c r="M228" s="2">
        <v>58</v>
      </c>
      <c r="N228" s="2">
        <v>0</v>
      </c>
      <c r="O228" s="2">
        <v>0</v>
      </c>
      <c r="P228" s="2" t="s">
        <v>143</v>
      </c>
      <c r="Q228" s="9" t="s">
        <v>144</v>
      </c>
      <c r="R228" s="2" t="s">
        <v>145</v>
      </c>
      <c r="S228" s="2" t="str">
        <f>HYPERLINK(".\links\PFAM\AGAP000260-PA-PFAM.txt","PFAM")</f>
        <v>PFAM</v>
      </c>
      <c r="T228" s="2">
        <v>9.9999999999999998E-17</v>
      </c>
      <c r="U228" s="2">
        <v>100</v>
      </c>
      <c r="V228" s="2" t="s">
        <v>146</v>
      </c>
      <c r="W228" s="10" t="s">
        <v>147</v>
      </c>
      <c r="X228" s="2" t="s">
        <v>148</v>
      </c>
      <c r="Y228" s="2" t="str">
        <f>HYPERLINK(".\links\UNIPROTKB\AGAP000260-PA-UNIPROTKB.txt","UNIPROTKB")</f>
        <v>UNIPROTKB</v>
      </c>
      <c r="Z228" s="13">
        <v>1.9999999999999998E-21</v>
      </c>
      <c r="AA228" s="2">
        <v>95</v>
      </c>
      <c r="AB228" s="14" t="s">
        <v>89</v>
      </c>
      <c r="AC228" s="14" t="str">
        <f>HYPERLINK(".\links\Sigp\AGAP000260-PA-SigP.txt","CYT")</f>
        <v>CYT</v>
      </c>
      <c r="AD228" s="2" t="s">
        <v>89</v>
      </c>
      <c r="AE228" s="2">
        <v>6.7309999999999999</v>
      </c>
      <c r="AF228" s="2">
        <v>10.43</v>
      </c>
      <c r="AG228" s="2" t="s">
        <v>89</v>
      </c>
      <c r="AH228" s="2" t="s">
        <v>89</v>
      </c>
      <c r="AI228" s="2" t="s">
        <v>149</v>
      </c>
      <c r="AJ228" s="14">
        <v>0</v>
      </c>
      <c r="AK228" s="2" t="s">
        <v>89</v>
      </c>
      <c r="AL228" s="2" t="s">
        <v>89</v>
      </c>
      <c r="AM228" s="2" t="s">
        <v>89</v>
      </c>
      <c r="AN228" s="14" t="str">
        <f>HYPERLINK(".\links\gpi\AGAP000260-PA-gpi.txt","N")</f>
        <v>N</v>
      </c>
      <c r="AO228" s="15" t="str">
        <f>HYPERLINK(".\links\netoglyc\AGAP000260-PA-netoglyc.txt","1")</f>
        <v>1</v>
      </c>
      <c r="AP228" s="14">
        <v>6.9</v>
      </c>
      <c r="AQ228" s="2">
        <v>3.4</v>
      </c>
      <c r="AR228" s="2">
        <v>3.4</v>
      </c>
      <c r="AS228" s="2" t="s">
        <v>94</v>
      </c>
      <c r="AT228" s="9" t="str">
        <f>HYPERLINK(".\links\NR-LIGHT\AGAP000260-PA-NR-LIGHT.txt","AGAP000260-PA")</f>
        <v>AGAP000260-PA</v>
      </c>
      <c r="AU228" s="2" t="str">
        <f>HYPERLINK("http://www.ncbi.nlm.nih.gov/sutils/blink.cgi?pid=XP_310858.5","4E-026")</f>
        <v>4E-026</v>
      </c>
      <c r="AV228" s="2" t="str">
        <f>HYPERLINK("http://www.ncbi.nlm.nih.gov/protein/XP_310858.5","XP_310858.5")</f>
        <v>XP_310858.5</v>
      </c>
      <c r="AW228" s="2">
        <v>100</v>
      </c>
      <c r="AX228" s="2">
        <v>100</v>
      </c>
      <c r="AY228" s="2">
        <v>100</v>
      </c>
      <c r="AZ228" s="2" t="s">
        <v>95</v>
      </c>
      <c r="BA228" s="9" t="str">
        <f>HYPERLINK(".\links\REFSEQ-INVERTEBRATE\AGAP000260-PA-REFSEQ-INVERTEBRATE.txt","AGAP000260-PD")</f>
        <v>AGAP000260-PD</v>
      </c>
      <c r="BB228" s="2" t="str">
        <f>HYPERLINK("http://www.ncbi.nlm.nih.gov/sutils/blink.cgi?pid=XP_003436956.1","3E-026")</f>
        <v>3E-026</v>
      </c>
      <c r="BC228" s="2" t="str">
        <f>HYPERLINK("http://www.ncbi.nlm.nih.gov/protein/XP_003436956.1","XP_003436956.1")</f>
        <v>XP_003436956.1</v>
      </c>
      <c r="BD228" s="2">
        <v>100</v>
      </c>
      <c r="BE228" s="2">
        <v>100</v>
      </c>
      <c r="BF228" s="2">
        <v>100</v>
      </c>
      <c r="BG228" s="2" t="s">
        <v>95</v>
      </c>
      <c r="BH228" s="9" t="str">
        <f>HYPERLINK(".\links\REFSEQ-PROTOZOA\AGAP000260-PA-REFSEQ-PROTOZOA.txt","hypothetical protein CAOG_01889")</f>
        <v>hypothetical protein CAOG_01889</v>
      </c>
      <c r="BI228" s="2" t="str">
        <f>HYPERLINK("http://www.ncbi.nlm.nih.gov/sutils/blink.cgi?pid=XP_004364757.1","8E-009")</f>
        <v>8E-009</v>
      </c>
      <c r="BJ228" s="2" t="str">
        <f>HYPERLINK("http://www.ncbi.nlm.nih.gov/protein/XP_004364757.1","XP_004364757.1")</f>
        <v>XP_004364757.1</v>
      </c>
      <c r="BK228" s="2">
        <v>50</v>
      </c>
      <c r="BL228" s="2">
        <v>78</v>
      </c>
      <c r="BM228" s="2">
        <v>79</v>
      </c>
      <c r="BN228" s="2" t="s">
        <v>150</v>
      </c>
      <c r="BO228" s="9" t="str">
        <f>HYPERLINK(".\links\SWISSP\AGAP000260-PA-SWISSP.txt","Protein stunted")</f>
        <v>Protein stunted</v>
      </c>
      <c r="BP228" s="2" t="str">
        <f>HYPERLINK("http://www.uniprot.org/uniprot/Q9VXN2","1E-015")</f>
        <v>1E-015</v>
      </c>
      <c r="BQ228" s="2" t="str">
        <f>HYPERLINK("http://www.uniprot.org/uniprot/Q9VXN2#expression","Q9VXN2")</f>
        <v>Q9VXN2</v>
      </c>
      <c r="BR228" s="2">
        <v>63</v>
      </c>
      <c r="BS228" s="2">
        <v>77</v>
      </c>
      <c r="BT228" s="2">
        <v>95</v>
      </c>
      <c r="BU228" s="2" t="s">
        <v>151</v>
      </c>
      <c r="BV228" s="9" t="str">
        <f>HYPERLINK(".\links\FLYBASE\AGAP000260-PA-FLYBASE.txt","FBpp0073963")</f>
        <v>FBpp0073963</v>
      </c>
      <c r="BW228" s="2" t="str">
        <f>HYPERLINK("http://flybase.org/reports/FBgn0014391#alliance_summary_container","2E-22")</f>
        <v>2E-22</v>
      </c>
      <c r="BX228" s="2">
        <v>61</v>
      </c>
      <c r="BY228" s="2">
        <v>63</v>
      </c>
      <c r="BZ228" s="2">
        <v>77</v>
      </c>
      <c r="CA228" s="2">
        <v>95</v>
      </c>
      <c r="CB228" s="9" t="str">
        <f>HYPERLINK(".\links\CDD\AGAP000260-PA-CDD.txt","ATP-synt_Eps, Mitochondrial ATP synthase epsilon chain")</f>
        <v>ATP-synt_Eps, Mitochondrial ATP synthase epsilon chain</v>
      </c>
      <c r="CC228" s="13">
        <v>5.0000000000000004E-16</v>
      </c>
      <c r="CD228" s="2">
        <v>100</v>
      </c>
      <c r="CE228" s="2" t="s">
        <v>152</v>
      </c>
      <c r="CF228" s="2" t="s">
        <v>153</v>
      </c>
      <c r="CG228" s="9" t="str">
        <f>HYPERLINK(".\links\KOG\AGAP000260-PA-KOG.txt","subunit epsilon/ATP15")</f>
        <v>subunit epsilon/ATP15</v>
      </c>
      <c r="CH228" s="13">
        <v>2E-14</v>
      </c>
      <c r="CI228" s="2">
        <v>100</v>
      </c>
      <c r="CJ228" s="2" t="s">
        <v>154</v>
      </c>
      <c r="CK228" s="2" t="s">
        <v>155</v>
      </c>
      <c r="CL228" s="9" t="str">
        <f>HYPERLINK(".\links\PFAM\AGAP000260-PA-PFAM.txt","ATP-synt_Eps, Mitochondrial ATP synthase epsilon chain")</f>
        <v>ATP-synt_Eps, Mitochondrial ATP synthase epsilon chain</v>
      </c>
      <c r="CM228" s="13">
        <v>9.9999999999999998E-17</v>
      </c>
      <c r="CN228" s="2">
        <v>100</v>
      </c>
      <c r="CO228" s="2" t="s">
        <v>152</v>
      </c>
      <c r="CP228" s="9" t="str">
        <f>HYPERLINK(".\links\SMART\AGAP000260-PA-SMART.txt","G_patch, glycine rich nucleic binding domain")</f>
        <v>G_patch, glycine rich nucleic binding domain</v>
      </c>
      <c r="CQ228" s="13">
        <v>2.5</v>
      </c>
      <c r="CR228" s="2">
        <v>27.7</v>
      </c>
      <c r="CS228" s="2" t="s">
        <v>156</v>
      </c>
      <c r="CT228" s="2" t="s">
        <v>146</v>
      </c>
      <c r="CU228" s="2" t="s">
        <v>146</v>
      </c>
      <c r="CV228" s="2" t="s">
        <v>146</v>
      </c>
      <c r="CW228" s="2" t="str">
        <f>HYPERLINK(".\links\pep\AGAP000260-PA-pep.txt","AGAP000260-PA")</f>
        <v>AGAP000260-PA</v>
      </c>
      <c r="CX228" s="2" t="s">
        <v>88</v>
      </c>
      <c r="CY228" s="2">
        <v>58</v>
      </c>
      <c r="CZ228" s="2" t="s">
        <v>103</v>
      </c>
      <c r="DA228" s="2" t="s">
        <v>157</v>
      </c>
      <c r="DB228" s="2">
        <v>0</v>
      </c>
      <c r="DC228" s="2">
        <v>0</v>
      </c>
      <c r="DD228" s="2" t="str">
        <f>HYPERLINK("https://www.kegg.jp/kegg-bin/search_pathway_text?map=aga&amp;keyword=AGAP000260&amp;mode=1&amp;viewImage=true","AGAP000260")</f>
        <v>AGAP000260</v>
      </c>
      <c r="DE228" s="2" t="s">
        <v>141</v>
      </c>
      <c r="DF228" s="2" t="s">
        <v>142</v>
      </c>
      <c r="DG228" s="2" t="s">
        <v>87</v>
      </c>
      <c r="DH228" s="2" t="str">
        <f>HYPERLINK("https://vectorbase.org/vectorbase/app/record/gene/AGAP000260","AGAP000260-RA")</f>
        <v>AGAP000260-RA</v>
      </c>
      <c r="DI228" s="2" t="s">
        <v>158</v>
      </c>
      <c r="DJ228" s="2">
        <v>419</v>
      </c>
      <c r="DK228" s="2" t="str">
        <f>HYPERLINK(".\links\netoglyc\AGAP000260-PA-netoglyc.txt","1")</f>
        <v>1</v>
      </c>
      <c r="DL228" s="2">
        <v>6.9</v>
      </c>
      <c r="DM228" s="2">
        <v>3.4</v>
      </c>
      <c r="DN228" s="2">
        <v>3.4</v>
      </c>
      <c r="DO228" s="2" t="s">
        <v>94</v>
      </c>
      <c r="DP228" s="2" t="s">
        <v>89</v>
      </c>
      <c r="DQ228" s="2" t="str">
        <f>HYPERLINK(".\links\Sigp\AGAP000260-PA-SigP.txt","CYT")</f>
        <v>CYT</v>
      </c>
      <c r="DR228" s="2" t="s">
        <v>89</v>
      </c>
      <c r="DS228" s="2">
        <v>6.7309999999999999</v>
      </c>
      <c r="DT228" s="2">
        <v>10.43</v>
      </c>
      <c r="DU228" s="2" t="s">
        <v>89</v>
      </c>
      <c r="DV228" s="2" t="s">
        <v>89</v>
      </c>
      <c r="DW228" s="2" t="s">
        <v>149</v>
      </c>
      <c r="DX228" s="2">
        <v>58</v>
      </c>
      <c r="DY228" s="12">
        <v>0</v>
      </c>
      <c r="DZ228" s="2" t="s">
        <v>89</v>
      </c>
      <c r="EA228" s="2" t="s">
        <v>89</v>
      </c>
      <c r="EB228" s="2" t="s">
        <v>89</v>
      </c>
      <c r="EC228" s="2" t="str">
        <f>HYPERLINK(".\links\gpi\AGAP000260-PA-gpi.txt","N")</f>
        <v>N</v>
      </c>
      <c r="ED228" s="2">
        <v>0.54</v>
      </c>
      <c r="EE228" s="2" t="s">
        <v>159</v>
      </c>
      <c r="EF228" s="2">
        <v>0</v>
      </c>
      <c r="EG228" s="2" t="s">
        <v>89</v>
      </c>
      <c r="EH228" s="2" t="s">
        <v>89</v>
      </c>
      <c r="EI228" s="2">
        <v>6.8965517241379297</v>
      </c>
      <c r="EJ228" s="2">
        <v>3.4482758620689702</v>
      </c>
      <c r="EK228" s="2">
        <v>3.4482758620689702</v>
      </c>
      <c r="EL228" s="2">
        <v>6.8965517241379297</v>
      </c>
      <c r="EM228" s="2" t="s">
        <v>89</v>
      </c>
      <c r="EN228" s="2" t="s">
        <v>89</v>
      </c>
      <c r="EO228" s="2" t="s">
        <v>89</v>
      </c>
      <c r="EP228" s="2" t="s">
        <v>89</v>
      </c>
      <c r="EQ228" s="2" t="s">
        <v>89</v>
      </c>
      <c r="ER228" s="2" t="s">
        <v>89</v>
      </c>
      <c r="ES228" s="2" t="s">
        <v>89</v>
      </c>
      <c r="ET228" s="2" t="str">
        <f>HYPERLINK(".\links\REFSEQ-INVERTEBRATE\AGAP000260-PA-REFSEQ-INVERTEBRATE.txt","AGAP000260-PD")</f>
        <v>AGAP000260-PD</v>
      </c>
      <c r="EU228" s="2" t="str">
        <f>HYPERLINK("http://www.ncbi.nlm.nih.gov/sutils/blink.cgi?pid=XP_003436956.1","1E-35")</f>
        <v>1E-35</v>
      </c>
      <c r="EV228" s="2" t="str">
        <f>HYPERLINK("http://www.ncbi.nlm.nih.gov/protein/XP_003436956.1","XP_003436956.1")</f>
        <v>XP_003436956.1</v>
      </c>
      <c r="EW228" s="2">
        <v>100</v>
      </c>
      <c r="EX228" s="2">
        <v>100</v>
      </c>
      <c r="EY228" s="2">
        <v>100</v>
      </c>
      <c r="EZ228" s="2" t="s">
        <v>95</v>
      </c>
    </row>
    <row r="229" spans="1:156" x14ac:dyDescent="0.25">
      <c r="A229" s="2" t="s">
        <v>85</v>
      </c>
      <c r="B229" s="2">
        <v>-1.10813195779878</v>
      </c>
      <c r="C229" s="2">
        <f t="shared" si="3"/>
        <v>0.46389430565680922</v>
      </c>
      <c r="D229" s="2">
        <v>5.0748138630304602</v>
      </c>
      <c r="E229" s="2">
        <v>15.051522542720001</v>
      </c>
      <c r="F229" s="2">
        <v>1.0461583202955901E-4</v>
      </c>
      <c r="G229" s="2">
        <v>9.28126213233464E-3</v>
      </c>
      <c r="H229" s="2" t="s">
        <v>86</v>
      </c>
      <c r="I229" s="2" t="s">
        <v>87</v>
      </c>
      <c r="J229" s="2" t="str">
        <f>HYPERLINK("https://vectorbase.org/vectorbase/app/record/gene/AGAP000132","AGAP000132-RA")</f>
        <v>AGAP000132-RA</v>
      </c>
      <c r="K229" s="2" t="str">
        <f>HYPERLINK(".\links\pep\AGAP000132-PA-pep.txt","AGAP000132-PA")</f>
        <v>AGAP000132-PA</v>
      </c>
      <c r="L229" s="12" t="s">
        <v>88</v>
      </c>
      <c r="M229" s="2">
        <v>121</v>
      </c>
      <c r="N229" s="2">
        <v>0</v>
      </c>
      <c r="O229" s="2">
        <v>1</v>
      </c>
      <c r="P229" s="2" t="s">
        <v>89</v>
      </c>
      <c r="Q229" s="9" t="s">
        <v>90</v>
      </c>
      <c r="R229" s="2" t="s">
        <v>91</v>
      </c>
      <c r="S229" s="2" t="str">
        <f>HYPERLINK(".\links\REFSEQ-INVERTEBRATE\AGAP000132-PA-REFSEQ-INVERTEBRATE.txt","REFSEQ-INVERTEBRATE")</f>
        <v>REFSEQ-INVERTEBRATE</v>
      </c>
      <c r="T229" s="2">
        <v>5.0000000000000002E-62</v>
      </c>
      <c r="U229" s="2">
        <v>100</v>
      </c>
      <c r="V229" s="2" t="s">
        <v>90</v>
      </c>
      <c r="W229" s="10" t="s">
        <v>92</v>
      </c>
      <c r="X229" s="2" t="s">
        <v>91</v>
      </c>
      <c r="Y229" s="2" t="str">
        <f>HYPERLINK(".\links\ARTHORPODA\AGAP000132-PA-ARTHORPODA.txt","ARTHORPODA")</f>
        <v>ARTHORPODA</v>
      </c>
      <c r="Z229" s="13">
        <v>2.0000000000000001E-84</v>
      </c>
      <c r="AA229" s="2">
        <v>100</v>
      </c>
      <c r="AB229" s="14" t="str">
        <f>HYPERLINK(".\links\pep\AGAP000132-PA-sulf.txt","1")</f>
        <v>1</v>
      </c>
      <c r="AC229" s="14" t="str">
        <f>HYPERLINK(".\links\Sigp\AGAP000132-PA-SigP.txt","CYT")</f>
        <v>CYT</v>
      </c>
      <c r="AD229" s="2" t="s">
        <v>89</v>
      </c>
      <c r="AE229" s="2">
        <v>13.628</v>
      </c>
      <c r="AF229" s="2">
        <v>9.2100000000000009</v>
      </c>
      <c r="AG229" s="2" t="s">
        <v>89</v>
      </c>
      <c r="AH229" s="2" t="s">
        <v>89</v>
      </c>
      <c r="AI229" s="2" t="s">
        <v>93</v>
      </c>
      <c r="AJ229" s="14">
        <v>0</v>
      </c>
      <c r="AK229" s="2" t="s">
        <v>89</v>
      </c>
      <c r="AL229" s="2" t="s">
        <v>89</v>
      </c>
      <c r="AM229" s="2" t="s">
        <v>89</v>
      </c>
      <c r="AN229" s="14" t="str">
        <f>HYPERLINK(".\links\gpi\AGAP000132-PA-gpi.txt","N")</f>
        <v>N</v>
      </c>
      <c r="AO229" s="15" t="str">
        <f>HYPERLINK(".\links\netoglyc\AGAP000132-PA-netoglyc.txt","0")</f>
        <v>0</v>
      </c>
      <c r="AP229" s="14">
        <v>13.2</v>
      </c>
      <c r="AQ229" s="2">
        <v>5</v>
      </c>
      <c r="AR229" s="2">
        <v>1.7</v>
      </c>
      <c r="AS229" s="2" t="s">
        <v>94</v>
      </c>
      <c r="AT229" s="9" t="str">
        <f>HYPERLINK(".\links\NR-LIGHT\AGAP000132-PA-NR-LIGHT.txt","AGAP000132-PA")</f>
        <v>AGAP000132-PA</v>
      </c>
      <c r="AU229" s="2" t="str">
        <f>HYPERLINK("http://www.ncbi.nlm.nih.gov/sutils/blink.cgi?pid=XP_311015.2","6E-062")</f>
        <v>6E-062</v>
      </c>
      <c r="AV229" s="2" t="str">
        <f>HYPERLINK("http://www.ncbi.nlm.nih.gov/protein/XP_311015.2","XP_311015.2")</f>
        <v>XP_311015.2</v>
      </c>
      <c r="AW229" s="2">
        <v>100</v>
      </c>
      <c r="AX229" s="2">
        <v>100</v>
      </c>
      <c r="AY229" s="2">
        <v>100</v>
      </c>
      <c r="AZ229" s="2" t="s">
        <v>95</v>
      </c>
      <c r="BA229" s="9" t="str">
        <f>HYPERLINK(".\links\REFSEQ-INVERTEBRATE\AGAP000132-PA-REFSEQ-INVERTEBRATE.txt","AGAP000132-PA")</f>
        <v>AGAP000132-PA</v>
      </c>
      <c r="BB229" s="2" t="str">
        <f>HYPERLINK("http://www.ncbi.nlm.nih.gov/sutils/blink.cgi?pid=XP_311015.2","5E-062")</f>
        <v>5E-062</v>
      </c>
      <c r="BC229" s="2" t="str">
        <f>HYPERLINK("http://www.ncbi.nlm.nih.gov/protein/XP_311015.2","XP_311015.2")</f>
        <v>XP_311015.2</v>
      </c>
      <c r="BD229" s="2">
        <v>100</v>
      </c>
      <c r="BE229" s="2">
        <v>100</v>
      </c>
      <c r="BF229" s="2">
        <v>100</v>
      </c>
      <c r="BG229" s="2" t="s">
        <v>95</v>
      </c>
      <c r="BH229" s="9" t="str">
        <f>HYPERLINK(".\links\REFSEQ-PROTOZOA\AGAP000132-PA-REFSEQ-PROTOZOA.txt","hypothetical protein Gasu_01780")</f>
        <v>hypothetical protein Gasu_01780</v>
      </c>
      <c r="BI229" s="2" t="str">
        <f>HYPERLINK("http://www.ncbi.nlm.nih.gov/sutils/blink.cgi?pid=XP_005709339.1","4E-007")</f>
        <v>4E-007</v>
      </c>
      <c r="BJ229" s="2" t="str">
        <f>HYPERLINK("http://www.ncbi.nlm.nih.gov/protein/XP_005709339.1","XP_005709339.1")</f>
        <v>XP_005709339.1</v>
      </c>
      <c r="BK229" s="2">
        <v>30</v>
      </c>
      <c r="BL229" s="2">
        <v>51</v>
      </c>
      <c r="BM229" s="2">
        <v>99</v>
      </c>
      <c r="BN229" s="2" t="s">
        <v>96</v>
      </c>
      <c r="BO229" s="9" t="str">
        <f>HYPERLINK(".\links\SWISSP\AGAP000132-PA-SWISSP.txt","Protein NATD1")</f>
        <v>Protein NATD1</v>
      </c>
      <c r="BP229" s="2" t="str">
        <f>HYPERLINK("http://www.uniprot.org/uniprot/Q66IM5","1E-010")</f>
        <v>1E-010</v>
      </c>
      <c r="BQ229" s="2" t="str">
        <f>HYPERLINK("http://www.uniprot.org/uniprot/Q66IM5#expression","Q66IM5")</f>
        <v>Q66IM5</v>
      </c>
      <c r="BR229" s="2">
        <v>43</v>
      </c>
      <c r="BS229" s="2">
        <v>60</v>
      </c>
      <c r="BT229" s="2">
        <v>76</v>
      </c>
      <c r="BU229" s="2" t="s">
        <v>97</v>
      </c>
      <c r="BV229" s="9" t="str">
        <f>HYPERLINK(".\links\FLYBASE\AGAP000132-PA-FLYBASE.txt","FBpp0075070")</f>
        <v>FBpp0075070</v>
      </c>
      <c r="BW229" s="2" t="str">
        <f>HYPERLINK("http://flybase.org/reports/FBgn0052163#alliance_summary_container","5E-06")</f>
        <v>5E-06</v>
      </c>
      <c r="BX229" s="2">
        <v>143</v>
      </c>
      <c r="BY229" s="2">
        <v>31</v>
      </c>
      <c r="BZ229" s="2">
        <v>47</v>
      </c>
      <c r="CA229" s="2">
        <v>73</v>
      </c>
      <c r="CB229" s="9" t="str">
        <f>HYPERLINK(".\links\CDD\AGAP000132-PA-CDD.txt","Acetyltransf_CG, GCN5-related N-acetyl-transferase")</f>
        <v>Acetyltransf_CG, GCN5-related N-acetyl-transferase</v>
      </c>
      <c r="CC229" s="13">
        <v>1.0000000000000001E-15</v>
      </c>
      <c r="CD229" s="2">
        <v>94.9</v>
      </c>
      <c r="CE229" s="2" t="s">
        <v>98</v>
      </c>
      <c r="CF229" s="2" t="s">
        <v>99</v>
      </c>
      <c r="CG229" s="9" t="str">
        <f>HYPERLINK(".\links\KOG\AGAP000132-PA-KOG.txt","Uncharacterized conserved protein")</f>
        <v>Uncharacterized conserved protein</v>
      </c>
      <c r="CH229" s="13">
        <v>4</v>
      </c>
      <c r="CI229" s="2">
        <v>23.6</v>
      </c>
      <c r="CJ229" s="2" t="s">
        <v>100</v>
      </c>
      <c r="CK229" s="2" t="s">
        <v>101</v>
      </c>
      <c r="CL229" s="9" t="str">
        <f>HYPERLINK(".\links\PFAM\AGAP000132-PA-PFAM.txt","Acetyltransf_CG, GCN5-related N-acetyl-transferase")</f>
        <v>Acetyltransf_CG, GCN5-related N-acetyl-transferase</v>
      </c>
      <c r="CM229" s="13">
        <v>2.9999999999999999E-16</v>
      </c>
      <c r="CN229" s="2">
        <v>94.9</v>
      </c>
      <c r="CO229" s="2" t="s">
        <v>98</v>
      </c>
      <c r="CP229" s="9" t="str">
        <f>HYPERLINK(".\links\SMART\AGAP000132-PA-SMART.txt","WNT1, found in Wnt-1")</f>
        <v>WNT1, found in Wnt-1</v>
      </c>
      <c r="CQ229" s="13">
        <v>2.1</v>
      </c>
      <c r="CR229" s="2">
        <v>5.6</v>
      </c>
      <c r="CS229" s="2" t="s">
        <v>102</v>
      </c>
      <c r="CT229" s="2" t="s">
        <v>90</v>
      </c>
      <c r="CU229" s="2" t="s">
        <v>90</v>
      </c>
      <c r="CV229" s="2" t="s">
        <v>90</v>
      </c>
      <c r="CW229" s="2" t="str">
        <f>HYPERLINK(".\links\pep\AGAP000132-PA-pep.txt","AGAP000132-PA")</f>
        <v>AGAP000132-PA</v>
      </c>
      <c r="CX229" s="2" t="s">
        <v>88</v>
      </c>
      <c r="CY229" s="2">
        <v>121</v>
      </c>
      <c r="CZ229" s="2" t="s">
        <v>103</v>
      </c>
      <c r="DA229" s="2" t="s">
        <v>104</v>
      </c>
      <c r="DB229" s="2">
        <v>0</v>
      </c>
      <c r="DC229" s="2">
        <v>1</v>
      </c>
      <c r="DD229" s="2" t="str">
        <f>HYPERLINK("https://www.kegg.jp/kegg-bin/search_pathway_text?map=aga&amp;keyword=AGAP000132&amp;mode=1&amp;viewImage=true","AGAP000132")</f>
        <v>AGAP000132</v>
      </c>
      <c r="DE229" s="2" t="s">
        <v>85</v>
      </c>
      <c r="DF229" s="2" t="s">
        <v>86</v>
      </c>
      <c r="DG229" s="2" t="s">
        <v>87</v>
      </c>
      <c r="DH229" s="2" t="str">
        <f>HYPERLINK("https://vectorbase.org/vectorbase/app/record/gene/AGAP000132","AGAP000132-RA")</f>
        <v>AGAP000132-RA</v>
      </c>
      <c r="DI229" s="2" t="s">
        <v>105</v>
      </c>
      <c r="DJ229" s="2">
        <v>583</v>
      </c>
      <c r="DK229" s="2" t="str">
        <f>HYPERLINK(".\links\netoglyc\AGAP000132-PA-netoglyc.txt","0")</f>
        <v>0</v>
      </c>
      <c r="DL229" s="2">
        <v>13.2</v>
      </c>
      <c r="DM229" s="2">
        <v>5</v>
      </c>
      <c r="DN229" s="2">
        <v>1.7</v>
      </c>
      <c r="DO229" s="2" t="s">
        <v>94</v>
      </c>
      <c r="DP229" s="2" t="s">
        <v>89</v>
      </c>
      <c r="DQ229" s="2" t="str">
        <f>HYPERLINK(".\links\Sigp\AGAP000132-PA-SigP.txt","CYT")</f>
        <v>CYT</v>
      </c>
      <c r="DR229" s="2" t="s">
        <v>89</v>
      </c>
      <c r="DS229" s="2">
        <v>13.628</v>
      </c>
      <c r="DT229" s="2">
        <v>9.2100000000000009</v>
      </c>
      <c r="DU229" s="2" t="s">
        <v>89</v>
      </c>
      <c r="DV229" s="2" t="s">
        <v>89</v>
      </c>
      <c r="DW229" s="2" t="s">
        <v>93</v>
      </c>
      <c r="DX229" s="2">
        <v>121</v>
      </c>
      <c r="DY229" s="12">
        <v>0</v>
      </c>
      <c r="DZ229" s="2" t="s">
        <v>89</v>
      </c>
      <c r="EA229" s="2" t="s">
        <v>89</v>
      </c>
      <c r="EB229" s="2" t="s">
        <v>89</v>
      </c>
      <c r="EC229" s="2" t="str">
        <f>HYPERLINK(".\links\gpi\AGAP000132-PA-gpi.txt","N")</f>
        <v>N</v>
      </c>
      <c r="ED229" s="2">
        <v>0.36</v>
      </c>
      <c r="EF229" s="2">
        <v>2</v>
      </c>
      <c r="EG229" s="2" t="str">
        <f>HYPERLINK(".\links\pep\AGAP000132-PA-sulf.txt","1")</f>
        <v>1</v>
      </c>
      <c r="EH229" s="2" t="s">
        <v>89</v>
      </c>
      <c r="EI229" s="2">
        <v>13.223140495867799</v>
      </c>
      <c r="EJ229" s="2">
        <v>1.65289256198347</v>
      </c>
      <c r="EK229" s="2">
        <v>4.95867768595041</v>
      </c>
      <c r="EL229" s="2">
        <v>6.61157024793388</v>
      </c>
      <c r="EM229" s="2" t="s">
        <v>89</v>
      </c>
      <c r="EN229" s="2">
        <v>2</v>
      </c>
      <c r="EO229" s="2">
        <v>2</v>
      </c>
      <c r="EP229" s="2" t="s">
        <v>89</v>
      </c>
      <c r="EQ229" s="2" t="s">
        <v>89</v>
      </c>
      <c r="ER229" s="2" t="s">
        <v>89</v>
      </c>
      <c r="ES229" s="2" t="s">
        <v>89</v>
      </c>
      <c r="ET229" s="2" t="str">
        <f>HYPERLINK(".\links\REFSEQ-INVERTEBRATE\AGAP000132-PA-REFSEQ-INVERTEBRATE.txt","AGAP000132-PA")</f>
        <v>AGAP000132-PA</v>
      </c>
      <c r="EU229" s="2" t="str">
        <f>HYPERLINK("http://www.ncbi.nlm.nih.gov/sutils/blink.cgi?pid=XP_311015.2","3E-84")</f>
        <v>3E-84</v>
      </c>
      <c r="EV229" s="2" t="str">
        <f>HYPERLINK("http://www.ncbi.nlm.nih.gov/protein/XP_311015.2","XP_311015.2")</f>
        <v>XP_311015.2</v>
      </c>
      <c r="EW229" s="2">
        <v>100</v>
      </c>
      <c r="EX229" s="2">
        <v>100</v>
      </c>
      <c r="EY229" s="2">
        <v>100</v>
      </c>
      <c r="EZ229" s="2" t="s">
        <v>95</v>
      </c>
    </row>
    <row r="230" spans="1:156" x14ac:dyDescent="0.25">
      <c r="A230" s="2" t="s">
        <v>1125</v>
      </c>
      <c r="B230" s="2">
        <v>-1.1119219269527201</v>
      </c>
      <c r="C230" s="2">
        <f t="shared" si="3"/>
        <v>0.46267725163569762</v>
      </c>
      <c r="D230" s="2">
        <v>6.20858141297761</v>
      </c>
      <c r="E230" s="2">
        <v>25.2533580042032</v>
      </c>
      <c r="F230" s="2">
        <v>5.0271967957167703E-7</v>
      </c>
      <c r="G230" s="2">
        <v>2.8170823307366598E-4</v>
      </c>
      <c r="H230" s="2" t="s">
        <v>86</v>
      </c>
      <c r="I230" s="2" t="s">
        <v>87</v>
      </c>
      <c r="J230" s="2" t="str">
        <f>HYPERLINK("https://vectorbase.org/vectorbase/app/record/gene/AGAP004528","AGAP004528-RA")</f>
        <v>AGAP004528-RA</v>
      </c>
      <c r="K230" s="2" t="str">
        <f>HYPERLINK(".\links\pep\AGAP004528-PA-pep.txt","AGAP004528-PA")</f>
        <v>AGAP004528-PA</v>
      </c>
      <c r="L230" s="12" t="s">
        <v>88</v>
      </c>
      <c r="M230" s="2">
        <v>238</v>
      </c>
      <c r="N230" s="2">
        <v>0</v>
      </c>
      <c r="O230" s="2">
        <v>0</v>
      </c>
      <c r="P230" s="2" t="s">
        <v>89</v>
      </c>
      <c r="Q230" s="9" t="s">
        <v>1126</v>
      </c>
      <c r="R230" s="2" t="s">
        <v>91</v>
      </c>
      <c r="S230" s="2" t="str">
        <f>HYPERLINK(".\links\REFSEQ-INVERTEBRATE\AGAP004528-PA-REFSEQ-INVERTEBRATE.txt","REFSEQ-INVERTEBRATE")</f>
        <v>REFSEQ-INVERTEBRATE</v>
      </c>
      <c r="T230" s="2">
        <v>0</v>
      </c>
      <c r="U230" s="2">
        <v>100</v>
      </c>
      <c r="V230" s="2" t="s">
        <v>1126</v>
      </c>
      <c r="W230" s="10" t="s">
        <v>1127</v>
      </c>
      <c r="X230" s="2" t="s">
        <v>91</v>
      </c>
      <c r="Y230" s="2" t="str">
        <f>HYPERLINK(".\links\ARTHORPODA\AGAP004528-PA-ARTHORPODA.txt","ARTHORPODA")</f>
        <v>ARTHORPODA</v>
      </c>
      <c r="Z230" s="13">
        <v>0</v>
      </c>
      <c r="AA230" s="2">
        <v>100</v>
      </c>
      <c r="AB230" s="14" t="s">
        <v>89</v>
      </c>
      <c r="AC230" s="14" t="str">
        <f>HYPERLINK(".\links\Sigp\AGAP004528-PA-SigP.txt","CYT")</f>
        <v>CYT</v>
      </c>
      <c r="AD230" s="2" t="s">
        <v>89</v>
      </c>
      <c r="AE230" s="2">
        <v>27.521000000000001</v>
      </c>
      <c r="AF230" s="2">
        <v>5.31</v>
      </c>
      <c r="AG230" s="2" t="s">
        <v>89</v>
      </c>
      <c r="AH230" s="2" t="s">
        <v>89</v>
      </c>
      <c r="AI230" s="2" t="s">
        <v>1109</v>
      </c>
      <c r="AJ230" s="14">
        <v>0</v>
      </c>
      <c r="AK230" s="2" t="s">
        <v>89</v>
      </c>
      <c r="AL230" s="2" t="s">
        <v>89</v>
      </c>
      <c r="AM230" s="2" t="s">
        <v>89</v>
      </c>
      <c r="AN230" s="14" t="str">
        <f>HYPERLINK(".\links\gpi\AGAP004528-PA-gpi.txt","N")</f>
        <v>N</v>
      </c>
      <c r="AO230" s="15" t="str">
        <f>HYPERLINK(".\links\netoglyc\AGAP004528-PA-netoglyc.txt","0")</f>
        <v>0</v>
      </c>
      <c r="AP230" s="14">
        <v>10.5</v>
      </c>
      <c r="AQ230" s="2">
        <v>4.5999999999999996</v>
      </c>
      <c r="AR230" s="2">
        <v>3.8</v>
      </c>
      <c r="AS230" s="2" t="s">
        <v>94</v>
      </c>
      <c r="AT230" s="9" t="str">
        <f>HYPERLINK(".\links\NR-LIGHT\AGAP004528-PA-NR-LIGHT.txt","AGAP004528-PA")</f>
        <v>AGAP004528-PA</v>
      </c>
      <c r="AU230" s="2" t="str">
        <f>HYPERLINK("http://www.ncbi.nlm.nih.gov/sutils/blink.cgi?pid=XP_313828.2","1E-137")</f>
        <v>1E-137</v>
      </c>
      <c r="AV230" s="2" t="str">
        <f>HYPERLINK("http://www.ncbi.nlm.nih.gov/protein/XP_313828.2","XP_313828.2")</f>
        <v>XP_313828.2</v>
      </c>
      <c r="AW230" s="2">
        <v>100</v>
      </c>
      <c r="AX230" s="2">
        <v>100</v>
      </c>
      <c r="AY230" s="2">
        <v>100</v>
      </c>
      <c r="AZ230" s="2" t="s">
        <v>95</v>
      </c>
      <c r="BA230" s="9" t="str">
        <f>HYPERLINK(".\links\REFSEQ-INVERTEBRATE\AGAP004528-PA-REFSEQ-INVERTEBRATE.txt","AGAP004528-PA")</f>
        <v>AGAP004528-PA</v>
      </c>
      <c r="BB230" s="2" t="str">
        <f>HYPERLINK("http://www.ncbi.nlm.nih.gov/sutils/blink.cgi?pid=XP_313828.2","1E-137")</f>
        <v>1E-137</v>
      </c>
      <c r="BC230" s="2" t="str">
        <f>HYPERLINK("http://www.ncbi.nlm.nih.gov/protein/XP_313828.2","XP_313828.2")</f>
        <v>XP_313828.2</v>
      </c>
      <c r="BD230" s="2">
        <v>100</v>
      </c>
      <c r="BE230" s="2">
        <v>100</v>
      </c>
      <c r="BF230" s="2">
        <v>100</v>
      </c>
      <c r="BG230" s="2" t="s">
        <v>95</v>
      </c>
      <c r="BH230" s="9" t="str">
        <f>HYPERLINK(".\links\REFSEQ-PROTOZOA\AGAP004528-PA-REFSEQ-PROTOZOA.txt","heat shock protein HslVU, ATPase subunit HslU, putative")</f>
        <v>heat shock protein HslVU, ATPase subunit HslU, putative</v>
      </c>
      <c r="BI230" s="2" t="str">
        <f>HYPERLINK("http://www.ncbi.nlm.nih.gov/sutils/blink.cgi?pid=XP_001020599.1","2.6")</f>
        <v>2.6</v>
      </c>
      <c r="BJ230" s="2" t="str">
        <f>HYPERLINK("http://www.ncbi.nlm.nih.gov/protein/XP_001020599.1","XP_001020599.1")</f>
        <v>XP_001020599.1</v>
      </c>
      <c r="BK230" s="2">
        <v>31</v>
      </c>
      <c r="BL230" s="2">
        <v>47</v>
      </c>
      <c r="BM230" s="2">
        <v>12</v>
      </c>
      <c r="BN230" s="2" t="s">
        <v>1057</v>
      </c>
      <c r="BO230" s="9" t="str">
        <f>HYPERLINK(".\links\SWISSP\AGAP004528-PA-SWISSP.txt","Dopamine N-acetyltransferase")</f>
        <v>Dopamine N-acetyltransferase</v>
      </c>
      <c r="BP230" s="2" t="str">
        <f>HYPERLINK("http://www.uniprot.org/uniprot/Q94521","0.005")</f>
        <v>0.005</v>
      </c>
      <c r="BQ230" s="2" t="str">
        <f>HYPERLINK("http://www.uniprot.org/uniprot/Q94521#expression","Q94521")</f>
        <v>Q94521</v>
      </c>
      <c r="BR230" s="2">
        <v>21</v>
      </c>
      <c r="BS230" s="2">
        <v>39</v>
      </c>
      <c r="BT230" s="2">
        <v>80</v>
      </c>
      <c r="BU230" s="2" t="s">
        <v>151</v>
      </c>
      <c r="BV230" s="9" t="str">
        <f>HYPERLINK(".\links\FLYBASE\AGAP004528-PA-FLYBASE.txt","FBpp0085746")</f>
        <v>FBpp0085746</v>
      </c>
      <c r="BW230" s="2" t="str">
        <f>HYPERLINK("http://flybase.org/reports/FBgn0034426#alliance_summary_container","1E-09")</f>
        <v>1E-09</v>
      </c>
      <c r="BX230" s="2">
        <v>222</v>
      </c>
      <c r="BY230" s="2">
        <v>23</v>
      </c>
      <c r="BZ230" s="2">
        <v>44</v>
      </c>
      <c r="CA230" s="2">
        <v>98</v>
      </c>
      <c r="CB230" s="9" t="str">
        <f>HYPERLINK(".\links\CDD\AGAP004528-PA-CDD.txt","COG3981, Predicted acetyltransferase")</f>
        <v>COG3981, Predicted acetyltransferase</v>
      </c>
      <c r="CC230" s="13">
        <v>2E-3</v>
      </c>
      <c r="CD230" s="2">
        <v>21.3</v>
      </c>
      <c r="CE230" s="2" t="s">
        <v>1128</v>
      </c>
      <c r="CF230" s="2" t="s">
        <v>1129</v>
      </c>
      <c r="CG230" s="9" t="str">
        <f>HYPERLINK(".\links\KOG\AGAP004528-PA-KOG.txt","N-acetyltransferase")</f>
        <v>N-acetyltransferase</v>
      </c>
      <c r="CH230" s="13">
        <v>0.19</v>
      </c>
      <c r="CI230" s="2">
        <v>17</v>
      </c>
      <c r="CJ230" s="2" t="s">
        <v>1130</v>
      </c>
      <c r="CK230" s="2" t="s">
        <v>187</v>
      </c>
      <c r="CL230" s="9" t="str">
        <f>HYPERLINK(".\links\PFAM\AGAP004528-PA-PFAM.txt","Acetyltransf_1, Acetyltransferase (GNAT) family")</f>
        <v>Acetyltransf_1, Acetyltransferase (GNAT) family</v>
      </c>
      <c r="CM230" s="13">
        <v>3.0000000000000001E-3</v>
      </c>
      <c r="CN230" s="2">
        <v>39.700000000000003</v>
      </c>
      <c r="CO230" s="2" t="s">
        <v>1131</v>
      </c>
      <c r="CP230" s="9" t="str">
        <f>HYPERLINK(".\links\SMART\AGAP004528-PA-SMART.txt","53EXOc, 5'-3' exonuclease")</f>
        <v>53EXOc, 5'-3' exonuclease</v>
      </c>
      <c r="CQ230" s="13">
        <v>0.46</v>
      </c>
      <c r="CR230" s="2">
        <v>29.3</v>
      </c>
      <c r="CS230" s="2" t="s">
        <v>1132</v>
      </c>
      <c r="CT230" s="2" t="s">
        <v>1126</v>
      </c>
      <c r="CU230" s="2" t="s">
        <v>1126</v>
      </c>
      <c r="CV230" s="2" t="s">
        <v>1126</v>
      </c>
      <c r="CW230" s="2" t="str">
        <f>HYPERLINK(".\links\pep\AGAP004528-PA-pep.txt","AGAP004528-PA")</f>
        <v>AGAP004528-PA</v>
      </c>
      <c r="CX230" s="2" t="s">
        <v>88</v>
      </c>
      <c r="CY230" s="2">
        <v>238</v>
      </c>
      <c r="CZ230" s="2" t="s">
        <v>103</v>
      </c>
      <c r="DA230" s="2" t="s">
        <v>1133</v>
      </c>
      <c r="DB230" s="2">
        <v>0</v>
      </c>
      <c r="DC230" s="2">
        <v>0</v>
      </c>
      <c r="DD230" s="2" t="str">
        <f>HYPERLINK("https://www.kegg.jp/kegg-bin/search_pathway_text?map=aga&amp;keyword=AGAP004528&amp;mode=1&amp;viewImage=true","AGAP004528")</f>
        <v>AGAP004528</v>
      </c>
      <c r="DE230" s="2" t="s">
        <v>1125</v>
      </c>
      <c r="DF230" s="2" t="s">
        <v>86</v>
      </c>
      <c r="DG230" s="2" t="s">
        <v>87</v>
      </c>
      <c r="DH230" s="2" t="str">
        <f>HYPERLINK("https://vectorbase.org/vectorbase/app/record/gene/AGAP004528","AGAP004528-RA")</f>
        <v>AGAP004528-RA</v>
      </c>
      <c r="DI230" s="2" t="s">
        <v>140</v>
      </c>
      <c r="DJ230" s="2">
        <v>803</v>
      </c>
      <c r="DK230" s="2" t="str">
        <f>HYPERLINK(".\links\netoglyc\AGAP004528-PA-netoglyc.txt","0")</f>
        <v>0</v>
      </c>
      <c r="DL230" s="2">
        <v>10.5</v>
      </c>
      <c r="DM230" s="2">
        <v>4.5999999999999996</v>
      </c>
      <c r="DN230" s="2">
        <v>3.8</v>
      </c>
      <c r="DO230" s="2" t="s">
        <v>94</v>
      </c>
      <c r="DP230" s="2" t="s">
        <v>89</v>
      </c>
      <c r="DQ230" s="2" t="str">
        <f>HYPERLINK(".\links\Sigp\AGAP004528-PA-SigP.txt","CYT")</f>
        <v>CYT</v>
      </c>
      <c r="DR230" s="2" t="s">
        <v>89</v>
      </c>
      <c r="DS230" s="2">
        <v>27.521000000000001</v>
      </c>
      <c r="DT230" s="2">
        <v>5.31</v>
      </c>
      <c r="DU230" s="2" t="s">
        <v>89</v>
      </c>
      <c r="DV230" s="2" t="s">
        <v>89</v>
      </c>
      <c r="DW230" s="2" t="s">
        <v>1109</v>
      </c>
      <c r="DX230" s="2">
        <v>238</v>
      </c>
      <c r="DY230" s="12">
        <v>0</v>
      </c>
      <c r="DZ230" s="2" t="s">
        <v>89</v>
      </c>
      <c r="EA230" s="2" t="s">
        <v>89</v>
      </c>
      <c r="EB230" s="2" t="s">
        <v>89</v>
      </c>
      <c r="EC230" s="2" t="str">
        <f>HYPERLINK(".\links\gpi\AGAP004528-PA-gpi.txt","N")</f>
        <v>N</v>
      </c>
      <c r="ED230" s="2">
        <v>0.32</v>
      </c>
      <c r="EF230" s="2">
        <v>7</v>
      </c>
      <c r="EG230" s="2" t="s">
        <v>89</v>
      </c>
      <c r="EH230" s="2" t="s">
        <v>89</v>
      </c>
      <c r="EI230" s="2">
        <v>10.504201680672301</v>
      </c>
      <c r="EJ230" s="2">
        <v>3.7815126050420198</v>
      </c>
      <c r="EK230" s="2">
        <v>4.6218487394957997</v>
      </c>
      <c r="EL230" s="2">
        <v>8.4033613445378208</v>
      </c>
      <c r="EM230" s="2" t="s">
        <v>89</v>
      </c>
      <c r="EN230" s="2">
        <v>1</v>
      </c>
      <c r="EO230" s="2">
        <v>1</v>
      </c>
      <c r="EP230" s="2" t="s">
        <v>89</v>
      </c>
      <c r="EQ230" s="2" t="s">
        <v>89</v>
      </c>
      <c r="ER230" s="2" t="s">
        <v>89</v>
      </c>
      <c r="ES230" s="2" t="s">
        <v>89</v>
      </c>
      <c r="ET230" s="2" t="str">
        <f>HYPERLINK(".\links\REFSEQ-INVERTEBRATE\AGAP004528-PA-REFSEQ-INVERTEBRATE.txt","AGAP004528-PA")</f>
        <v>AGAP004528-PA</v>
      </c>
      <c r="EU230" s="2" t="str">
        <f>HYPERLINK("http://www.ncbi.nlm.nih.gov/sutils/blink.cgi?pid=XP_313828.2","1E-179")</f>
        <v>1E-179</v>
      </c>
      <c r="EV230" s="2" t="str">
        <f>HYPERLINK("http://www.ncbi.nlm.nih.gov/protein/XP_313828.2","XP_313828.2")</f>
        <v>XP_313828.2</v>
      </c>
      <c r="EW230" s="2">
        <v>100</v>
      </c>
      <c r="EX230" s="2">
        <v>100</v>
      </c>
      <c r="EY230" s="2">
        <v>100</v>
      </c>
      <c r="EZ230" s="2" t="s">
        <v>95</v>
      </c>
    </row>
    <row r="231" spans="1:156" x14ac:dyDescent="0.25">
      <c r="A231" s="2" t="s">
        <v>3095</v>
      </c>
      <c r="B231" s="2">
        <v>-1.1136616174591101</v>
      </c>
      <c r="C231" s="2">
        <f t="shared" si="3"/>
        <v>0.46211966317365949</v>
      </c>
      <c r="D231" s="2">
        <v>11.6465253547817</v>
      </c>
      <c r="E231" s="2">
        <v>16.9820535910711</v>
      </c>
      <c r="F231" s="2">
        <v>3.7734815552089303E-5</v>
      </c>
      <c r="G231" s="2">
        <v>4.6716579207336604E-3</v>
      </c>
      <c r="H231" s="2" t="s">
        <v>3096</v>
      </c>
      <c r="I231" s="2" t="s">
        <v>89</v>
      </c>
      <c r="J231" s="2" t="str">
        <f>HYPERLINK("https://vectorbase.org/vectorbase/app/record/gene/AGAP028389","AGAP028389-RA")</f>
        <v>AGAP028389-RA</v>
      </c>
      <c r="K231" s="2" t="str">
        <f>HYPERLINK(".\links\pep\AGAP028389-PA-pep.txt","AGAP028389-PA")</f>
        <v>AGAP028389-PA</v>
      </c>
      <c r="L231" s="12" t="s">
        <v>88</v>
      </c>
      <c r="M231" s="2">
        <v>314</v>
      </c>
      <c r="N231" s="2">
        <v>0</v>
      </c>
      <c r="O231" s="2">
        <v>0</v>
      </c>
      <c r="P231" s="2" t="s">
        <v>3097</v>
      </c>
      <c r="Q231" s="9" t="s">
        <v>3098</v>
      </c>
      <c r="R231" s="2" t="s">
        <v>663</v>
      </c>
      <c r="S231" s="2" t="str">
        <f>HYPERLINK(".\links\KOG\AGAP028389-PA-KOG.txt","KOG")</f>
        <v>KOG</v>
      </c>
      <c r="T231" s="2">
        <v>2.0000000000000001E-97</v>
      </c>
      <c r="U231" s="2">
        <v>99</v>
      </c>
      <c r="V231" s="2" t="s">
        <v>3099</v>
      </c>
      <c r="W231" s="10" t="s">
        <v>3100</v>
      </c>
      <c r="X231" s="2" t="s">
        <v>663</v>
      </c>
      <c r="Y231" s="2" t="str">
        <f>HYPERLINK(".\links\COG\AGAP028389-PA-COG.txt","COG")</f>
        <v>COG</v>
      </c>
      <c r="Z231" s="13">
        <v>1.9999999999999999E-64</v>
      </c>
      <c r="AA231" s="2">
        <v>93.9</v>
      </c>
      <c r="AB231" s="14" t="s">
        <v>89</v>
      </c>
      <c r="AC231" s="14" t="str">
        <f>HYPERLINK(".\links\Sigp\AGAP028389-PA-SigP.txt","SIG")</f>
        <v>SIG</v>
      </c>
      <c r="AD231" s="2" t="s">
        <v>1070</v>
      </c>
      <c r="AE231" s="2">
        <v>36.143000000000001</v>
      </c>
      <c r="AF231" s="2">
        <v>8.11</v>
      </c>
      <c r="AG231" s="2">
        <v>33.762</v>
      </c>
      <c r="AH231" s="2">
        <v>8.49</v>
      </c>
      <c r="AI231" s="2" t="s">
        <v>3101</v>
      </c>
      <c r="AJ231" s="14" t="str">
        <f>HYPERLINK(".\links\tmhmm\AGAP028389-PA-tmhmm.txt","8")</f>
        <v>8</v>
      </c>
      <c r="AK231" s="2">
        <v>54.1</v>
      </c>
      <c r="AL231" s="2">
        <v>37.9</v>
      </c>
      <c r="AM231" s="2">
        <v>8</v>
      </c>
      <c r="AN231" s="14" t="str">
        <f>HYPERLINK(".\links\gpi\AGAP028389-PA-gpi.txt","N")</f>
        <v>N</v>
      </c>
      <c r="AO231" s="15" t="str">
        <f>HYPERLINK(".\links\netoglyc\AGAP028389-PA-netoglyc.txt","0")</f>
        <v>0</v>
      </c>
      <c r="AP231" s="14">
        <v>12.7</v>
      </c>
      <c r="AQ231" s="2">
        <v>6.7</v>
      </c>
      <c r="AR231" s="2">
        <v>3.2</v>
      </c>
      <c r="AS231" s="2" t="s">
        <v>94</v>
      </c>
      <c r="AT231" s="9" t="str">
        <f>HYPERLINK(".\links\NR-LIGHT\AGAP028389-PA-NR-LIGHT.txt","NADH dehydrogenase subunit 1 (mitochondrion)")</f>
        <v>NADH dehydrogenase subunit 1 (mitochondrion)</v>
      </c>
      <c r="AU231" s="2" t="str">
        <f>HYPERLINK("http://www.ncbi.nlm.nih.gov/sutils/blink.cgi?pid=YP_009176636.1","1E-179")</f>
        <v>1E-179</v>
      </c>
      <c r="AV231" s="2" t="str">
        <f>HYPERLINK("http://www.ncbi.nlm.nih.gov/protein/YP_009176636.1","YP_009176636.1")</f>
        <v>YP_009176636.1</v>
      </c>
      <c r="AW231" s="2">
        <v>100</v>
      </c>
      <c r="AX231" s="2">
        <v>100</v>
      </c>
      <c r="AY231" s="2">
        <v>99</v>
      </c>
      <c r="AZ231" s="2" t="s">
        <v>3102</v>
      </c>
      <c r="BA231" s="9" t="str">
        <f>HYPERLINK(".\links\REFSEQ-INVERTEBRATE\AGAP028389-PA-REFSEQ-INVERTEBRATE.txt","NADH dehydrogenase subunit 1 (mitochondrion)")</f>
        <v>NADH dehydrogenase subunit 1 (mitochondrion)</v>
      </c>
      <c r="BB231" s="2" t="str">
        <f>HYPERLINK("http://www.ncbi.nlm.nih.gov/sutils/blink.cgi?pid=YP_009176740.1","1E-179")</f>
        <v>1E-179</v>
      </c>
      <c r="BC231" s="2" t="str">
        <f>HYPERLINK("http://www.ncbi.nlm.nih.gov/protein/YP_009176740.1","YP_009176740.1")</f>
        <v>YP_009176740.1</v>
      </c>
      <c r="BD231" s="2">
        <v>100</v>
      </c>
      <c r="BE231" s="2">
        <v>100</v>
      </c>
      <c r="BF231" s="2">
        <v>99</v>
      </c>
      <c r="BG231" s="2" t="s">
        <v>3021</v>
      </c>
      <c r="BH231" s="9" t="str">
        <f>HYPERLINK(".\links\REFSEQ-PROTOZOA\AGAP028389-PA-REFSEQ-PROTOZOA.txt","NADH dehydrogenase subunit 1 (mitochondrion)")</f>
        <v>NADH dehydrogenase subunit 1 (mitochondrion)</v>
      </c>
      <c r="BI231" s="2" t="str">
        <f>HYPERLINK("http://www.ncbi.nlm.nih.gov/sutils/blink.cgi?pid=NP_957737.1","1E-082")</f>
        <v>1E-082</v>
      </c>
      <c r="BJ231" s="2" t="str">
        <f>HYPERLINK("http://www.ncbi.nlm.nih.gov/protein/NP_957737.1","NP_957737.1")</f>
        <v>NP_957737.1</v>
      </c>
      <c r="BK231" s="2">
        <v>51</v>
      </c>
      <c r="BL231" s="2">
        <v>66</v>
      </c>
      <c r="BM231" s="2">
        <v>97</v>
      </c>
      <c r="BN231" s="2" t="s">
        <v>3103</v>
      </c>
      <c r="BO231" s="9" t="str">
        <f>HYPERLINK(".\links\SWISSP\AGAP028389-PA-SWISSP.txt","NADH-ubiquinone oxidoreductase chain 1")</f>
        <v>NADH-ubiquinone oxidoreductase chain 1</v>
      </c>
      <c r="BP231" s="2" t="str">
        <f>HYPERLINK("http://www.uniprot.org/uniprot/P34846","1E-180")</f>
        <v>1E-180</v>
      </c>
      <c r="BQ231" s="2" t="str">
        <f>HYPERLINK("http://www.uniprot.org/uniprot/P34846#expression","P34846")</f>
        <v>P34846</v>
      </c>
      <c r="BR231" s="2">
        <v>100</v>
      </c>
      <c r="BS231" s="2">
        <v>100</v>
      </c>
      <c r="BT231" s="2">
        <v>100</v>
      </c>
      <c r="BU231" s="2" t="s">
        <v>215</v>
      </c>
      <c r="BV231" s="9" t="str">
        <f>HYPERLINK(".\links\FLYBASE\AGAP028389-PA-FLYBASE.txt","FBpp0390631")</f>
        <v>FBpp0390631</v>
      </c>
      <c r="BW231" s="2" t="str">
        <f>HYPERLINK("http://flybase.org/reports/FBgn0013679#alliance_summary_container","1E-174")</f>
        <v>1E-174</v>
      </c>
      <c r="BX231" s="2">
        <v>312</v>
      </c>
      <c r="BY231" s="2">
        <v>80</v>
      </c>
      <c r="BZ231" s="2">
        <v>90</v>
      </c>
      <c r="CA231" s="2">
        <v>95</v>
      </c>
      <c r="CB231" s="9" t="str">
        <f>HYPERLINK(".\links\CDD\AGAP028389-PA-CDD.txt","ND1, NADH dehydrogenase subunit 1")</f>
        <v>ND1, NADH dehydrogenase subunit 1</v>
      </c>
      <c r="CC231" s="13">
        <v>1E-127</v>
      </c>
      <c r="CD231" s="2">
        <v>99.7</v>
      </c>
      <c r="CE231" s="2" t="s">
        <v>3104</v>
      </c>
      <c r="CF231" s="2" t="s">
        <v>3105</v>
      </c>
      <c r="CG231" s="9" t="str">
        <f>HYPERLINK(".\links\KOG\AGAP028389-PA-KOG.txt","NADH dehydrogenase subunit 1")</f>
        <v>NADH dehydrogenase subunit 1</v>
      </c>
      <c r="CH231" s="13">
        <v>2.0000000000000001E-97</v>
      </c>
      <c r="CI231" s="2">
        <v>99</v>
      </c>
      <c r="CJ231" s="2" t="s">
        <v>3106</v>
      </c>
      <c r="CK231" s="2" t="s">
        <v>155</v>
      </c>
      <c r="CL231" s="9" t="str">
        <f>HYPERLINK(".\links\PFAM\AGAP028389-PA-PFAM.txt","NADHdh, NADH dehydrogenase")</f>
        <v>NADHdh, NADH dehydrogenase</v>
      </c>
      <c r="CM231" s="13">
        <v>3.9999999999999999E-85</v>
      </c>
      <c r="CN231" s="2">
        <v>98.7</v>
      </c>
      <c r="CO231" s="2" t="s">
        <v>3107</v>
      </c>
      <c r="CP231" s="9" t="str">
        <f>HYPERLINK(".\links\SMART\AGAP028389-PA-SMART.txt","AgrB, Accessory gene regulator B")</f>
        <v>AgrB, Accessory gene regulator B</v>
      </c>
      <c r="CQ231" s="13">
        <v>0.92</v>
      </c>
      <c r="CR231" s="2">
        <v>17.899999999999999</v>
      </c>
      <c r="CS231" s="2" t="s">
        <v>3108</v>
      </c>
      <c r="CT231" s="2" t="s">
        <v>3099</v>
      </c>
      <c r="CU231" s="2" t="s">
        <v>3099</v>
      </c>
      <c r="CV231" s="2" t="s">
        <v>3099</v>
      </c>
      <c r="CW231" s="2" t="str">
        <f>HYPERLINK(".\links\pep\AGAP028389-PA-pep.txt","AGAP028389-PA")</f>
        <v>AGAP028389-PA</v>
      </c>
      <c r="CX231" s="2" t="s">
        <v>88</v>
      </c>
      <c r="CY231" s="2">
        <v>314</v>
      </c>
      <c r="CZ231" s="2" t="s">
        <v>103</v>
      </c>
      <c r="DA231" s="2">
        <v>0</v>
      </c>
      <c r="DB231" s="2">
        <v>0</v>
      </c>
      <c r="DD231" s="2" t="str">
        <f>HYPERLINK("https://www.kegg.jp/kegg-bin/search_pathway_text?map=aga&amp;keyword=AGAP028389&amp;mode=1&amp;viewImage=true","AGAP028389")</f>
        <v>AGAP028389</v>
      </c>
      <c r="DE231" s="2" t="s">
        <v>3095</v>
      </c>
      <c r="DF231" s="2" t="s">
        <v>3096</v>
      </c>
      <c r="DG231" s="2" t="s">
        <v>89</v>
      </c>
      <c r="DH231" s="2" t="str">
        <f>HYPERLINK("https://vectorbase.org/vectorbase/app/record/gene/AGAP028389","AGAP028389-RA")</f>
        <v>AGAP028389-RA</v>
      </c>
      <c r="DI231" s="2" t="s">
        <v>140</v>
      </c>
      <c r="DJ231" s="2">
        <v>945</v>
      </c>
      <c r="DK231" s="2" t="str">
        <f>HYPERLINK(".\links\netoglyc\AGAP028389-PA-netoglyc.txt","0")</f>
        <v>0</v>
      </c>
      <c r="DL231" s="2">
        <v>12.7</v>
      </c>
      <c r="DM231" s="2">
        <v>6.7</v>
      </c>
      <c r="DN231" s="2">
        <v>3.2</v>
      </c>
      <c r="DO231" s="2" t="s">
        <v>94</v>
      </c>
      <c r="DP231" s="2" t="s">
        <v>89</v>
      </c>
      <c r="DQ231" s="2" t="str">
        <f>HYPERLINK(".\links\Sigp\AGAP028389-PA-SigP.txt","SIG")</f>
        <v>SIG</v>
      </c>
      <c r="DR231" s="2" t="s">
        <v>1070</v>
      </c>
      <c r="DS231" s="2">
        <v>36.143000000000001</v>
      </c>
      <c r="DT231" s="2">
        <v>8.11</v>
      </c>
      <c r="DU231" s="2">
        <v>33.762</v>
      </c>
      <c r="DV231" s="2">
        <v>8.49</v>
      </c>
      <c r="DW231" s="2" t="s">
        <v>3101</v>
      </c>
      <c r="DX231" s="2">
        <v>314</v>
      </c>
      <c r="DY231" s="12" t="str">
        <f>HYPERLINK(".\links\tmhmm\AGAP028389-PA-tmhmm.txt","8")</f>
        <v>8</v>
      </c>
      <c r="DZ231" s="2">
        <v>54.1</v>
      </c>
      <c r="EA231" s="2">
        <v>37.9</v>
      </c>
      <c r="EB231" s="2">
        <v>8</v>
      </c>
      <c r="EC231" s="2" t="str">
        <f>HYPERLINK(".\links\gpi\AGAP028389-PA-gpi.txt","N")</f>
        <v>N</v>
      </c>
      <c r="ED231" s="2">
        <v>0.56999999999999995</v>
      </c>
      <c r="EE231" s="2" t="s">
        <v>3109</v>
      </c>
      <c r="EF231" s="2">
        <v>6</v>
      </c>
      <c r="EG231" s="2" t="s">
        <v>89</v>
      </c>
      <c r="EH231" s="2" t="s">
        <v>89</v>
      </c>
      <c r="EI231" s="2">
        <v>12.7388535031847</v>
      </c>
      <c r="EJ231" s="2">
        <v>3.1847133757961799</v>
      </c>
      <c r="EK231" s="2">
        <v>6.6878980891719699</v>
      </c>
      <c r="EL231" s="2">
        <v>9.8726114649681502</v>
      </c>
      <c r="EM231" s="2" t="s">
        <v>89</v>
      </c>
      <c r="EN231" s="2" t="s">
        <v>89</v>
      </c>
      <c r="EO231" s="2" t="s">
        <v>89</v>
      </c>
      <c r="EP231" s="2" t="s">
        <v>89</v>
      </c>
      <c r="EQ231" s="2" t="s">
        <v>89</v>
      </c>
      <c r="ER231" s="2" t="s">
        <v>89</v>
      </c>
      <c r="ES231" s="2" t="s">
        <v>89</v>
      </c>
      <c r="ET231" s="2" t="str">
        <f>HYPERLINK(".\links\REFSEQ-INVERTEBRATE\AGAP028389-PA-REFSEQ-INVERTEBRATE.txt","NADH dehydrogenase subunit 1 (mitochondrion)")</f>
        <v>NADH dehydrogenase subunit 1 (mitochondrion)</v>
      </c>
      <c r="EU231" s="2" t="str">
        <f>HYPERLINK("http://www.ncbi.nlm.nih.gov/sutils/blink.cgi?pid=YP_009176740.1","0.0")</f>
        <v>0.0</v>
      </c>
      <c r="EV231" s="2" t="str">
        <f>HYPERLINK("http://www.ncbi.nlm.nih.gov/protein/YP_009176740.1","YP_009176740.1")</f>
        <v>YP_009176740.1</v>
      </c>
      <c r="EW231" s="2">
        <v>100</v>
      </c>
      <c r="EX231" s="2">
        <v>100</v>
      </c>
      <c r="EY231" s="2">
        <v>99</v>
      </c>
      <c r="EZ231" s="2" t="s">
        <v>3021</v>
      </c>
    </row>
    <row r="232" spans="1:156" x14ac:dyDescent="0.25">
      <c r="A232" s="2" t="s">
        <v>910</v>
      </c>
      <c r="B232" s="2">
        <v>-1.1276377065148999</v>
      </c>
      <c r="C232" s="2">
        <f t="shared" si="3"/>
        <v>0.45766449958278038</v>
      </c>
      <c r="D232" s="2">
        <v>7.0379814445321598</v>
      </c>
      <c r="E232" s="2">
        <v>15.3128940370806</v>
      </c>
      <c r="F232" s="2">
        <v>9.1092618574789401E-5</v>
      </c>
      <c r="G232" s="2">
        <v>8.5075711400507299E-3</v>
      </c>
      <c r="H232" s="2" t="s">
        <v>911</v>
      </c>
      <c r="I232" s="2" t="s">
        <v>87</v>
      </c>
      <c r="J232" s="2" t="str">
        <f>HYPERLINK("https://vectorbase.org/vectorbase/app/record/gene/AGAP003636","AGAP003636-RA")</f>
        <v>AGAP003636-RA</v>
      </c>
      <c r="K232" s="2" t="str">
        <f>HYPERLINK(".\links\pep\AGAP003636-PA-pep.txt","AGAP003636-PA")</f>
        <v>AGAP003636-PA</v>
      </c>
      <c r="L232" s="12" t="s">
        <v>88</v>
      </c>
      <c r="M232" s="2">
        <v>292</v>
      </c>
      <c r="N232" s="2">
        <v>0</v>
      </c>
      <c r="O232" s="2">
        <v>2</v>
      </c>
      <c r="P232" s="2" t="s">
        <v>912</v>
      </c>
      <c r="Q232" s="9" t="s">
        <v>913</v>
      </c>
      <c r="R232" s="2" t="s">
        <v>91</v>
      </c>
      <c r="S232" s="2" t="str">
        <f>HYPERLINK(".\links\REFSEQ-INVERTEBRATE\AGAP003636-PA-REFSEQ-INVERTEBRATE.txt","REFSEQ-INVERTEBRATE")</f>
        <v>REFSEQ-INVERTEBRATE</v>
      </c>
      <c r="T232" s="2">
        <v>0</v>
      </c>
      <c r="U232" s="2">
        <v>100</v>
      </c>
      <c r="V232" s="2" t="s">
        <v>913</v>
      </c>
      <c r="W232" s="10" t="s">
        <v>914</v>
      </c>
      <c r="X232" s="2" t="s">
        <v>91</v>
      </c>
      <c r="Y232" s="2" t="str">
        <f>HYPERLINK(".\links\REFSEQ-PROTOZOA\AGAP003636-PA-REFSEQ-PROTOZOA.txt","REFSEQ-PROTOZOA")</f>
        <v>REFSEQ-PROTOZOA</v>
      </c>
      <c r="Z232" s="2">
        <v>0</v>
      </c>
      <c r="AA232" s="2">
        <v>0.9</v>
      </c>
      <c r="AB232" s="14" t="s">
        <v>89</v>
      </c>
      <c r="AC232" s="14" t="str">
        <f>HYPERLINK(".\links\Sigp\AGAP003636-PA-SigP.txt","CYT")</f>
        <v>CYT</v>
      </c>
      <c r="AD232" s="2" t="s">
        <v>89</v>
      </c>
      <c r="AE232" s="2">
        <v>34.499000000000002</v>
      </c>
      <c r="AF232" s="2">
        <v>5.21</v>
      </c>
      <c r="AG232" s="2" t="s">
        <v>89</v>
      </c>
      <c r="AH232" s="2" t="s">
        <v>89</v>
      </c>
      <c r="AI232" s="2" t="s">
        <v>93</v>
      </c>
      <c r="AJ232" s="14">
        <v>0</v>
      </c>
      <c r="AK232" s="2" t="s">
        <v>89</v>
      </c>
      <c r="AL232" s="2" t="s">
        <v>89</v>
      </c>
      <c r="AM232" s="2" t="s">
        <v>89</v>
      </c>
      <c r="AN232" s="14" t="str">
        <f>HYPERLINK(".\links\gpi\AGAP003636-PA-gpi.txt","N")</f>
        <v>N</v>
      </c>
      <c r="AO232" s="15" t="str">
        <f>HYPERLINK(".\links\netoglyc\AGAP003636-PA-netoglyc.txt","0")</f>
        <v>0</v>
      </c>
      <c r="AP232" s="14">
        <v>9.6</v>
      </c>
      <c r="AQ232" s="2">
        <v>5.0999999999999996</v>
      </c>
      <c r="AR232" s="2">
        <v>6.2</v>
      </c>
      <c r="AS232" s="2" t="s">
        <v>94</v>
      </c>
      <c r="AT232" s="9" t="str">
        <f>HYPERLINK(".\links\NR-LIGHT\AGAP003636-PA-NR-LIGHT.txt","AGAP003636-PA")</f>
        <v>AGAP003636-PA</v>
      </c>
      <c r="AU232" s="2" t="str">
        <f>HYPERLINK("http://www.ncbi.nlm.nih.gov/sutils/blink.cgi?pid=XP_313400.3","1E-178")</f>
        <v>1E-178</v>
      </c>
      <c r="AV232" s="2" t="str">
        <f>HYPERLINK("http://www.ncbi.nlm.nih.gov/protein/XP_313400.3","XP_313400.3")</f>
        <v>XP_313400.3</v>
      </c>
      <c r="AW232" s="2">
        <v>100</v>
      </c>
      <c r="AX232" s="2">
        <v>100</v>
      </c>
      <c r="AY232" s="2">
        <v>100</v>
      </c>
      <c r="AZ232" s="2" t="s">
        <v>95</v>
      </c>
      <c r="BA232" s="9" t="str">
        <f>HYPERLINK(".\links\REFSEQ-INVERTEBRATE\AGAP003636-PA-REFSEQ-INVERTEBRATE.txt","AGAP003636-PA")</f>
        <v>AGAP003636-PA</v>
      </c>
      <c r="BB232" s="2" t="str">
        <f>HYPERLINK("http://www.ncbi.nlm.nih.gov/sutils/blink.cgi?pid=XP_313400.3","1E-178")</f>
        <v>1E-178</v>
      </c>
      <c r="BC232" s="2" t="str">
        <f>HYPERLINK("http://www.ncbi.nlm.nih.gov/protein/XP_313400.3","XP_313400.3")</f>
        <v>XP_313400.3</v>
      </c>
      <c r="BD232" s="2">
        <v>100</v>
      </c>
      <c r="BE232" s="2">
        <v>100</v>
      </c>
      <c r="BF232" s="2">
        <v>100</v>
      </c>
      <c r="BG232" s="2" t="s">
        <v>95</v>
      </c>
      <c r="BH232" s="9" t="str">
        <f>HYPERLINK(".\links\REFSEQ-PROTOZOA\AGAP003636-PA-REFSEQ-PROTOZOA.txt","hypothetical protein")</f>
        <v>hypothetical protein</v>
      </c>
      <c r="BI232" s="2" t="str">
        <f>HYPERLINK("http://www.ncbi.nlm.nih.gov/sutils/blink.cgi?pid=XP_001744713.1","2E-097")</f>
        <v>2E-097</v>
      </c>
      <c r="BJ232" s="2" t="str">
        <f>HYPERLINK("http://www.ncbi.nlm.nih.gov/protein/XP_001744713.1","XP_001744713.1")</f>
        <v>XP_001744713.1</v>
      </c>
      <c r="BK232" s="2">
        <v>58</v>
      </c>
      <c r="BL232" s="2">
        <v>73</v>
      </c>
      <c r="BM232" s="2">
        <v>103</v>
      </c>
      <c r="BN232" s="2" t="s">
        <v>389</v>
      </c>
      <c r="BO232" s="9" t="str">
        <f>HYPERLINK(".\links\SWISSP\AGAP003636-PA-SWISSP.txt","Inositol oxygenase")</f>
        <v>Inositol oxygenase</v>
      </c>
      <c r="BP232" s="2" t="str">
        <f>HYPERLINK("http://www.uniprot.org/uniprot/Q4V8T0","1E-100")</f>
        <v>1E-100</v>
      </c>
      <c r="BQ232" s="2" t="str">
        <f>HYPERLINK("http://www.uniprot.org/uniprot/Q4V8T0#expression","Q4V8T0")</f>
        <v>Q4V8T0</v>
      </c>
      <c r="BR232" s="2">
        <v>60</v>
      </c>
      <c r="BS232" s="2">
        <v>76</v>
      </c>
      <c r="BT232" s="2">
        <v>97</v>
      </c>
      <c r="BU232" s="2" t="s">
        <v>744</v>
      </c>
      <c r="BV232" s="9" t="str">
        <f>HYPERLINK(".\links\FLYBASE\AGAP003636-PA-FLYBASE.txt","FBpp0288569")</f>
        <v>FBpp0288569</v>
      </c>
      <c r="BW232" s="2" t="str">
        <f>HYPERLINK("http://flybase.org/reports/FBgn0036262#alliance_summary_container","1E-165")</f>
        <v>1E-165</v>
      </c>
      <c r="BX232" s="2">
        <v>292</v>
      </c>
      <c r="BY232" s="2">
        <v>73</v>
      </c>
      <c r="BZ232" s="2">
        <v>83</v>
      </c>
      <c r="CA232" s="2">
        <v>100</v>
      </c>
      <c r="CB232" s="9" t="str">
        <f>HYPERLINK(".\links\CDD\AGAP003636-PA-CDD.txt","MIOX, Myo-inositol oxygenase")</f>
        <v>MIOX, Myo-inositol oxygenase</v>
      </c>
      <c r="CC232" s="13">
        <v>9.9999999999999993E-130</v>
      </c>
      <c r="CD232" s="2">
        <v>100.4</v>
      </c>
      <c r="CE232" s="2" t="s">
        <v>915</v>
      </c>
      <c r="CF232" s="2" t="s">
        <v>916</v>
      </c>
      <c r="CG232" s="9" t="str">
        <f>HYPERLINK(".\links\KOG\AGAP003636-PA-KOG.txt","Aldehyde reductase")</f>
        <v>Aldehyde reductase</v>
      </c>
      <c r="CH232" s="13">
        <v>4.0000000000000003E-86</v>
      </c>
      <c r="CI232" s="2">
        <v>102.5</v>
      </c>
      <c r="CJ232" s="2" t="s">
        <v>917</v>
      </c>
      <c r="CK232" s="2" t="s">
        <v>187</v>
      </c>
      <c r="CL232" s="9" t="str">
        <f>HYPERLINK(".\links\PFAM\AGAP003636-PA-PFAM.txt","MIOX, Myo-inositol oxygenase")</f>
        <v>MIOX, Myo-inositol oxygenase</v>
      </c>
      <c r="CM232" s="13">
        <v>1.0000000000000001E-130</v>
      </c>
      <c r="CN232" s="2">
        <v>100.4</v>
      </c>
      <c r="CO232" s="2" t="s">
        <v>915</v>
      </c>
      <c r="CP232" s="9" t="str">
        <f>HYPERLINK(".\links\SMART\AGAP003636-PA-SMART.txt","HDc, Metal dependent phosphohydrolases with conserved 'HD' motif")</f>
        <v>HDc, Metal dependent phosphohydrolases with conserved 'HD' motif</v>
      </c>
      <c r="CQ232" s="13">
        <v>0.05</v>
      </c>
      <c r="CR232" s="2">
        <v>32.299999999999997</v>
      </c>
      <c r="CS232" s="2" t="s">
        <v>918</v>
      </c>
      <c r="CT232" s="2" t="s">
        <v>913</v>
      </c>
      <c r="CU232" s="2" t="s">
        <v>913</v>
      </c>
      <c r="CV232" s="2" t="s">
        <v>913</v>
      </c>
      <c r="CW232" s="2" t="str">
        <f>HYPERLINK(".\links\pep\AGAP003636-PA-pep.txt","AGAP003636-PA")</f>
        <v>AGAP003636-PA</v>
      </c>
      <c r="CX232" s="2" t="s">
        <v>88</v>
      </c>
      <c r="CY232" s="2">
        <v>292</v>
      </c>
      <c r="CZ232" s="2" t="s">
        <v>103</v>
      </c>
      <c r="DA232" s="2" t="s">
        <v>919</v>
      </c>
      <c r="DB232" s="2">
        <v>0</v>
      </c>
      <c r="DC232" s="2">
        <v>2</v>
      </c>
      <c r="DD232" s="2" t="str">
        <f>HYPERLINK("https://www.kegg.jp/kegg-bin/search_pathway_text?map=aga&amp;keyword=AGAP003636&amp;mode=1&amp;viewImage=true","AGAP003636")</f>
        <v>AGAP003636</v>
      </c>
      <c r="DE232" s="2" t="s">
        <v>910</v>
      </c>
      <c r="DF232" s="2" t="s">
        <v>911</v>
      </c>
      <c r="DG232" s="2" t="s">
        <v>87</v>
      </c>
      <c r="DH232" s="2" t="str">
        <f>HYPERLINK("https://vectorbase.org/vectorbase/app/record/gene/AGAP003636","AGAP003636-RA")</f>
        <v>AGAP003636-RA</v>
      </c>
      <c r="DI232" s="2" t="s">
        <v>158</v>
      </c>
      <c r="DJ232" s="2">
        <v>1392</v>
      </c>
      <c r="DK232" s="2" t="str">
        <f>HYPERLINK(".\links\netoglyc\AGAP003636-PA-netoglyc.txt","0")</f>
        <v>0</v>
      </c>
      <c r="DL232" s="2">
        <v>9.6</v>
      </c>
      <c r="DM232" s="2">
        <v>5.0999999999999996</v>
      </c>
      <c r="DN232" s="2">
        <v>6.2</v>
      </c>
      <c r="DO232" s="2" t="s">
        <v>94</v>
      </c>
      <c r="DP232" s="2" t="s">
        <v>89</v>
      </c>
      <c r="DQ232" s="2" t="str">
        <f>HYPERLINK(".\links\Sigp\AGAP003636-PA-SigP.txt","CYT")</f>
        <v>CYT</v>
      </c>
      <c r="DR232" s="2" t="s">
        <v>89</v>
      </c>
      <c r="DS232" s="2">
        <v>34.499000000000002</v>
      </c>
      <c r="DT232" s="2">
        <v>5.21</v>
      </c>
      <c r="DU232" s="2" t="s">
        <v>89</v>
      </c>
      <c r="DV232" s="2" t="s">
        <v>89</v>
      </c>
      <c r="DW232" s="2" t="s">
        <v>93</v>
      </c>
      <c r="DX232" s="2">
        <v>292</v>
      </c>
      <c r="DY232" s="12">
        <v>0</v>
      </c>
      <c r="DZ232" s="2" t="s">
        <v>89</v>
      </c>
      <c r="EA232" s="2" t="s">
        <v>89</v>
      </c>
      <c r="EB232" s="2" t="s">
        <v>89</v>
      </c>
      <c r="EC232" s="2" t="str">
        <f>HYPERLINK(".\links\gpi\AGAP003636-PA-gpi.txt","N")</f>
        <v>N</v>
      </c>
      <c r="ED232" s="2">
        <v>0.31</v>
      </c>
      <c r="EF232" s="2">
        <v>3</v>
      </c>
      <c r="EG232" s="2" t="s">
        <v>89</v>
      </c>
      <c r="EH232" s="2" t="s">
        <v>89</v>
      </c>
      <c r="EI232" s="2">
        <v>9.5890410958904102</v>
      </c>
      <c r="EJ232" s="2">
        <v>6.1643835616438398</v>
      </c>
      <c r="EK232" s="2">
        <v>5.13698630136986</v>
      </c>
      <c r="EL232" s="2">
        <v>11.301369863013701</v>
      </c>
      <c r="EM232" s="2" t="s">
        <v>89</v>
      </c>
      <c r="EN232" s="2">
        <v>1</v>
      </c>
      <c r="EO232" s="2">
        <v>2</v>
      </c>
      <c r="EP232" s="2" t="s">
        <v>89</v>
      </c>
      <c r="EQ232" s="2" t="s">
        <v>89</v>
      </c>
      <c r="ER232" s="2" t="s">
        <v>89</v>
      </c>
      <c r="ES232" s="2" t="s">
        <v>89</v>
      </c>
      <c r="ET232" s="2" t="str">
        <f>HYPERLINK(".\links\REFSEQ-INVERTEBRATE\AGAP003636-PA-REFSEQ-INVERTEBRATE.txt","AGAP003636-PA")</f>
        <v>AGAP003636-PA</v>
      </c>
      <c r="EU232" s="2" t="str">
        <f>HYPERLINK("http://www.ncbi.nlm.nih.gov/sutils/blink.cgi?pid=XP_313400.3","0.0")</f>
        <v>0.0</v>
      </c>
      <c r="EV232" s="2" t="str">
        <f>HYPERLINK("http://www.ncbi.nlm.nih.gov/protein/XP_313400.3","XP_313400.3")</f>
        <v>XP_313400.3</v>
      </c>
      <c r="EW232" s="2">
        <v>100</v>
      </c>
      <c r="EX232" s="2">
        <v>100</v>
      </c>
      <c r="EY232" s="2">
        <v>100</v>
      </c>
      <c r="EZ232" s="2" t="s">
        <v>95</v>
      </c>
    </row>
    <row r="233" spans="1:156" x14ac:dyDescent="0.25">
      <c r="A233" s="2" t="s">
        <v>3083</v>
      </c>
      <c r="B233" s="2">
        <v>-1.13045317068116</v>
      </c>
      <c r="C233" s="2">
        <f t="shared" si="3"/>
        <v>0.45677222403680612</v>
      </c>
      <c r="D233" s="2">
        <v>13.084302463162601</v>
      </c>
      <c r="E233" s="2">
        <v>26.888228938707499</v>
      </c>
      <c r="F233" s="2">
        <v>2.1556780859190801E-7</v>
      </c>
      <c r="G233" s="2">
        <v>1.7655003523677201E-4</v>
      </c>
      <c r="H233" s="2" t="s">
        <v>3084</v>
      </c>
      <c r="I233" s="2" t="s">
        <v>89</v>
      </c>
      <c r="J233" s="2" t="str">
        <f>HYPERLINK("https://vectorbase.org/vectorbase/app/record/gene/AGAP028387","AGAP028387-RA")</f>
        <v>AGAP028387-RA</v>
      </c>
      <c r="K233" s="2" t="str">
        <f>HYPERLINK(".\links\pep\AGAP028387-PA-pep.txt","AGAP028387-PA")</f>
        <v>AGAP028387-PA</v>
      </c>
      <c r="L233" s="12" t="s">
        <v>88</v>
      </c>
      <c r="M233" s="2">
        <v>378</v>
      </c>
      <c r="N233" s="2">
        <v>0</v>
      </c>
      <c r="O233" s="2">
        <v>2</v>
      </c>
      <c r="P233" s="2" t="s">
        <v>3085</v>
      </c>
      <c r="Q233" s="9" t="s">
        <v>3086</v>
      </c>
      <c r="R233" s="2" t="s">
        <v>663</v>
      </c>
      <c r="S233" s="2" t="str">
        <f>HYPERLINK(".\links\CDD\AGAP028387-PA-CDD.txt","CDD")</f>
        <v>CDD</v>
      </c>
      <c r="T233" s="2">
        <v>0</v>
      </c>
      <c r="U233" s="2">
        <v>100</v>
      </c>
      <c r="V233" s="2" t="s">
        <v>3087</v>
      </c>
      <c r="W233" s="10" t="s">
        <v>3088</v>
      </c>
      <c r="X233" s="2" t="s">
        <v>663</v>
      </c>
      <c r="Y233" s="2" t="str">
        <f>HYPERLINK(".\links\COG\AGAP028387-PA-COG.txt","COG")</f>
        <v>COG</v>
      </c>
      <c r="Z233" s="13">
        <v>1.9999999999999999E-67</v>
      </c>
      <c r="AA233" s="2">
        <v>86</v>
      </c>
      <c r="AB233" s="14" t="s">
        <v>89</v>
      </c>
      <c r="AC233" s="14" t="str">
        <f>HYPERLINK(".\links\Sigp\AGAP028387-PA-SigP.txt","CYT")</f>
        <v>CYT</v>
      </c>
      <c r="AD233" s="2" t="s">
        <v>89</v>
      </c>
      <c r="AE233" s="2">
        <v>43.396000000000001</v>
      </c>
      <c r="AF233" s="2">
        <v>8.2799999999999994</v>
      </c>
      <c r="AG233" s="2" t="s">
        <v>89</v>
      </c>
      <c r="AH233" s="2" t="s">
        <v>89</v>
      </c>
      <c r="AI233" s="2" t="s">
        <v>3089</v>
      </c>
      <c r="AJ233" s="14" t="str">
        <f>HYPERLINK(".\links\tmhmm\AGAP028387-PA-tmhmm.txt","9")</f>
        <v>9</v>
      </c>
      <c r="AK233" s="2">
        <v>50.5</v>
      </c>
      <c r="AL233" s="2">
        <v>21.7</v>
      </c>
      <c r="AM233" s="2">
        <v>27.8</v>
      </c>
      <c r="AN233" s="14" t="str">
        <f>HYPERLINK(".\links\gpi\AGAP028387-PA-gpi.txt","N")</f>
        <v>N</v>
      </c>
      <c r="AO233" s="15" t="str">
        <f>HYPERLINK(".\links\netoglyc\AGAP028387-PA-netoglyc.txt","0")</f>
        <v>0</v>
      </c>
      <c r="AP233" s="14">
        <v>9.5</v>
      </c>
      <c r="AQ233" s="2">
        <v>6.1</v>
      </c>
      <c r="AR233" s="2">
        <v>5.6</v>
      </c>
      <c r="AS233" s="2" t="s">
        <v>94</v>
      </c>
      <c r="AT233" s="9" t="str">
        <f>HYPERLINK(".\links\NR-LIGHT\AGAP028387-PA-NR-LIGHT.txt","CYTB gene product (mitochondrion)")</f>
        <v>CYTB gene product (mitochondrion)</v>
      </c>
      <c r="AU233" s="2" t="str">
        <f>HYPERLINK("http://www.ncbi.nlm.nih.gov/sutils/blink.cgi?pid=NP_008080.1","0.0")</f>
        <v>0.0</v>
      </c>
      <c r="AV233" s="2" t="str">
        <f>HYPERLINK("http://www.ncbi.nlm.nih.gov/protein/NP_008080.1","NP_008080.1")</f>
        <v>NP_008080.1</v>
      </c>
      <c r="AW233" s="2">
        <v>100</v>
      </c>
      <c r="AX233" s="2">
        <v>100</v>
      </c>
      <c r="AY233" s="2">
        <v>100</v>
      </c>
      <c r="AZ233" s="2" t="s">
        <v>215</v>
      </c>
      <c r="BA233" s="9" t="str">
        <f>HYPERLINK(".\links\REFSEQ-INVERTEBRATE\AGAP028387-PA-REFSEQ-INVERTEBRATE.txt","cytochrome b (mitochondrion)")</f>
        <v>cytochrome b (mitochondrion)</v>
      </c>
      <c r="BB233" s="2" t="str">
        <f>HYPERLINK("http://www.ncbi.nlm.nih.gov/sutils/blink.cgi?pid=YP_009176739.1","0.0")</f>
        <v>0.0</v>
      </c>
      <c r="BC233" s="2" t="str">
        <f>HYPERLINK("http://www.ncbi.nlm.nih.gov/protein/YP_009176739.1","YP_009176739.1")</f>
        <v>YP_009176739.1</v>
      </c>
      <c r="BD233" s="2">
        <v>100</v>
      </c>
      <c r="BE233" s="2">
        <v>100</v>
      </c>
      <c r="BF233" s="2">
        <v>100</v>
      </c>
      <c r="BG233" s="2" t="s">
        <v>3021</v>
      </c>
      <c r="BH233" s="9" t="str">
        <f>HYPERLINK(".\links\REFSEQ-PROTOZOA\AGAP028387-PA-REFSEQ-PROTOZOA.txt","apocytochrome b (mitochondrion)")</f>
        <v>apocytochrome b (mitochondrion)</v>
      </c>
      <c r="BI233" s="2" t="str">
        <f>HYPERLINK("http://www.ncbi.nlm.nih.gov/sutils/blink.cgi?pid=NP_696989.1","1E-134")</f>
        <v>1E-134</v>
      </c>
      <c r="BJ233" s="2" t="str">
        <f>HYPERLINK("http://www.ncbi.nlm.nih.gov/protein/NP_696989.1","NP_696989.1")</f>
        <v>NP_696989.1</v>
      </c>
      <c r="BK233" s="2">
        <v>58</v>
      </c>
      <c r="BL233" s="2">
        <v>75</v>
      </c>
      <c r="BM233" s="2">
        <v>99</v>
      </c>
      <c r="BN233" s="2" t="s">
        <v>3007</v>
      </c>
      <c r="BO233" s="9" t="str">
        <f>HYPERLINK(".\links\SWISSP\AGAP028387-PA-SWISSP.txt","Cytochrome b")</f>
        <v>Cytochrome b</v>
      </c>
      <c r="BP233" s="2" t="str">
        <f>HYPERLINK("http://www.uniprot.org/uniprot/P34844","0.0")</f>
        <v>0.0</v>
      </c>
      <c r="BQ233" s="2" t="str">
        <f>HYPERLINK("http://www.uniprot.org/uniprot/P34844#expression","P34844")</f>
        <v>P34844</v>
      </c>
      <c r="BR233" s="2">
        <v>100</v>
      </c>
      <c r="BS233" s="2">
        <v>100</v>
      </c>
      <c r="BT233" s="2">
        <v>100</v>
      </c>
      <c r="BU233" s="2" t="s">
        <v>215</v>
      </c>
      <c r="BV233" s="9" t="str">
        <f>HYPERLINK(".\links\FLYBASE\AGAP028387-PA-FLYBASE.txt","FBpp0390634")</f>
        <v>FBpp0390634</v>
      </c>
      <c r="BW233" s="2" t="str">
        <f>HYPERLINK("http://flybase.org/reports/FBgn0013678#alliance_summary_container","0.0")</f>
        <v>0.0</v>
      </c>
      <c r="BX233" s="2">
        <v>378</v>
      </c>
      <c r="BY233" s="2">
        <v>77</v>
      </c>
      <c r="BZ233" s="2">
        <v>88</v>
      </c>
      <c r="CA233" s="2">
        <v>100</v>
      </c>
      <c r="CB233" s="9" t="str">
        <f>HYPERLINK(".\links\CDD\AGAP028387-PA-CDD.txt","CYTB, cytochrome b")</f>
        <v>CYTB, cytochrome b</v>
      </c>
      <c r="CC233" s="13">
        <v>0</v>
      </c>
      <c r="CD233" s="2">
        <v>100</v>
      </c>
      <c r="CE233" s="2" t="s">
        <v>3090</v>
      </c>
      <c r="CF233" s="2" t="s">
        <v>3091</v>
      </c>
      <c r="CG233" s="9" t="str">
        <f>HYPERLINK(".\links\KOG\AGAP028387-PA-KOG.txt","Cytochrome b")</f>
        <v>Cytochrome b</v>
      </c>
      <c r="CH233" s="13">
        <v>9.9999999999999993E-78</v>
      </c>
      <c r="CI233" s="2">
        <v>100</v>
      </c>
      <c r="CJ233" s="2" t="s">
        <v>3092</v>
      </c>
      <c r="CK233" s="2" t="s">
        <v>155</v>
      </c>
      <c r="CL233" s="9" t="str">
        <f>HYPERLINK(".\links\PFAM\AGAP028387-PA-PFAM.txt","Cytochrome_B, Cytochrome b/b6/petB")</f>
        <v>Cytochrome_B, Cytochrome b/b6/petB</v>
      </c>
      <c r="CM233" s="13">
        <v>6.0000000000000001E-64</v>
      </c>
      <c r="CN233" s="2">
        <v>100</v>
      </c>
      <c r="CO233" s="2" t="s">
        <v>3093</v>
      </c>
      <c r="CP233" s="9" t="str">
        <f>HYPERLINK(".\links\SMART\AGAP028387-PA-SMART.txt","HECTc, Domain Homologous to E6-AP Carboxyl Terminus with")</f>
        <v>HECTc, Domain Homologous to E6-AP Carboxyl Terminus with</v>
      </c>
      <c r="CQ233" s="13">
        <v>1.4</v>
      </c>
      <c r="CR233" s="2">
        <v>9.5</v>
      </c>
      <c r="CS233" s="2" t="s">
        <v>2414</v>
      </c>
      <c r="CT233" s="2" t="s">
        <v>3087</v>
      </c>
      <c r="CU233" s="2" t="s">
        <v>3087</v>
      </c>
      <c r="CV233" s="2" t="s">
        <v>3087</v>
      </c>
      <c r="CW233" s="2" t="str">
        <f>HYPERLINK(".\links\pep\AGAP028387-PA-pep.txt","AGAP028387-PA")</f>
        <v>AGAP028387-PA</v>
      </c>
      <c r="CX233" s="2" t="s">
        <v>88</v>
      </c>
      <c r="CY233" s="2">
        <v>378</v>
      </c>
      <c r="CZ233" s="2" t="s">
        <v>103</v>
      </c>
      <c r="DA233" s="2">
        <v>0</v>
      </c>
      <c r="DB233" s="2">
        <v>2</v>
      </c>
      <c r="DD233" s="2" t="str">
        <f>HYPERLINK("https://www.kegg.jp/kegg-bin/search_pathway_text?map=aga&amp;keyword=AGAP028387&amp;mode=1&amp;viewImage=true","AGAP028387")</f>
        <v>AGAP028387</v>
      </c>
      <c r="DE233" s="2" t="s">
        <v>3083</v>
      </c>
      <c r="DF233" s="2" t="s">
        <v>3084</v>
      </c>
      <c r="DG233" s="2" t="s">
        <v>89</v>
      </c>
      <c r="DH233" s="2" t="str">
        <f>HYPERLINK("https://vectorbase.org/vectorbase/app/record/gene/AGAP028387","AGAP028387-RA")</f>
        <v>AGAP028387-RA</v>
      </c>
      <c r="DI233" s="2" t="s">
        <v>140</v>
      </c>
      <c r="DJ233" s="2">
        <v>1137</v>
      </c>
      <c r="DK233" s="2" t="str">
        <f>HYPERLINK(".\links\netoglyc\AGAP028387-PA-netoglyc.txt","0")</f>
        <v>0</v>
      </c>
      <c r="DL233" s="2">
        <v>9.5</v>
      </c>
      <c r="DM233" s="2">
        <v>6.1</v>
      </c>
      <c r="DN233" s="2">
        <v>5.6</v>
      </c>
      <c r="DO233" s="2" t="s">
        <v>94</v>
      </c>
      <c r="DP233" s="2" t="s">
        <v>89</v>
      </c>
      <c r="DQ233" s="2" t="str">
        <f>HYPERLINK(".\links\Sigp\AGAP028387-PA-SigP.txt","CYT")</f>
        <v>CYT</v>
      </c>
      <c r="DR233" s="2" t="s">
        <v>89</v>
      </c>
      <c r="DS233" s="2">
        <v>43.396000000000001</v>
      </c>
      <c r="DT233" s="2">
        <v>8.2799999999999994</v>
      </c>
      <c r="DU233" s="2" t="s">
        <v>89</v>
      </c>
      <c r="DV233" s="2" t="s">
        <v>89</v>
      </c>
      <c r="DW233" s="2" t="s">
        <v>3089</v>
      </c>
      <c r="DX233" s="2">
        <v>378</v>
      </c>
      <c r="DY233" s="12" t="str">
        <f>HYPERLINK(".\links\tmhmm\AGAP028387-PA-tmhmm.txt","9")</f>
        <v>9</v>
      </c>
      <c r="DZ233" s="2">
        <v>50.5</v>
      </c>
      <c r="EA233" s="2">
        <v>21.7</v>
      </c>
      <c r="EB233" s="2">
        <v>27.8</v>
      </c>
      <c r="EC233" s="2" t="str">
        <f>HYPERLINK(".\links\gpi\AGAP028387-PA-gpi.txt","N")</f>
        <v>N</v>
      </c>
      <c r="ED233" s="2">
        <v>0.49</v>
      </c>
      <c r="EE233" s="2" t="s">
        <v>3094</v>
      </c>
      <c r="EF233" s="2">
        <v>4</v>
      </c>
      <c r="EG233" s="2" t="s">
        <v>89</v>
      </c>
      <c r="EH233" s="2" t="s">
        <v>89</v>
      </c>
      <c r="EI233" s="2">
        <v>9.5238095238095202</v>
      </c>
      <c r="EJ233" s="2">
        <v>5.5555555555555598</v>
      </c>
      <c r="EK233" s="2">
        <v>6.0846560846560802</v>
      </c>
      <c r="EL233" s="2">
        <v>11.6402116402116</v>
      </c>
      <c r="EM233" s="2" t="s">
        <v>89</v>
      </c>
      <c r="EN233" s="2" t="s">
        <v>89</v>
      </c>
      <c r="EO233" s="2" t="s">
        <v>89</v>
      </c>
      <c r="EP233" s="2" t="s">
        <v>89</v>
      </c>
      <c r="EQ233" s="2" t="s">
        <v>89</v>
      </c>
      <c r="ER233" s="2" t="s">
        <v>89</v>
      </c>
      <c r="ES233" s="2" t="s">
        <v>89</v>
      </c>
      <c r="ET233" s="2" t="str">
        <f>HYPERLINK(".\links\REFSEQ-INVERTEBRATE\AGAP028387-PA-REFSEQ-INVERTEBRATE.txt","CYTB gene product (mitochondrion)")</f>
        <v>CYTB gene product (mitochondrion)</v>
      </c>
      <c r="EU233" s="2" t="str">
        <f>HYPERLINK("http://www.ncbi.nlm.nih.gov/sutils/blink.cgi?pid=NP_008080.1","0.0")</f>
        <v>0.0</v>
      </c>
      <c r="EV233" s="2" t="str">
        <f>HYPERLINK("http://www.ncbi.nlm.nih.gov/protein/NP_008080.1","NP_008080.1")</f>
        <v>NP_008080.1</v>
      </c>
      <c r="EW233" s="2">
        <v>100</v>
      </c>
      <c r="EX233" s="2">
        <v>100</v>
      </c>
      <c r="EY233" s="2">
        <v>100</v>
      </c>
      <c r="EZ233" s="2" t="s">
        <v>215</v>
      </c>
    </row>
    <row r="234" spans="1:156" x14ac:dyDescent="0.25">
      <c r="A234" s="2" t="s">
        <v>1265</v>
      </c>
      <c r="B234" s="2">
        <v>-1.1315682794567601</v>
      </c>
      <c r="C234" s="2">
        <f t="shared" si="3"/>
        <v>0.45641930543351239</v>
      </c>
      <c r="D234" s="2">
        <v>6.1222393868213203</v>
      </c>
      <c r="E234" s="2">
        <v>23.564754483583599</v>
      </c>
      <c r="F234" s="2">
        <v>1.2077970589099201E-6</v>
      </c>
      <c r="G234" s="2">
        <v>4.8854594496907603E-4</v>
      </c>
      <c r="H234" s="2" t="s">
        <v>1266</v>
      </c>
      <c r="I234" s="2" t="s">
        <v>89</v>
      </c>
      <c r="J234" s="2" t="str">
        <f>HYPERLINK("https://vectorbase.org/vectorbase/app/record/gene/AGAP004679","AGAP004679-RA")</f>
        <v>AGAP004679-RA</v>
      </c>
      <c r="K234" s="2" t="str">
        <f>HYPERLINK(".\links\pep\AGAP004679-PA-pep.txt","AGAP004679-PA")</f>
        <v>AGAP004679-PA</v>
      </c>
      <c r="L234" s="12" t="s">
        <v>88</v>
      </c>
      <c r="M234" s="2">
        <v>530</v>
      </c>
      <c r="N234" s="2">
        <v>0</v>
      </c>
      <c r="O234" s="2">
        <v>0</v>
      </c>
      <c r="P234" s="2" t="s">
        <v>1267</v>
      </c>
      <c r="Q234" s="9" t="s">
        <v>1267</v>
      </c>
      <c r="R234" s="2" t="s">
        <v>209</v>
      </c>
      <c r="S234" s="2" t="str">
        <f>HYPERLINK(".\links\KOG\AGAP004679-PA-KOG.txt","KOG")</f>
        <v>KOG</v>
      </c>
      <c r="T234" s="2">
        <v>0</v>
      </c>
      <c r="U234" s="2">
        <v>97.7</v>
      </c>
      <c r="V234" s="2" t="s">
        <v>1268</v>
      </c>
      <c r="W234" s="10" t="s">
        <v>564</v>
      </c>
      <c r="X234" s="2" t="s">
        <v>209</v>
      </c>
      <c r="Y234" s="2" t="str">
        <f>HYPERLINK(".\links\COG\AGAP004679-PA-COG.txt","COG")</f>
        <v>COG</v>
      </c>
      <c r="Z234" s="13">
        <v>2.0000000000000001E-54</v>
      </c>
      <c r="AA234" s="2">
        <v>96</v>
      </c>
      <c r="AB234" s="14" t="str">
        <f>HYPERLINK(".\links\pep\AGAP004679-PA-sulf.txt","1")</f>
        <v>1</v>
      </c>
      <c r="AC234" s="14" t="str">
        <f>HYPERLINK(".\links\Sigp\AGAP004679-PA-SigP.txt","CYT")</f>
        <v>CYT</v>
      </c>
      <c r="AD234" s="2" t="s">
        <v>89</v>
      </c>
      <c r="AE234" s="2">
        <v>60.408999999999999</v>
      </c>
      <c r="AF234" s="2">
        <v>8.11</v>
      </c>
      <c r="AG234" s="2" t="s">
        <v>89</v>
      </c>
      <c r="AH234" s="2" t="s">
        <v>89</v>
      </c>
      <c r="AI234" s="2" t="s">
        <v>1269</v>
      </c>
      <c r="AJ234" s="14">
        <v>0</v>
      </c>
      <c r="AK234" s="2" t="s">
        <v>89</v>
      </c>
      <c r="AL234" s="2" t="s">
        <v>89</v>
      </c>
      <c r="AM234" s="2" t="s">
        <v>89</v>
      </c>
      <c r="AN234" s="14" t="str">
        <f>HYPERLINK(".\links\gpi\AGAP004679-PA-gpi.txt","N")</f>
        <v>N</v>
      </c>
      <c r="AO234" s="15" t="str">
        <f>HYPERLINK(".\links\netoglyc\AGAP004679-PA-netoglyc.txt","0")</f>
        <v>0</v>
      </c>
      <c r="AP234" s="14">
        <v>16.8</v>
      </c>
      <c r="AQ234" s="2">
        <v>4.7</v>
      </c>
      <c r="AR234" s="2">
        <v>2.2999999999999998</v>
      </c>
      <c r="AS234" s="2" t="s">
        <v>94</v>
      </c>
      <c r="AT234" s="9" t="str">
        <f>HYPERLINK(".\links\NR-LIGHT\AGAP004679-PA-NR-LIGHT.txt","AGAP004679-PB")</f>
        <v>AGAP004679-PB</v>
      </c>
      <c r="AU234" s="2" t="str">
        <f>HYPERLINK("http://www.ncbi.nlm.nih.gov/sutils/blink.cgi?pid=XP_558004.3","0.0")</f>
        <v>0.0</v>
      </c>
      <c r="AV234" s="2" t="str">
        <f>HYPERLINK("http://www.ncbi.nlm.nih.gov/protein/XP_558004.3","XP_558004.3")</f>
        <v>XP_558004.3</v>
      </c>
      <c r="AW234" s="2">
        <v>100</v>
      </c>
      <c r="AX234" s="2">
        <v>100</v>
      </c>
      <c r="AY234" s="2">
        <v>100</v>
      </c>
      <c r="AZ234" s="2" t="s">
        <v>95</v>
      </c>
      <c r="BA234" s="9" t="str">
        <f>HYPERLINK(".\links\REFSEQ-INVERTEBRATE\AGAP004679-PA-REFSEQ-INVERTEBRATE.txt","AGAP004679-PA")</f>
        <v>AGAP004679-PA</v>
      </c>
      <c r="BB234" s="2" t="str">
        <f>HYPERLINK("http://www.ncbi.nlm.nih.gov/sutils/blink.cgi?pid=XP_001688580.1","0.0")</f>
        <v>0.0</v>
      </c>
      <c r="BC234" s="2" t="str">
        <f>HYPERLINK("http://www.ncbi.nlm.nih.gov/protein/XP_001688580.1","XP_001688580.1")</f>
        <v>XP_001688580.1</v>
      </c>
      <c r="BD234" s="2">
        <v>100</v>
      </c>
      <c r="BE234" s="2">
        <v>100</v>
      </c>
      <c r="BF234" s="2">
        <v>100</v>
      </c>
      <c r="BG234" s="2" t="s">
        <v>95</v>
      </c>
      <c r="BH234" s="9" t="str">
        <f>HYPERLINK(".\links\REFSEQ-PROTOZOA\AGAP004679-PA-REFSEQ-PROTOZOA.txt","folylpolyglutamate synthetase")</f>
        <v>folylpolyglutamate synthetase</v>
      </c>
      <c r="BI234" s="2" t="str">
        <f>HYPERLINK("http://www.ncbi.nlm.nih.gov/sutils/blink.cgi?pid=XP_004348304.2","6E-071")</f>
        <v>6E-071</v>
      </c>
      <c r="BJ234" s="2" t="str">
        <f>HYPERLINK("http://www.ncbi.nlm.nih.gov/protein/XP_004348304.2","XP_004348304.2")</f>
        <v>XP_004348304.2</v>
      </c>
      <c r="BK234" s="2">
        <v>34</v>
      </c>
      <c r="BL234" s="2">
        <v>53</v>
      </c>
      <c r="BM234" s="2">
        <v>97</v>
      </c>
      <c r="BN234" s="2" t="s">
        <v>150</v>
      </c>
      <c r="BO234" s="9" t="str">
        <f>HYPERLINK(".\links\SWISSP\AGAP004679-PA-SWISSP.txt","Folylpolyglutamate synthase, mitochondrial")</f>
        <v>Folylpolyglutamate synthase, mitochondrial</v>
      </c>
      <c r="BP234" s="2" t="str">
        <f>HYPERLINK("http://www.uniprot.org/uniprot/A6H751","6E-084")</f>
        <v>6E-084</v>
      </c>
      <c r="BQ234" s="2" t="str">
        <f>HYPERLINK("http://www.uniprot.org/uniprot/A6H751#expression","A6H751")</f>
        <v>A6H751</v>
      </c>
      <c r="BR234" s="2">
        <v>39</v>
      </c>
      <c r="BS234" s="2">
        <v>58</v>
      </c>
      <c r="BT234" s="2">
        <v>76</v>
      </c>
      <c r="BU234" s="2" t="s">
        <v>183</v>
      </c>
      <c r="BV234" s="9" t="str">
        <f>HYPERLINK(".\links\FLYBASE\AGAP004679-PA-FLYBASE.txt","FBpp0312046")</f>
        <v>FBpp0312046</v>
      </c>
      <c r="BW234" s="2" t="str">
        <f>HYPERLINK("http://flybase.org/reports/FBgn0030407#alliance_summary_container","1E-123")</f>
        <v>1E-123</v>
      </c>
      <c r="BX234" s="2">
        <v>542</v>
      </c>
      <c r="BY234" s="2">
        <v>43</v>
      </c>
      <c r="BZ234" s="2">
        <v>62</v>
      </c>
      <c r="CA234" s="2">
        <v>88</v>
      </c>
      <c r="CB234" s="9" t="str">
        <f>HYPERLINK(".\links\CDD\AGAP004679-PA-CDD.txt","PLN02881, tetrahydrofolylpolyglutamate synthase")</f>
        <v>PLN02881, tetrahydrofolylpolyglutamate synthase</v>
      </c>
      <c r="CC234" s="13">
        <v>6.0000000000000003E-87</v>
      </c>
      <c r="CD234" s="2">
        <v>82.8</v>
      </c>
      <c r="CE234" s="2" t="s">
        <v>1270</v>
      </c>
      <c r="CF234" s="2" t="s">
        <v>1271</v>
      </c>
      <c r="CG234" s="9" t="str">
        <f>HYPERLINK(".\links\KOG\AGAP004679-PA-KOG.txt","Folylpolyglutamate synthase")</f>
        <v>Folylpolyglutamate synthase</v>
      </c>
      <c r="CH234" s="13">
        <v>1E-108</v>
      </c>
      <c r="CI234" s="2">
        <v>97.8</v>
      </c>
      <c r="CJ234" s="2" t="s">
        <v>1272</v>
      </c>
      <c r="CK234" s="2" t="s">
        <v>219</v>
      </c>
      <c r="CL234" s="9" t="str">
        <f>HYPERLINK(".\links\PFAM\AGAP004679-PA-PFAM.txt","Mur_ligase_C, Mur ligase family, glutamate ligase domain")</f>
        <v>Mur_ligase_C, Mur ligase family, glutamate ligase domain</v>
      </c>
      <c r="CM234" s="13">
        <v>5.0000000000000001E-4</v>
      </c>
      <c r="CN234" s="2">
        <v>103.4</v>
      </c>
      <c r="CO234" s="2" t="s">
        <v>1273</v>
      </c>
      <c r="CP234" s="9" t="str">
        <f>HYPERLINK(".\links\SMART\AGAP004679-PA-SMART.txt","DYNc, Dynamin, GTPase")</f>
        <v>DYNc, Dynamin, GTPase</v>
      </c>
      <c r="CQ234" s="13">
        <v>0.32</v>
      </c>
      <c r="CR234" s="2">
        <v>25.8</v>
      </c>
      <c r="CS234" s="2" t="s">
        <v>1274</v>
      </c>
      <c r="CT234" s="2" t="s">
        <v>1268</v>
      </c>
      <c r="CU234" s="2" t="s">
        <v>1268</v>
      </c>
      <c r="CV234" s="2" t="s">
        <v>1268</v>
      </c>
      <c r="CW234" s="2" t="str">
        <f>HYPERLINK(".\links\pep\AGAP004679-PA-pep.txt","AGAP004679-PA")</f>
        <v>AGAP004679-PA</v>
      </c>
      <c r="CX234" s="2" t="s">
        <v>88</v>
      </c>
      <c r="CY234" s="2">
        <v>530</v>
      </c>
      <c r="CZ234" s="2" t="s">
        <v>103</v>
      </c>
      <c r="DA234" s="2">
        <v>0</v>
      </c>
      <c r="DB234" s="2">
        <v>0</v>
      </c>
      <c r="DD234" s="2" t="str">
        <f>HYPERLINK("https://www.kegg.jp/kegg-bin/search_pathway_text?map=aga&amp;keyword=AGAP004679&amp;mode=1&amp;viewImage=true","AGAP004679")</f>
        <v>AGAP004679</v>
      </c>
      <c r="DE234" s="2" t="s">
        <v>1265</v>
      </c>
      <c r="DF234" s="2" t="s">
        <v>1266</v>
      </c>
      <c r="DG234" s="2" t="s">
        <v>89</v>
      </c>
      <c r="DH234" s="2" t="str">
        <f>HYPERLINK("https://vectorbase.org/vectorbase/app/record/gene/AGAP004679","AGAP004679-RA")</f>
        <v>AGAP004679-RA</v>
      </c>
      <c r="DI234" s="2" t="s">
        <v>140</v>
      </c>
      <c r="DJ234" s="2">
        <v>2011</v>
      </c>
      <c r="DK234" s="2" t="str">
        <f>HYPERLINK(".\links\netoglyc\AGAP004679-PA-netoglyc.txt","0")</f>
        <v>0</v>
      </c>
      <c r="DL234" s="2">
        <v>16.8</v>
      </c>
      <c r="DM234" s="2">
        <v>4.7</v>
      </c>
      <c r="DN234" s="2">
        <v>2.2999999999999998</v>
      </c>
      <c r="DO234" s="2" t="s">
        <v>94</v>
      </c>
      <c r="DP234" s="2" t="s">
        <v>89</v>
      </c>
      <c r="DQ234" s="2" t="str">
        <f>HYPERLINK(".\links\Sigp\AGAP004679-PA-SigP.txt","CYT")</f>
        <v>CYT</v>
      </c>
      <c r="DR234" s="2" t="s">
        <v>89</v>
      </c>
      <c r="DS234" s="2">
        <v>60.408999999999999</v>
      </c>
      <c r="DT234" s="2">
        <v>8.11</v>
      </c>
      <c r="DU234" s="2" t="s">
        <v>89</v>
      </c>
      <c r="DV234" s="2" t="s">
        <v>89</v>
      </c>
      <c r="DW234" s="2" t="s">
        <v>1269</v>
      </c>
      <c r="DX234" s="2">
        <v>530</v>
      </c>
      <c r="DY234" s="12">
        <v>0</v>
      </c>
      <c r="DZ234" s="2" t="s">
        <v>89</v>
      </c>
      <c r="EA234" s="2" t="s">
        <v>89</v>
      </c>
      <c r="EB234" s="2" t="s">
        <v>89</v>
      </c>
      <c r="EC234" s="2" t="str">
        <f>HYPERLINK(".\links\gpi\AGAP004679-PA-gpi.txt","Y-NoSP")</f>
        <v>Y-NoSP</v>
      </c>
      <c r="ED234" s="2">
        <v>0.23</v>
      </c>
      <c r="EF234" s="2">
        <v>14</v>
      </c>
      <c r="EG234" s="2" t="str">
        <f>HYPERLINK(".\links\pep\AGAP004679-PA-sulf.txt","1")</f>
        <v>1</v>
      </c>
      <c r="EH234" s="2" t="s">
        <v>89</v>
      </c>
      <c r="EI234" s="2">
        <v>16.792452830188701</v>
      </c>
      <c r="EJ234" s="2">
        <v>2.2641509433962299</v>
      </c>
      <c r="EK234" s="2">
        <v>4.7169811320754702</v>
      </c>
      <c r="EL234" s="2">
        <v>6.9811320754716997</v>
      </c>
      <c r="EM234" s="2" t="s">
        <v>89</v>
      </c>
      <c r="EN234" s="2">
        <v>4</v>
      </c>
      <c r="EO234" s="2">
        <v>4</v>
      </c>
      <c r="EP234" s="2" t="s">
        <v>89</v>
      </c>
      <c r="EQ234" s="2" t="s">
        <v>89</v>
      </c>
      <c r="ER234" s="2" t="s">
        <v>89</v>
      </c>
      <c r="ES234" s="2" t="s">
        <v>89</v>
      </c>
      <c r="ET234" s="2" t="str">
        <f>HYPERLINK(".\links\REFSEQ-INVERTEBRATE\AGAP004679-PA-REFSEQ-INVERTEBRATE.txt","AGAP004679-PA")</f>
        <v>AGAP004679-PA</v>
      </c>
      <c r="EU234" s="2" t="str">
        <f>HYPERLINK("http://www.ncbi.nlm.nih.gov/sutils/blink.cgi?pid=XP_001688580.1","0.0")</f>
        <v>0.0</v>
      </c>
      <c r="EV234" s="2" t="str">
        <f>HYPERLINK("http://www.ncbi.nlm.nih.gov/protein/XP_001688580.1","XP_001688580.1")</f>
        <v>XP_001688580.1</v>
      </c>
      <c r="EW234" s="2">
        <v>100</v>
      </c>
      <c r="EX234" s="2">
        <v>100</v>
      </c>
      <c r="EY234" s="2">
        <v>100</v>
      </c>
      <c r="EZ234" s="2" t="s">
        <v>95</v>
      </c>
    </row>
    <row r="235" spans="1:156" x14ac:dyDescent="0.25">
      <c r="A235" s="2" t="s">
        <v>2998</v>
      </c>
      <c r="B235" s="2">
        <v>-1.13327346719143</v>
      </c>
      <c r="C235" s="2">
        <f t="shared" si="3"/>
        <v>0.45588016111142554</v>
      </c>
      <c r="D235" s="2">
        <v>14.886029742458099</v>
      </c>
      <c r="E235" s="2">
        <v>26.588091167828701</v>
      </c>
      <c r="F235" s="2">
        <v>2.5179101628231601E-7</v>
      </c>
      <c r="G235" s="2">
        <v>1.9148706788270199E-4</v>
      </c>
      <c r="H235" s="2" t="s">
        <v>2999</v>
      </c>
      <c r="I235" s="2" t="s">
        <v>89</v>
      </c>
      <c r="J235" s="2" t="str">
        <f>HYPERLINK("https://vectorbase.org/vectorbase/app/record/gene/AGAP028364","AGAP028364-RA")</f>
        <v>AGAP028364-RA</v>
      </c>
      <c r="K235" s="2" t="str">
        <f>HYPERLINK(".\links\pep\AGAP028364-PA-pep.txt","AGAP028364-PA")</f>
        <v>AGAP028364-PA</v>
      </c>
      <c r="L235" s="12" t="s">
        <v>3000</v>
      </c>
      <c r="M235" s="2">
        <v>512</v>
      </c>
      <c r="N235" s="2">
        <v>0</v>
      </c>
      <c r="O235" s="2">
        <v>2</v>
      </c>
      <c r="P235" s="2" t="s">
        <v>3001</v>
      </c>
      <c r="Q235" s="9" t="s">
        <v>3002</v>
      </c>
      <c r="R235" s="2" t="s">
        <v>663</v>
      </c>
      <c r="S235" s="2" t="str">
        <f>HYPERLINK(".\links\CDD\AGAP028364-PA-CDD.txt","CDD")</f>
        <v>CDD</v>
      </c>
      <c r="T235" s="2">
        <v>0</v>
      </c>
      <c r="U235" s="2">
        <v>100</v>
      </c>
      <c r="V235" s="2" t="s">
        <v>3003</v>
      </c>
      <c r="W235" s="10" t="s">
        <v>3004</v>
      </c>
      <c r="X235" s="2" t="s">
        <v>663</v>
      </c>
      <c r="Y235" s="2" t="str">
        <f>HYPERLINK(".\links\COG\AGAP028364-PA-COG.txt","COG")</f>
        <v>COG</v>
      </c>
      <c r="Z235" s="2">
        <v>0</v>
      </c>
      <c r="AA235" s="2">
        <v>90.2</v>
      </c>
      <c r="AB235" s="14" t="s">
        <v>89</v>
      </c>
      <c r="AC235" s="14" t="str">
        <f>HYPERLINK(".\links\Sigp\AGAP028364-PA-SigP.txt","BL")</f>
        <v>BL</v>
      </c>
      <c r="AD235" s="2" t="s">
        <v>3005</v>
      </c>
      <c r="AE235" s="2">
        <v>56.601999999999997</v>
      </c>
      <c r="AF235" s="2">
        <v>6.01</v>
      </c>
      <c r="AG235" s="2">
        <v>34.906999999999996</v>
      </c>
      <c r="AH235" s="2">
        <v>5.95</v>
      </c>
      <c r="AI235" s="2" t="s">
        <v>3006</v>
      </c>
      <c r="AJ235" s="14" t="str">
        <f>HYPERLINK(".\links\tmhmm\AGAP028364-PA-tmhmm.txt","12")</f>
        <v>12</v>
      </c>
      <c r="AK235" s="2">
        <v>51.6</v>
      </c>
      <c r="AL235" s="2">
        <v>23.8</v>
      </c>
      <c r="AM235" s="2">
        <v>24.6</v>
      </c>
      <c r="AN235" s="14" t="str">
        <f>HYPERLINK(".\links\gpi\AGAP028364-PA-gpi.txt","N")</f>
        <v>N</v>
      </c>
      <c r="AO235" s="15" t="str">
        <f>HYPERLINK(".\links\netoglyc\AGAP028364-PA-netoglyc.txt","1")</f>
        <v>1</v>
      </c>
      <c r="AP235" s="14">
        <v>14.8</v>
      </c>
      <c r="AQ235" s="2">
        <v>8.8000000000000007</v>
      </c>
      <c r="AR235" s="2">
        <v>5.5</v>
      </c>
      <c r="AS235" s="2" t="s">
        <v>94</v>
      </c>
      <c r="AT235" s="9" t="str">
        <f>HYPERLINK(".\links\NR-LIGHT\AGAP028364-PA-NR-LIGHT.txt","COX1 gene product, partial (mitochondrion)")</f>
        <v>COX1 gene product, partial (mitochondrion)</v>
      </c>
      <c r="AU235" s="2" t="str">
        <f>HYPERLINK("http://www.ncbi.nlm.nih.gov/sutils/blink.cgi?pid=NP_008070.1","0.0")</f>
        <v>0.0</v>
      </c>
      <c r="AV235" s="2" t="str">
        <f>HYPERLINK("http://www.ncbi.nlm.nih.gov/protein/NP_008070.1","NP_008070.1")</f>
        <v>NP_008070.1</v>
      </c>
      <c r="AW235" s="2">
        <v>100</v>
      </c>
      <c r="AX235" s="2">
        <v>100</v>
      </c>
      <c r="AY235" s="2">
        <v>100</v>
      </c>
      <c r="AZ235" s="2" t="s">
        <v>215</v>
      </c>
      <c r="BA235" s="9" t="str">
        <f>HYPERLINK(".\links\REFSEQ-INVERTEBRATE\AGAP028364-PA-REFSEQ-INVERTEBRATE.txt","COX1 gene product, partial (mitochondrion)")</f>
        <v>COX1 gene product, partial (mitochondrion)</v>
      </c>
      <c r="BB235" s="2" t="str">
        <f>HYPERLINK("http://www.ncbi.nlm.nih.gov/sutils/blink.cgi?pid=NP_008070.1","0.0")</f>
        <v>0.0</v>
      </c>
      <c r="BC235" s="2" t="str">
        <f>HYPERLINK("http://www.ncbi.nlm.nih.gov/protein/NP_008070.1","NP_008070.1")</f>
        <v>NP_008070.1</v>
      </c>
      <c r="BD235" s="2">
        <v>100</v>
      </c>
      <c r="BE235" s="2">
        <v>100</v>
      </c>
      <c r="BF235" s="2">
        <v>100</v>
      </c>
      <c r="BG235" s="2" t="s">
        <v>215</v>
      </c>
      <c r="BH235" s="9" t="str">
        <f>HYPERLINK(".\links\REFSEQ-PROTOZOA\AGAP028364-PA-REFSEQ-PROTOZOA.txt","cytochrome c oxidase subunit 1 (mitochondrion)")</f>
        <v>cytochrome c oxidase subunit 1 (mitochondrion)</v>
      </c>
      <c r="BI235" s="2" t="str">
        <f>HYPERLINK("http://www.ncbi.nlm.nih.gov/sutils/blink.cgi?pid=NP_696984.1","0.0")</f>
        <v>0.0</v>
      </c>
      <c r="BJ235" s="2" t="str">
        <f>HYPERLINK("http://www.ncbi.nlm.nih.gov/protein/NP_696984.1","NP_696984.1")</f>
        <v>NP_696984.1</v>
      </c>
      <c r="BK235" s="2">
        <v>66</v>
      </c>
      <c r="BL235" s="2">
        <v>80</v>
      </c>
      <c r="BM235" s="2">
        <v>98</v>
      </c>
      <c r="BN235" s="2" t="s">
        <v>3007</v>
      </c>
      <c r="BO235" s="9" t="str">
        <f>HYPERLINK(".\links\SWISSP\AGAP028364-PA-SWISSP.txt","Cytochrome c oxidase subunit 1")</f>
        <v>Cytochrome c oxidase subunit 1</v>
      </c>
      <c r="BP235" s="2" t="str">
        <f>HYPERLINK("http://www.uniprot.org/uniprot/P34838","0.0")</f>
        <v>0.0</v>
      </c>
      <c r="BQ235" s="2" t="str">
        <f>HYPERLINK("http://www.uniprot.org/uniprot/P34838#expression","P34838")</f>
        <v>P34838</v>
      </c>
      <c r="BR235" s="2">
        <v>100</v>
      </c>
      <c r="BS235" s="2">
        <v>100</v>
      </c>
      <c r="BT235" s="2">
        <v>100</v>
      </c>
      <c r="BU235" s="2" t="s">
        <v>215</v>
      </c>
      <c r="BV235" s="9" t="str">
        <f>HYPERLINK(".\links\FLYBASE\AGAP028364-PA-FLYBASE.txt","FBpp0100176")</f>
        <v>FBpp0100176</v>
      </c>
      <c r="BW235" s="2" t="str">
        <f>HYPERLINK("http://flybase.org/reports/FBgn0013674#alliance_summary_container","0.0")</f>
        <v>0.0</v>
      </c>
      <c r="BX235" s="2">
        <v>511</v>
      </c>
      <c r="BY235" s="2">
        <v>90</v>
      </c>
      <c r="BZ235" s="2">
        <v>95</v>
      </c>
      <c r="CA235" s="2">
        <v>100</v>
      </c>
      <c r="CB235" s="9" t="str">
        <f>HYPERLINK(".\links\CDD\AGAP028364-PA-CDD.txt","COX1, cytochrome c oxidase subunit I")</f>
        <v>COX1, cytochrome c oxidase subunit I</v>
      </c>
      <c r="CC235" s="13">
        <v>0</v>
      </c>
      <c r="CD235" s="2">
        <v>100</v>
      </c>
      <c r="CE235" s="2" t="s">
        <v>3008</v>
      </c>
      <c r="CF235" s="2" t="s">
        <v>3009</v>
      </c>
      <c r="CG235" s="9" t="str">
        <f>HYPERLINK(".\links\KOG\AGAP028364-PA-KOG.txt","subunit I")</f>
        <v>subunit I</v>
      </c>
      <c r="CH235" s="13">
        <v>9.9999999999999992E-72</v>
      </c>
      <c r="CI235" s="2">
        <v>115.4</v>
      </c>
      <c r="CJ235" s="2" t="s">
        <v>3010</v>
      </c>
      <c r="CK235" s="2" t="s">
        <v>155</v>
      </c>
      <c r="CL235" s="9" t="str">
        <f>HYPERLINK(".\links\PFAM\AGAP028364-PA-PFAM.txt","COX1, Cytochrome C and Quinol oxidase polypeptide I")</f>
        <v>COX1, Cytochrome C and Quinol oxidase polypeptide I</v>
      </c>
      <c r="CM235" s="13">
        <v>9.9999999999999999E-117</v>
      </c>
      <c r="CN235" s="2">
        <v>104.4</v>
      </c>
      <c r="CO235" s="2" t="s">
        <v>3011</v>
      </c>
      <c r="CP235" s="9" t="str">
        <f>HYPERLINK(".\links\SMART\AGAP028364-PA-SMART.txt","OmpH, Outer membrane protein (OmpH-like)")</f>
        <v>OmpH, Outer membrane protein (OmpH-like)</v>
      </c>
      <c r="CQ235" s="13">
        <v>1.6</v>
      </c>
      <c r="CR235" s="2">
        <v>8.6</v>
      </c>
      <c r="CS235" s="2" t="s">
        <v>1194</v>
      </c>
      <c r="CT235" s="2" t="s">
        <v>3003</v>
      </c>
      <c r="CU235" s="2" t="s">
        <v>3003</v>
      </c>
      <c r="CV235" s="2" t="s">
        <v>3003</v>
      </c>
      <c r="CW235" s="2" t="str">
        <f>HYPERLINK(".\links\pep\AGAP028364-PA-pep.txt","AGAP028364-PA")</f>
        <v>AGAP028364-PA</v>
      </c>
      <c r="CX235" s="2" t="s">
        <v>3000</v>
      </c>
      <c r="CY235" s="2">
        <v>512</v>
      </c>
      <c r="CZ235" s="2" t="s">
        <v>103</v>
      </c>
      <c r="DA235" s="2">
        <v>0</v>
      </c>
      <c r="DB235" s="2">
        <v>2</v>
      </c>
      <c r="DD235" s="2" t="str">
        <f>HYPERLINK("https://www.kegg.jp/kegg-bin/search_pathway_text?map=aga&amp;keyword=AGAP028364&amp;mode=1&amp;viewImage=true","AGAP028364")</f>
        <v>AGAP028364</v>
      </c>
      <c r="DE235" s="2" t="s">
        <v>2998</v>
      </c>
      <c r="DF235" s="2" t="s">
        <v>2999</v>
      </c>
      <c r="DG235" s="2" t="s">
        <v>89</v>
      </c>
      <c r="DH235" s="2" t="str">
        <f>HYPERLINK("https://vectorbase.org/vectorbase/app/record/gene/AGAP028364","AGAP028364-RA")</f>
        <v>AGAP028364-RA</v>
      </c>
      <c r="DI235" s="2" t="s">
        <v>122</v>
      </c>
      <c r="DJ235" s="2">
        <v>1539</v>
      </c>
      <c r="DK235" s="2" t="str">
        <f>HYPERLINK(".\links\netoglyc\AGAP028364-PA-netoglyc.txt","1")</f>
        <v>1</v>
      </c>
      <c r="DL235" s="2">
        <v>14.8</v>
      </c>
      <c r="DM235" s="2">
        <v>8.8000000000000007</v>
      </c>
      <c r="DN235" s="2">
        <v>5.5</v>
      </c>
      <c r="DO235" s="2" t="s">
        <v>94</v>
      </c>
      <c r="DP235" s="2" t="s">
        <v>89</v>
      </c>
      <c r="DQ235" s="2" t="str">
        <f>HYPERLINK(".\links\Sigp\AGAP028364-PA-SigP.txt","BL")</f>
        <v>BL</v>
      </c>
      <c r="DR235" s="2" t="s">
        <v>3005</v>
      </c>
      <c r="DS235" s="2">
        <v>56.601999999999997</v>
      </c>
      <c r="DT235" s="2">
        <v>6.01</v>
      </c>
      <c r="DU235" s="2">
        <v>34.906999999999996</v>
      </c>
      <c r="DV235" s="2">
        <v>5.95</v>
      </c>
      <c r="DW235" s="2" t="s">
        <v>3006</v>
      </c>
      <c r="DX235" s="2">
        <v>512</v>
      </c>
      <c r="DY235" s="12" t="str">
        <f>HYPERLINK(".\links\tmhmm\AGAP028364-PA-tmhmm.txt","12")</f>
        <v>12</v>
      </c>
      <c r="DZ235" s="2">
        <v>51.6</v>
      </c>
      <c r="EA235" s="2">
        <v>23.8</v>
      </c>
      <c r="EB235" s="2">
        <v>24.6</v>
      </c>
      <c r="EC235" s="2" t="str">
        <f>HYPERLINK(".\links\gpi\AGAP028364-PA-gpi.txt","Y-NoSP")</f>
        <v>Y-NoSP</v>
      </c>
      <c r="ED235" s="2">
        <v>0.44</v>
      </c>
      <c r="EE235" s="2" t="s">
        <v>3012</v>
      </c>
      <c r="EF235" s="2">
        <v>0</v>
      </c>
      <c r="EG235" s="2" t="s">
        <v>89</v>
      </c>
      <c r="EH235" s="2" t="s">
        <v>89</v>
      </c>
      <c r="EI235" s="2">
        <v>14.84375</v>
      </c>
      <c r="EJ235" s="2">
        <v>5.46875</v>
      </c>
      <c r="EK235" s="2">
        <v>8.7890625</v>
      </c>
      <c r="EL235" s="2">
        <v>14.2578125</v>
      </c>
      <c r="EM235" s="2">
        <v>1</v>
      </c>
      <c r="EN235" s="2" t="s">
        <v>89</v>
      </c>
      <c r="EO235" s="2">
        <v>3</v>
      </c>
      <c r="EP235" s="2" t="s">
        <v>89</v>
      </c>
      <c r="EQ235" s="2" t="s">
        <v>89</v>
      </c>
      <c r="ER235" s="2" t="s">
        <v>89</v>
      </c>
      <c r="ES235" s="2" t="s">
        <v>89</v>
      </c>
      <c r="ET235" s="2" t="str">
        <f>HYPERLINK(".\links\REFSEQ-INVERTEBRATE\AGAP028364-PA-REFSEQ-INVERTEBRATE.txt","COX1 gene product, partial (mitochondrion)")</f>
        <v>COX1 gene product, partial (mitochondrion)</v>
      </c>
      <c r="EU235" s="2" t="str">
        <f>HYPERLINK("http://www.ncbi.nlm.nih.gov/sutils/blink.cgi?pid=NP_008070.1","0.0")</f>
        <v>0.0</v>
      </c>
      <c r="EV235" s="2" t="str">
        <f>HYPERLINK("http://www.ncbi.nlm.nih.gov/protein/NP_008070.1","NP_008070.1")</f>
        <v>NP_008070.1</v>
      </c>
      <c r="EW235" s="2">
        <v>100</v>
      </c>
      <c r="EX235" s="2">
        <v>100</v>
      </c>
      <c r="EY235" s="2">
        <v>100</v>
      </c>
      <c r="EZ235" s="2" t="s">
        <v>215</v>
      </c>
    </row>
    <row r="236" spans="1:156" x14ac:dyDescent="0.25">
      <c r="A236" s="2" t="s">
        <v>1966</v>
      </c>
      <c r="B236" s="2">
        <v>-1.1370705777224199</v>
      </c>
      <c r="C236" s="2">
        <f t="shared" si="3"/>
        <v>0.4546818819779142</v>
      </c>
      <c r="D236" s="2">
        <v>6.5410178962089596</v>
      </c>
      <c r="E236" s="2">
        <v>19.765701269842701</v>
      </c>
      <c r="F236" s="2">
        <v>8.7539567387685002E-6</v>
      </c>
      <c r="G236" s="2">
        <v>1.5797182609774299E-3</v>
      </c>
      <c r="H236" s="2" t="s">
        <v>1967</v>
      </c>
      <c r="I236" s="2" t="s">
        <v>87</v>
      </c>
      <c r="J236" s="2" t="str">
        <f>HYPERLINK("https://vectorbase.org/vectorbase/app/record/gene/AGAP007879","AGAP007879-RA")</f>
        <v>AGAP007879-RA</v>
      </c>
      <c r="K236" s="2" t="str">
        <f>HYPERLINK(".\links\pep\AGAP007879-PA-pep.txt","AGAP007879-PA")</f>
        <v>AGAP007879-PA</v>
      </c>
      <c r="L236" s="12" t="s">
        <v>88</v>
      </c>
      <c r="M236" s="2">
        <v>316</v>
      </c>
      <c r="N236" s="2">
        <v>0</v>
      </c>
      <c r="O236" s="2">
        <v>0</v>
      </c>
      <c r="P236" s="2" t="s">
        <v>1968</v>
      </c>
      <c r="Q236" s="9" t="s">
        <v>1969</v>
      </c>
      <c r="R236" s="2" t="s">
        <v>164</v>
      </c>
      <c r="S236" s="2" t="str">
        <f>HYPERLINK(".\links\CDD\AGAP007879-PA-CDD.txt","CDD")</f>
        <v>CDD</v>
      </c>
      <c r="T236" s="2">
        <v>9.9999999999999993E-78</v>
      </c>
      <c r="U236" s="2">
        <v>101.6</v>
      </c>
      <c r="V236" s="2" t="s">
        <v>1970</v>
      </c>
      <c r="W236" s="10" t="s">
        <v>1971</v>
      </c>
      <c r="X236" s="2" t="s">
        <v>164</v>
      </c>
      <c r="Y236" s="2" t="str">
        <f>HYPERLINK(".\links\REFSEQVERTEBRATE95\AGAP007879-PA-REFSEQVERTEBRATE95.txt","REFSEQVERTEBRATE95")</f>
        <v>REFSEQVERTEBRATE95</v>
      </c>
      <c r="Z236" s="13">
        <v>6.0000000000000003E-72</v>
      </c>
      <c r="AA236" s="2">
        <v>82.3</v>
      </c>
      <c r="AB236" s="14" t="str">
        <f>HYPERLINK(".\links\pep\AGAP007879-PA-sulf.txt","1")</f>
        <v>1</v>
      </c>
      <c r="AC236" s="14" t="str">
        <f>HYPERLINK(".\links\Sigp\AGAP007879-PA-SigP.txt","BL/SIG")</f>
        <v>BL/SIG</v>
      </c>
      <c r="AD236" s="2" t="s">
        <v>89</v>
      </c>
      <c r="AE236" s="2">
        <v>34.982999999999997</v>
      </c>
      <c r="AF236" s="2">
        <v>9.5500000000000007</v>
      </c>
      <c r="AG236" s="2" t="s">
        <v>89</v>
      </c>
      <c r="AH236" s="2" t="s">
        <v>89</v>
      </c>
      <c r="AI236" s="2" t="s">
        <v>1972</v>
      </c>
      <c r="AJ236" s="14">
        <v>0</v>
      </c>
      <c r="AK236" s="2" t="s">
        <v>89</v>
      </c>
      <c r="AL236" s="2" t="s">
        <v>89</v>
      </c>
      <c r="AM236" s="2" t="s">
        <v>89</v>
      </c>
      <c r="AN236" s="14" t="str">
        <f>HYPERLINK(".\links\gpi\AGAP007879-PA-gpi.txt","N")</f>
        <v>N</v>
      </c>
      <c r="AO236" s="15" t="str">
        <f>HYPERLINK(".\links\netoglyc\AGAP007879-PA-netoglyc.txt","0")</f>
        <v>0</v>
      </c>
      <c r="AP236" s="14">
        <v>10.4</v>
      </c>
      <c r="AQ236" s="2">
        <v>6.6</v>
      </c>
      <c r="AR236" s="2">
        <v>3.5</v>
      </c>
      <c r="AS236" s="2" t="s">
        <v>94</v>
      </c>
      <c r="AT236" s="9" t="str">
        <f>HYPERLINK(".\links\NR-LIGHT\AGAP007879-PA-NR-LIGHT.txt","AGAP007879-PB")</f>
        <v>AGAP007879-PB</v>
      </c>
      <c r="AU236" s="2" t="str">
        <f>HYPERLINK("http://www.ncbi.nlm.nih.gov/sutils/blink.cgi?pid=XP_001237952.2","1E-179")</f>
        <v>1E-179</v>
      </c>
      <c r="AV236" s="2" t="str">
        <f>HYPERLINK("http://www.ncbi.nlm.nih.gov/protein/XP_001237952.2","XP_001237952.2")</f>
        <v>XP_001237952.2</v>
      </c>
      <c r="AW236" s="2">
        <v>100</v>
      </c>
      <c r="AX236" s="2">
        <v>100</v>
      </c>
      <c r="AY236" s="2">
        <v>100</v>
      </c>
      <c r="AZ236" s="2" t="s">
        <v>95</v>
      </c>
      <c r="BA236" s="9" t="str">
        <f>HYPERLINK(".\links\REFSEQ-INVERTEBRATE\AGAP007879-PA-REFSEQ-INVERTEBRATE.txt","AGAP007879-PB")</f>
        <v>AGAP007879-PB</v>
      </c>
      <c r="BB236" s="2" t="str">
        <f>HYPERLINK("http://www.ncbi.nlm.nih.gov/sutils/blink.cgi?pid=XP_001237952.2","1E-179")</f>
        <v>1E-179</v>
      </c>
      <c r="BC236" s="2" t="str">
        <f>HYPERLINK("http://www.ncbi.nlm.nih.gov/protein/XP_001237952.2","XP_001237952.2")</f>
        <v>XP_001237952.2</v>
      </c>
      <c r="BD236" s="2">
        <v>100</v>
      </c>
      <c r="BE236" s="2">
        <v>100</v>
      </c>
      <c r="BF236" s="2">
        <v>100</v>
      </c>
      <c r="BG236" s="2" t="s">
        <v>95</v>
      </c>
      <c r="BH236" s="9" t="str">
        <f>HYPERLINK(".\links\REFSEQ-PROTOZOA\AGAP007879-PA-REFSEQ-PROTOZOA.txt","short-chain dehydrogenase/reductase")</f>
        <v>short-chain dehydrogenase/reductase</v>
      </c>
      <c r="BI236" s="2" t="str">
        <f>HYPERLINK("http://www.ncbi.nlm.nih.gov/sutils/blink.cgi?pid=XP_004347327.1","9E-048")</f>
        <v>9E-048</v>
      </c>
      <c r="BJ236" s="2" t="str">
        <f>HYPERLINK("http://www.ncbi.nlm.nih.gov/protein/XP_004347327.1","XP_004347327.1")</f>
        <v>XP_004347327.1</v>
      </c>
      <c r="BK236" s="2">
        <v>40</v>
      </c>
      <c r="BL236" s="2">
        <v>56</v>
      </c>
      <c r="BM236" s="2">
        <v>88</v>
      </c>
      <c r="BN236" s="2" t="s">
        <v>150</v>
      </c>
      <c r="BO236" s="9" t="str">
        <f>HYPERLINK(".\links\SWISSP\AGAP007879-PA-SWISSP.txt","Inactive hydroxysteroid dehydrogenase-like protein 1")</f>
        <v>Inactive hydroxysteroid dehydrogenase-like protein 1</v>
      </c>
      <c r="BP236" s="2" t="str">
        <f>HYPERLINK("http://www.uniprot.org/uniprot/A5PJF6","3E-054")</f>
        <v>3E-054</v>
      </c>
      <c r="BQ236" s="2" t="str">
        <f>HYPERLINK("http://www.uniprot.org/uniprot/A5PJF6#expression","A5PJF6")</f>
        <v>A5PJF6</v>
      </c>
      <c r="BR236" s="2">
        <v>40</v>
      </c>
      <c r="BS236" s="2">
        <v>64</v>
      </c>
      <c r="BT236" s="2">
        <v>85</v>
      </c>
      <c r="BU236" s="2" t="s">
        <v>183</v>
      </c>
      <c r="BV236" s="9" t="str">
        <f>HYPERLINK(".\links\FLYBASE\AGAP007879-PA-FLYBASE.txt","FBpp0311167")</f>
        <v>FBpp0311167</v>
      </c>
      <c r="BW236" s="2" t="str">
        <f>HYPERLINK("http://flybase.org/reports/FBgn0051809#alliance_summary_container","6E-69")</f>
        <v>6E-69</v>
      </c>
      <c r="BX236" s="2">
        <v>316</v>
      </c>
      <c r="BY236" s="2">
        <v>38</v>
      </c>
      <c r="BZ236" s="2">
        <v>60</v>
      </c>
      <c r="CA236" s="2">
        <v>96</v>
      </c>
      <c r="CB236" s="9" t="str">
        <f>HYPERLINK(".\links\CDD\AGAP007879-PA-CDD.txt","17beta-HSD1_like_SDR_c, 17-beta-hydroxysteroid dehydrogenases (17beta-HSDs) types -1, -3, and -12, -like, classical (c) SDRs")</f>
        <v>17beta-HSD1_like_SDR_c, 17-beta-hydroxysteroid dehydrogenases (17beta-HSDs) types -1, -3, and -12, -like, classical (c) SDRs</v>
      </c>
      <c r="CC236" s="13">
        <v>9.9999999999999993E-78</v>
      </c>
      <c r="CD236" s="2">
        <v>101.7</v>
      </c>
      <c r="CE236" s="2" t="s">
        <v>1973</v>
      </c>
      <c r="CF236" s="2" t="s">
        <v>1974</v>
      </c>
      <c r="CG236" s="9" t="str">
        <f>HYPERLINK(".\links\KOG\AGAP007879-PA-KOG.txt","HSD17B3")</f>
        <v>HSD17B3</v>
      </c>
      <c r="CH236" s="13">
        <v>1.9999999999999999E-72</v>
      </c>
      <c r="CI236" s="2">
        <v>95.5</v>
      </c>
      <c r="CJ236" s="2" t="s">
        <v>1975</v>
      </c>
      <c r="CK236" s="2" t="s">
        <v>172</v>
      </c>
      <c r="CL236" s="9" t="str">
        <f>HYPERLINK(".\links\PFAM\AGAP007879-PA-PFAM.txt","adh_short, short chain dehydrogenase")</f>
        <v>adh_short, short chain dehydrogenase</v>
      </c>
      <c r="CM236" s="13">
        <v>3.9999999999999997E-39</v>
      </c>
      <c r="CN236" s="2">
        <v>98.5</v>
      </c>
      <c r="CO236" s="2" t="s">
        <v>1976</v>
      </c>
      <c r="CP236" s="9" t="str">
        <f>HYPERLINK(".\links\SMART\AGAP007879-PA-SMART.txt","PKS_KR, This enzymatic domain is part of bacterial polyketide synthases")</f>
        <v>PKS_KR, This enzymatic domain is part of bacterial polyketide synthases</v>
      </c>
      <c r="CQ236" s="13">
        <v>4.0000000000000001E-8</v>
      </c>
      <c r="CR236" s="2">
        <v>97.8</v>
      </c>
      <c r="CS236" s="2" t="s">
        <v>394</v>
      </c>
      <c r="CT236" s="2" t="s">
        <v>1970</v>
      </c>
      <c r="CU236" s="2" t="s">
        <v>1970</v>
      </c>
      <c r="CV236" s="2" t="s">
        <v>1970</v>
      </c>
      <c r="CW236" s="2" t="str">
        <f>HYPERLINK(".\links\pep\AGAP007879-PA-pep.txt","AGAP007879-PA")</f>
        <v>AGAP007879-PA</v>
      </c>
      <c r="CX236" s="2" t="s">
        <v>88</v>
      </c>
      <c r="CY236" s="2">
        <v>316</v>
      </c>
      <c r="CZ236" s="2" t="s">
        <v>103</v>
      </c>
      <c r="DA236" s="2" t="s">
        <v>1977</v>
      </c>
      <c r="DB236" s="2">
        <v>0</v>
      </c>
      <c r="DC236" s="2">
        <v>0</v>
      </c>
      <c r="DD236" s="2" t="str">
        <f>HYPERLINK("https://www.kegg.jp/kegg-bin/search_pathway_text?map=aga&amp;keyword=AGAP007879&amp;mode=1&amp;viewImage=true","AGAP007879")</f>
        <v>AGAP007879</v>
      </c>
      <c r="DE236" s="2" t="s">
        <v>1966</v>
      </c>
      <c r="DF236" s="2" t="s">
        <v>1967</v>
      </c>
      <c r="DG236" s="2" t="s">
        <v>87</v>
      </c>
      <c r="DH236" s="2" t="str">
        <f>HYPERLINK("https://vectorbase.org/vectorbase/app/record/gene/AGAP007879","AGAP007879-RA")</f>
        <v>AGAP007879-RA</v>
      </c>
      <c r="DI236" s="2" t="s">
        <v>122</v>
      </c>
      <c r="DJ236" s="2">
        <v>1238</v>
      </c>
      <c r="DK236" s="2" t="str">
        <f>HYPERLINK(".\links\netoglyc\AGAP007879-PA-netoglyc.txt","0")</f>
        <v>0</v>
      </c>
      <c r="DL236" s="2">
        <v>10.4</v>
      </c>
      <c r="DM236" s="2">
        <v>6.6</v>
      </c>
      <c r="DN236" s="2">
        <v>3.5</v>
      </c>
      <c r="DO236" s="2" t="s">
        <v>94</v>
      </c>
      <c r="DP236" s="2" t="s">
        <v>89</v>
      </c>
      <c r="DQ236" s="2" t="str">
        <f>HYPERLINK(".\links\Sigp\AGAP007879-PA-SigP.txt","BL/SIG")</f>
        <v>BL/SIG</v>
      </c>
      <c r="DR236" s="2" t="s">
        <v>89</v>
      </c>
      <c r="DS236" s="2">
        <v>34.982999999999997</v>
      </c>
      <c r="DT236" s="2">
        <v>9.5500000000000007</v>
      </c>
      <c r="DU236" s="2" t="s">
        <v>89</v>
      </c>
      <c r="DV236" s="2" t="s">
        <v>89</v>
      </c>
      <c r="DW236" s="2" t="s">
        <v>1972</v>
      </c>
      <c r="DX236" s="2">
        <v>316</v>
      </c>
      <c r="DY236" s="12">
        <v>0</v>
      </c>
      <c r="DZ236" s="2" t="s">
        <v>89</v>
      </c>
      <c r="EA236" s="2" t="s">
        <v>89</v>
      </c>
      <c r="EB236" s="2" t="s">
        <v>89</v>
      </c>
      <c r="EC236" s="2" t="str">
        <f>HYPERLINK(".\links\gpi\AGAP007879-PA-gpi.txt","N")</f>
        <v>N</v>
      </c>
      <c r="ED236" s="2">
        <v>0.25</v>
      </c>
      <c r="EF236" s="2">
        <v>5</v>
      </c>
      <c r="EG236" s="2" t="str">
        <f>HYPERLINK(".\links\pep\AGAP007879-PA-sulf.txt","1")</f>
        <v>1</v>
      </c>
      <c r="EH236" s="2" t="s">
        <v>89</v>
      </c>
      <c r="EI236" s="2">
        <v>10.4430379746835</v>
      </c>
      <c r="EJ236" s="2">
        <v>3.4810126582278502</v>
      </c>
      <c r="EK236" s="2">
        <v>6.64556962025316</v>
      </c>
      <c r="EL236" s="2">
        <v>10.126582278480999</v>
      </c>
      <c r="EM236" s="2" t="s">
        <v>89</v>
      </c>
      <c r="EN236" s="2">
        <v>3</v>
      </c>
      <c r="EO236" s="2">
        <v>3</v>
      </c>
      <c r="EP236" s="2" t="s">
        <v>89</v>
      </c>
      <c r="EQ236" s="2" t="s">
        <v>89</v>
      </c>
      <c r="ER236" s="2" t="s">
        <v>89</v>
      </c>
      <c r="ES236" s="2" t="s">
        <v>89</v>
      </c>
      <c r="ET236" s="2" t="str">
        <f>HYPERLINK(".\links\REFSEQ-INVERTEBRATE\AGAP007879-PA-REFSEQ-INVERTEBRATE.txt","AGAP007879-PB")</f>
        <v>AGAP007879-PB</v>
      </c>
      <c r="EU236" s="2" t="str">
        <f>HYPERLINK("http://www.ncbi.nlm.nih.gov/sutils/blink.cgi?pid=XP_001237952.2","0.0")</f>
        <v>0.0</v>
      </c>
      <c r="EV236" s="2" t="str">
        <f>HYPERLINK("http://www.ncbi.nlm.nih.gov/protein/XP_001237952.2","XP_001237952.2")</f>
        <v>XP_001237952.2</v>
      </c>
      <c r="EW236" s="2">
        <v>100</v>
      </c>
      <c r="EX236" s="2">
        <v>100</v>
      </c>
      <c r="EY236" s="2">
        <v>100</v>
      </c>
      <c r="EZ236" s="2" t="s">
        <v>95</v>
      </c>
    </row>
    <row r="237" spans="1:156" x14ac:dyDescent="0.25">
      <c r="A237" s="2" t="s">
        <v>750</v>
      </c>
      <c r="B237" s="2">
        <v>-1.1382142848057499</v>
      </c>
      <c r="C237" s="2">
        <f t="shared" si="3"/>
        <v>0.45432157241641674</v>
      </c>
      <c r="D237" s="2">
        <v>7.0755795576417704</v>
      </c>
      <c r="E237" s="2">
        <v>15.151042646795601</v>
      </c>
      <c r="F237" s="2">
        <v>9.92434925521159E-5</v>
      </c>
      <c r="G237" s="2">
        <v>9.0311578222425498E-3</v>
      </c>
      <c r="H237" s="2" t="s">
        <v>86</v>
      </c>
      <c r="I237" s="2" t="s">
        <v>87</v>
      </c>
      <c r="J237" s="2" t="str">
        <f>HYPERLINK("https://vectorbase.org/vectorbase/app/record/gene/AGAP003248","AGAP003248-RA")</f>
        <v>AGAP003248-RA</v>
      </c>
      <c r="K237" s="2" t="str">
        <f>HYPERLINK(".\links\pep\AGAP003248-PA-pep.txt","AGAP003248-PA")</f>
        <v>AGAP003248-PA</v>
      </c>
      <c r="L237" s="12" t="s">
        <v>88</v>
      </c>
      <c r="M237" s="2">
        <v>296</v>
      </c>
      <c r="N237" s="2">
        <v>0</v>
      </c>
      <c r="O237" s="2">
        <v>0</v>
      </c>
      <c r="P237" s="2" t="s">
        <v>89</v>
      </c>
      <c r="Q237" s="9" t="s">
        <v>751</v>
      </c>
      <c r="R237" s="2" t="s">
        <v>752</v>
      </c>
      <c r="S237" s="2" t="str">
        <f>HYPERLINK(".\links\KOG\AGAP003248-PA-KOG.txt","KOG")</f>
        <v>KOG</v>
      </c>
      <c r="T237" s="2">
        <v>7.9999999999999999E-45</v>
      </c>
      <c r="U237" s="2">
        <v>100</v>
      </c>
      <c r="V237" s="2" t="s">
        <v>753</v>
      </c>
      <c r="W237" s="10" t="s">
        <v>754</v>
      </c>
      <c r="X237" s="2" t="s">
        <v>755</v>
      </c>
      <c r="Y237" s="2" t="str">
        <f>HYPERLINK(".\links\MEROPS\AGAP003248-PA-MEROPS.txt","MEROPS")</f>
        <v>MEROPS</v>
      </c>
      <c r="Z237" s="13">
        <v>5.0000000000000002E-85</v>
      </c>
      <c r="AA237" s="2">
        <v>97.6</v>
      </c>
      <c r="AB237" s="14" t="s">
        <v>89</v>
      </c>
      <c r="AC237" s="14" t="str">
        <f>HYPERLINK(".\links\Sigp\AGAP003248-PA-SigP.txt","SIG")</f>
        <v>SIG</v>
      </c>
      <c r="AD237" s="2" t="s">
        <v>404</v>
      </c>
      <c r="AE237" s="2">
        <v>33.235999999999997</v>
      </c>
      <c r="AF237" s="2">
        <v>5.24</v>
      </c>
      <c r="AG237" s="2">
        <v>30.632999999999999</v>
      </c>
      <c r="AH237" s="2">
        <v>5.13</v>
      </c>
      <c r="AI237" s="2" t="s">
        <v>756</v>
      </c>
      <c r="AJ237" s="14" t="str">
        <f>HYPERLINK(".\links\tmhmm\AGAP003248-PA-tmhmm.txt","1")</f>
        <v>1</v>
      </c>
      <c r="AK237" s="2">
        <v>7.4</v>
      </c>
      <c r="AL237" s="2">
        <v>90.2</v>
      </c>
      <c r="AM237" s="2">
        <v>2.4</v>
      </c>
      <c r="AN237" s="14" t="str">
        <f>HYPERLINK(".\links\gpi\AGAP003248-PA-gpi.txt","N")</f>
        <v>N</v>
      </c>
      <c r="AO237" s="15" t="str">
        <f>HYPERLINK(".\links\netoglyc\AGAP003248-PA-netoglyc.txt","0")</f>
        <v>0</v>
      </c>
      <c r="AP237" s="14">
        <v>11.8</v>
      </c>
      <c r="AQ237" s="2">
        <v>6.8</v>
      </c>
      <c r="AR237" s="2">
        <v>5.4</v>
      </c>
      <c r="AS237" s="2" t="s">
        <v>94</v>
      </c>
      <c r="AT237" s="9" t="str">
        <f>HYPERLINK(".\links\NR-LIGHT\AGAP003248-PA-NR-LIGHT.txt","AGAP003248-PA")</f>
        <v>AGAP003248-PA</v>
      </c>
      <c r="AU237" s="2" t="str">
        <f>HYPERLINK("http://www.ncbi.nlm.nih.gov/sutils/blink.cgi?pid=XP_312959.4","1E-177")</f>
        <v>1E-177</v>
      </c>
      <c r="AV237" s="2" t="str">
        <f>HYPERLINK("http://www.ncbi.nlm.nih.gov/protein/XP_312959.4","XP_312959.4")</f>
        <v>XP_312959.4</v>
      </c>
      <c r="AW237" s="2">
        <v>100</v>
      </c>
      <c r="AX237" s="2">
        <v>100</v>
      </c>
      <c r="AY237" s="2">
        <v>100</v>
      </c>
      <c r="AZ237" s="2" t="s">
        <v>95</v>
      </c>
      <c r="BA237" s="9" t="str">
        <f>HYPERLINK(".\links\REFSEQ-INVERTEBRATE\AGAP003248-PA-REFSEQ-INVERTEBRATE.txt","AGAP003248-PA")</f>
        <v>AGAP003248-PA</v>
      </c>
      <c r="BB237" s="2" t="str">
        <f>HYPERLINK("http://www.ncbi.nlm.nih.gov/sutils/blink.cgi?pid=XP_312959.4","1E-177")</f>
        <v>1E-177</v>
      </c>
      <c r="BC237" s="2" t="str">
        <f>HYPERLINK("http://www.ncbi.nlm.nih.gov/protein/XP_312959.4","XP_312959.4")</f>
        <v>XP_312959.4</v>
      </c>
      <c r="BD237" s="2">
        <v>100</v>
      </c>
      <c r="BE237" s="2">
        <v>100</v>
      </c>
      <c r="BF237" s="2">
        <v>100</v>
      </c>
      <c r="BG237" s="2" t="s">
        <v>95</v>
      </c>
      <c r="BH237" s="9" t="str">
        <f>HYPERLINK(".\links\REFSEQ-PROTOZOA\AGAP003248-PA-REFSEQ-PROTOZOA.txt","hypothetical protein EMIHUDRAFT_238496")</f>
        <v>hypothetical protein EMIHUDRAFT_238496</v>
      </c>
      <c r="BI237" s="2" t="str">
        <f>HYPERLINK("http://www.ncbi.nlm.nih.gov/sutils/blink.cgi?pid=XP_005776880.1","4E-014")</f>
        <v>4E-014</v>
      </c>
      <c r="BJ237" s="2" t="str">
        <f>HYPERLINK("http://www.ncbi.nlm.nih.gov/protein/XP_005776880.1","XP_005776880.1")</f>
        <v>XP_005776880.1</v>
      </c>
      <c r="BK237" s="2">
        <v>30</v>
      </c>
      <c r="BL237" s="2">
        <v>44</v>
      </c>
      <c r="BM237" s="2">
        <v>24</v>
      </c>
      <c r="BN237" s="2" t="s">
        <v>757</v>
      </c>
      <c r="BO237" s="9" t="str">
        <f>HYPERLINK(".\links\SWISSP\AGAP003248-PA-SWISSP.txt","Serine protease easter")</f>
        <v>Serine protease easter</v>
      </c>
      <c r="BP237" s="2" t="str">
        <f>HYPERLINK("http://www.uniprot.org/uniprot/P13582","5E-049")</f>
        <v>5E-049</v>
      </c>
      <c r="BQ237" s="2" t="str">
        <f>HYPERLINK("http://www.uniprot.org/uniprot/P13582#expression","P13582")</f>
        <v>P13582</v>
      </c>
      <c r="BR237" s="2">
        <v>39</v>
      </c>
      <c r="BS237" s="2">
        <v>55</v>
      </c>
      <c r="BT237" s="2">
        <v>71</v>
      </c>
      <c r="BU237" s="2" t="s">
        <v>151</v>
      </c>
      <c r="BV237" s="9" t="str">
        <f>HYPERLINK(".\links\FLYBASE\AGAP003248-PA-FLYBASE.txt","FBpp0082539")</f>
        <v>FBpp0082539</v>
      </c>
      <c r="BW237" s="2" t="str">
        <f>HYPERLINK("http://flybase.org/reports/FBgn0000533#alliance_summary_container","8E-59")</f>
        <v>8E-59</v>
      </c>
      <c r="BX237" s="2">
        <v>392</v>
      </c>
      <c r="BY237" s="2">
        <v>39</v>
      </c>
      <c r="BZ237" s="2">
        <v>55</v>
      </c>
      <c r="CA237" s="2">
        <v>71</v>
      </c>
      <c r="CB237" s="9" t="str">
        <f>HYPERLINK(".\links\CDD\AGAP003248-PA-CDD.txt","Tryp_SPc, Trypsin-like serine protease")</f>
        <v>Tryp_SPc, Trypsin-like serine protease</v>
      </c>
      <c r="CC237" s="13">
        <v>4.0000000000000002E-42</v>
      </c>
      <c r="CD237" s="2">
        <v>106</v>
      </c>
      <c r="CE237" s="2" t="s">
        <v>758</v>
      </c>
      <c r="CF237" s="2" t="s">
        <v>759</v>
      </c>
      <c r="CG237" s="9" t="str">
        <f>HYPERLINK(".\links\KOG\AGAP003248-PA-KOG.txt","Trypsin")</f>
        <v>Trypsin</v>
      </c>
      <c r="CH237" s="13">
        <v>7.9999999999999999E-45</v>
      </c>
      <c r="CI237" s="2">
        <v>100</v>
      </c>
      <c r="CJ237" s="2" t="s">
        <v>760</v>
      </c>
      <c r="CK237" s="2" t="s">
        <v>393</v>
      </c>
      <c r="CL237" s="9" t="str">
        <f>HYPERLINK(".\links\PFAM\AGAP003248-PA-PFAM.txt","Trypsin, Trypsin")</f>
        <v>Trypsin, Trypsin</v>
      </c>
      <c r="CM237" s="13">
        <v>6.9999999999999999E-28</v>
      </c>
      <c r="CN237" s="2">
        <v>112.7</v>
      </c>
      <c r="CO237" s="2" t="s">
        <v>761</v>
      </c>
      <c r="CP237" s="9" t="str">
        <f>HYPERLINK(".\links\SMART\AGAP003248-PA-SMART.txt","Tryp_SPc, Trypsin-like serine protease")</f>
        <v>Tryp_SPc, Trypsin-like serine protease</v>
      </c>
      <c r="CQ237" s="13">
        <v>3E-43</v>
      </c>
      <c r="CR237" s="2">
        <v>107.4</v>
      </c>
      <c r="CS237" s="2" t="s">
        <v>762</v>
      </c>
      <c r="CT237" s="2" t="s">
        <v>753</v>
      </c>
      <c r="CU237" s="2" t="s">
        <v>753</v>
      </c>
      <c r="CV237" s="2" t="s">
        <v>753</v>
      </c>
      <c r="CW237" s="2" t="str">
        <f>HYPERLINK(".\links\pep\AGAP003248-PA-pep.txt","AGAP003248-PA")</f>
        <v>AGAP003248-PA</v>
      </c>
      <c r="CX237" s="2" t="s">
        <v>88</v>
      </c>
      <c r="CY237" s="2">
        <v>296</v>
      </c>
      <c r="CZ237" s="2" t="s">
        <v>103</v>
      </c>
      <c r="DA237" s="2" t="s">
        <v>763</v>
      </c>
      <c r="DB237" s="2">
        <v>0</v>
      </c>
      <c r="DC237" s="2">
        <v>0</v>
      </c>
      <c r="DD237" s="2" t="str">
        <f>HYPERLINK("https://www.kegg.jp/kegg-bin/search_pathway_text?map=aga&amp;keyword=AGAP003248&amp;mode=1&amp;viewImage=true","AGAP003248")</f>
        <v>AGAP003248</v>
      </c>
      <c r="DE237" s="2" t="s">
        <v>750</v>
      </c>
      <c r="DF237" s="2" t="s">
        <v>86</v>
      </c>
      <c r="DG237" s="2" t="s">
        <v>87</v>
      </c>
      <c r="DH237" s="2" t="str">
        <f>HYPERLINK("https://vectorbase.org/vectorbase/app/record/gene/AGAP003248","AGAP003248-RA")</f>
        <v>AGAP003248-RA</v>
      </c>
      <c r="DI237" s="2" t="s">
        <v>122</v>
      </c>
      <c r="DJ237" s="2">
        <v>953</v>
      </c>
      <c r="DK237" s="2" t="str">
        <f>HYPERLINK(".\links\netoglyc\AGAP003248-PA-netoglyc.txt","0")</f>
        <v>0</v>
      </c>
      <c r="DL237" s="2">
        <v>11.8</v>
      </c>
      <c r="DM237" s="2">
        <v>6.8</v>
      </c>
      <c r="DN237" s="2">
        <v>5.4</v>
      </c>
      <c r="DO237" s="2" t="s">
        <v>94</v>
      </c>
      <c r="DP237" s="2" t="s">
        <v>89</v>
      </c>
      <c r="DQ237" s="2" t="str">
        <f>HYPERLINK(".\links\Sigp\AGAP003248-PA-SigP.txt","SIG")</f>
        <v>SIG</v>
      </c>
      <c r="DR237" s="2" t="s">
        <v>404</v>
      </c>
      <c r="DS237" s="2">
        <v>33.235999999999997</v>
      </c>
      <c r="DT237" s="2">
        <v>5.24</v>
      </c>
      <c r="DU237" s="2">
        <v>30.632999999999999</v>
      </c>
      <c r="DV237" s="2">
        <v>5.13</v>
      </c>
      <c r="DW237" s="2" t="s">
        <v>756</v>
      </c>
      <c r="DX237" s="2">
        <v>296</v>
      </c>
      <c r="DY237" s="12" t="str">
        <f>HYPERLINK(".\links\tmhmm\AGAP003248-PA-tmhmm.txt","1")</f>
        <v>1</v>
      </c>
      <c r="DZ237" s="2">
        <v>7.4</v>
      </c>
      <c r="EA237" s="2">
        <v>90.2</v>
      </c>
      <c r="EB237" s="2">
        <v>2.4</v>
      </c>
      <c r="EC237" s="2" t="str">
        <f>HYPERLINK(".\links\gpi\AGAP003248-PA-gpi.txt","Y-NoSP")</f>
        <v>Y-NoSP</v>
      </c>
      <c r="ED237" s="2">
        <v>0.19</v>
      </c>
      <c r="EE237" s="2" t="s">
        <v>764</v>
      </c>
      <c r="EF237" s="2">
        <v>10</v>
      </c>
      <c r="EG237" s="2" t="s">
        <v>89</v>
      </c>
      <c r="EH237" s="2" t="s">
        <v>89</v>
      </c>
      <c r="EI237" s="2">
        <v>11.8243243243243</v>
      </c>
      <c r="EJ237" s="2">
        <v>5.4054054054054097</v>
      </c>
      <c r="EK237" s="2">
        <v>6.7567567567567597</v>
      </c>
      <c r="EL237" s="2">
        <v>12.1621621621622</v>
      </c>
      <c r="EM237" s="2" t="s">
        <v>89</v>
      </c>
      <c r="EN237" s="2">
        <v>1</v>
      </c>
      <c r="EO237" s="2">
        <v>1</v>
      </c>
      <c r="EP237" s="2" t="s">
        <v>89</v>
      </c>
      <c r="EQ237" s="2" t="s">
        <v>89</v>
      </c>
      <c r="ER237" s="2" t="s">
        <v>89</v>
      </c>
      <c r="ES237" s="2" t="s">
        <v>89</v>
      </c>
      <c r="ET237" s="2" t="str">
        <f>HYPERLINK(".\links\REFSEQ-INVERTEBRATE\AGAP003248-PA-REFSEQ-INVERTEBRATE.txt","AGAP003248-PA")</f>
        <v>AGAP003248-PA</v>
      </c>
      <c r="EU237" s="2" t="str">
        <f>HYPERLINK("http://www.ncbi.nlm.nih.gov/sutils/blink.cgi?pid=XP_312959.4","0.0")</f>
        <v>0.0</v>
      </c>
      <c r="EV237" s="2" t="str">
        <f>HYPERLINK("http://www.ncbi.nlm.nih.gov/protein/XP_312959.4","XP_312959.4")</f>
        <v>XP_312959.4</v>
      </c>
      <c r="EW237" s="2">
        <v>100</v>
      </c>
      <c r="EX237" s="2">
        <v>100</v>
      </c>
      <c r="EY237" s="2">
        <v>100</v>
      </c>
      <c r="EZ237" s="2" t="s">
        <v>95</v>
      </c>
    </row>
    <row r="238" spans="1:156" x14ac:dyDescent="0.25">
      <c r="A238" s="2" t="s">
        <v>2292</v>
      </c>
      <c r="B238" s="2">
        <v>-1.14008370904894</v>
      </c>
      <c r="C238" s="2">
        <f t="shared" si="3"/>
        <v>0.4537332500705058</v>
      </c>
      <c r="D238" s="2">
        <v>6.1199086714287896</v>
      </c>
      <c r="E238" s="2">
        <v>14.0474127030415</v>
      </c>
      <c r="F238" s="2">
        <v>1.78258908044806E-4</v>
      </c>
      <c r="G238" s="2">
        <v>1.30339720448707E-2</v>
      </c>
      <c r="H238" s="2" t="s">
        <v>2293</v>
      </c>
      <c r="I238" s="2" t="s">
        <v>466</v>
      </c>
      <c r="J238" s="8" t="s">
        <v>2294</v>
      </c>
      <c r="Q238" s="9"/>
      <c r="W238" s="10"/>
      <c r="AB238" s="9"/>
      <c r="AC238" s="9"/>
      <c r="AJ238" s="9"/>
      <c r="AN238" s="9"/>
      <c r="AO238" s="11"/>
      <c r="AP238" s="9"/>
      <c r="AT238" s="9"/>
      <c r="BA238" s="9"/>
      <c r="BH238" s="9"/>
      <c r="BO238" s="9"/>
      <c r="BV238" s="9"/>
      <c r="CB238" s="9"/>
      <c r="CG238" s="9"/>
      <c r="CL238" s="9"/>
      <c r="CP238" s="9"/>
      <c r="DE238" s="2" t="s">
        <v>2292</v>
      </c>
      <c r="DF238" s="2" t="s">
        <v>2293</v>
      </c>
      <c r="DG238" s="2" t="s">
        <v>466</v>
      </c>
      <c r="DH238" s="8" t="s">
        <v>2294</v>
      </c>
      <c r="DI238" s="2" t="s">
        <v>140</v>
      </c>
      <c r="DJ238" s="2">
        <v>2866</v>
      </c>
      <c r="DQ238" s="2" t="s">
        <v>468</v>
      </c>
      <c r="DS238" s="2">
        <v>38565</v>
      </c>
      <c r="DT238" s="2">
        <v>9.84</v>
      </c>
      <c r="DX238" s="2">
        <v>355</v>
      </c>
      <c r="DY238" s="12"/>
    </row>
    <row r="239" spans="1:156" x14ac:dyDescent="0.25">
      <c r="A239" s="2" t="s">
        <v>1792</v>
      </c>
      <c r="B239" s="2">
        <v>-1.1580535090299899</v>
      </c>
      <c r="C239" s="2">
        <f t="shared" si="3"/>
        <v>0.44811672899133342</v>
      </c>
      <c r="D239" s="2">
        <v>7.2727709987865596</v>
      </c>
      <c r="E239" s="2">
        <v>25.844749289598401</v>
      </c>
      <c r="F239" s="2">
        <v>3.7000985374293399E-7</v>
      </c>
      <c r="G239" s="2">
        <v>2.41988193636534E-4</v>
      </c>
      <c r="H239" s="2" t="s">
        <v>1793</v>
      </c>
      <c r="I239" s="2" t="s">
        <v>87</v>
      </c>
      <c r="J239" s="2" t="str">
        <f>HYPERLINK("https://vectorbase.org/vectorbase/app/record/gene/AGAP007045","AGAP007045-RA")</f>
        <v>AGAP007045-RA</v>
      </c>
      <c r="K239" s="2" t="str">
        <f>HYPERLINK(".\links\pep\AGAP007045-PA-pep.txt","AGAP007045-PA")</f>
        <v>AGAP007045-PA</v>
      </c>
      <c r="L239" s="12" t="s">
        <v>88</v>
      </c>
      <c r="M239" s="2">
        <v>571</v>
      </c>
      <c r="N239" s="2">
        <v>0</v>
      </c>
      <c r="O239" s="2">
        <v>0</v>
      </c>
      <c r="P239" s="2" t="s">
        <v>1794</v>
      </c>
      <c r="Q239" s="9" t="s">
        <v>1795</v>
      </c>
      <c r="R239" s="2" t="s">
        <v>1045</v>
      </c>
      <c r="S239" s="2" t="str">
        <f>HYPERLINK(".\links\REFSEQ-INVERTEBRATE\AGAP007045-PA-REFSEQ-INVERTEBRATE.txt","REFSEQ-INVERTEBRATE")</f>
        <v>REFSEQ-INVERTEBRATE</v>
      </c>
      <c r="T239" s="2">
        <v>0</v>
      </c>
      <c r="U239" s="2">
        <v>100.1</v>
      </c>
      <c r="V239" s="2" t="s">
        <v>1796</v>
      </c>
      <c r="W239" s="10" t="s">
        <v>1797</v>
      </c>
      <c r="X239" s="2" t="s">
        <v>148</v>
      </c>
      <c r="Y239" s="2" t="str">
        <f>HYPERLINK(".\links\REFSEQ-INVERTEBRATE\AGAP007045-PA-REFSEQ-INVERTEBRATE.txt","REFSEQ-INVERTEBRATE")</f>
        <v>REFSEQ-INVERTEBRATE</v>
      </c>
      <c r="Z239" s="13">
        <v>0</v>
      </c>
      <c r="AA239" s="2">
        <v>101.6</v>
      </c>
      <c r="AB239" s="14" t="str">
        <f>HYPERLINK(".\links\pep\AGAP007045-PA-sulf.txt","1")</f>
        <v>1</v>
      </c>
      <c r="AC239" s="14" t="str">
        <f>HYPERLINK(".\links\Sigp\AGAP007045-PA-SigP.txt","SIG")</f>
        <v>SIG</v>
      </c>
      <c r="AD239" s="2" t="s">
        <v>804</v>
      </c>
      <c r="AE239" s="2">
        <v>65.494</v>
      </c>
      <c r="AF239" s="2">
        <v>5.93</v>
      </c>
      <c r="AG239" s="2">
        <v>63.106999999999999</v>
      </c>
      <c r="AH239" s="2">
        <v>5.9</v>
      </c>
      <c r="AI239" s="2" t="s">
        <v>1798</v>
      </c>
      <c r="AJ239" s="14" t="str">
        <f>HYPERLINK(".\links\tmhmm\AGAP007045-PA-tmhmm.txt","1")</f>
        <v>1</v>
      </c>
      <c r="AK239" s="2">
        <v>3.9</v>
      </c>
      <c r="AL239" s="2">
        <v>90.5</v>
      </c>
      <c r="AM239" s="2">
        <v>5.6</v>
      </c>
      <c r="AN239" s="14" t="str">
        <f>HYPERLINK(".\links\gpi\AGAP007045-PA-gpi.txt","N")</f>
        <v>N</v>
      </c>
      <c r="AO239" s="15" t="str">
        <f>HYPERLINK(".\links\netoglyc\AGAP007045-PA-netoglyc.txt","1")</f>
        <v>1</v>
      </c>
      <c r="AP239" s="14">
        <v>14</v>
      </c>
      <c r="AQ239" s="2">
        <v>3.2</v>
      </c>
      <c r="AR239" s="2">
        <v>3.3</v>
      </c>
      <c r="AS239" s="2" t="s">
        <v>94</v>
      </c>
      <c r="AT239" s="9" t="str">
        <f>HYPERLINK(".\links\NR-LIGHT\AGAP007045-PA-NR-LIGHT.txt","AGAP007045-PA")</f>
        <v>AGAP007045-PA</v>
      </c>
      <c r="AU239" s="2" t="str">
        <f>HYPERLINK("http://www.ncbi.nlm.nih.gov/sutils/blink.cgi?pid=XP_308718.4","0.0")</f>
        <v>0.0</v>
      </c>
      <c r="AV239" s="2" t="str">
        <f>HYPERLINK("http://www.ncbi.nlm.nih.gov/protein/XP_308718.4","XP_308718.4")</f>
        <v>XP_308718.4</v>
      </c>
      <c r="AW239" s="2">
        <v>100</v>
      </c>
      <c r="AX239" s="2">
        <v>100</v>
      </c>
      <c r="AY239" s="2">
        <v>100</v>
      </c>
      <c r="AZ239" s="2" t="s">
        <v>95</v>
      </c>
      <c r="BA239" s="9" t="str">
        <f>HYPERLINK(".\links\REFSEQ-INVERTEBRATE\AGAP007045-PA-REFSEQ-INVERTEBRATE.txt","AGAP007045-PA")</f>
        <v>AGAP007045-PA</v>
      </c>
      <c r="BB239" s="2" t="str">
        <f>HYPERLINK("http://www.ncbi.nlm.nih.gov/sutils/blink.cgi?pid=XP_308718.4","0.0")</f>
        <v>0.0</v>
      </c>
      <c r="BC239" s="2" t="str">
        <f>HYPERLINK("http://www.ncbi.nlm.nih.gov/protein/XP_308718.4","XP_308718.4")</f>
        <v>XP_308718.4</v>
      </c>
      <c r="BD239" s="2">
        <v>100</v>
      </c>
      <c r="BE239" s="2">
        <v>100</v>
      </c>
      <c r="BF239" s="2">
        <v>100</v>
      </c>
      <c r="BG239" s="2" t="s">
        <v>95</v>
      </c>
      <c r="BH239" s="9" t="str">
        <f>HYPERLINK(".\links\REFSEQ-PROTOZOA\AGAP007045-PA-REFSEQ-PROTOZOA.txt","hypothetical protein GUITHDRAFT_121393")</f>
        <v>hypothetical protein GUITHDRAFT_121393</v>
      </c>
      <c r="BI239" s="2" t="str">
        <f>HYPERLINK("http://www.ncbi.nlm.nih.gov/sutils/blink.cgi?pid=XP_005819407.1","8E-029")</f>
        <v>8E-029</v>
      </c>
      <c r="BJ239" s="2" t="str">
        <f>HYPERLINK("http://www.ncbi.nlm.nih.gov/protein/XP_005819407.1","XP_005819407.1")</f>
        <v>XP_005819407.1</v>
      </c>
      <c r="BK239" s="2">
        <v>30</v>
      </c>
      <c r="BL239" s="2">
        <v>50</v>
      </c>
      <c r="BM239" s="2">
        <v>16</v>
      </c>
      <c r="BN239" s="2" t="s">
        <v>406</v>
      </c>
      <c r="BO239" s="9" t="str">
        <f>HYPERLINK(".\links\SWISSP\AGAP007045-PA-SWISSP.txt","Insulin-like growth factor-binding protein complex acid labile subunit")</f>
        <v>Insulin-like growth factor-binding protein complex acid labile subunit</v>
      </c>
      <c r="BP239" s="2" t="str">
        <f>HYPERLINK("http://www.uniprot.org/uniprot/P70389","2E-023")</f>
        <v>2E-023</v>
      </c>
      <c r="BQ239" s="2" t="str">
        <f>HYPERLINK("http://www.uniprot.org/uniprot/P70389#expression","P70389")</f>
        <v>P70389</v>
      </c>
      <c r="BR239" s="2">
        <v>28</v>
      </c>
      <c r="BS239" s="2">
        <v>45</v>
      </c>
      <c r="BT239" s="2">
        <v>59</v>
      </c>
      <c r="BU239" s="2" t="s">
        <v>566</v>
      </c>
      <c r="BV239" s="9" t="str">
        <f>HYPERLINK(".\links\FLYBASE\AGAP007045-PA-FLYBASE.txt","FBpp0288699")</f>
        <v>FBpp0288699</v>
      </c>
      <c r="BW239" s="2" t="str">
        <f>HYPERLINK("http://flybase.org/reports/FBgn0036587#alliance_summary_container","1E-44")</f>
        <v>1E-44</v>
      </c>
      <c r="BX239" s="2">
        <v>574</v>
      </c>
      <c r="BY239" s="2">
        <v>29</v>
      </c>
      <c r="BZ239" s="2">
        <v>50</v>
      </c>
      <c r="CA239" s="2">
        <v>75</v>
      </c>
      <c r="CB239" s="9" t="str">
        <f>HYPERLINK(".\links\CDD\AGAP007045-PA-CDD.txt","LRR_RI, leucine-rich repeats, ribonuclease inhibitor (RI)-like subfamily")</f>
        <v>LRR_RI, leucine-rich repeats, ribonuclease inhibitor (RI)-like subfamily</v>
      </c>
      <c r="CC239" s="13">
        <v>3E-34</v>
      </c>
      <c r="CD239" s="2">
        <v>114.7</v>
      </c>
      <c r="CE239" s="2" t="s">
        <v>407</v>
      </c>
      <c r="CF239" s="2" t="s">
        <v>1799</v>
      </c>
      <c r="CG239" s="9" t="str">
        <f>HYPERLINK(".\links\KOG\AGAP007045-PA-KOG.txt","Membrane glycoprotein LIG-1")</f>
        <v>Membrane glycoprotein LIG-1</v>
      </c>
      <c r="CH239" s="13">
        <v>6.9999999999999997E-26</v>
      </c>
      <c r="CI239" s="2">
        <v>40.4</v>
      </c>
      <c r="CJ239" s="2" t="s">
        <v>409</v>
      </c>
      <c r="CK239" s="2" t="s">
        <v>410</v>
      </c>
      <c r="CL239" s="9" t="str">
        <f>HYPERLINK(".\links\PFAM\AGAP007045-PA-PFAM.txt","LRR_8, Leucine rich repeat")</f>
        <v>LRR_8, Leucine rich repeat</v>
      </c>
      <c r="CM239" s="13">
        <v>6E-10</v>
      </c>
      <c r="CN239" s="2">
        <v>98.4</v>
      </c>
      <c r="CO239" s="2" t="s">
        <v>411</v>
      </c>
      <c r="CP239" s="9" t="str">
        <f>HYPERLINK(".\links\SMART\AGAP007045-PA-SMART.txt","LRR, Leucine-rich repeats, outliers")</f>
        <v>LRR, Leucine-rich repeats, outliers</v>
      </c>
      <c r="CQ239" s="13">
        <v>7.0000000000000001E-3</v>
      </c>
      <c r="CR239" s="2">
        <v>83.3</v>
      </c>
      <c r="CS239" s="2" t="s">
        <v>412</v>
      </c>
      <c r="CT239" s="2" t="s">
        <v>1796</v>
      </c>
      <c r="CU239" s="2" t="s">
        <v>1796</v>
      </c>
      <c r="CV239" s="2" t="s">
        <v>1796</v>
      </c>
      <c r="CW239" s="2" t="str">
        <f>HYPERLINK(".\links\pep\AGAP007045-PA-pep.txt","AGAP007045-PA")</f>
        <v>AGAP007045-PA</v>
      </c>
      <c r="CX239" s="2" t="s">
        <v>88</v>
      </c>
      <c r="CY239" s="2">
        <v>571</v>
      </c>
      <c r="CZ239" s="2" t="s">
        <v>103</v>
      </c>
      <c r="DA239" s="2" t="s">
        <v>1800</v>
      </c>
      <c r="DB239" s="2">
        <v>0</v>
      </c>
      <c r="DC239" s="2">
        <v>0</v>
      </c>
      <c r="DD239" s="2" t="str">
        <f>HYPERLINK("https://www.kegg.jp/kegg-bin/search_pathway_text?map=aga&amp;keyword=AGAP007045&amp;mode=1&amp;viewImage=true","AGAP007045")</f>
        <v>AGAP007045</v>
      </c>
      <c r="DE239" s="2" t="s">
        <v>1792</v>
      </c>
      <c r="DF239" s="2" t="s">
        <v>1793</v>
      </c>
      <c r="DG239" s="2" t="s">
        <v>87</v>
      </c>
      <c r="DH239" s="2" t="str">
        <f>HYPERLINK("https://vectorbase.org/vectorbase/app/record/gene/AGAP007045","AGAP007045-RA")</f>
        <v>AGAP007045-RA</v>
      </c>
      <c r="DI239" s="2" t="s">
        <v>158</v>
      </c>
      <c r="DJ239" s="2">
        <v>2038</v>
      </c>
      <c r="DK239" s="2" t="str">
        <f>HYPERLINK(".\links\netoglyc\AGAP007045-PA-netoglyc.txt","1")</f>
        <v>1</v>
      </c>
      <c r="DL239" s="2">
        <v>14</v>
      </c>
      <c r="DM239" s="2">
        <v>3.2</v>
      </c>
      <c r="DN239" s="2">
        <v>3.3</v>
      </c>
      <c r="DO239" s="2" t="s">
        <v>94</v>
      </c>
      <c r="DP239" s="2" t="s">
        <v>89</v>
      </c>
      <c r="DQ239" s="2" t="str">
        <f>HYPERLINK(".\links\Sigp\AGAP007045-PA-SigP.txt","SIG")</f>
        <v>SIG</v>
      </c>
      <c r="DR239" s="2" t="s">
        <v>804</v>
      </c>
      <c r="DS239" s="2">
        <v>65.494</v>
      </c>
      <c r="DT239" s="2">
        <v>5.93</v>
      </c>
      <c r="DU239" s="2">
        <v>63.106999999999999</v>
      </c>
      <c r="DV239" s="2">
        <v>5.9</v>
      </c>
      <c r="DW239" s="2" t="s">
        <v>1798</v>
      </c>
      <c r="DX239" s="2">
        <v>571</v>
      </c>
      <c r="DY239" s="12" t="str">
        <f>HYPERLINK(".\links\tmhmm\AGAP007045-PA-tmhmm.txt","1")</f>
        <v>1</v>
      </c>
      <c r="DZ239" s="2">
        <v>3.9</v>
      </c>
      <c r="EA239" s="2">
        <v>90.5</v>
      </c>
      <c r="EB239" s="2">
        <v>5.6</v>
      </c>
      <c r="EC239" s="2" t="str">
        <f>HYPERLINK(".\links\gpi\AGAP007045-PA-gpi.txt","Y-NoSP")</f>
        <v>Y-NoSP</v>
      </c>
      <c r="ED239" s="2">
        <v>0.31</v>
      </c>
      <c r="EF239" s="2">
        <v>7</v>
      </c>
      <c r="EG239" s="2" t="str">
        <f>HYPERLINK(".\links\pep\AGAP007045-PA-sulf.txt","1")</f>
        <v>1</v>
      </c>
      <c r="EH239" s="2" t="s">
        <v>89</v>
      </c>
      <c r="EI239" s="2">
        <v>14.0105078809107</v>
      </c>
      <c r="EJ239" s="2">
        <v>3.3274956217162899</v>
      </c>
      <c r="EK239" s="2">
        <v>3.1523642732049</v>
      </c>
      <c r="EL239" s="2">
        <v>6.4798598949211899</v>
      </c>
      <c r="EM239" s="2" t="s">
        <v>89</v>
      </c>
      <c r="EN239" s="2">
        <v>1</v>
      </c>
      <c r="EO239" s="2">
        <v>1</v>
      </c>
      <c r="EP239" s="2" t="s">
        <v>89</v>
      </c>
      <c r="EQ239" s="2" t="s">
        <v>89</v>
      </c>
      <c r="ER239" s="2" t="s">
        <v>89</v>
      </c>
      <c r="ES239" s="2" t="s">
        <v>89</v>
      </c>
      <c r="ET239" s="2" t="str">
        <f>HYPERLINK(".\links\REFSEQ-INVERTEBRATE\AGAP007045-PA-REFSEQ-INVERTEBRATE.txt","AGAP007045-PA")</f>
        <v>AGAP007045-PA</v>
      </c>
      <c r="EU239" s="2" t="str">
        <f>HYPERLINK("http://www.ncbi.nlm.nih.gov/sutils/blink.cgi?pid=XP_308718.4","0.0")</f>
        <v>0.0</v>
      </c>
      <c r="EV239" s="2" t="str">
        <f>HYPERLINK("http://www.ncbi.nlm.nih.gov/protein/XP_308718.4","XP_308718.4")</f>
        <v>XP_308718.4</v>
      </c>
      <c r="EW239" s="2">
        <v>100</v>
      </c>
      <c r="EX239" s="2">
        <v>100</v>
      </c>
      <c r="EY239" s="2">
        <v>100</v>
      </c>
      <c r="EZ239" s="2" t="s">
        <v>95</v>
      </c>
    </row>
    <row r="240" spans="1:156" x14ac:dyDescent="0.25">
      <c r="A240" s="2" t="s">
        <v>2062</v>
      </c>
      <c r="B240" s="2">
        <v>-1.15873941684584</v>
      </c>
      <c r="C240" s="2">
        <f t="shared" si="3"/>
        <v>0.44790372922130084</v>
      </c>
      <c r="D240" s="2">
        <v>6.3732371801150496</v>
      </c>
      <c r="E240" s="2">
        <v>25.0481982839291</v>
      </c>
      <c r="F240" s="2">
        <v>5.5914977802992897E-7</v>
      </c>
      <c r="G240" s="2">
        <v>2.8713087382060601E-4</v>
      </c>
      <c r="H240" s="2" t="s">
        <v>2050</v>
      </c>
      <c r="I240" s="2" t="s">
        <v>87</v>
      </c>
      <c r="J240" s="2" t="str">
        <f>HYPERLINK("https://vectorbase.org/vectorbase/app/record/gene/AGAP008209","AGAP008209-RA")</f>
        <v>AGAP008209-RA</v>
      </c>
      <c r="K240" s="2" t="str">
        <f>HYPERLINK(".\links\pep\AGAP008209-PA-pep.txt","AGAP008209-PA")</f>
        <v>AGAP008209-PA</v>
      </c>
      <c r="L240" s="12" t="s">
        <v>88</v>
      </c>
      <c r="M240" s="2">
        <v>503</v>
      </c>
      <c r="N240" s="2">
        <v>0</v>
      </c>
      <c r="O240" s="2">
        <v>3</v>
      </c>
      <c r="P240" s="2" t="s">
        <v>2063</v>
      </c>
      <c r="Q240" s="9" t="s">
        <v>2052</v>
      </c>
      <c r="R240" s="2" t="s">
        <v>2053</v>
      </c>
      <c r="S240" s="2" t="str">
        <f>HYPERLINK(".\links\PFAM\AGAP008209-PA-PFAM.txt","PFAM")</f>
        <v>PFAM</v>
      </c>
      <c r="T240" s="2">
        <v>6.0000000000000003E-87</v>
      </c>
      <c r="U240" s="2">
        <v>102.1</v>
      </c>
      <c r="V240" s="2" t="s">
        <v>2064</v>
      </c>
      <c r="W240" s="10" t="s">
        <v>2055</v>
      </c>
      <c r="X240" s="2" t="s">
        <v>2053</v>
      </c>
      <c r="Y240" s="2" t="str">
        <f>HYPERLINK(".\links\REFSEQVERTEBRATE95\AGAP008209-PA-REFSEQVERTEBRATE95.txt","REFSEQVERTEBRATE95")</f>
        <v>REFSEQVERTEBRATE95</v>
      </c>
      <c r="Z240" s="2">
        <v>0</v>
      </c>
      <c r="AA240" s="2">
        <v>100</v>
      </c>
      <c r="AB240" s="14" t="str">
        <f>HYPERLINK(".\links\pep\AGAP008209-PA-sulf.txt","1")</f>
        <v>1</v>
      </c>
      <c r="AC240" s="14" t="str">
        <f>HYPERLINK(".\links\Sigp\AGAP008209-PA-SigP.txt","SIG")</f>
        <v>SIG</v>
      </c>
      <c r="AD240" s="2" t="s">
        <v>842</v>
      </c>
      <c r="AE240" s="2">
        <v>58.402000000000001</v>
      </c>
      <c r="AF240" s="2">
        <v>7.69</v>
      </c>
      <c r="AG240" s="2">
        <v>56.145000000000003</v>
      </c>
      <c r="AH240" s="2">
        <v>8.18</v>
      </c>
      <c r="AI240" s="2" t="s">
        <v>2065</v>
      </c>
      <c r="AJ240" s="14" t="str">
        <f>HYPERLINK(".\links\tmhmm\AGAP008209-PA-tmhmm.txt","2")</f>
        <v>2</v>
      </c>
      <c r="AK240" s="2">
        <v>7.6</v>
      </c>
      <c r="AL240" s="2">
        <v>82.7</v>
      </c>
      <c r="AM240" s="2">
        <v>9.6999999999999993</v>
      </c>
      <c r="AN240" s="14" t="str">
        <f>HYPERLINK(".\links\gpi\AGAP008209-PA-gpi.txt","N")</f>
        <v>N</v>
      </c>
      <c r="AO240" s="15" t="str">
        <f>HYPERLINK(".\links\netoglyc\AGAP008209-PA-netoglyc.txt","0")</f>
        <v>0</v>
      </c>
      <c r="AP240" s="14">
        <v>9.6999999999999993</v>
      </c>
      <c r="AQ240" s="2">
        <v>6</v>
      </c>
      <c r="AR240" s="2">
        <v>5.8</v>
      </c>
      <c r="AS240" s="2" t="s">
        <v>94</v>
      </c>
      <c r="AT240" s="9" t="str">
        <f>HYPERLINK(".\links\NR-LIGHT\AGAP008209-PA-NR-LIGHT.txt","AGAP008209-PA")</f>
        <v>AGAP008209-PA</v>
      </c>
      <c r="AU240" s="2" t="str">
        <f>HYPERLINK("http://www.ncbi.nlm.nih.gov/sutils/blink.cgi?pid=XP_001237903.1","0.0")</f>
        <v>0.0</v>
      </c>
      <c r="AV240" s="2" t="str">
        <f>HYPERLINK("http://www.ncbi.nlm.nih.gov/protein/XP_001237903.1","XP_001237903.1")</f>
        <v>XP_001237903.1</v>
      </c>
      <c r="AW240" s="2">
        <v>100</v>
      </c>
      <c r="AX240" s="2">
        <v>100</v>
      </c>
      <c r="AY240" s="2">
        <v>100</v>
      </c>
      <c r="AZ240" s="2" t="s">
        <v>95</v>
      </c>
      <c r="BA240" s="9" t="str">
        <f>HYPERLINK(".\links\REFSEQ-INVERTEBRATE\AGAP008209-PA-REFSEQ-INVERTEBRATE.txt","AGAP008209-PA")</f>
        <v>AGAP008209-PA</v>
      </c>
      <c r="BB240" s="2" t="str">
        <f>HYPERLINK("http://www.ncbi.nlm.nih.gov/sutils/blink.cgi?pid=XP_001237903.1","0.0")</f>
        <v>0.0</v>
      </c>
      <c r="BC240" s="2" t="str">
        <f>HYPERLINK("http://www.ncbi.nlm.nih.gov/protein/XP_001237903.1","XP_001237903.1")</f>
        <v>XP_001237903.1</v>
      </c>
      <c r="BD240" s="2">
        <v>100</v>
      </c>
      <c r="BE240" s="2">
        <v>100</v>
      </c>
      <c r="BF240" s="2">
        <v>100</v>
      </c>
      <c r="BG240" s="2" t="s">
        <v>95</v>
      </c>
      <c r="BH240" s="9" t="str">
        <f>HYPERLINK(".\links\REFSEQ-PROTOZOA\AGAP008209-PA-REFSEQ-PROTOZOA.txt","hypothetical protein PTSG_13097")</f>
        <v>hypothetical protein PTSG_13097</v>
      </c>
      <c r="BI240" s="2" t="str">
        <f>HYPERLINK("http://www.ncbi.nlm.nih.gov/sutils/blink.cgi?pid=XP_004988763.1","4E-036")</f>
        <v>4E-036</v>
      </c>
      <c r="BJ240" s="2" t="str">
        <f>HYPERLINK("http://www.ncbi.nlm.nih.gov/protein/XP_004988763.1","XP_004988763.1")</f>
        <v>XP_004988763.1</v>
      </c>
      <c r="BK240" s="2">
        <v>28</v>
      </c>
      <c r="BL240" s="2">
        <v>49</v>
      </c>
      <c r="BM240" s="2">
        <v>24</v>
      </c>
      <c r="BN240" s="2" t="s">
        <v>182</v>
      </c>
      <c r="BO240" s="9" t="str">
        <f>HYPERLINK(".\links\SWISSP\AGAP008209-PA-SWISSP.txt","Probable cytochrome P450 6a23")</f>
        <v>Probable cytochrome P450 6a23</v>
      </c>
      <c r="BP240" s="2" t="str">
        <f>HYPERLINK("http://www.uniprot.org/uniprot/Q9V771","1E-127")</f>
        <v>1E-127</v>
      </c>
      <c r="BQ240" s="2" t="str">
        <f>HYPERLINK("http://www.uniprot.org/uniprot/Q9V771#expression","Q9V771")</f>
        <v>Q9V771</v>
      </c>
      <c r="BR240" s="2">
        <v>46</v>
      </c>
      <c r="BS240" s="2">
        <v>66</v>
      </c>
      <c r="BT240" s="2">
        <v>100</v>
      </c>
      <c r="BU240" s="2" t="s">
        <v>151</v>
      </c>
      <c r="BV240" s="9" t="str">
        <f>HYPERLINK(".\links\FLYBASE\AGAP008209-PA-FLYBASE.txt","FBpp0311646")</f>
        <v>FBpp0311646</v>
      </c>
      <c r="BW240" s="2" t="str">
        <f>HYPERLINK("http://flybase.org/reports/FBgn0033302#alliance_summary_container","1E-162")</f>
        <v>1E-162</v>
      </c>
      <c r="BX240" s="2">
        <v>509</v>
      </c>
      <c r="BY240" s="2">
        <v>44</v>
      </c>
      <c r="BZ240" s="2">
        <v>66</v>
      </c>
      <c r="CA240" s="2">
        <v>100</v>
      </c>
      <c r="CB240" s="9" t="str">
        <f>HYPERLINK(".\links\CDD\AGAP008209-PA-CDD.txt","p450, Cytochrome P450")</f>
        <v>p450, Cytochrome P450</v>
      </c>
      <c r="CC240" s="13">
        <v>3.0000000000000001E-86</v>
      </c>
      <c r="CD240" s="2">
        <v>102.2</v>
      </c>
      <c r="CE240" s="2" t="s">
        <v>2057</v>
      </c>
      <c r="CF240" s="2" t="s">
        <v>2066</v>
      </c>
      <c r="CG240" s="9" t="str">
        <f>HYPERLINK(".\links\KOG\AGAP008209-PA-KOG.txt","Cytochrome P450 CYP3/CYP5/CYP6/CYP9 subfamilies")</f>
        <v>Cytochrome P450 CYP3/CYP5/CYP6/CYP9 subfamilies</v>
      </c>
      <c r="CH240" s="13">
        <v>9.9999999999999994E-158</v>
      </c>
      <c r="CI240" s="2">
        <v>100.6</v>
      </c>
      <c r="CJ240" s="2" t="s">
        <v>2059</v>
      </c>
      <c r="CK240" s="2" t="s">
        <v>2060</v>
      </c>
      <c r="CL240" s="9" t="str">
        <f>HYPERLINK(".\links\PFAM\AGAP008209-PA-PFAM.txt","p450, Cytochrome P450")</f>
        <v>p450, Cytochrome P450</v>
      </c>
      <c r="CM240" s="13">
        <v>6.0000000000000003E-87</v>
      </c>
      <c r="CN240" s="2">
        <v>102.2</v>
      </c>
      <c r="CO240" s="2" t="s">
        <v>2057</v>
      </c>
      <c r="CP240" s="9" t="str">
        <f>HYPERLINK(".\links\SMART\AGAP008209-PA-SMART.txt","NDK, Enzymes that catalyze nonsubstrate specific conversions of nucleoside diphosphates to nucleoside triphosphates")</f>
        <v>NDK, Enzymes that catalyze nonsubstrate specific conversions of nucleoside diphosphates to nucleoside triphosphates</v>
      </c>
      <c r="CQ240" s="13">
        <v>0.43</v>
      </c>
      <c r="CR240" s="2">
        <v>34.799999999999997</v>
      </c>
      <c r="CS240" s="2" t="s">
        <v>2067</v>
      </c>
      <c r="CT240" s="2" t="s">
        <v>2064</v>
      </c>
      <c r="CU240" s="2" t="s">
        <v>2064</v>
      </c>
      <c r="CV240" s="2" t="s">
        <v>2064</v>
      </c>
      <c r="CW240" s="2" t="str">
        <f>HYPERLINK(".\links\pep\AGAP008209-PA-pep.txt","AGAP008209-PA")</f>
        <v>AGAP008209-PA</v>
      </c>
      <c r="CX240" s="2" t="s">
        <v>88</v>
      </c>
      <c r="CY240" s="2">
        <v>503</v>
      </c>
      <c r="CZ240" s="2" t="s">
        <v>103</v>
      </c>
      <c r="DA240" s="2" t="s">
        <v>2068</v>
      </c>
      <c r="DB240" s="2">
        <v>0</v>
      </c>
      <c r="DC240" s="2">
        <v>3</v>
      </c>
      <c r="DD240" s="2" t="str">
        <f>HYPERLINK("https://www.kegg.jp/kegg-bin/search_pathway_text?map=aga&amp;keyword=AGAP008209&amp;mode=1&amp;viewImage=true","AGAP008209")</f>
        <v>AGAP008209</v>
      </c>
      <c r="DE240" s="2" t="s">
        <v>2062</v>
      </c>
      <c r="DF240" s="2" t="s">
        <v>2050</v>
      </c>
      <c r="DG240" s="2" t="s">
        <v>87</v>
      </c>
      <c r="DH240" s="2" t="str">
        <f>HYPERLINK("https://vectorbase.org/vectorbase/app/record/gene/AGAP008209","AGAP008209-RA")</f>
        <v>AGAP008209-RA</v>
      </c>
      <c r="DI240" s="2" t="s">
        <v>105</v>
      </c>
      <c r="DJ240" s="2">
        <v>1609</v>
      </c>
      <c r="DK240" s="2" t="str">
        <f>HYPERLINK(".\links\netoglyc\AGAP008209-PA-netoglyc.txt","0")</f>
        <v>0</v>
      </c>
      <c r="DL240" s="2">
        <v>9.6999999999999993</v>
      </c>
      <c r="DM240" s="2">
        <v>6</v>
      </c>
      <c r="DN240" s="2">
        <v>5.8</v>
      </c>
      <c r="DO240" s="2" t="s">
        <v>94</v>
      </c>
      <c r="DP240" s="2" t="s">
        <v>89</v>
      </c>
      <c r="DQ240" s="2" t="str">
        <f>HYPERLINK(".\links\Sigp\AGAP008209-PA-SigP.txt","SIG")</f>
        <v>SIG</v>
      </c>
      <c r="DR240" s="2" t="s">
        <v>842</v>
      </c>
      <c r="DS240" s="2">
        <v>58.402000000000001</v>
      </c>
      <c r="DT240" s="2">
        <v>7.69</v>
      </c>
      <c r="DU240" s="2">
        <v>56.145000000000003</v>
      </c>
      <c r="DV240" s="2">
        <v>8.18</v>
      </c>
      <c r="DW240" s="2" t="s">
        <v>2065</v>
      </c>
      <c r="DX240" s="2">
        <v>503</v>
      </c>
      <c r="DY240" s="12" t="str">
        <f>HYPERLINK(".\links\tmhmm\AGAP008209-PA-tmhmm.txt","2")</f>
        <v>2</v>
      </c>
      <c r="DZ240" s="2">
        <v>7.6</v>
      </c>
      <c r="EA240" s="2">
        <v>82.7</v>
      </c>
      <c r="EB240" s="2">
        <v>9.6999999999999993</v>
      </c>
      <c r="EC240" s="2" t="str">
        <f>HYPERLINK(".\links\gpi\AGAP008209-PA-gpi.txt","Y-NoSP")</f>
        <v>Y-NoSP</v>
      </c>
      <c r="ED240" s="2">
        <v>0.22</v>
      </c>
      <c r="EF240" s="2">
        <v>4</v>
      </c>
      <c r="EG240" s="2" t="str">
        <f>HYPERLINK(".\links\pep\AGAP008209-PA-sulf.txt","1")</f>
        <v>1</v>
      </c>
      <c r="EH240" s="2" t="s">
        <v>89</v>
      </c>
      <c r="EI240" s="2">
        <v>9.7415506958250493</v>
      </c>
      <c r="EJ240" s="2">
        <v>5.7654075546719703</v>
      </c>
      <c r="EK240" s="2">
        <v>5.9642147117296203</v>
      </c>
      <c r="EL240" s="2">
        <v>11.7296222664016</v>
      </c>
      <c r="EM240" s="2" t="s">
        <v>89</v>
      </c>
      <c r="EN240" s="2">
        <v>2</v>
      </c>
      <c r="EO240" s="2">
        <v>2</v>
      </c>
      <c r="EP240" s="2" t="s">
        <v>89</v>
      </c>
      <c r="EQ240" s="2" t="s">
        <v>89</v>
      </c>
      <c r="ER240" s="2" t="s">
        <v>89</v>
      </c>
      <c r="ES240" s="2" t="s">
        <v>89</v>
      </c>
      <c r="ET240" s="2" t="str">
        <f>HYPERLINK(".\links\REFSEQ-INVERTEBRATE\AGAP008209-PA-REFSEQ-INVERTEBRATE.txt","AGAP008209-PA")</f>
        <v>AGAP008209-PA</v>
      </c>
      <c r="EU240" s="2" t="str">
        <f>HYPERLINK("http://www.ncbi.nlm.nih.gov/sutils/blink.cgi?pid=XP_001237903.1","0.0")</f>
        <v>0.0</v>
      </c>
      <c r="EV240" s="2" t="str">
        <f>HYPERLINK("http://www.ncbi.nlm.nih.gov/protein/XP_001237903.1","XP_001237903.1")</f>
        <v>XP_001237903.1</v>
      </c>
      <c r="EW240" s="2">
        <v>100</v>
      </c>
      <c r="EX240" s="2">
        <v>100</v>
      </c>
      <c r="EY240" s="2">
        <v>100</v>
      </c>
      <c r="EZ240" s="2" t="s">
        <v>95</v>
      </c>
    </row>
    <row r="241" spans="1:156" x14ac:dyDescent="0.25">
      <c r="A241" s="2" t="s">
        <v>1286</v>
      </c>
      <c r="B241" s="2">
        <v>-1.16160966640545</v>
      </c>
      <c r="C241" s="2">
        <f t="shared" si="3"/>
        <v>0.44701350818134011</v>
      </c>
      <c r="D241" s="2">
        <v>7.5332404492562697</v>
      </c>
      <c r="E241" s="2">
        <v>21.8567819738156</v>
      </c>
      <c r="F241" s="2">
        <v>2.93776432487631E-6</v>
      </c>
      <c r="G241" s="2">
        <v>8.2613320460505702E-4</v>
      </c>
      <c r="H241" s="2" t="s">
        <v>1287</v>
      </c>
      <c r="I241" s="2" t="s">
        <v>87</v>
      </c>
      <c r="J241" s="2" t="str">
        <f>HYPERLINK("https://vectorbase.org/vectorbase/app/record/gene/AGAP004710","AGAP004710-RA")</f>
        <v>AGAP004710-RA</v>
      </c>
      <c r="K241" s="2" t="str">
        <f>HYPERLINK(".\links\pep\AGAP004710-PA-pep.txt","AGAP004710-PA")</f>
        <v>AGAP004710-PA</v>
      </c>
      <c r="L241" s="12" t="s">
        <v>88</v>
      </c>
      <c r="M241" s="2">
        <v>56</v>
      </c>
      <c r="N241" s="2">
        <v>0</v>
      </c>
      <c r="O241" s="2">
        <v>0</v>
      </c>
      <c r="P241" s="2" t="s">
        <v>1288</v>
      </c>
      <c r="Q241" s="9" t="s">
        <v>1289</v>
      </c>
      <c r="R241" s="2" t="s">
        <v>292</v>
      </c>
      <c r="S241" s="2" t="str">
        <f>HYPERLINK(".\links\REFSEQ-INVERTEBRATE\AGAP004710-PA-REFSEQ-INVERTEBRATE.txt","REFSEQ-INVERTEBRATE")</f>
        <v>REFSEQ-INVERTEBRATE</v>
      </c>
      <c r="T241" s="2">
        <v>5.0000000000000004E-18</v>
      </c>
      <c r="U241" s="2">
        <v>100</v>
      </c>
      <c r="V241" s="2" t="s">
        <v>1290</v>
      </c>
      <c r="W241" s="10" t="s">
        <v>1291</v>
      </c>
      <c r="X241" s="2" t="s">
        <v>292</v>
      </c>
      <c r="Y241" s="2" t="str">
        <f>HYPERLINK(".\links\REFSEQ-INVERTEBRATE\AGAP004710-PA-REFSEQ-INVERTEBRATE.txt","REFSEQ-INVERTEBRATE")</f>
        <v>REFSEQ-INVERTEBRATE</v>
      </c>
      <c r="Z241" s="13">
        <v>5.9999999999999996E-31</v>
      </c>
      <c r="AA241" s="2">
        <v>100</v>
      </c>
      <c r="AB241" s="14" t="s">
        <v>89</v>
      </c>
      <c r="AC241" s="14" t="str">
        <f>HYPERLINK(".\links\Sigp\AGAP004710-PA-SigP.txt","ANC")</f>
        <v>ANC</v>
      </c>
      <c r="AD241" s="2" t="s">
        <v>89</v>
      </c>
      <c r="AE241" s="2">
        <v>6.6280000000000001</v>
      </c>
      <c r="AF241" s="2">
        <v>9.4600000000000009</v>
      </c>
      <c r="AG241" s="2">
        <v>3.359</v>
      </c>
      <c r="AH241" s="2">
        <v>6.92</v>
      </c>
      <c r="AI241" s="2" t="s">
        <v>1292</v>
      </c>
      <c r="AJ241" s="14" t="str">
        <f>HYPERLINK(".\links\tmhmm\AGAP004710-PA-tmhmm.txt","1")</f>
        <v>1</v>
      </c>
      <c r="AK241" s="2">
        <v>33.9</v>
      </c>
      <c r="AL241" s="2">
        <v>53.6</v>
      </c>
      <c r="AM241" s="2">
        <v>12.5</v>
      </c>
      <c r="AN241" s="14" t="str">
        <f>HYPERLINK(".\links\gpi\AGAP004710-PA-gpi.txt","N")</f>
        <v>N</v>
      </c>
      <c r="AO241" s="15" t="str">
        <f>HYPERLINK(".\links\netoglyc\AGAP004710-PA-netoglyc.txt","0")</f>
        <v>0</v>
      </c>
      <c r="AP241" s="14">
        <v>10.7</v>
      </c>
      <c r="AQ241" s="2">
        <v>7.1</v>
      </c>
      <c r="AR241" s="2" t="s">
        <v>274</v>
      </c>
      <c r="AS241" s="2" t="s">
        <v>94</v>
      </c>
      <c r="AT241" s="9" t="str">
        <f>HYPERLINK(".\links\NR-LIGHT\AGAP004710-PA-NR-LIGHT.txt","AGAP004710-PA")</f>
        <v>AGAP004710-PA</v>
      </c>
      <c r="AU241" s="2" t="str">
        <f>HYPERLINK("http://www.ncbi.nlm.nih.gov/sutils/blink.cgi?pid=XP_001689102.1","2E-025")</f>
        <v>2E-025</v>
      </c>
      <c r="AV241" s="2" t="str">
        <f>HYPERLINK("http://www.ncbi.nlm.nih.gov/protein/XP_001689102.1","XP_001689102.1")</f>
        <v>XP_001689102.1</v>
      </c>
      <c r="AW241" s="2">
        <v>100</v>
      </c>
      <c r="AX241" s="2">
        <v>100</v>
      </c>
      <c r="AY241" s="2">
        <v>100</v>
      </c>
      <c r="AZ241" s="2" t="s">
        <v>95</v>
      </c>
      <c r="BA241" s="9" t="str">
        <f>HYPERLINK(".\links\REFSEQ-INVERTEBRATE\AGAP004710-PA-REFSEQ-INVERTEBRATE.txt","AGAP004710-PA")</f>
        <v>AGAP004710-PA</v>
      </c>
      <c r="BB241" s="2" t="str">
        <f>HYPERLINK("http://www.ncbi.nlm.nih.gov/sutils/blink.cgi?pid=XP_001689102.1","2E-025")</f>
        <v>2E-025</v>
      </c>
      <c r="BC241" s="2" t="str">
        <f>HYPERLINK("http://www.ncbi.nlm.nih.gov/protein/XP_001689102.1","XP_001689102.1")</f>
        <v>XP_001689102.1</v>
      </c>
      <c r="BD241" s="2">
        <v>100</v>
      </c>
      <c r="BE241" s="2">
        <v>100</v>
      </c>
      <c r="BF241" s="2">
        <v>100</v>
      </c>
      <c r="BG241" s="2" t="s">
        <v>95</v>
      </c>
      <c r="BH241" s="9" t="str">
        <f>HYPERLINK(".\links\REFSEQ-PROTOZOA\AGAP004710-PA-REFSEQ-PROTOZOA.txt","hypothetical protein PTSG_07679")</f>
        <v>hypothetical protein PTSG_07679</v>
      </c>
      <c r="BI241" s="2" t="str">
        <f>HYPERLINK("http://www.ncbi.nlm.nih.gov/sutils/blink.cgi?pid=XP_004991478.1","4E-004")</f>
        <v>4E-004</v>
      </c>
      <c r="BJ241" s="2" t="str">
        <f>HYPERLINK("http://www.ncbi.nlm.nih.gov/protein/XP_004991478.1","XP_004991478.1")</f>
        <v>XP_004991478.1</v>
      </c>
      <c r="BK241" s="2">
        <v>41</v>
      </c>
      <c r="BL241" s="2">
        <v>58</v>
      </c>
      <c r="BM241" s="2">
        <v>93</v>
      </c>
      <c r="BN241" s="2" t="s">
        <v>182</v>
      </c>
      <c r="BO241" s="9" t="str">
        <f>HYPERLINK(".\links\SWISSP\AGAP004710-PA-SWISSP.txt","Cytochrome b-c1 complex subunit 9")</f>
        <v>Cytochrome b-c1 complex subunit 9</v>
      </c>
      <c r="BP241" s="2" t="str">
        <f>HYPERLINK("http://www.uniprot.org/uniprot/Q9XY35","1E-012")</f>
        <v>1E-012</v>
      </c>
      <c r="BQ241" s="2" t="str">
        <f>HYPERLINK("http://www.uniprot.org/uniprot/Q9XY35#expression","Q9XY35")</f>
        <v>Q9XY35</v>
      </c>
      <c r="BR241" s="2">
        <v>61</v>
      </c>
      <c r="BS241" s="2">
        <v>70</v>
      </c>
      <c r="BT241" s="2">
        <v>100</v>
      </c>
      <c r="BU241" s="2" t="s">
        <v>151</v>
      </c>
      <c r="BV241" s="9" t="str">
        <f>HYPERLINK(".\links\FLYBASE\AGAP004710-PA-FLYBASE.txt","FBpp0086974")</f>
        <v>FBpp0086974</v>
      </c>
      <c r="BW241" s="2" t="str">
        <f>HYPERLINK("http://flybase.org/reports/FBgn0011227#alliance_summary_container","4E-19")</f>
        <v>4E-19</v>
      </c>
      <c r="BX241" s="2">
        <v>55</v>
      </c>
      <c r="BY241" s="2">
        <v>61</v>
      </c>
      <c r="BZ241" s="2">
        <v>70</v>
      </c>
      <c r="CA241" s="2">
        <v>100</v>
      </c>
      <c r="CB241" s="9" t="str">
        <f>HYPERLINK(".\links\CDD\AGAP004710-PA-CDD.txt","UCR_UQCRX_QCR9, Ubiquinol-cytochrome C reductase, UQCRX/QCR9 like")</f>
        <v>UCR_UQCRX_QCR9, Ubiquinol-cytochrome C reductase, UQCRX/QCR9 like</v>
      </c>
      <c r="CC241" s="13">
        <v>9.9999999999999998E-17</v>
      </c>
      <c r="CD241" s="2">
        <v>98.1</v>
      </c>
      <c r="CE241" s="2" t="s">
        <v>1293</v>
      </c>
      <c r="CF241" s="2" t="s">
        <v>1294</v>
      </c>
      <c r="CG241" s="9" t="str">
        <f>HYPERLINK(".\links\KOG\AGAP004710-PA-KOG.txt","subunit QCR9")</f>
        <v>subunit QCR9</v>
      </c>
      <c r="CH241" s="13">
        <v>2E-12</v>
      </c>
      <c r="CI241" s="2">
        <v>76.400000000000006</v>
      </c>
      <c r="CJ241" s="2" t="s">
        <v>1295</v>
      </c>
      <c r="CK241" s="2" t="s">
        <v>155</v>
      </c>
      <c r="CL241" s="9" t="str">
        <f>HYPERLINK(".\links\PFAM\AGAP004710-PA-PFAM.txt","UCR_UQCRX_QCR9, Ubiquinol-cytochrome C reductase, UQCRX/QCR9 like")</f>
        <v>UCR_UQCRX_QCR9, Ubiquinol-cytochrome C reductase, UQCRX/QCR9 like</v>
      </c>
      <c r="CM241" s="13">
        <v>3.0000000000000001E-17</v>
      </c>
      <c r="CN241" s="2">
        <v>98.1</v>
      </c>
      <c r="CO241" s="2" t="s">
        <v>1293</v>
      </c>
      <c r="CP241" s="9" t="str">
        <f>HYPERLINK(".\links\SMART\AGAP004710-PA-SMART.txt","OMPdecase, Orotidine 5'-phosphate decarboxylase / HUMPS family")</f>
        <v>OMPdecase, Orotidine 5'-phosphate decarboxylase / HUMPS family</v>
      </c>
      <c r="CQ241" s="13">
        <v>1.9</v>
      </c>
      <c r="CR241" s="2">
        <v>7.5</v>
      </c>
      <c r="CS241" s="2" t="s">
        <v>1296</v>
      </c>
      <c r="CT241" s="2" t="s">
        <v>1290</v>
      </c>
      <c r="CU241" s="2" t="s">
        <v>1290</v>
      </c>
      <c r="CV241" s="2" t="s">
        <v>1290</v>
      </c>
      <c r="CW241" s="2" t="str">
        <f>HYPERLINK(".\links\pep\AGAP004710-PA-pep.txt","AGAP004710-PA")</f>
        <v>AGAP004710-PA</v>
      </c>
      <c r="CX241" s="2" t="s">
        <v>88</v>
      </c>
      <c r="CY241" s="2">
        <v>56</v>
      </c>
      <c r="CZ241" s="2" t="s">
        <v>103</v>
      </c>
      <c r="DA241" s="2" t="s">
        <v>1297</v>
      </c>
      <c r="DB241" s="2">
        <v>0</v>
      </c>
      <c r="DC241" s="2">
        <v>0</v>
      </c>
      <c r="DD241" s="2" t="str">
        <f>HYPERLINK("https://www.kegg.jp/kegg-bin/search_pathway_text?map=aga&amp;keyword=AGAP004710&amp;mode=1&amp;viewImage=true","AGAP004710")</f>
        <v>AGAP004710</v>
      </c>
      <c r="DE241" s="2" t="s">
        <v>1286</v>
      </c>
      <c r="DF241" s="2" t="s">
        <v>1287</v>
      </c>
      <c r="DG241" s="2" t="s">
        <v>87</v>
      </c>
      <c r="DH241" s="2" t="str">
        <f>HYPERLINK("https://vectorbase.org/vectorbase/app/record/gene/AGAP004710","AGAP004710-RA")</f>
        <v>AGAP004710-RA</v>
      </c>
      <c r="DI241" s="2" t="s">
        <v>140</v>
      </c>
      <c r="DJ241" s="2">
        <v>322</v>
      </c>
      <c r="DK241" s="2" t="str">
        <f>HYPERLINK(".\links\netoglyc\AGAP004710-PA-netoglyc.txt","0")</f>
        <v>0</v>
      </c>
      <c r="DL241" s="2">
        <v>10.7</v>
      </c>
      <c r="DM241" s="2">
        <v>7.1</v>
      </c>
      <c r="DN241" s="2" t="s">
        <v>274</v>
      </c>
      <c r="DO241" s="2" t="s">
        <v>94</v>
      </c>
      <c r="DP241" s="2" t="s">
        <v>89</v>
      </c>
      <c r="DQ241" s="2" t="str">
        <f>HYPERLINK(".\links\Sigp\AGAP004710-PA-SigP.txt","ANC")</f>
        <v>ANC</v>
      </c>
      <c r="DR241" s="2" t="s">
        <v>89</v>
      </c>
      <c r="DS241" s="2">
        <v>6.6280000000000001</v>
      </c>
      <c r="DT241" s="2">
        <v>9.4600000000000009</v>
      </c>
      <c r="DU241" s="2">
        <v>3.359</v>
      </c>
      <c r="DV241" s="2">
        <v>6.92</v>
      </c>
      <c r="DW241" s="2" t="s">
        <v>1292</v>
      </c>
      <c r="DX241" s="2">
        <v>56</v>
      </c>
      <c r="DY241" s="12" t="str">
        <f>HYPERLINK(".\links\tmhmm\AGAP004710-PA-tmhmm.txt","1")</f>
        <v>1</v>
      </c>
      <c r="DZ241" s="2">
        <v>33.9</v>
      </c>
      <c r="EA241" s="2">
        <v>53.6</v>
      </c>
      <c r="EB241" s="2">
        <v>12.5</v>
      </c>
      <c r="EC241" s="2" t="str">
        <f>HYPERLINK(".\links\gpi\AGAP004710-PA-gpi.txt","N")</f>
        <v>N</v>
      </c>
      <c r="ED241" s="2">
        <v>0.5</v>
      </c>
      <c r="EF241" s="2">
        <v>0</v>
      </c>
      <c r="EG241" s="2" t="s">
        <v>89</v>
      </c>
      <c r="EH241" s="2" t="s">
        <v>89</v>
      </c>
      <c r="EI241" s="2">
        <v>10.714285714285699</v>
      </c>
      <c r="EJ241" s="2">
        <v>0</v>
      </c>
      <c r="EK241" s="2">
        <v>7.1428571428571397</v>
      </c>
      <c r="EL241" s="2">
        <v>7.1428571428571397</v>
      </c>
      <c r="EM241" s="2" t="s">
        <v>89</v>
      </c>
      <c r="EN241" s="2">
        <v>1</v>
      </c>
      <c r="EO241" s="2">
        <v>1</v>
      </c>
      <c r="EP241" s="2" t="s">
        <v>89</v>
      </c>
      <c r="EQ241" s="2" t="s">
        <v>89</v>
      </c>
      <c r="ER241" s="2" t="s">
        <v>89</v>
      </c>
      <c r="ES241" s="2" t="s">
        <v>89</v>
      </c>
      <c r="ET241" s="2" t="str">
        <f>HYPERLINK(".\links\REFSEQ-INVERTEBRATE\AGAP004710-PA-REFSEQ-INVERTEBRATE.txt","AGAP004710-PA")</f>
        <v>AGAP004710-PA</v>
      </c>
      <c r="EU241" s="2" t="str">
        <f>HYPERLINK("http://www.ncbi.nlm.nih.gov/sutils/blink.cgi?pid=XP_001689102.1","2E-34")</f>
        <v>2E-34</v>
      </c>
      <c r="EV241" s="2" t="str">
        <f>HYPERLINK("http://www.ncbi.nlm.nih.gov/protein/XP_001689102.1","XP_001689102.1")</f>
        <v>XP_001689102.1</v>
      </c>
      <c r="EW241" s="2">
        <v>100</v>
      </c>
      <c r="EX241" s="2">
        <v>100</v>
      </c>
      <c r="EY241" s="2">
        <v>100</v>
      </c>
      <c r="EZ241" s="2" t="s">
        <v>95</v>
      </c>
    </row>
    <row r="242" spans="1:156" x14ac:dyDescent="0.25">
      <c r="A242" s="2" t="s">
        <v>160</v>
      </c>
      <c r="B242" s="2">
        <v>-1.1680619118590401</v>
      </c>
      <c r="C242" s="2">
        <f t="shared" si="3"/>
        <v>0.44501876866743784</v>
      </c>
      <c r="D242" s="2">
        <v>5.2960965764226202</v>
      </c>
      <c r="E242" s="2">
        <v>14.8266368453314</v>
      </c>
      <c r="F242" s="2">
        <v>1.1785901887524099E-4</v>
      </c>
      <c r="G242" s="2">
        <v>9.9590870949578907E-3</v>
      </c>
      <c r="H242" s="2" t="s">
        <v>142</v>
      </c>
      <c r="I242" s="2" t="s">
        <v>87</v>
      </c>
      <c r="J242" s="2" t="str">
        <f>HYPERLINK("https://vectorbase.org/vectorbase/app/record/gene/AGAP000260","AGAP000260-RD")</f>
        <v>AGAP000260-RD</v>
      </c>
      <c r="K242" s="2" t="str">
        <f>HYPERLINK(".\links\pep\AGAP000260-PD-pep.txt","AGAP000260-PD")</f>
        <v>AGAP000260-PD</v>
      </c>
      <c r="L242" s="12" t="s">
        <v>88</v>
      </c>
      <c r="M242" s="2">
        <v>58</v>
      </c>
      <c r="N242" s="2">
        <v>0</v>
      </c>
      <c r="O242" s="2">
        <v>0</v>
      </c>
      <c r="P242" s="2" t="s">
        <v>143</v>
      </c>
      <c r="Q242" s="9" t="s">
        <v>144</v>
      </c>
      <c r="R242" s="2" t="s">
        <v>145</v>
      </c>
      <c r="S242" s="2" t="str">
        <f>HYPERLINK(".\links\PFAM\AGAP000260-PD-PFAM.txt","PFAM")</f>
        <v>PFAM</v>
      </c>
      <c r="T242" s="2">
        <v>9.9999999999999998E-17</v>
      </c>
      <c r="U242" s="2">
        <v>100</v>
      </c>
      <c r="V242" s="2" t="s">
        <v>161</v>
      </c>
      <c r="W242" s="10" t="s">
        <v>147</v>
      </c>
      <c r="X242" s="2" t="s">
        <v>148</v>
      </c>
      <c r="Y242" s="2" t="str">
        <f>HYPERLINK(".\links\UNIPROTKB\AGAP000260-PD-UNIPROTKB.txt","UNIPROTKB")</f>
        <v>UNIPROTKB</v>
      </c>
      <c r="Z242" s="13">
        <v>1.9999999999999998E-21</v>
      </c>
      <c r="AA242" s="2">
        <v>95</v>
      </c>
      <c r="AB242" s="14" t="s">
        <v>89</v>
      </c>
      <c r="AC242" s="14" t="str">
        <f>HYPERLINK(".\links\Sigp\AGAP000260-PD-SigP.txt","CYT")</f>
        <v>CYT</v>
      </c>
      <c r="AD242" s="2" t="s">
        <v>89</v>
      </c>
      <c r="AE242" s="2">
        <v>6.6879999999999997</v>
      </c>
      <c r="AF242" s="2">
        <v>10.43</v>
      </c>
      <c r="AG242" s="2" t="s">
        <v>89</v>
      </c>
      <c r="AH242" s="2" t="s">
        <v>89</v>
      </c>
      <c r="AI242" s="2" t="s">
        <v>149</v>
      </c>
      <c r="AJ242" s="14">
        <v>0</v>
      </c>
      <c r="AK242" s="2" t="s">
        <v>89</v>
      </c>
      <c r="AL242" s="2" t="s">
        <v>89</v>
      </c>
      <c r="AM242" s="2" t="s">
        <v>89</v>
      </c>
      <c r="AN242" s="14" t="str">
        <f>HYPERLINK(".\links\gpi\AGAP000260-PD-gpi.txt","N")</f>
        <v>N</v>
      </c>
      <c r="AO242" s="15" t="str">
        <f>HYPERLINK(".\links\netoglyc\AGAP000260-PD-netoglyc.txt","1")</f>
        <v>1</v>
      </c>
      <c r="AP242" s="14">
        <v>6.9</v>
      </c>
      <c r="AQ242" s="2">
        <v>3.4</v>
      </c>
      <c r="AR242" s="2">
        <v>3.4</v>
      </c>
      <c r="AS242" s="2" t="s">
        <v>94</v>
      </c>
      <c r="AT242" s="9" t="str">
        <f>HYPERLINK(".\links\NR-LIGHT\AGAP000260-PD-NR-LIGHT.txt","AGAP000260-PA")</f>
        <v>AGAP000260-PA</v>
      </c>
      <c r="AU242" s="2" t="str">
        <f>HYPERLINK("http://www.ncbi.nlm.nih.gov/sutils/blink.cgi?pid=XP_310858.5","4E-026")</f>
        <v>4E-026</v>
      </c>
      <c r="AV242" s="2" t="str">
        <f>HYPERLINK("http://www.ncbi.nlm.nih.gov/protein/XP_310858.5","XP_310858.5")</f>
        <v>XP_310858.5</v>
      </c>
      <c r="AW242" s="2">
        <v>100</v>
      </c>
      <c r="AX242" s="2">
        <v>100</v>
      </c>
      <c r="AY242" s="2">
        <v>100</v>
      </c>
      <c r="AZ242" s="2" t="s">
        <v>95</v>
      </c>
      <c r="BA242" s="9" t="str">
        <f>HYPERLINK(".\links\REFSEQ-INVERTEBRATE\AGAP000260-PD-REFSEQ-INVERTEBRATE.txt","AGAP000260-PD")</f>
        <v>AGAP000260-PD</v>
      </c>
      <c r="BB242" s="2" t="str">
        <f>HYPERLINK("http://www.ncbi.nlm.nih.gov/sutils/blink.cgi?pid=XP_003436956.1","3E-026")</f>
        <v>3E-026</v>
      </c>
      <c r="BC242" s="2" t="str">
        <f>HYPERLINK("http://www.ncbi.nlm.nih.gov/protein/XP_003436956.1","XP_003436956.1")</f>
        <v>XP_003436956.1</v>
      </c>
      <c r="BD242" s="2">
        <v>100</v>
      </c>
      <c r="BE242" s="2">
        <v>100</v>
      </c>
      <c r="BF242" s="2">
        <v>100</v>
      </c>
      <c r="BG242" s="2" t="s">
        <v>95</v>
      </c>
      <c r="BH242" s="9" t="str">
        <f>HYPERLINK(".\links\REFSEQ-PROTOZOA\AGAP000260-PD-REFSEQ-PROTOZOA.txt","hypothetical protein CAOG_01889")</f>
        <v>hypothetical protein CAOG_01889</v>
      </c>
      <c r="BI242" s="2" t="str">
        <f>HYPERLINK("http://www.ncbi.nlm.nih.gov/sutils/blink.cgi?pid=XP_004364757.1","8E-009")</f>
        <v>8E-009</v>
      </c>
      <c r="BJ242" s="2" t="str">
        <f>HYPERLINK("http://www.ncbi.nlm.nih.gov/protein/XP_004364757.1","XP_004364757.1")</f>
        <v>XP_004364757.1</v>
      </c>
      <c r="BK242" s="2">
        <v>50</v>
      </c>
      <c r="BL242" s="2">
        <v>78</v>
      </c>
      <c r="BM242" s="2">
        <v>79</v>
      </c>
      <c r="BN242" s="2" t="s">
        <v>150</v>
      </c>
      <c r="BO242" s="9" t="str">
        <f>HYPERLINK(".\links\SWISSP\AGAP000260-PD-SWISSP.txt","Protein stunted")</f>
        <v>Protein stunted</v>
      </c>
      <c r="BP242" s="2" t="str">
        <f>HYPERLINK("http://www.uniprot.org/uniprot/Q9VXN2","1E-015")</f>
        <v>1E-015</v>
      </c>
      <c r="BQ242" s="2" t="str">
        <f>HYPERLINK("http://www.uniprot.org/uniprot/Q9VXN2#expression","Q9VXN2")</f>
        <v>Q9VXN2</v>
      </c>
      <c r="BR242" s="2">
        <v>63</v>
      </c>
      <c r="BS242" s="2">
        <v>77</v>
      </c>
      <c r="BT242" s="2">
        <v>95</v>
      </c>
      <c r="BU242" s="2" t="s">
        <v>151</v>
      </c>
      <c r="BV242" s="9" t="str">
        <f>HYPERLINK(".\links\FLYBASE\AGAP000260-PD-FLYBASE.txt","FBpp0073963")</f>
        <v>FBpp0073963</v>
      </c>
      <c r="BW242" s="2" t="str">
        <f>HYPERLINK("http://flybase.org/reports/FBgn0014391#alliance_summary_container","2E-22")</f>
        <v>2E-22</v>
      </c>
      <c r="BX242" s="2">
        <v>61</v>
      </c>
      <c r="BY242" s="2">
        <v>63</v>
      </c>
      <c r="BZ242" s="2">
        <v>77</v>
      </c>
      <c r="CA242" s="2">
        <v>95</v>
      </c>
      <c r="CB242" s="9" t="str">
        <f>HYPERLINK(".\links\CDD\AGAP000260-PD-CDD.txt","ATP-synt_Eps, Mitochondrial ATP synthase epsilon chain")</f>
        <v>ATP-synt_Eps, Mitochondrial ATP synthase epsilon chain</v>
      </c>
      <c r="CC242" s="13">
        <v>5.0000000000000004E-16</v>
      </c>
      <c r="CD242" s="2">
        <v>100</v>
      </c>
      <c r="CE242" s="2" t="s">
        <v>152</v>
      </c>
      <c r="CF242" s="2" t="s">
        <v>153</v>
      </c>
      <c r="CG242" s="9" t="str">
        <f>HYPERLINK(".\links\KOG\AGAP000260-PD-KOG.txt","subunit epsilon/ATP15")</f>
        <v>subunit epsilon/ATP15</v>
      </c>
      <c r="CH242" s="13">
        <v>2E-14</v>
      </c>
      <c r="CI242" s="2">
        <v>100</v>
      </c>
      <c r="CJ242" s="2" t="s">
        <v>154</v>
      </c>
      <c r="CK242" s="2" t="s">
        <v>155</v>
      </c>
      <c r="CL242" s="9" t="str">
        <f>HYPERLINK(".\links\PFAM\AGAP000260-PD-PFAM.txt","ATP-synt_Eps, Mitochondrial ATP synthase epsilon chain")</f>
        <v>ATP-synt_Eps, Mitochondrial ATP synthase epsilon chain</v>
      </c>
      <c r="CM242" s="13">
        <v>9.9999999999999998E-17</v>
      </c>
      <c r="CN242" s="2">
        <v>100</v>
      </c>
      <c r="CO242" s="2" t="s">
        <v>152</v>
      </c>
      <c r="CP242" s="9" t="str">
        <f>HYPERLINK(".\links\SMART\AGAP000260-PD-SMART.txt","G_patch, glycine rich nucleic binding domain")</f>
        <v>G_patch, glycine rich nucleic binding domain</v>
      </c>
      <c r="CQ242" s="13">
        <v>2.5</v>
      </c>
      <c r="CR242" s="2">
        <v>27.7</v>
      </c>
      <c r="CS242" s="2" t="s">
        <v>156</v>
      </c>
      <c r="CT242" s="2" t="s">
        <v>161</v>
      </c>
      <c r="CU242" s="2" t="s">
        <v>161</v>
      </c>
      <c r="CV242" s="2" t="s">
        <v>161</v>
      </c>
      <c r="CW242" s="2" t="str">
        <f>HYPERLINK(".\links\pep\AGAP000260-PD-pep.txt","AGAP000260-PD")</f>
        <v>AGAP000260-PD</v>
      </c>
      <c r="CX242" s="2" t="s">
        <v>88</v>
      </c>
      <c r="CY242" s="2">
        <v>58</v>
      </c>
      <c r="CZ242" s="2" t="s">
        <v>103</v>
      </c>
      <c r="DA242" s="2" t="s">
        <v>157</v>
      </c>
      <c r="DB242" s="2">
        <v>0</v>
      </c>
      <c r="DC242" s="2">
        <v>0</v>
      </c>
      <c r="DD242" s="2" t="str">
        <f>HYPERLINK("https://www.kegg.jp/kegg-bin/search_pathway_text?map=aga&amp;keyword=AGAP000260&amp;mode=1&amp;viewImage=true","AGAP000260")</f>
        <v>AGAP000260</v>
      </c>
      <c r="DE242" s="2" t="s">
        <v>160</v>
      </c>
      <c r="DF242" s="2" t="s">
        <v>142</v>
      </c>
      <c r="DG242" s="2" t="s">
        <v>87</v>
      </c>
      <c r="DH242" s="2" t="str">
        <f>HYPERLINK("https://vectorbase.org/vectorbase/app/record/gene/AGAP000260","AGAP000260-RD")</f>
        <v>AGAP000260-RD</v>
      </c>
      <c r="DI242" s="2" t="s">
        <v>122</v>
      </c>
      <c r="DJ242" s="2">
        <v>434</v>
      </c>
      <c r="DK242" s="2" t="str">
        <f>HYPERLINK(".\links\netoglyc\AGAP000260-PD-netoglyc.txt","1")</f>
        <v>1</v>
      </c>
      <c r="DL242" s="2">
        <v>6.9</v>
      </c>
      <c r="DM242" s="2">
        <v>3.4</v>
      </c>
      <c r="DN242" s="2">
        <v>3.4</v>
      </c>
      <c r="DO242" s="2" t="s">
        <v>94</v>
      </c>
      <c r="DP242" s="2" t="s">
        <v>89</v>
      </c>
      <c r="DQ242" s="2" t="str">
        <f>HYPERLINK(".\links\Sigp\AGAP000260-PD-SigP.txt","CYT")</f>
        <v>CYT</v>
      </c>
      <c r="DR242" s="2" t="s">
        <v>89</v>
      </c>
      <c r="DS242" s="2">
        <v>6.6879999999999997</v>
      </c>
      <c r="DT242" s="2">
        <v>10.43</v>
      </c>
      <c r="DU242" s="2" t="s">
        <v>89</v>
      </c>
      <c r="DV242" s="2" t="s">
        <v>89</v>
      </c>
      <c r="DW242" s="2" t="s">
        <v>149</v>
      </c>
      <c r="DX242" s="2">
        <v>58</v>
      </c>
      <c r="DY242" s="12">
        <v>0</v>
      </c>
      <c r="DZ242" s="2" t="s">
        <v>89</v>
      </c>
      <c r="EA242" s="2" t="s">
        <v>89</v>
      </c>
      <c r="EB242" s="2" t="s">
        <v>89</v>
      </c>
      <c r="EC242" s="2" t="str">
        <f>HYPERLINK(".\links\gpi\AGAP000260-PD-gpi.txt","N")</f>
        <v>N</v>
      </c>
      <c r="ED242" s="2">
        <v>0.54</v>
      </c>
      <c r="EE242" s="2" t="s">
        <v>159</v>
      </c>
      <c r="EF242" s="2">
        <v>0</v>
      </c>
      <c r="EG242" s="2" t="s">
        <v>89</v>
      </c>
      <c r="EH242" s="2" t="s">
        <v>89</v>
      </c>
      <c r="EI242" s="2">
        <v>6.8965517241379297</v>
      </c>
      <c r="EJ242" s="2">
        <v>3.4482758620689702</v>
      </c>
      <c r="EK242" s="2">
        <v>3.4482758620689702</v>
      </c>
      <c r="EL242" s="2">
        <v>6.8965517241379297</v>
      </c>
      <c r="EM242" s="2" t="s">
        <v>89</v>
      </c>
      <c r="EN242" s="2" t="s">
        <v>89</v>
      </c>
      <c r="EO242" s="2" t="s">
        <v>89</v>
      </c>
      <c r="EP242" s="2" t="s">
        <v>89</v>
      </c>
      <c r="EQ242" s="2" t="s">
        <v>89</v>
      </c>
      <c r="ER242" s="2" t="s">
        <v>89</v>
      </c>
      <c r="ES242" s="2" t="s">
        <v>89</v>
      </c>
      <c r="ET242" s="2" t="str">
        <f>HYPERLINK(".\links\REFSEQ-INVERTEBRATE\AGAP000260-PD-REFSEQ-INVERTEBRATE.txt","AGAP000260-PD")</f>
        <v>AGAP000260-PD</v>
      </c>
      <c r="EU242" s="2" t="str">
        <f>HYPERLINK("http://www.ncbi.nlm.nih.gov/sutils/blink.cgi?pid=XP_003436956.1","1E-35")</f>
        <v>1E-35</v>
      </c>
      <c r="EV242" s="2" t="str">
        <f>HYPERLINK("http://www.ncbi.nlm.nih.gov/protein/XP_003436956.1","XP_003436956.1")</f>
        <v>XP_003436956.1</v>
      </c>
      <c r="EW242" s="2">
        <v>100</v>
      </c>
      <c r="EX242" s="2">
        <v>100</v>
      </c>
      <c r="EY242" s="2">
        <v>100</v>
      </c>
      <c r="EZ242" s="2" t="s">
        <v>95</v>
      </c>
    </row>
    <row r="243" spans="1:156" x14ac:dyDescent="0.25">
      <c r="A243" s="2" t="s">
        <v>2214</v>
      </c>
      <c r="B243" s="2">
        <v>-1.1712701979495299</v>
      </c>
      <c r="C243" s="2">
        <f t="shared" si="3"/>
        <v>0.44403022906728762</v>
      </c>
      <c r="D243" s="2">
        <v>7.0039086930739902</v>
      </c>
      <c r="E243" s="2">
        <v>21.8100645592619</v>
      </c>
      <c r="F243" s="2">
        <v>3.01016975967331E-6</v>
      </c>
      <c r="G243" s="2">
        <v>8.2613320460505702E-4</v>
      </c>
      <c r="H243" s="2" t="s">
        <v>2215</v>
      </c>
      <c r="I243" s="2" t="s">
        <v>87</v>
      </c>
      <c r="J243" s="2" t="str">
        <f>HYPERLINK("https://vectorbase.org/vectorbase/app/record/gene/AGAP009311","AGAP009311-RC")</f>
        <v>AGAP009311-RC</v>
      </c>
      <c r="K243" s="2" t="str">
        <f>HYPERLINK(".\links\pep\AGAP009311-PC-pep.txt","AGAP009311-PC")</f>
        <v>AGAP009311-PC</v>
      </c>
      <c r="L243" s="12" t="s">
        <v>88</v>
      </c>
      <c r="M243" s="2">
        <v>294</v>
      </c>
      <c r="N243" s="2">
        <v>0</v>
      </c>
      <c r="O243" s="2">
        <v>3</v>
      </c>
      <c r="P243" s="2" t="s">
        <v>2216</v>
      </c>
      <c r="Q243" s="9" t="s">
        <v>2217</v>
      </c>
      <c r="R243" s="2" t="s">
        <v>164</v>
      </c>
      <c r="S243" s="2" t="str">
        <f>HYPERLINK(".\links\KOG\AGAP009311-PC-KOG.txt","KOG")</f>
        <v>KOG</v>
      </c>
      <c r="T243" s="2">
        <v>6.0000000000000001E-43</v>
      </c>
      <c r="U243" s="2">
        <v>83</v>
      </c>
      <c r="V243" s="2" t="s">
        <v>2218</v>
      </c>
      <c r="W243" s="10" t="s">
        <v>2219</v>
      </c>
      <c r="X243" s="2" t="s">
        <v>164</v>
      </c>
      <c r="Y243" s="2" t="str">
        <f>HYPERLINK(".\links\KOG\AGAP009311-PC-KOG.txt","KOG")</f>
        <v>KOG</v>
      </c>
      <c r="Z243" s="13">
        <v>8.9999999999999998E-33</v>
      </c>
      <c r="AA243" s="2">
        <v>83</v>
      </c>
      <c r="AB243" s="14" t="s">
        <v>89</v>
      </c>
      <c r="AC243" s="14" t="str">
        <f>HYPERLINK(".\links\Sigp\AGAP009311-PC-SigP.txt","CYT")</f>
        <v>CYT</v>
      </c>
      <c r="AD243" s="2" t="s">
        <v>89</v>
      </c>
      <c r="AE243" s="2">
        <v>34.308</v>
      </c>
      <c r="AF243" s="2">
        <v>5.44</v>
      </c>
      <c r="AG243" s="2" t="s">
        <v>89</v>
      </c>
      <c r="AH243" s="2" t="s">
        <v>89</v>
      </c>
      <c r="AI243" s="2" t="s">
        <v>2085</v>
      </c>
      <c r="AJ243" s="14">
        <v>0</v>
      </c>
      <c r="AK243" s="2" t="s">
        <v>89</v>
      </c>
      <c r="AL243" s="2" t="s">
        <v>89</v>
      </c>
      <c r="AM243" s="2" t="s">
        <v>89</v>
      </c>
      <c r="AN243" s="14" t="str">
        <f>HYPERLINK(".\links\gpi\AGAP009311-PC-gpi.txt","N")</f>
        <v>N</v>
      </c>
      <c r="AO243" s="15" t="str">
        <f>HYPERLINK(".\links\netoglyc\AGAP009311-PC-netoglyc.txt","0")</f>
        <v>0</v>
      </c>
      <c r="AP243" s="14">
        <v>8.5</v>
      </c>
      <c r="AQ243" s="2">
        <v>5.4</v>
      </c>
      <c r="AR243" s="2">
        <v>6.8</v>
      </c>
      <c r="AS243" s="2" t="s">
        <v>94</v>
      </c>
      <c r="AT243" s="9" t="str">
        <f>HYPERLINK(".\links\NR-LIGHT\AGAP009311-PC-NR-LIGHT.txt","hypothetical protein ZHAS_00006387")</f>
        <v>hypothetical protein ZHAS_00006387</v>
      </c>
      <c r="AU243" s="2" t="str">
        <f>HYPERLINK("http://www.ncbi.nlm.nih.gov/sutils/blink.cgi?pid=KFB39064.1","1E-161")</f>
        <v>1E-161</v>
      </c>
      <c r="AV243" s="2" t="str">
        <f>HYPERLINK("http://www.ncbi.nlm.nih.gov/protein/KFB39064.1","KFB39064.1")</f>
        <v>KFB39064.1</v>
      </c>
      <c r="AW243" s="2">
        <v>93</v>
      </c>
      <c r="AX243" s="2">
        <v>97</v>
      </c>
      <c r="AY243" s="2">
        <v>100</v>
      </c>
      <c r="AZ243" s="2" t="s">
        <v>1982</v>
      </c>
      <c r="BA243" s="9" t="str">
        <f>HYPERLINK(".\links\REFSEQ-INVERTEBRATE\AGAP009311-PC-REFSEQ-INVERTEBRATE.txt","alpha-tocopherol transfer protein-like isoform X2")</f>
        <v>alpha-tocopherol transfer protein-like isoform X2</v>
      </c>
      <c r="BB243" s="2" t="str">
        <f>HYPERLINK("http://www.ncbi.nlm.nih.gov/sutils/blink.cgi?pid=XP_001654464.1","1E-133")</f>
        <v>1E-133</v>
      </c>
      <c r="BC243" s="2" t="str">
        <f>HYPERLINK("http://www.ncbi.nlm.nih.gov/protein/XP_001654464.1","XP_001654464.1")</f>
        <v>XP_001654464.1</v>
      </c>
      <c r="BD243" s="2">
        <v>74</v>
      </c>
      <c r="BE243" s="2">
        <v>88</v>
      </c>
      <c r="BF243" s="2">
        <v>100</v>
      </c>
      <c r="BG243" s="2" t="s">
        <v>233</v>
      </c>
      <c r="BH243" s="9" t="str">
        <f>HYPERLINK(".\links\REFSEQ-PROTOZOA\AGAP009311-PC-REFSEQ-PROTOZOA.txt","clavesin-2")</f>
        <v>clavesin-2</v>
      </c>
      <c r="BI243" s="2" t="str">
        <f>HYPERLINK("http://www.ncbi.nlm.nih.gov/sutils/blink.cgi?pid=XP_013755686.1","3E-017")</f>
        <v>3E-017</v>
      </c>
      <c r="BJ243" s="2" t="str">
        <f>HYPERLINK("http://www.ncbi.nlm.nih.gov/protein/XP_013755686.1","XP_013755686.1")</f>
        <v>XP_013755686.1</v>
      </c>
      <c r="BK243" s="2">
        <v>24</v>
      </c>
      <c r="BL243" s="2">
        <v>45</v>
      </c>
      <c r="BM243" s="2">
        <v>54</v>
      </c>
      <c r="BN243" s="2" t="s">
        <v>858</v>
      </c>
      <c r="BO243" s="9" t="str">
        <f>HYPERLINK(".\links\SWISSP\AGAP009311-PC-SWISSP.txt","Alpha-tocopherol transfer protein-like")</f>
        <v>Alpha-tocopherol transfer protein-like</v>
      </c>
      <c r="BP243" s="2" t="str">
        <f>HYPERLINK("http://www.uniprot.org/uniprot/Q9D3D0","6E-039")</f>
        <v>6E-039</v>
      </c>
      <c r="BQ243" s="2" t="str">
        <f>HYPERLINK("http://www.uniprot.org/uniprot/Q9D3D0#expression","Q9D3D0")</f>
        <v>Q9D3D0</v>
      </c>
      <c r="BR243" s="2">
        <v>32</v>
      </c>
      <c r="BS243" s="2">
        <v>52</v>
      </c>
      <c r="BT243" s="2">
        <v>85</v>
      </c>
      <c r="BU243" s="2" t="s">
        <v>566</v>
      </c>
      <c r="BV243" s="9" t="str">
        <f>HYPERLINK(".\links\FLYBASE\AGAP009311-PC-FLYBASE.txt","FBpp0304596")</f>
        <v>FBpp0304596</v>
      </c>
      <c r="BW243" s="2" t="str">
        <f>HYPERLINK("http://flybase.org/reports/FBgn0032785#alliance_summary_container","1E-109")</f>
        <v>1E-109</v>
      </c>
      <c r="BX243" s="2">
        <v>290</v>
      </c>
      <c r="BY243" s="2">
        <v>50</v>
      </c>
      <c r="BZ243" s="2">
        <v>71</v>
      </c>
      <c r="CA243" s="2">
        <v>96</v>
      </c>
      <c r="CB243" s="9" t="str">
        <f>HYPERLINK(".\links\CDD\AGAP009311-PC-CDD.txt","SEC14, Sec14p-like lipid-binding domain")</f>
        <v>SEC14, Sec14p-like lipid-binding domain</v>
      </c>
      <c r="CC243" s="13">
        <v>2.0000000000000002E-31</v>
      </c>
      <c r="CD243" s="2">
        <v>98.7</v>
      </c>
      <c r="CE243" s="2" t="s">
        <v>2220</v>
      </c>
      <c r="CF243" s="2" t="s">
        <v>2221</v>
      </c>
      <c r="CG243" s="9" t="str">
        <f>HYPERLINK(".\links\KOG\AGAP009311-PC-KOG.txt","Phosphatidylinositol transfer protein SEC14 and related proteins")</f>
        <v>Phosphatidylinositol transfer protein SEC14 and related proteins</v>
      </c>
      <c r="CH243" s="13">
        <v>6.0000000000000001E-43</v>
      </c>
      <c r="CI243" s="2">
        <v>83.6</v>
      </c>
      <c r="CJ243" s="2" t="s">
        <v>2222</v>
      </c>
      <c r="CK243" s="2" t="s">
        <v>172</v>
      </c>
      <c r="CL243" s="9" t="str">
        <f>HYPERLINK(".\links\PFAM\AGAP009311-PC-PFAM.txt","CRAL_TRIO, CRAL/TRIO domain")</f>
        <v>CRAL_TRIO, CRAL/TRIO domain</v>
      </c>
      <c r="CM243" s="13">
        <v>9.9999999999999994E-30</v>
      </c>
      <c r="CN243" s="2">
        <v>100</v>
      </c>
      <c r="CO243" s="2" t="s">
        <v>2223</v>
      </c>
      <c r="CP243" s="9" t="str">
        <f>HYPERLINK(".\links\SMART\AGAP009311-PC-SMART.txt","SEC14, Domain in homologues of a S")</f>
        <v>SEC14, Domain in homologues of a S</v>
      </c>
      <c r="CQ243" s="13">
        <v>1.9999999999999998E-24</v>
      </c>
      <c r="CR243" s="2">
        <v>95.6</v>
      </c>
      <c r="CS243" s="2" t="s">
        <v>2224</v>
      </c>
      <c r="CT243" s="2" t="s">
        <v>2218</v>
      </c>
      <c r="CU243" s="2" t="s">
        <v>2218</v>
      </c>
      <c r="CV243" s="2" t="s">
        <v>2218</v>
      </c>
      <c r="CW243" s="2" t="str">
        <f>HYPERLINK(".\links\pep\AGAP009311-PC-pep.txt","AGAP009311-PC")</f>
        <v>AGAP009311-PC</v>
      </c>
      <c r="CX243" s="2" t="s">
        <v>88</v>
      </c>
      <c r="CY243" s="2">
        <v>294</v>
      </c>
      <c r="CZ243" s="2" t="s">
        <v>103</v>
      </c>
      <c r="DA243" s="2" t="s">
        <v>2225</v>
      </c>
      <c r="DB243" s="2">
        <v>0</v>
      </c>
      <c r="DC243" s="2">
        <v>3</v>
      </c>
      <c r="DD243" s="2" t="str">
        <f>HYPERLINK("https://www.kegg.jp/kegg-bin/search_pathway_text?map=aga&amp;keyword=AGAP009311&amp;mode=1&amp;viewImage=true","AGAP009311")</f>
        <v>AGAP009311</v>
      </c>
      <c r="DE243" s="2" t="s">
        <v>2214</v>
      </c>
      <c r="DF243" s="2" t="s">
        <v>2215</v>
      </c>
      <c r="DG243" s="2" t="s">
        <v>87</v>
      </c>
      <c r="DH243" s="2" t="str">
        <f>HYPERLINK("https://vectorbase.org/vectorbase/app/record/gene/AGAP009311","AGAP009311-RC")</f>
        <v>AGAP009311-RC</v>
      </c>
      <c r="DI243" s="2" t="s">
        <v>158</v>
      </c>
      <c r="DJ243" s="2">
        <v>1193</v>
      </c>
      <c r="DK243" s="2" t="str">
        <f>HYPERLINK(".\links\netoglyc\AGAP009311-PC-netoglyc.txt","0")</f>
        <v>0</v>
      </c>
      <c r="DL243" s="2">
        <v>8.5</v>
      </c>
      <c r="DM243" s="2">
        <v>5.4</v>
      </c>
      <c r="DN243" s="2">
        <v>6.8</v>
      </c>
      <c r="DO243" s="2" t="s">
        <v>94</v>
      </c>
      <c r="DP243" s="2" t="s">
        <v>89</v>
      </c>
      <c r="DQ243" s="2" t="str">
        <f>HYPERLINK(".\links\Sigp\AGAP009311-PC-SigP.txt","CYT")</f>
        <v>CYT</v>
      </c>
      <c r="DR243" s="2" t="s">
        <v>89</v>
      </c>
      <c r="DS243" s="2">
        <v>34.308</v>
      </c>
      <c r="DT243" s="2">
        <v>5.44</v>
      </c>
      <c r="DU243" s="2" t="s">
        <v>89</v>
      </c>
      <c r="DV243" s="2" t="s">
        <v>89</v>
      </c>
      <c r="DW243" s="2" t="s">
        <v>2085</v>
      </c>
      <c r="DX243" s="2">
        <v>294</v>
      </c>
      <c r="DY243" s="12">
        <v>0</v>
      </c>
      <c r="DZ243" s="2" t="s">
        <v>89</v>
      </c>
      <c r="EA243" s="2" t="s">
        <v>89</v>
      </c>
      <c r="EB243" s="2" t="s">
        <v>89</v>
      </c>
      <c r="EC243" s="2" t="str">
        <f>HYPERLINK(".\links\gpi\AGAP009311-PC-gpi.txt","N")</f>
        <v>N</v>
      </c>
      <c r="ED243" s="2">
        <v>0.28999999999999998</v>
      </c>
      <c r="EF243" s="2">
        <v>2</v>
      </c>
      <c r="EG243" s="2" t="s">
        <v>89</v>
      </c>
      <c r="EH243" s="2" t="s">
        <v>89</v>
      </c>
      <c r="EI243" s="2">
        <v>8.5034013605442205</v>
      </c>
      <c r="EJ243" s="2">
        <v>6.8027210884353702</v>
      </c>
      <c r="EK243" s="2">
        <v>5.4421768707483</v>
      </c>
      <c r="EL243" s="2">
        <v>12.244897959183699</v>
      </c>
      <c r="EM243" s="2" t="s">
        <v>89</v>
      </c>
      <c r="EN243" s="2">
        <v>1</v>
      </c>
      <c r="EO243" s="2">
        <v>1</v>
      </c>
      <c r="EP243" s="2" t="s">
        <v>89</v>
      </c>
      <c r="EQ243" s="2" t="s">
        <v>89</v>
      </c>
      <c r="ER243" s="2" t="s">
        <v>89</v>
      </c>
      <c r="ES243" s="2" t="s">
        <v>89</v>
      </c>
      <c r="ET243" s="2" t="str">
        <f>HYPERLINK(".\links\REFSEQ-INVERTEBRATE\AGAP009311-PC-REFSEQ-INVERTEBRATE.txt","uncharacterized protein LOC118510046")</f>
        <v>uncharacterized protein LOC118510046</v>
      </c>
      <c r="EU243" s="2" t="str">
        <f>HYPERLINK("http://www.ncbi.nlm.nih.gov/sutils/blink.cgi?pid=XP_035907328.1","0.0")</f>
        <v>0.0</v>
      </c>
      <c r="EV243" s="2" t="str">
        <f>HYPERLINK("http://www.ncbi.nlm.nih.gov/protein/XP_035907328.1","XP_035907328.1")</f>
        <v>XP_035907328.1</v>
      </c>
      <c r="EW243" s="2">
        <v>93</v>
      </c>
      <c r="EX243" s="2">
        <v>97</v>
      </c>
      <c r="EY243" s="2">
        <v>39</v>
      </c>
      <c r="EZ243" s="2" t="s">
        <v>600</v>
      </c>
    </row>
    <row r="244" spans="1:156" x14ac:dyDescent="0.25">
      <c r="A244" s="2" t="s">
        <v>2105</v>
      </c>
      <c r="B244" s="2">
        <v>-1.1731713199364</v>
      </c>
      <c r="C244" s="2">
        <f t="shared" si="3"/>
        <v>0.44344549032798808</v>
      </c>
      <c r="D244" s="2">
        <v>7.1093132611572996</v>
      </c>
      <c r="E244" s="2">
        <v>22.779169125388702</v>
      </c>
      <c r="F244" s="2">
        <v>1.81724803401317E-6</v>
      </c>
      <c r="G244" s="2">
        <v>6.0463249431682003E-4</v>
      </c>
      <c r="H244" s="2" t="s">
        <v>2106</v>
      </c>
      <c r="I244" s="2" t="s">
        <v>89</v>
      </c>
      <c r="J244" s="2" t="str">
        <f>HYPERLINK("https://vectorbase.org/vectorbase/app/record/gene/AGAP008783","AGAP008783-RA")</f>
        <v>AGAP008783-RA</v>
      </c>
      <c r="K244" s="2" t="str">
        <f>HYPERLINK(".\links\pep\AGAP008783-PA-pep.txt","AGAP008783-PA")</f>
        <v>AGAP008783-PA</v>
      </c>
      <c r="L244" s="12" t="s">
        <v>88</v>
      </c>
      <c r="M244" s="2">
        <v>362</v>
      </c>
      <c r="N244" s="2">
        <v>0</v>
      </c>
      <c r="O244" s="2">
        <v>2</v>
      </c>
      <c r="P244" s="2" t="s">
        <v>2107</v>
      </c>
      <c r="Q244" s="9" t="s">
        <v>2107</v>
      </c>
      <c r="R244" s="2" t="s">
        <v>212</v>
      </c>
      <c r="S244" s="2" t="str">
        <f>HYPERLINK(".\links\KOG\AGAP008783-PA-KOG.txt","KOG")</f>
        <v>KOG</v>
      </c>
      <c r="T244" s="2">
        <v>5.0000000000000004E-87</v>
      </c>
      <c r="U244" s="2">
        <v>96.5</v>
      </c>
      <c r="V244" s="2" t="s">
        <v>2108</v>
      </c>
      <c r="W244" s="10" t="s">
        <v>2109</v>
      </c>
      <c r="X244" s="2" t="s">
        <v>212</v>
      </c>
      <c r="Y244" s="2" t="str">
        <f>HYPERLINK(".\links\COG\AGAP008783-PA-COG.txt","COG")</f>
        <v>COG</v>
      </c>
      <c r="Z244" s="13">
        <v>6.9999999999999999E-35</v>
      </c>
      <c r="AA244" s="2">
        <v>97</v>
      </c>
      <c r="AB244" s="14" t="s">
        <v>89</v>
      </c>
      <c r="AC244" s="14" t="str">
        <f>HYPERLINK(".\links\Sigp\AGAP008783-PA-SigP.txt","CYT")</f>
        <v>CYT</v>
      </c>
      <c r="AD244" s="2" t="s">
        <v>89</v>
      </c>
      <c r="AE244" s="2">
        <v>39.670999999999999</v>
      </c>
      <c r="AF244" s="2">
        <v>6.12</v>
      </c>
      <c r="AG244" s="2" t="s">
        <v>89</v>
      </c>
      <c r="AH244" s="2" t="s">
        <v>89</v>
      </c>
      <c r="AI244" s="2" t="s">
        <v>1322</v>
      </c>
      <c r="AJ244" s="14">
        <v>0</v>
      </c>
      <c r="AK244" s="2" t="s">
        <v>89</v>
      </c>
      <c r="AL244" s="2" t="s">
        <v>89</v>
      </c>
      <c r="AM244" s="2" t="s">
        <v>89</v>
      </c>
      <c r="AN244" s="14" t="str">
        <f>HYPERLINK(".\links\gpi\AGAP008783-PA-gpi.txt","N")</f>
        <v>N</v>
      </c>
      <c r="AO244" s="15" t="str">
        <f>HYPERLINK(".\links\netoglyc\AGAP008783-PA-netoglyc.txt","0")</f>
        <v>0</v>
      </c>
      <c r="AP244" s="14">
        <v>10.8</v>
      </c>
      <c r="AQ244" s="2">
        <v>9.4</v>
      </c>
      <c r="AR244" s="2">
        <v>4.0999999999999996</v>
      </c>
      <c r="AS244" s="2" t="s">
        <v>94</v>
      </c>
      <c r="AT244" s="9" t="str">
        <f>HYPERLINK(".\links\NR-LIGHT\AGAP008783-PA-NR-LIGHT.txt","AGAP008783-PA, partial")</f>
        <v>AGAP008783-PA, partial</v>
      </c>
      <c r="AU244" s="2" t="str">
        <f>HYPERLINK("http://www.ncbi.nlm.nih.gov/sutils/blink.cgi?pid=XP_314912.4","0.0")</f>
        <v>0.0</v>
      </c>
      <c r="AV244" s="2" t="str">
        <f>HYPERLINK("http://www.ncbi.nlm.nih.gov/protein/XP_314912.4","XP_314912.4")</f>
        <v>XP_314912.4</v>
      </c>
      <c r="AW244" s="2">
        <v>100</v>
      </c>
      <c r="AX244" s="2">
        <v>100</v>
      </c>
      <c r="AY244" s="2">
        <v>100</v>
      </c>
      <c r="AZ244" s="2" t="s">
        <v>95</v>
      </c>
      <c r="BA244" s="9" t="str">
        <f>HYPERLINK(".\links\REFSEQ-INVERTEBRATE\AGAP008783-PA-REFSEQ-INVERTEBRATE.txt","AGAP008783-PA, partial")</f>
        <v>AGAP008783-PA, partial</v>
      </c>
      <c r="BB244" s="2" t="str">
        <f>HYPERLINK("http://www.ncbi.nlm.nih.gov/sutils/blink.cgi?pid=XP_314912.4","0.0")</f>
        <v>0.0</v>
      </c>
      <c r="BC244" s="2" t="str">
        <f>HYPERLINK("http://www.ncbi.nlm.nih.gov/protein/XP_314912.4","XP_314912.4")</f>
        <v>XP_314912.4</v>
      </c>
      <c r="BD244" s="2">
        <v>100</v>
      </c>
      <c r="BE244" s="2">
        <v>100</v>
      </c>
      <c r="BF244" s="2">
        <v>100</v>
      </c>
      <c r="BG244" s="2" t="s">
        <v>95</v>
      </c>
      <c r="BH244" s="9" t="str">
        <f>HYPERLINK(".\links\REFSEQ-PROTOZOA\AGAP008783-PA-REFSEQ-PROTOZOA.txt","arginase")</f>
        <v>arginase</v>
      </c>
      <c r="BI244" s="2" t="str">
        <f>HYPERLINK("http://www.ncbi.nlm.nih.gov/sutils/blink.cgi?pid=XP_004347001.1","3E-060")</f>
        <v>3E-060</v>
      </c>
      <c r="BJ244" s="2" t="str">
        <f>HYPERLINK("http://www.ncbi.nlm.nih.gov/protein/XP_004347001.1","XP_004347001.1")</f>
        <v>XP_004347001.1</v>
      </c>
      <c r="BK244" s="2">
        <v>39</v>
      </c>
      <c r="BL244" s="2">
        <v>60</v>
      </c>
      <c r="BM244" s="2">
        <v>98</v>
      </c>
      <c r="BN244" s="2" t="s">
        <v>150</v>
      </c>
      <c r="BO244" s="9" t="str">
        <f>HYPERLINK(".\links\SWISSP\AGAP008783-PA-SWISSP.txt","Arginase, hepatic")</f>
        <v>Arginase, hepatic</v>
      </c>
      <c r="BP244" s="2" t="str">
        <f>HYPERLINK("http://www.uniprot.org/uniprot/P49900","4E-072")</f>
        <v>4E-072</v>
      </c>
      <c r="BQ244" s="2" t="str">
        <f>HYPERLINK("http://www.uniprot.org/uniprot/P49900#expression","P49900")</f>
        <v>P49900</v>
      </c>
      <c r="BR244" s="2">
        <v>43</v>
      </c>
      <c r="BS244" s="2">
        <v>65</v>
      </c>
      <c r="BT244" s="2">
        <v>97</v>
      </c>
      <c r="BU244" s="2" t="s">
        <v>2110</v>
      </c>
      <c r="BV244" s="9" t="str">
        <f>HYPERLINK(".\links\FLYBASE\AGAP008783-PA-FLYBASE.txt","FBpp0070083")</f>
        <v>FBpp0070083</v>
      </c>
      <c r="BW244" s="2" t="str">
        <f>HYPERLINK("http://flybase.org/reports/FBgn0023535#alliance_summary_container","4E-85")</f>
        <v>4E-85</v>
      </c>
      <c r="BX244" s="2">
        <v>351</v>
      </c>
      <c r="BY244" s="2">
        <v>43</v>
      </c>
      <c r="BZ244" s="2">
        <v>63</v>
      </c>
      <c r="CA244" s="2">
        <v>89</v>
      </c>
      <c r="CB244" s="9" t="str">
        <f>HYPERLINK(".\links\CDD\AGAP008783-PA-CDD.txt","Arginase, Arginase family")</f>
        <v>Arginase, Arginase family</v>
      </c>
      <c r="CC244" s="13">
        <v>9.9999999999999993E-103</v>
      </c>
      <c r="CD244" s="2">
        <v>103.1</v>
      </c>
      <c r="CE244" s="2" t="s">
        <v>2111</v>
      </c>
      <c r="CF244" s="2" t="s">
        <v>2112</v>
      </c>
      <c r="CG244" s="9" t="str">
        <f>HYPERLINK(".\links\KOG\AGAP008783-PA-KOG.txt","Arginase")</f>
        <v>Arginase</v>
      </c>
      <c r="CH244" s="13">
        <v>5.0000000000000004E-87</v>
      </c>
      <c r="CI244" s="2">
        <v>96.5</v>
      </c>
      <c r="CJ244" s="2" t="s">
        <v>2113</v>
      </c>
      <c r="CK244" s="2" t="s">
        <v>393</v>
      </c>
      <c r="CL244" s="9" t="str">
        <f>HYPERLINK(".\links\PFAM\AGAP008783-PA-PFAM.txt","Arginase, Arginase family")</f>
        <v>Arginase, Arginase family</v>
      </c>
      <c r="CM244" s="13">
        <v>1.0000000000000001E-68</v>
      </c>
      <c r="CN244" s="2">
        <v>111.4</v>
      </c>
      <c r="CO244" s="2" t="s">
        <v>2114</v>
      </c>
      <c r="CP244" s="9" t="str">
        <f>HYPERLINK(".\links\SMART\AGAP008783-PA-SMART.txt","THN, Thaumatin family")</f>
        <v>THN, Thaumatin family</v>
      </c>
      <c r="CQ244" s="13">
        <v>0.53</v>
      </c>
      <c r="CR244" s="2">
        <v>11</v>
      </c>
      <c r="CS244" s="2" t="s">
        <v>2115</v>
      </c>
      <c r="CT244" s="2" t="s">
        <v>2108</v>
      </c>
      <c r="CU244" s="2" t="s">
        <v>2108</v>
      </c>
      <c r="CV244" s="2" t="s">
        <v>2108</v>
      </c>
      <c r="CW244" s="2" t="str">
        <f>HYPERLINK(".\links\pep\AGAP008783-PA-pep.txt","AGAP008783-PA")</f>
        <v>AGAP008783-PA</v>
      </c>
      <c r="CX244" s="2" t="s">
        <v>88</v>
      </c>
      <c r="CY244" s="2">
        <v>362</v>
      </c>
      <c r="CZ244" s="2" t="s">
        <v>103</v>
      </c>
      <c r="DA244" s="2">
        <v>0</v>
      </c>
      <c r="DB244" s="2">
        <v>2</v>
      </c>
      <c r="DD244" s="2" t="str">
        <f>HYPERLINK("https://www.kegg.jp/kegg-bin/search_pathway_text?map=aga&amp;keyword=AGAP008783&amp;mode=1&amp;viewImage=true","AGAP008783")</f>
        <v>AGAP008783</v>
      </c>
      <c r="DE244" s="2" t="s">
        <v>2105</v>
      </c>
      <c r="DF244" s="2" t="s">
        <v>2106</v>
      </c>
      <c r="DG244" s="2" t="s">
        <v>89</v>
      </c>
      <c r="DH244" s="2" t="str">
        <f>HYPERLINK("https://vectorbase.org/vectorbase/app/record/gene/AGAP008783","AGAP008783-RA")</f>
        <v>AGAP008783-RA</v>
      </c>
      <c r="DI244" s="2" t="s">
        <v>140</v>
      </c>
      <c r="DJ244" s="2">
        <v>1379</v>
      </c>
      <c r="DK244" s="2" t="str">
        <f>HYPERLINK(".\links\netoglyc\AGAP008783-PA-netoglyc.txt","0")</f>
        <v>0</v>
      </c>
      <c r="DL244" s="2">
        <v>10.8</v>
      </c>
      <c r="DM244" s="2">
        <v>9.4</v>
      </c>
      <c r="DN244" s="2">
        <v>4.0999999999999996</v>
      </c>
      <c r="DO244" s="2" t="s">
        <v>94</v>
      </c>
      <c r="DP244" s="2" t="s">
        <v>89</v>
      </c>
      <c r="DQ244" s="2" t="str">
        <f>HYPERLINK(".\links\Sigp\AGAP008783-PA-SigP.txt","CYT")</f>
        <v>CYT</v>
      </c>
      <c r="DR244" s="2" t="s">
        <v>89</v>
      </c>
      <c r="DS244" s="2">
        <v>39.670999999999999</v>
      </c>
      <c r="DT244" s="2">
        <v>6.12</v>
      </c>
      <c r="DU244" s="2" t="s">
        <v>89</v>
      </c>
      <c r="DV244" s="2" t="s">
        <v>89</v>
      </c>
      <c r="DW244" s="2" t="s">
        <v>1322</v>
      </c>
      <c r="DX244" s="2">
        <v>362</v>
      </c>
      <c r="DY244" s="12">
        <v>0</v>
      </c>
      <c r="DZ244" s="2" t="s">
        <v>89</v>
      </c>
      <c r="EA244" s="2" t="s">
        <v>89</v>
      </c>
      <c r="EB244" s="2" t="s">
        <v>89</v>
      </c>
      <c r="EC244" s="2" t="str">
        <f>HYPERLINK(".\links\gpi\AGAP008783-PA-gpi.txt","N")</f>
        <v>N</v>
      </c>
      <c r="ED244" s="2">
        <v>0.24</v>
      </c>
      <c r="EF244" s="2">
        <v>5</v>
      </c>
      <c r="EG244" s="2" t="s">
        <v>89</v>
      </c>
      <c r="EH244" s="2" t="s">
        <v>89</v>
      </c>
      <c r="EI244" s="2">
        <v>10.773480662983401</v>
      </c>
      <c r="EJ244" s="2">
        <v>4.1436464088397802</v>
      </c>
      <c r="EK244" s="2">
        <v>9.3922651933701697</v>
      </c>
      <c r="EL244" s="2">
        <v>13.5359116022099</v>
      </c>
      <c r="EM244" s="2" t="s">
        <v>89</v>
      </c>
      <c r="EN244" s="2">
        <v>3</v>
      </c>
      <c r="EO244" s="2">
        <v>3</v>
      </c>
      <c r="EP244" s="2" t="s">
        <v>89</v>
      </c>
      <c r="EQ244" s="2" t="s">
        <v>89</v>
      </c>
      <c r="ER244" s="2" t="s">
        <v>89</v>
      </c>
      <c r="ES244" s="2" t="s">
        <v>89</v>
      </c>
      <c r="ET244" s="2" t="str">
        <f>HYPERLINK(".\links\REFSEQ-INVERTEBRATE\AGAP008783-PA-REFSEQ-INVERTEBRATE.txt","AGAP008783-PA, partial")</f>
        <v>AGAP008783-PA, partial</v>
      </c>
      <c r="EU244" s="2" t="str">
        <f>HYPERLINK("http://www.ncbi.nlm.nih.gov/sutils/blink.cgi?pid=XP_314912.4","0.0")</f>
        <v>0.0</v>
      </c>
      <c r="EV244" s="2" t="str">
        <f>HYPERLINK("http://www.ncbi.nlm.nih.gov/protein/XP_314912.4","XP_314912.4")</f>
        <v>XP_314912.4</v>
      </c>
      <c r="EW244" s="2">
        <v>100</v>
      </c>
      <c r="EX244" s="2">
        <v>100</v>
      </c>
      <c r="EY244" s="2">
        <v>100</v>
      </c>
      <c r="EZ244" s="2" t="s">
        <v>95</v>
      </c>
    </row>
    <row r="245" spans="1:156" x14ac:dyDescent="0.25">
      <c r="A245" s="2" t="s">
        <v>2943</v>
      </c>
      <c r="B245" s="2">
        <v>-1.1812743557564001</v>
      </c>
      <c r="C245" s="2">
        <f t="shared" si="3"/>
        <v>0.44096181739242096</v>
      </c>
      <c r="D245" s="2">
        <v>11.277055015959499</v>
      </c>
      <c r="E245" s="2">
        <v>15.618199200494001</v>
      </c>
      <c r="F245" s="2">
        <v>7.7505035958942405E-5</v>
      </c>
      <c r="G245" s="2">
        <v>7.5706065858244E-3</v>
      </c>
      <c r="H245" s="2" t="s">
        <v>86</v>
      </c>
      <c r="I245" s="2" t="s">
        <v>87</v>
      </c>
      <c r="J245" s="2" t="str">
        <f>HYPERLINK("https://vectorbase.org/vectorbase/app/record/gene/AGAP013189","AGAP013189-RA")</f>
        <v>AGAP013189-RA</v>
      </c>
      <c r="K245" s="2" t="str">
        <f>HYPERLINK(".\links\pep\AGAP013189-PA-pep.txt","AGAP013189-PA")</f>
        <v>AGAP013189-PA</v>
      </c>
      <c r="L245" s="12" t="s">
        <v>88</v>
      </c>
      <c r="M245" s="2">
        <v>131</v>
      </c>
      <c r="N245" s="2">
        <v>0</v>
      </c>
      <c r="O245" s="2">
        <v>0</v>
      </c>
      <c r="P245" s="2" t="s">
        <v>89</v>
      </c>
      <c r="Q245" s="9" t="s">
        <v>2944</v>
      </c>
      <c r="R245" s="2" t="s">
        <v>164</v>
      </c>
      <c r="S245" s="2" t="str">
        <f>HYPERLINK(".\links\KOG\AGAP013189-PA-KOG.txt","KOG")</f>
        <v>KOG</v>
      </c>
      <c r="T245" s="2">
        <v>2.0000000000000001E-37</v>
      </c>
      <c r="U245" s="2">
        <v>93.9</v>
      </c>
      <c r="V245" s="2" t="s">
        <v>2945</v>
      </c>
      <c r="W245" s="10" t="s">
        <v>2946</v>
      </c>
      <c r="X245" s="2" t="s">
        <v>164</v>
      </c>
      <c r="Y245" s="2" t="str">
        <f>HYPERLINK(".\links\CDD\AGAP013189-PA-CDD.txt","CDD")</f>
        <v>CDD</v>
      </c>
      <c r="Z245" s="13">
        <v>7E-45</v>
      </c>
      <c r="AA245" s="2">
        <v>97.6</v>
      </c>
      <c r="AB245" s="14" t="str">
        <f>HYPERLINK(".\links\pep\AGAP013189-PA-sulf.txt","1")</f>
        <v>1</v>
      </c>
      <c r="AC245" s="14" t="str">
        <f>HYPERLINK(".\links\Sigp\AGAP013189-PA-SigP.txt","CYT")</f>
        <v>CYT</v>
      </c>
      <c r="AD245" s="2" t="s">
        <v>89</v>
      </c>
      <c r="AE245" s="2">
        <v>14.848000000000001</v>
      </c>
      <c r="AF245" s="2">
        <v>7.69</v>
      </c>
      <c r="AG245" s="2" t="s">
        <v>89</v>
      </c>
      <c r="AH245" s="2" t="s">
        <v>89</v>
      </c>
      <c r="AI245" s="2" t="s">
        <v>273</v>
      </c>
      <c r="AJ245" s="14">
        <v>0</v>
      </c>
      <c r="AK245" s="2" t="s">
        <v>89</v>
      </c>
      <c r="AL245" s="2" t="s">
        <v>89</v>
      </c>
      <c r="AM245" s="2" t="s">
        <v>89</v>
      </c>
      <c r="AN245" s="14" t="str">
        <f>HYPERLINK(".\links\gpi\AGAP013189-PA-gpi.txt","N")</f>
        <v>N</v>
      </c>
      <c r="AO245" s="15" t="str">
        <f>HYPERLINK(".\links\netoglyc\AGAP013189-PA-netoglyc.txt","1")</f>
        <v>1</v>
      </c>
      <c r="AP245" s="14">
        <v>15.3</v>
      </c>
      <c r="AQ245" s="2">
        <v>8.4</v>
      </c>
      <c r="AR245" s="2">
        <v>1.5</v>
      </c>
      <c r="AS245" s="2" t="s">
        <v>94</v>
      </c>
      <c r="AT245" s="9" t="str">
        <f>HYPERLINK(".\links\NR-LIGHT\AGAP013189-PA-NR-LIGHT.txt","AGAP013189-PA")</f>
        <v>AGAP013189-PA</v>
      </c>
      <c r="AU245" s="2" t="str">
        <f>HYPERLINK("http://www.ncbi.nlm.nih.gov/sutils/blink.cgi?pid=XP_003436444.1","2E-070")</f>
        <v>2E-070</v>
      </c>
      <c r="AV245" s="2" t="str">
        <f>HYPERLINK("http://www.ncbi.nlm.nih.gov/protein/XP_003436444.1","XP_003436444.1")</f>
        <v>XP_003436444.1</v>
      </c>
      <c r="AW245" s="2">
        <v>100</v>
      </c>
      <c r="AX245" s="2">
        <v>100</v>
      </c>
      <c r="AY245" s="2">
        <v>100</v>
      </c>
      <c r="AZ245" s="2" t="s">
        <v>95</v>
      </c>
      <c r="BA245" s="9" t="str">
        <f>HYPERLINK(".\links\REFSEQ-INVERTEBRATE\AGAP013189-PA-REFSEQ-INVERTEBRATE.txt","AGAP013400-PA")</f>
        <v>AGAP013400-PA</v>
      </c>
      <c r="BB245" s="2" t="str">
        <f>HYPERLINK("http://www.ncbi.nlm.nih.gov/sutils/blink.cgi?pid=XP_003436445.1","2E-070")</f>
        <v>2E-070</v>
      </c>
      <c r="BC245" s="2" t="str">
        <f>HYPERLINK("http://www.ncbi.nlm.nih.gov/protein/XP_003436445.1","XP_003436445.1")</f>
        <v>XP_003436445.1</v>
      </c>
      <c r="BD245" s="2">
        <v>100</v>
      </c>
      <c r="BE245" s="2">
        <v>100</v>
      </c>
      <c r="BF245" s="2">
        <v>100</v>
      </c>
      <c r="BG245" s="2" t="s">
        <v>95</v>
      </c>
      <c r="BH245" s="9" t="str">
        <f>HYPERLINK(".\links\REFSEQ-PROTOZOA\AGAP013189-PA-REFSEQ-PROTOZOA.txt","hypothetical protein H257_01080")</f>
        <v>hypothetical protein H257_01080</v>
      </c>
      <c r="BI245" s="2" t="str">
        <f>HYPERLINK("http://www.ncbi.nlm.nih.gov/sutils/blink.cgi?pid=XP_009822402.1","1E-005")</f>
        <v>1E-005</v>
      </c>
      <c r="BJ245" s="2" t="str">
        <f>HYPERLINK("http://www.ncbi.nlm.nih.gov/protein/XP_009822402.1","XP_009822402.1")</f>
        <v>XP_009822402.1</v>
      </c>
      <c r="BK245" s="2">
        <v>37</v>
      </c>
      <c r="BL245" s="2">
        <v>52</v>
      </c>
      <c r="BM245" s="2">
        <v>34</v>
      </c>
      <c r="BN245" s="2" t="s">
        <v>320</v>
      </c>
      <c r="BO245" s="9" t="str">
        <f>HYPERLINK(".\links\SWISSP\AGAP013189-PA-SWISSP.txt","Probable fatty acid-binding protein")</f>
        <v>Probable fatty acid-binding protein</v>
      </c>
      <c r="BP245" s="2" t="str">
        <f>HYPERLINK("http://www.uniprot.org/uniprot/Q17017","5E-044")</f>
        <v>5E-044</v>
      </c>
      <c r="BQ245" s="2" t="str">
        <f>HYPERLINK("http://www.uniprot.org/uniprot/Q17017#expression","Q17017")</f>
        <v>Q17017</v>
      </c>
      <c r="BR245" s="2">
        <v>87</v>
      </c>
      <c r="BS245" s="2">
        <v>88</v>
      </c>
      <c r="BT245" s="2">
        <v>89</v>
      </c>
      <c r="BU245" s="2" t="s">
        <v>215</v>
      </c>
      <c r="BV245" s="9" t="str">
        <f>HYPERLINK(".\links\FLYBASE\AGAP013189-PA-FLYBASE.txt","FBpp0099726")</f>
        <v>FBpp0099726</v>
      </c>
      <c r="BW245" s="2" t="str">
        <f>HYPERLINK("http://flybase.org/reports/FBgn0037913#alliance_summary_container","3E-53")</f>
        <v>3E-53</v>
      </c>
      <c r="BX245" s="2">
        <v>130</v>
      </c>
      <c r="BY245" s="2">
        <v>69</v>
      </c>
      <c r="BZ245" s="2">
        <v>79</v>
      </c>
      <c r="CA245" s="2">
        <v>97</v>
      </c>
      <c r="CB245" s="9" t="str">
        <f>HYPERLINK(".\links\CDD\AGAP013189-PA-CDD.txt","Lipocalin, Lipocalin / cytosolic fatty-acid binding protein family")</f>
        <v>Lipocalin, Lipocalin / cytosolic fatty-acid binding protein family</v>
      </c>
      <c r="CC245" s="13">
        <v>6.0000000000000002E-6</v>
      </c>
      <c r="CD245" s="2">
        <v>81.400000000000006</v>
      </c>
      <c r="CE245" s="2" t="s">
        <v>2947</v>
      </c>
      <c r="CF245" s="2" t="s">
        <v>2948</v>
      </c>
      <c r="CG245" s="9" t="str">
        <f>HYPERLINK(".\links\KOG\AGAP013189-PA-KOG.txt","Fatty acid-binding protein FABP")</f>
        <v>Fatty acid-binding protein FABP</v>
      </c>
      <c r="CH245" s="13">
        <v>2.0000000000000001E-37</v>
      </c>
      <c r="CI245" s="2">
        <v>94</v>
      </c>
      <c r="CJ245" s="2" t="s">
        <v>2949</v>
      </c>
      <c r="CK245" s="2" t="s">
        <v>172</v>
      </c>
      <c r="CL245" s="9" t="str">
        <f>HYPERLINK(".\links\PFAM\AGAP013189-PA-PFAM.txt","Lipocalin, Lipocalin / cytosolic fatty-acid binding protein family")</f>
        <v>Lipocalin, Lipocalin / cytosolic fatty-acid binding protein family</v>
      </c>
      <c r="CM245" s="13">
        <v>9.9999999999999995E-7</v>
      </c>
      <c r="CN245" s="2">
        <v>81.400000000000006</v>
      </c>
      <c r="CO245" s="2" t="s">
        <v>2947</v>
      </c>
      <c r="CP245" s="9" t="str">
        <f>HYPERLINK(".\links\SMART\AGAP013189-PA-SMART.txt","Lactamase_B, Metallo-beta-lactamase superfamily")</f>
        <v>Lactamase_B, Metallo-beta-lactamase superfamily</v>
      </c>
      <c r="CQ245" s="13">
        <v>0.39</v>
      </c>
      <c r="CR245" s="2">
        <v>22</v>
      </c>
      <c r="CS245" s="2" t="s">
        <v>189</v>
      </c>
      <c r="CT245" s="2" t="s">
        <v>2945</v>
      </c>
      <c r="CU245" s="2" t="s">
        <v>2945</v>
      </c>
      <c r="CV245" s="2" t="s">
        <v>2945</v>
      </c>
      <c r="CW245" s="2" t="str">
        <f>HYPERLINK(".\links\pep\AGAP013189-PA-pep.txt","AGAP013189-PA")</f>
        <v>AGAP013189-PA</v>
      </c>
      <c r="CX245" s="2" t="s">
        <v>88</v>
      </c>
      <c r="CY245" s="2">
        <v>131</v>
      </c>
      <c r="CZ245" s="2" t="s">
        <v>103</v>
      </c>
      <c r="DA245" s="2" t="s">
        <v>2950</v>
      </c>
      <c r="DB245" s="2">
        <v>0</v>
      </c>
      <c r="DC245" s="2">
        <v>0</v>
      </c>
      <c r="DD245" s="2" t="str">
        <f>HYPERLINK("https://www.kegg.jp/kegg-bin/search_pathway_text?map=aga&amp;keyword=AGAP013189&amp;mode=1&amp;viewImage=true","AGAP013189")</f>
        <v>AGAP013189</v>
      </c>
      <c r="DE245" s="2" t="s">
        <v>2943</v>
      </c>
      <c r="DF245" s="2" t="s">
        <v>86</v>
      </c>
      <c r="DG245" s="2" t="s">
        <v>87</v>
      </c>
      <c r="DH245" s="2" t="str">
        <f>HYPERLINK("https://vectorbase.org/vectorbase/app/record/gene/AGAP013189","AGAP013189-RA")</f>
        <v>AGAP013189-RA</v>
      </c>
      <c r="DI245" s="2" t="s">
        <v>105</v>
      </c>
      <c r="DJ245" s="2">
        <v>998</v>
      </c>
      <c r="DK245" s="2" t="str">
        <f>HYPERLINK(".\links\netoglyc\AGAP013189-PA-netoglyc.txt","1")</f>
        <v>1</v>
      </c>
      <c r="DL245" s="2">
        <v>15.3</v>
      </c>
      <c r="DM245" s="2">
        <v>8.4</v>
      </c>
      <c r="DN245" s="2">
        <v>1.5</v>
      </c>
      <c r="DO245" s="2" t="s">
        <v>94</v>
      </c>
      <c r="DP245" s="2" t="s">
        <v>89</v>
      </c>
      <c r="DQ245" s="2" t="str">
        <f>HYPERLINK(".\links\Sigp\AGAP013189-PA-SigP.txt","CYT")</f>
        <v>CYT</v>
      </c>
      <c r="DR245" s="2" t="s">
        <v>89</v>
      </c>
      <c r="DS245" s="2">
        <v>14.848000000000001</v>
      </c>
      <c r="DT245" s="2">
        <v>7.69</v>
      </c>
      <c r="DU245" s="2" t="s">
        <v>89</v>
      </c>
      <c r="DV245" s="2" t="s">
        <v>89</v>
      </c>
      <c r="DW245" s="2" t="s">
        <v>273</v>
      </c>
      <c r="DX245" s="2">
        <v>131</v>
      </c>
      <c r="DY245" s="12">
        <v>0</v>
      </c>
      <c r="DZ245" s="2" t="s">
        <v>89</v>
      </c>
      <c r="EA245" s="2" t="s">
        <v>89</v>
      </c>
      <c r="EB245" s="2" t="s">
        <v>89</v>
      </c>
      <c r="EC245" s="2" t="str">
        <f>HYPERLINK(".\links\gpi\AGAP013189-PA-gpi.txt","N")</f>
        <v>N</v>
      </c>
      <c r="ED245" s="2">
        <v>0.48</v>
      </c>
      <c r="EF245" s="2">
        <v>2</v>
      </c>
      <c r="EG245" s="2" t="str">
        <f>HYPERLINK(".\links\pep\AGAP013189-PA-sulf.txt","1")</f>
        <v>1</v>
      </c>
      <c r="EH245" s="2" t="s">
        <v>89</v>
      </c>
      <c r="EI245" s="2">
        <v>15.267175572519101</v>
      </c>
      <c r="EJ245" s="2">
        <v>1.5267175572519101</v>
      </c>
      <c r="EK245" s="2">
        <v>8.3969465648855</v>
      </c>
      <c r="EL245" s="2">
        <v>9.9236641221373993</v>
      </c>
      <c r="EM245" s="2" t="s">
        <v>89</v>
      </c>
      <c r="EN245" s="2">
        <v>1</v>
      </c>
      <c r="EO245" s="2">
        <v>1</v>
      </c>
      <c r="EP245" s="2" t="s">
        <v>89</v>
      </c>
      <c r="EQ245" s="2" t="s">
        <v>89</v>
      </c>
      <c r="ER245" s="2" t="s">
        <v>89</v>
      </c>
      <c r="ES245" s="2" t="s">
        <v>89</v>
      </c>
      <c r="ET245" s="2" t="str">
        <f>HYPERLINK(".\links\REFSEQ-INVERTEBRATE\AGAP013189-PA-REFSEQ-INVERTEBRATE.txt","AGAP013400-PA")</f>
        <v>AGAP013400-PA</v>
      </c>
      <c r="EU245" s="2" t="str">
        <f>HYPERLINK("http://www.ncbi.nlm.nih.gov/sutils/blink.cgi?pid=XP_003436445.1","2E-92")</f>
        <v>2E-92</v>
      </c>
      <c r="EV245" s="2" t="str">
        <f>HYPERLINK("http://www.ncbi.nlm.nih.gov/protein/XP_003436445.1","XP_003436445.1")</f>
        <v>XP_003436445.1</v>
      </c>
      <c r="EW245" s="2">
        <v>100</v>
      </c>
      <c r="EX245" s="2">
        <v>100</v>
      </c>
      <c r="EY245" s="2">
        <v>100</v>
      </c>
      <c r="EZ245" s="2" t="s">
        <v>95</v>
      </c>
    </row>
    <row r="246" spans="1:156" x14ac:dyDescent="0.25">
      <c r="A246" s="2" t="s">
        <v>2651</v>
      </c>
      <c r="B246" s="2">
        <v>-1.1822981943948401</v>
      </c>
      <c r="C246" s="2">
        <f t="shared" si="3"/>
        <v>0.44064899065292368</v>
      </c>
      <c r="D246" s="2">
        <v>8.3591223084226396</v>
      </c>
      <c r="E246" s="2">
        <v>19.7756970311539</v>
      </c>
      <c r="F246" s="2">
        <v>8.7082939261927994E-6</v>
      </c>
      <c r="G246" s="2">
        <v>1.5797182609774299E-3</v>
      </c>
      <c r="H246" s="2" t="s">
        <v>86</v>
      </c>
      <c r="I246" s="2" t="s">
        <v>87</v>
      </c>
      <c r="J246" s="2" t="str">
        <f>HYPERLINK("https://vectorbase.org/vectorbase/app/record/gene/AGAP011053","AGAP011053-RA")</f>
        <v>AGAP011053-RA</v>
      </c>
      <c r="K246" s="2" t="str">
        <f>HYPERLINK(".\links\pep\AGAP011053-PA-pep.txt","AGAP011053-PA")</f>
        <v>AGAP011053-PA</v>
      </c>
      <c r="L246" s="12" t="s">
        <v>88</v>
      </c>
      <c r="M246" s="2">
        <v>325</v>
      </c>
      <c r="N246" s="2">
        <v>0</v>
      </c>
      <c r="O246" s="2">
        <v>2</v>
      </c>
      <c r="P246" s="2" t="s">
        <v>89</v>
      </c>
      <c r="Q246" s="9" t="s">
        <v>2652</v>
      </c>
      <c r="R246" s="2" t="s">
        <v>145</v>
      </c>
      <c r="S246" s="2" t="str">
        <f>HYPERLINK(".\links\KOG\AGAP011053-PA-KOG.txt","KOG")</f>
        <v>KOG</v>
      </c>
      <c r="T246" s="2">
        <v>9.9999999999999993E-40</v>
      </c>
      <c r="U246" s="2">
        <v>97.3</v>
      </c>
      <c r="V246" s="2" t="s">
        <v>2653</v>
      </c>
      <c r="W246" s="10" t="s">
        <v>2654</v>
      </c>
      <c r="X246" s="2" t="s">
        <v>164</v>
      </c>
      <c r="Y246" s="2" t="str">
        <f>HYPERLINK(".\links\CDD\AGAP011053-PA-CDD.txt","CDD")</f>
        <v>CDD</v>
      </c>
      <c r="Z246" s="13">
        <v>4.9999999999999998E-95</v>
      </c>
      <c r="AA246" s="2">
        <v>102.2</v>
      </c>
      <c r="AB246" s="14" t="str">
        <f>HYPERLINK(".\links\pep\AGAP011053-PA-sulf.txt","2")</f>
        <v>2</v>
      </c>
      <c r="AC246" s="14" t="str">
        <f>HYPERLINK(".\links\Sigp\AGAP011053-PA-SigP.txt","CYT")</f>
        <v>CYT</v>
      </c>
      <c r="AD246" s="2" t="s">
        <v>89</v>
      </c>
      <c r="AE246" s="2">
        <v>36.569000000000003</v>
      </c>
      <c r="AF246" s="2">
        <v>5.95</v>
      </c>
      <c r="AG246" s="2" t="s">
        <v>89</v>
      </c>
      <c r="AH246" s="2" t="s">
        <v>89</v>
      </c>
      <c r="AI246" s="2" t="s">
        <v>2655</v>
      </c>
      <c r="AJ246" s="14">
        <v>0</v>
      </c>
      <c r="AK246" s="2" t="s">
        <v>89</v>
      </c>
      <c r="AL246" s="2" t="s">
        <v>89</v>
      </c>
      <c r="AM246" s="2" t="s">
        <v>89</v>
      </c>
      <c r="AN246" s="14" t="str">
        <f>HYPERLINK(".\links\gpi\AGAP011053-PA-gpi.txt","N")</f>
        <v>N</v>
      </c>
      <c r="AO246" s="15" t="str">
        <f>HYPERLINK(".\links\netoglyc\AGAP011053-PA-netoglyc.txt","0")</f>
        <v>0</v>
      </c>
      <c r="AP246" s="14">
        <v>8.9</v>
      </c>
      <c r="AQ246" s="2">
        <v>8</v>
      </c>
      <c r="AR246" s="2">
        <v>5.2</v>
      </c>
      <c r="AS246" s="2" t="s">
        <v>94</v>
      </c>
      <c r="AT246" s="9" t="str">
        <f>HYPERLINK(".\links\NR-LIGHT\AGAP011053-PA-NR-LIGHT.txt","AGAP011053-PA")</f>
        <v>AGAP011053-PA</v>
      </c>
      <c r="AU246" s="2" t="str">
        <f>HYPERLINK("http://www.ncbi.nlm.nih.gov/sutils/blink.cgi?pid=XP_308082.4","0.0")</f>
        <v>0.0</v>
      </c>
      <c r="AV246" s="2" t="str">
        <f>HYPERLINK("http://www.ncbi.nlm.nih.gov/protein/XP_308082.4","XP_308082.4")</f>
        <v>XP_308082.4</v>
      </c>
      <c r="AW246" s="2">
        <v>100</v>
      </c>
      <c r="AX246" s="2">
        <v>100</v>
      </c>
      <c r="AY246" s="2">
        <v>100</v>
      </c>
      <c r="AZ246" s="2" t="s">
        <v>95</v>
      </c>
      <c r="BA246" s="9" t="str">
        <f>HYPERLINK(".\links\REFSEQ-INVERTEBRATE\AGAP011053-PA-REFSEQ-INVERTEBRATE.txt","AGAP011053-PA")</f>
        <v>AGAP011053-PA</v>
      </c>
      <c r="BB246" s="2" t="str">
        <f>HYPERLINK("http://www.ncbi.nlm.nih.gov/sutils/blink.cgi?pid=XP_308082.4","0.0")</f>
        <v>0.0</v>
      </c>
      <c r="BC246" s="2" t="str">
        <f>HYPERLINK("http://www.ncbi.nlm.nih.gov/protein/XP_308082.4","XP_308082.4")</f>
        <v>XP_308082.4</v>
      </c>
      <c r="BD246" s="2">
        <v>100</v>
      </c>
      <c r="BE246" s="2">
        <v>100</v>
      </c>
      <c r="BF246" s="2">
        <v>100</v>
      </c>
      <c r="BG246" s="2" t="s">
        <v>95</v>
      </c>
      <c r="BH246" s="9" t="str">
        <f>HYPERLINK(".\links\REFSEQ-PROTOZOA\AGAP011053-PA-REFSEQ-PROTOZOA.txt","oxidoreductase, aldo/keto reductase family member protein")</f>
        <v>oxidoreductase, aldo/keto reductase family member protein</v>
      </c>
      <c r="BI246" s="2" t="str">
        <f>HYPERLINK("http://www.ncbi.nlm.nih.gov/sutils/blink.cgi?pid=XP_004829671.1","5E-076")</f>
        <v>5E-076</v>
      </c>
      <c r="BJ246" s="2" t="str">
        <f>HYPERLINK("http://www.ncbi.nlm.nih.gov/protein/XP_004829671.1","XP_004829671.1")</f>
        <v>XP_004829671.1</v>
      </c>
      <c r="BK246" s="2">
        <v>46</v>
      </c>
      <c r="BL246" s="2">
        <v>65</v>
      </c>
      <c r="BM246" s="2">
        <v>100</v>
      </c>
      <c r="BN246" s="2" t="s">
        <v>2656</v>
      </c>
      <c r="BO246" s="9" t="str">
        <f>HYPERLINK(".\links\SWISSP\AGAP011053-PA-SWISSP.txt","1,5-anhydro-D-fructose reductase")</f>
        <v>1,5-anhydro-D-fructose reductase</v>
      </c>
      <c r="BP246" s="2" t="str">
        <f>HYPERLINK("http://www.uniprot.org/uniprot/P82125","1E-078")</f>
        <v>1E-078</v>
      </c>
      <c r="BQ246" s="2" t="str">
        <f>HYPERLINK("http://www.uniprot.org/uniprot/P82125#expression","P82125")</f>
        <v>P82125</v>
      </c>
      <c r="BR246" s="2">
        <v>48</v>
      </c>
      <c r="BS246" s="2">
        <v>66</v>
      </c>
      <c r="BT246" s="2">
        <v>104</v>
      </c>
      <c r="BU246" s="2" t="s">
        <v>904</v>
      </c>
      <c r="BV246" s="9" t="str">
        <f>HYPERLINK(".\links\FLYBASE\AGAP011053-PA-FLYBASE.txt","FBpp0311505")</f>
        <v>FBpp0311505</v>
      </c>
      <c r="BW246" s="2" t="str">
        <f>HYPERLINK("http://flybase.org/reports/FBgn0036290#alliance_summary_container","1E-135")</f>
        <v>1E-135</v>
      </c>
      <c r="BX246" s="2">
        <v>317</v>
      </c>
      <c r="BY246" s="2">
        <v>57</v>
      </c>
      <c r="BZ246" s="2">
        <v>73</v>
      </c>
      <c r="CA246" s="2">
        <v>102</v>
      </c>
      <c r="CB246" s="9" t="str">
        <f>HYPERLINK(".\links\CDD\AGAP011053-PA-CDD.txt","ARA1, Aldo/keto reductases, related to diketogulonate reductase")</f>
        <v>ARA1, Aldo/keto reductases, related to diketogulonate reductase</v>
      </c>
      <c r="CC246" s="13">
        <v>1E-97</v>
      </c>
      <c r="CD246" s="2">
        <v>109.3</v>
      </c>
      <c r="CE246" s="2" t="s">
        <v>2657</v>
      </c>
      <c r="CF246" s="2" t="s">
        <v>2658</v>
      </c>
      <c r="CG246" s="9" t="str">
        <f>HYPERLINK(".\links\KOG\AGAP011053-PA-KOG.txt","Aldo/keto reductase family proteins")</f>
        <v>Aldo/keto reductase family proteins</v>
      </c>
      <c r="CH246" s="13">
        <v>9.9999999999999999E-119</v>
      </c>
      <c r="CI246" s="2">
        <v>107.3</v>
      </c>
      <c r="CJ246" s="2" t="s">
        <v>2659</v>
      </c>
      <c r="CK246" s="2" t="s">
        <v>187</v>
      </c>
      <c r="CL246" s="9" t="str">
        <f>HYPERLINK(".\links\PFAM\AGAP011053-PA-PFAM.txt","Aldo_ket_red, Aldo/keto reductase family")</f>
        <v>Aldo_ket_red, Aldo/keto reductase family</v>
      </c>
      <c r="CM246" s="13">
        <v>4.0000000000000001E-59</v>
      </c>
      <c r="CN246" s="2">
        <v>109.3</v>
      </c>
      <c r="CO246" s="2" t="s">
        <v>2660</v>
      </c>
      <c r="CP246" s="9" t="str">
        <f>HYPERLINK(".\links\SMART\AGAP011053-PA-SMART.txt","AlaDh_PNT_C, Alanine dehydrogenase/PNT, C-terminal domain")</f>
        <v>AlaDh_PNT_C, Alanine dehydrogenase/PNT, C-terminal domain</v>
      </c>
      <c r="CQ246" s="13">
        <v>2.6</v>
      </c>
      <c r="CR246" s="2">
        <v>12.1</v>
      </c>
      <c r="CS246" s="2" t="s">
        <v>2661</v>
      </c>
      <c r="CT246" s="2" t="s">
        <v>2653</v>
      </c>
      <c r="CU246" s="2" t="s">
        <v>2653</v>
      </c>
      <c r="CV246" s="2" t="s">
        <v>2653</v>
      </c>
      <c r="CW246" s="2" t="str">
        <f>HYPERLINK(".\links\pep\AGAP011053-PA-pep.txt","AGAP011053-PA")</f>
        <v>AGAP011053-PA</v>
      </c>
      <c r="CX246" s="2" t="s">
        <v>88</v>
      </c>
      <c r="CY246" s="2">
        <v>325</v>
      </c>
      <c r="CZ246" s="2" t="s">
        <v>103</v>
      </c>
      <c r="DA246" s="2" t="s">
        <v>2662</v>
      </c>
      <c r="DB246" s="2">
        <v>0</v>
      </c>
      <c r="DC246" s="2">
        <v>2</v>
      </c>
      <c r="DD246" s="2" t="str">
        <f>HYPERLINK("https://www.kegg.jp/kegg-bin/search_pathway_text?map=aga&amp;keyword=AGAP011053&amp;mode=1&amp;viewImage=true","AGAP011053")</f>
        <v>AGAP011053</v>
      </c>
      <c r="DE246" s="2" t="s">
        <v>2651</v>
      </c>
      <c r="DF246" s="2" t="s">
        <v>86</v>
      </c>
      <c r="DG246" s="2" t="s">
        <v>87</v>
      </c>
      <c r="DH246" s="2" t="str">
        <f>HYPERLINK("https://vectorbase.org/vectorbase/app/record/gene/AGAP011053","AGAP011053-RA")</f>
        <v>AGAP011053-RA</v>
      </c>
      <c r="DI246" s="2" t="s">
        <v>140</v>
      </c>
      <c r="DJ246" s="2">
        <v>1292</v>
      </c>
      <c r="DK246" s="2" t="str">
        <f>HYPERLINK(".\links\netoglyc\AGAP011053-PA-netoglyc.txt","0")</f>
        <v>0</v>
      </c>
      <c r="DL246" s="2">
        <v>8.9</v>
      </c>
      <c r="DM246" s="2">
        <v>8</v>
      </c>
      <c r="DN246" s="2">
        <v>5.2</v>
      </c>
      <c r="DO246" s="2" t="s">
        <v>94</v>
      </c>
      <c r="DP246" s="2" t="s">
        <v>89</v>
      </c>
      <c r="DQ246" s="2" t="str">
        <f>HYPERLINK(".\links\Sigp\AGAP011053-PA-SigP.txt","CYT")</f>
        <v>CYT</v>
      </c>
      <c r="DR246" s="2" t="s">
        <v>89</v>
      </c>
      <c r="DS246" s="2">
        <v>36.569000000000003</v>
      </c>
      <c r="DT246" s="2">
        <v>5.95</v>
      </c>
      <c r="DU246" s="2" t="s">
        <v>89</v>
      </c>
      <c r="DV246" s="2" t="s">
        <v>89</v>
      </c>
      <c r="DW246" s="2" t="s">
        <v>2655</v>
      </c>
      <c r="DX246" s="2">
        <v>325</v>
      </c>
      <c r="DY246" s="12">
        <v>0</v>
      </c>
      <c r="DZ246" s="2" t="s">
        <v>89</v>
      </c>
      <c r="EA246" s="2" t="s">
        <v>89</v>
      </c>
      <c r="EB246" s="2" t="s">
        <v>89</v>
      </c>
      <c r="EC246" s="2" t="str">
        <f>HYPERLINK(".\links\gpi\AGAP011053-PA-gpi.txt","N")</f>
        <v>N</v>
      </c>
      <c r="ED246" s="2">
        <v>0.19</v>
      </c>
      <c r="EF246" s="2">
        <v>5</v>
      </c>
      <c r="EG246" s="2" t="str">
        <f>HYPERLINK(".\links\pep\AGAP011053-PA-sulf.txt","2")</f>
        <v>2</v>
      </c>
      <c r="EH246" s="2" t="s">
        <v>89</v>
      </c>
      <c r="EI246" s="2">
        <v>8.9230769230769198</v>
      </c>
      <c r="EJ246" s="2">
        <v>5.2307692307692299</v>
      </c>
      <c r="EK246" s="2">
        <v>8</v>
      </c>
      <c r="EL246" s="2">
        <v>13.2307692307692</v>
      </c>
      <c r="EM246" s="2" t="s">
        <v>89</v>
      </c>
      <c r="EN246" s="2" t="s">
        <v>89</v>
      </c>
      <c r="EO246" s="2">
        <v>1</v>
      </c>
      <c r="EP246" s="2" t="s">
        <v>89</v>
      </c>
      <c r="EQ246" s="2" t="s">
        <v>89</v>
      </c>
      <c r="ER246" s="2" t="s">
        <v>89</v>
      </c>
      <c r="ES246" s="2" t="s">
        <v>89</v>
      </c>
      <c r="ET246" s="2" t="str">
        <f>HYPERLINK(".\links\REFSEQ-INVERTEBRATE\AGAP011053-PA-REFSEQ-INVERTEBRATE.txt","AGAP011053-PA")</f>
        <v>AGAP011053-PA</v>
      </c>
      <c r="EU246" s="2" t="str">
        <f>HYPERLINK("http://www.ncbi.nlm.nih.gov/sutils/blink.cgi?pid=XP_308082.4","0.0")</f>
        <v>0.0</v>
      </c>
      <c r="EV246" s="2" t="str">
        <f>HYPERLINK("http://www.ncbi.nlm.nih.gov/protein/XP_308082.4","XP_308082.4")</f>
        <v>XP_308082.4</v>
      </c>
      <c r="EW246" s="2">
        <v>100</v>
      </c>
      <c r="EX246" s="2">
        <v>100</v>
      </c>
      <c r="EY246" s="2">
        <v>100</v>
      </c>
      <c r="EZ246" s="2" t="s">
        <v>95</v>
      </c>
    </row>
    <row r="247" spans="1:156" x14ac:dyDescent="0.25">
      <c r="A247" s="2" t="s">
        <v>2080</v>
      </c>
      <c r="B247" s="2">
        <v>-1.1924185256608999</v>
      </c>
      <c r="C247" s="2">
        <f t="shared" si="3"/>
        <v>0.43756870780247809</v>
      </c>
      <c r="D247" s="2">
        <v>6.7225234114593801</v>
      </c>
      <c r="E247" s="2">
        <v>19.511696995672501</v>
      </c>
      <c r="F247" s="2">
        <v>9.9985550901097905E-6</v>
      </c>
      <c r="G247" s="2">
        <v>1.69902464345345E-3</v>
      </c>
      <c r="H247" s="2" t="s">
        <v>2081</v>
      </c>
      <c r="I247" s="2" t="s">
        <v>87</v>
      </c>
      <c r="J247" s="2" t="str">
        <f>HYPERLINK("https://vectorbase.org/vectorbase/app/record/gene/AGAP008537","AGAP008537-RA")</f>
        <v>AGAP008537-RA</v>
      </c>
      <c r="K247" s="2" t="str">
        <f>HYPERLINK(".\links\pep\AGAP008537-PA-pep.txt","AGAP008537-PA")</f>
        <v>AGAP008537-PA</v>
      </c>
      <c r="L247" s="12" t="s">
        <v>88</v>
      </c>
      <c r="M247" s="2">
        <v>326</v>
      </c>
      <c r="N247" s="2">
        <v>0</v>
      </c>
      <c r="O247" s="2">
        <v>2</v>
      </c>
      <c r="P247" s="2" t="s">
        <v>2082</v>
      </c>
      <c r="Q247" s="9" t="s">
        <v>2083</v>
      </c>
      <c r="R247" s="2" t="s">
        <v>212</v>
      </c>
      <c r="S247" s="2" t="str">
        <f>HYPERLINK(".\links\KOG\AGAP008537-PA-KOG.txt","KOG")</f>
        <v>KOG</v>
      </c>
      <c r="T247" s="2">
        <v>6.9999999999999997E-92</v>
      </c>
      <c r="U247" s="2">
        <v>99.6</v>
      </c>
      <c r="V247" s="2" t="s">
        <v>2084</v>
      </c>
      <c r="W247" s="10" t="s">
        <v>564</v>
      </c>
      <c r="X247" s="2" t="s">
        <v>212</v>
      </c>
      <c r="Y247" s="2" t="str">
        <f>HYPERLINK(".\links\COG\AGAP008537-PA-COG.txt","COG")</f>
        <v>COG</v>
      </c>
      <c r="Z247" s="13">
        <v>3.0000000000000001E-54</v>
      </c>
      <c r="AA247" s="2">
        <v>106</v>
      </c>
      <c r="AB247" s="14" t="str">
        <f>HYPERLINK(".\links\pep\AGAP008537-PA-sulf.txt","1")</f>
        <v>1</v>
      </c>
      <c r="AC247" s="14" t="str">
        <f>HYPERLINK(".\links\Sigp\AGAP008537-PA-SigP.txt","CYT")</f>
        <v>CYT</v>
      </c>
      <c r="AD247" s="2" t="s">
        <v>89</v>
      </c>
      <c r="AE247" s="2">
        <v>36.359000000000002</v>
      </c>
      <c r="AF247" s="2">
        <v>6</v>
      </c>
      <c r="AG247" s="2" t="s">
        <v>89</v>
      </c>
      <c r="AH247" s="2" t="s">
        <v>89</v>
      </c>
      <c r="AI247" s="2" t="s">
        <v>2085</v>
      </c>
      <c r="AJ247" s="14">
        <v>0</v>
      </c>
      <c r="AK247" s="2" t="s">
        <v>89</v>
      </c>
      <c r="AL247" s="2" t="s">
        <v>89</v>
      </c>
      <c r="AM247" s="2" t="s">
        <v>89</v>
      </c>
      <c r="AN247" s="14" t="str">
        <f>HYPERLINK(".\links\gpi\AGAP008537-PA-gpi.txt","N")</f>
        <v>N</v>
      </c>
      <c r="AO247" s="15" t="str">
        <f>HYPERLINK(".\links\netoglyc\AGAP008537-PA-netoglyc.txt","0")</f>
        <v>0</v>
      </c>
      <c r="AP247" s="14">
        <v>11</v>
      </c>
      <c r="AQ247" s="2">
        <v>6.4</v>
      </c>
      <c r="AR247" s="2">
        <v>4.5999999999999996</v>
      </c>
      <c r="AS247" s="2" t="s">
        <v>94</v>
      </c>
      <c r="AT247" s="9" t="str">
        <f>HYPERLINK(".\links\NR-LIGHT\AGAP008537-PA-NR-LIGHT.txt","AGAP008537-PA, partial")</f>
        <v>AGAP008537-PA, partial</v>
      </c>
      <c r="AU247" s="2" t="str">
        <f>HYPERLINK("http://www.ncbi.nlm.nih.gov/sutils/blink.cgi?pid=XP_316898.4","0.0")</f>
        <v>0.0</v>
      </c>
      <c r="AV247" s="2" t="str">
        <f>HYPERLINK("http://www.ncbi.nlm.nih.gov/protein/XP_316898.4","XP_316898.4")</f>
        <v>XP_316898.4</v>
      </c>
      <c r="AW247" s="2">
        <v>100</v>
      </c>
      <c r="AX247" s="2">
        <v>100</v>
      </c>
      <c r="AY247" s="2">
        <v>98</v>
      </c>
      <c r="AZ247" s="2" t="s">
        <v>95</v>
      </c>
      <c r="BA247" s="9" t="str">
        <f>HYPERLINK(".\links\REFSEQ-INVERTEBRATE\AGAP008537-PA-REFSEQ-INVERTEBRATE.txt","AGAP008537-PA, partial")</f>
        <v>AGAP008537-PA, partial</v>
      </c>
      <c r="BB247" s="2" t="str">
        <f>HYPERLINK("http://www.ncbi.nlm.nih.gov/sutils/blink.cgi?pid=XP_316898.4","0.0")</f>
        <v>0.0</v>
      </c>
      <c r="BC247" s="2" t="str">
        <f>HYPERLINK("http://www.ncbi.nlm.nih.gov/protein/XP_316898.4","XP_316898.4")</f>
        <v>XP_316898.4</v>
      </c>
      <c r="BD247" s="2">
        <v>100</v>
      </c>
      <c r="BE247" s="2">
        <v>100</v>
      </c>
      <c r="BF247" s="2">
        <v>98</v>
      </c>
      <c r="BG247" s="2" t="s">
        <v>95</v>
      </c>
      <c r="BH247" s="9" t="str">
        <f>HYPERLINK(".\links\REFSEQ-PROTOZOA\AGAP008537-PA-REFSEQ-PROTOZOA.txt","putative homocysteine S-methyltransferase")</f>
        <v>putative homocysteine S-methyltransferase</v>
      </c>
      <c r="BI247" s="2" t="str">
        <f>HYPERLINK("http://www.ncbi.nlm.nih.gov/sutils/blink.cgi?pid=XP_003874989.1","9E-046")</f>
        <v>9E-046</v>
      </c>
      <c r="BJ247" s="2" t="str">
        <f>HYPERLINK("http://www.ncbi.nlm.nih.gov/protein/XP_003874989.1","XP_003874989.1")</f>
        <v>XP_003874989.1</v>
      </c>
      <c r="BK247" s="2">
        <v>37</v>
      </c>
      <c r="BL247" s="2">
        <v>54</v>
      </c>
      <c r="BM247" s="2">
        <v>98</v>
      </c>
      <c r="BN247" s="2" t="s">
        <v>2086</v>
      </c>
      <c r="BO247" s="9" t="str">
        <f>HYPERLINK(".\links\SWISSP\AGAP008537-PA-SWISSP.txt","Homocysteine S-methyltransferase 1")</f>
        <v>Homocysteine S-methyltransferase 1</v>
      </c>
      <c r="BP247" s="2" t="str">
        <f>HYPERLINK("http://www.uniprot.org/uniprot/A4ZGQ8","6E-054")</f>
        <v>6E-054</v>
      </c>
      <c r="BQ247" s="2" t="str">
        <f>HYPERLINK("http://www.uniprot.org/uniprot/A4ZGQ8#expression","A4ZGQ8")</f>
        <v>A4ZGQ8</v>
      </c>
      <c r="BR247" s="2">
        <v>38</v>
      </c>
      <c r="BS247" s="2">
        <v>58</v>
      </c>
      <c r="BT247" s="2">
        <v>98</v>
      </c>
      <c r="BU247" s="2" t="s">
        <v>2087</v>
      </c>
      <c r="BV247" s="9" t="str">
        <f>HYPERLINK(".\links\FLYBASE\AGAP008537-PA-FLYBASE.txt","FBpp0309710")</f>
        <v>FBpp0309710</v>
      </c>
      <c r="BW247" s="2" t="str">
        <f>HYPERLINK("http://flybase.org/reports/FBgn0032726#alliance_summary_container","1E-149")</f>
        <v>1E-149</v>
      </c>
      <c r="BX247" s="2">
        <v>331</v>
      </c>
      <c r="BY247" s="2">
        <v>61</v>
      </c>
      <c r="BZ247" s="2">
        <v>77</v>
      </c>
      <c r="CA247" s="2">
        <v>96</v>
      </c>
      <c r="CB247" s="9" t="str">
        <f>HYPERLINK(".\links\CDD\AGAP008537-PA-CDD.txt","mmuM, homocysteine methyltransferase")</f>
        <v>mmuM, homocysteine methyltransferase</v>
      </c>
      <c r="CC247" s="13">
        <v>6.9999999999999996E-85</v>
      </c>
      <c r="CD247" s="2">
        <v>103.3</v>
      </c>
      <c r="CE247" s="2" t="s">
        <v>2088</v>
      </c>
      <c r="CF247" s="2" t="s">
        <v>2089</v>
      </c>
      <c r="CG247" s="9" t="str">
        <f>HYPERLINK(".\links\KOG\AGAP008537-PA-KOG.txt","Homocysteine S-methyltransferase")</f>
        <v>Homocysteine S-methyltransferase</v>
      </c>
      <c r="CH247" s="13">
        <v>6.9999999999999997E-92</v>
      </c>
      <c r="CI247" s="2">
        <v>99.7</v>
      </c>
      <c r="CJ247" s="2" t="s">
        <v>2090</v>
      </c>
      <c r="CK247" s="2" t="s">
        <v>393</v>
      </c>
      <c r="CL247" s="9" t="str">
        <f>HYPERLINK(".\links\PFAM\AGAP008537-PA-PFAM.txt","S-methyl_trans, Homocysteine S-methyltransferase")</f>
        <v>S-methyl_trans, Homocysteine S-methyltransferase</v>
      </c>
      <c r="CM247" s="13">
        <v>2E-70</v>
      </c>
      <c r="CN247" s="2">
        <v>115.9</v>
      </c>
      <c r="CO247" s="2" t="s">
        <v>2091</v>
      </c>
      <c r="CP247" s="9" t="str">
        <f>HYPERLINK(".\links\SMART\AGAP008537-PA-SMART.txt","AlaDh_PNT_N, Alanine dehydrogenase/PNT, N-terminal domain")</f>
        <v>AlaDh_PNT_N, Alanine dehydrogenase/PNT, N-terminal domain</v>
      </c>
      <c r="CQ247" s="13">
        <v>0.82</v>
      </c>
      <c r="CR247" s="2">
        <v>16.5</v>
      </c>
      <c r="CS247" s="2" t="s">
        <v>2092</v>
      </c>
      <c r="CT247" s="2" t="s">
        <v>2084</v>
      </c>
      <c r="CU247" s="2" t="s">
        <v>2084</v>
      </c>
      <c r="CV247" s="2" t="s">
        <v>2084</v>
      </c>
      <c r="CW247" s="2" t="str">
        <f>HYPERLINK(".\links\pep\AGAP008537-PA-pep.txt","AGAP008537-PA")</f>
        <v>AGAP008537-PA</v>
      </c>
      <c r="CX247" s="2" t="s">
        <v>88</v>
      </c>
      <c r="CY247" s="2">
        <v>326</v>
      </c>
      <c r="CZ247" s="2" t="s">
        <v>103</v>
      </c>
      <c r="DA247" s="2" t="s">
        <v>2093</v>
      </c>
      <c r="DB247" s="2">
        <v>0</v>
      </c>
      <c r="DC247" s="2">
        <v>2</v>
      </c>
      <c r="DD247" s="2" t="str">
        <f>HYPERLINK("https://www.kegg.jp/kegg-bin/search_pathway_text?map=aga&amp;keyword=AGAP008537&amp;mode=1&amp;viewImage=true","AGAP008537")</f>
        <v>AGAP008537</v>
      </c>
      <c r="DE247" s="2" t="s">
        <v>2080</v>
      </c>
      <c r="DF247" s="2" t="s">
        <v>2081</v>
      </c>
      <c r="DG247" s="2" t="s">
        <v>87</v>
      </c>
      <c r="DH247" s="2" t="str">
        <f>HYPERLINK("https://vectorbase.org/vectorbase/app/record/gene/AGAP008537","AGAP008537-RA")</f>
        <v>AGAP008537-RA</v>
      </c>
      <c r="DI247" s="2" t="s">
        <v>158</v>
      </c>
      <c r="DJ247" s="2">
        <v>1197</v>
      </c>
      <c r="DK247" s="2" t="str">
        <f>HYPERLINK(".\links\netoglyc\AGAP008537-PA-netoglyc.txt","0")</f>
        <v>0</v>
      </c>
      <c r="DL247" s="2">
        <v>11</v>
      </c>
      <c r="DM247" s="2">
        <v>6.4</v>
      </c>
      <c r="DN247" s="2">
        <v>4.5999999999999996</v>
      </c>
      <c r="DO247" s="2" t="s">
        <v>94</v>
      </c>
      <c r="DP247" s="2" t="s">
        <v>89</v>
      </c>
      <c r="DQ247" s="2" t="str">
        <f>HYPERLINK(".\links\Sigp\AGAP008537-PA-SigP.txt","CYT")</f>
        <v>CYT</v>
      </c>
      <c r="DR247" s="2" t="s">
        <v>89</v>
      </c>
      <c r="DS247" s="2">
        <v>36.359000000000002</v>
      </c>
      <c r="DT247" s="2">
        <v>6</v>
      </c>
      <c r="DU247" s="2" t="s">
        <v>89</v>
      </c>
      <c r="DV247" s="2" t="s">
        <v>89</v>
      </c>
      <c r="DW247" s="2" t="s">
        <v>2085</v>
      </c>
      <c r="DX247" s="2">
        <v>326</v>
      </c>
      <c r="DY247" s="12">
        <v>0</v>
      </c>
      <c r="DZ247" s="2" t="s">
        <v>89</v>
      </c>
      <c r="EA247" s="2" t="s">
        <v>89</v>
      </c>
      <c r="EB247" s="2" t="s">
        <v>89</v>
      </c>
      <c r="EC247" s="2" t="str">
        <f>HYPERLINK(".\links\gpi\AGAP008537-PA-gpi.txt","N")</f>
        <v>N</v>
      </c>
      <c r="ED247" s="2">
        <v>0.18</v>
      </c>
      <c r="EF247" s="2">
        <v>10</v>
      </c>
      <c r="EG247" s="2" t="str">
        <f>HYPERLINK(".\links\pep\AGAP008537-PA-sulf.txt","1")</f>
        <v>1</v>
      </c>
      <c r="EH247" s="2" t="s">
        <v>89</v>
      </c>
      <c r="EI247" s="2">
        <v>11.0429447852761</v>
      </c>
      <c r="EJ247" s="2">
        <v>4.6012269938650299</v>
      </c>
      <c r="EK247" s="2">
        <v>6.4417177914110404</v>
      </c>
      <c r="EL247" s="2">
        <v>11.0429447852761</v>
      </c>
      <c r="EM247" s="2" t="s">
        <v>89</v>
      </c>
      <c r="EN247" s="2" t="s">
        <v>89</v>
      </c>
      <c r="EO247" s="2" t="s">
        <v>89</v>
      </c>
      <c r="EP247" s="2" t="s">
        <v>89</v>
      </c>
      <c r="EQ247" s="2" t="s">
        <v>89</v>
      </c>
      <c r="ER247" s="2" t="s">
        <v>89</v>
      </c>
      <c r="ES247" s="2" t="s">
        <v>89</v>
      </c>
      <c r="ET247" s="2" t="str">
        <f>HYPERLINK(".\links\REFSEQ-INVERTEBRATE\AGAP008537-PA-REFSEQ-INVERTEBRATE.txt","AGAP008537-PA, partial")</f>
        <v>AGAP008537-PA, partial</v>
      </c>
      <c r="EU247" s="2" t="str">
        <f>HYPERLINK("http://www.ncbi.nlm.nih.gov/sutils/blink.cgi?pid=XP_316898.4","0.0")</f>
        <v>0.0</v>
      </c>
      <c r="EV247" s="2" t="str">
        <f>HYPERLINK("http://www.ncbi.nlm.nih.gov/protein/XP_316898.4","XP_316898.4")</f>
        <v>XP_316898.4</v>
      </c>
      <c r="EW247" s="2">
        <v>100</v>
      </c>
      <c r="EX247" s="2">
        <v>100</v>
      </c>
      <c r="EY247" s="2">
        <v>98</v>
      </c>
      <c r="EZ247" s="2" t="s">
        <v>95</v>
      </c>
    </row>
    <row r="248" spans="1:156" x14ac:dyDescent="0.25">
      <c r="A248" s="2" t="s">
        <v>1685</v>
      </c>
      <c r="B248" s="2">
        <v>-1.2169495761</v>
      </c>
      <c r="C248" s="2">
        <f t="shared" si="3"/>
        <v>0.43019135074007087</v>
      </c>
      <c r="D248" s="2">
        <v>7.0770068312925298</v>
      </c>
      <c r="E248" s="2">
        <v>16.725307873395199</v>
      </c>
      <c r="F248" s="2">
        <v>4.3200849417443697E-5</v>
      </c>
      <c r="G248" s="2">
        <v>5.0458718121086698E-3</v>
      </c>
      <c r="H248" s="2" t="s">
        <v>1686</v>
      </c>
      <c r="I248" s="2" t="s">
        <v>87</v>
      </c>
      <c r="J248" s="2" t="str">
        <f>HYPERLINK("https://vectorbase.org/vectorbase/app/record/gene/AGAP006630","AGAP006630-RA")</f>
        <v>AGAP006630-RA</v>
      </c>
      <c r="K248" s="2" t="str">
        <f>HYPERLINK(".\links\pep\AGAP006630-PA-pep.txt","AGAP006630-PA")</f>
        <v>AGAP006630-PA</v>
      </c>
      <c r="L248" s="12" t="s">
        <v>88</v>
      </c>
      <c r="M248" s="2">
        <v>70</v>
      </c>
      <c r="N248" s="2">
        <v>0</v>
      </c>
      <c r="O248" s="2">
        <v>0</v>
      </c>
      <c r="P248" s="2" t="s">
        <v>1687</v>
      </c>
      <c r="Q248" s="9" t="s">
        <v>399</v>
      </c>
      <c r="R248" s="2" t="s">
        <v>400</v>
      </c>
      <c r="S248" s="2" t="str">
        <f>HYPERLINK(".\links\REFSEQ-INVERTEBRATE\AGAP006630-PA-REFSEQ-INVERTEBRATE.txt","REFSEQ-INVERTEBRATE")</f>
        <v>REFSEQ-INVERTEBRATE</v>
      </c>
      <c r="T248" s="2">
        <v>1E-35</v>
      </c>
      <c r="V248" s="2" t="s">
        <v>1688</v>
      </c>
      <c r="W248" s="10" t="s">
        <v>1689</v>
      </c>
      <c r="X248" s="2" t="s">
        <v>902</v>
      </c>
      <c r="Y248" s="2" t="str">
        <f>HYPERLINK(".\links\PFAM\AGAP006630-PA-PFAM.txt","PFAM")</f>
        <v>PFAM</v>
      </c>
      <c r="Z248" s="2">
        <v>1.0000000000000001E-15</v>
      </c>
      <c r="AA248" s="2">
        <v>100</v>
      </c>
      <c r="AB248" s="14" t="s">
        <v>89</v>
      </c>
      <c r="AC248" s="14" t="str">
        <f>HYPERLINK(".\links\Sigp\AGAP006630-PA-SigP.txt","SIG")</f>
        <v>SIG</v>
      </c>
      <c r="AD248" s="2" t="s">
        <v>1690</v>
      </c>
      <c r="AE248" s="2">
        <v>8.2469999999999999</v>
      </c>
      <c r="AF248" s="2">
        <v>6.53</v>
      </c>
      <c r="AG248" s="2">
        <v>6.2839999999999998</v>
      </c>
      <c r="AH248" s="2">
        <v>8.1</v>
      </c>
      <c r="AI248" s="2" t="s">
        <v>1691</v>
      </c>
      <c r="AJ248" s="14" t="str">
        <f>HYPERLINK(".\links\tmhmm\AGAP006630-PA-tmhmm.txt","1")</f>
        <v>1</v>
      </c>
      <c r="AK248" s="2">
        <v>31.4</v>
      </c>
      <c r="AL248" s="2">
        <v>7.1</v>
      </c>
      <c r="AM248" s="2">
        <v>61.4</v>
      </c>
      <c r="AN248" s="14" t="str">
        <f>HYPERLINK(".\links\gpi\AGAP006630-PA-gpi.txt","N")</f>
        <v>N</v>
      </c>
      <c r="AO248" s="15" t="str">
        <f>HYPERLINK(".\links\netoglyc\AGAP006630-PA-netoglyc.txt","0")</f>
        <v>0</v>
      </c>
      <c r="AP248" s="14">
        <v>11.4</v>
      </c>
      <c r="AQ248" s="2">
        <v>7.1</v>
      </c>
      <c r="AR248" s="2">
        <v>5.7</v>
      </c>
      <c r="AS248" s="2" t="s">
        <v>94</v>
      </c>
      <c r="AT248" s="9" t="str">
        <f>HYPERLINK(".\links\NR-LIGHT\AGAP006630-PA-NR-LIGHT.txt","AGAP006630-PA")</f>
        <v>AGAP006630-PA</v>
      </c>
      <c r="AU248" s="2" t="str">
        <f>HYPERLINK("http://www.ncbi.nlm.nih.gov/sutils/blink.cgi?pid=XP_316660.2","2E-035")</f>
        <v>2E-035</v>
      </c>
      <c r="AV248" s="2" t="str">
        <f>HYPERLINK("http://www.ncbi.nlm.nih.gov/protein/XP_316660.2","XP_316660.2")</f>
        <v>XP_316660.2</v>
      </c>
      <c r="AW248" s="2">
        <v>100</v>
      </c>
      <c r="AX248" s="2">
        <v>100</v>
      </c>
      <c r="AY248" s="2">
        <v>100</v>
      </c>
      <c r="AZ248" s="2" t="s">
        <v>95</v>
      </c>
      <c r="BA248" s="9" t="str">
        <f>HYPERLINK(".\links\REFSEQ-INVERTEBRATE\AGAP006630-PA-REFSEQ-INVERTEBRATE.txt","AGAP006630-PA")</f>
        <v>AGAP006630-PA</v>
      </c>
      <c r="BB248" s="2" t="str">
        <f>HYPERLINK("http://www.ncbi.nlm.nih.gov/sutils/blink.cgi?pid=XP_316660.2","1E-035")</f>
        <v>1E-035</v>
      </c>
      <c r="BC248" s="2" t="str">
        <f>HYPERLINK("http://www.ncbi.nlm.nih.gov/protein/XP_316660.2","XP_316660.2")</f>
        <v>XP_316660.2</v>
      </c>
      <c r="BD248" s="2">
        <v>100</v>
      </c>
      <c r="BE248" s="2">
        <v>100</v>
      </c>
      <c r="BF248" s="2">
        <v>100</v>
      </c>
      <c r="BG248" s="2" t="s">
        <v>95</v>
      </c>
      <c r="BH248" s="9" t="str">
        <f>HYPERLINK(".\links\REFSEQ-PROTOZOA\AGAP006630-PA-REFSEQ-PROTOZOA.txt","similar to NADH dehydrogenase I alpha subcomplex 1")</f>
        <v>similar to NADH dehydrogenase I alpha subcomplex 1</v>
      </c>
      <c r="BI248" s="2" t="str">
        <f>HYPERLINK("http://www.ncbi.nlm.nih.gov/sutils/blink.cgi?pid=XP_005536549.1","0.005")</f>
        <v>0.005</v>
      </c>
      <c r="BJ248" s="2" t="str">
        <f>HYPERLINK("http://www.ncbi.nlm.nih.gov/protein/XP_005536549.1","XP_005536549.1")</f>
        <v>XP_005536549.1</v>
      </c>
      <c r="BK248" s="2">
        <v>37</v>
      </c>
      <c r="BL248" s="2">
        <v>54</v>
      </c>
      <c r="BM248" s="2">
        <v>87</v>
      </c>
      <c r="BN248" s="2" t="s">
        <v>1692</v>
      </c>
      <c r="BO248" s="9" t="str">
        <f>HYPERLINK(".\links\SWISSP\AGAP006630-PA-SWISSP.txt","NADH dehydrogenase [ubiquinone] 1 alpha subcomplex subunit 1")</f>
        <v>NADH dehydrogenase [ubiquinone] 1 alpha subcomplex subunit 1</v>
      </c>
      <c r="BP248" s="2" t="str">
        <f>HYPERLINK("http://www.uniprot.org/uniprot/Q9WU08","4E-004")</f>
        <v>4E-004</v>
      </c>
      <c r="BQ248" s="2" t="str">
        <f>HYPERLINK("http://www.uniprot.org/uniprot/Q9WU08#expression","Q9WU08")</f>
        <v>Q9WU08</v>
      </c>
      <c r="BR248" s="2">
        <v>36</v>
      </c>
      <c r="BS248" s="2">
        <v>50</v>
      </c>
      <c r="BT248" s="2">
        <v>99</v>
      </c>
      <c r="BU248" s="2" t="s">
        <v>1693</v>
      </c>
      <c r="BV248" s="9" t="str">
        <f>HYPERLINK(".\links\FLYBASE\AGAP006630-PA-FLYBASE.txt","FBpp0111653")</f>
        <v>FBpp0111653</v>
      </c>
      <c r="BW248" s="2" t="str">
        <f>HYPERLINK("http://flybase.org/reports/FBgn0085468#alliance_summary_container","2E-30")</f>
        <v>2E-30</v>
      </c>
      <c r="BX248" s="2">
        <v>123</v>
      </c>
      <c r="BY248" s="2">
        <v>65</v>
      </c>
      <c r="BZ248" s="2">
        <v>78</v>
      </c>
      <c r="CA248" s="2">
        <v>57</v>
      </c>
      <c r="CB248" s="9" t="str">
        <f>HYPERLINK(".\links\CDD\AGAP006630-PA-CDD.txt","MWFE, NADH-ubiquinone oxidoreductase MWFE subunit")</f>
        <v>MWFE, NADH-ubiquinone oxidoreductase MWFE subunit</v>
      </c>
      <c r="CC248" s="13">
        <v>2E-16</v>
      </c>
      <c r="CD248" s="2">
        <v>100</v>
      </c>
      <c r="CE248" s="2" t="s">
        <v>1694</v>
      </c>
      <c r="CF248" s="2" t="s">
        <v>1695</v>
      </c>
      <c r="CG248" s="9" t="str">
        <f>HYPERLINK(".\links\KOG\AGAP006630-PA-KOG.txt","DEAD box RNA helicase")</f>
        <v>DEAD box RNA helicase</v>
      </c>
      <c r="CH248" s="13">
        <v>1.8</v>
      </c>
      <c r="CI248" s="2">
        <v>2</v>
      </c>
      <c r="CJ248" s="2" t="s">
        <v>1696</v>
      </c>
      <c r="CK248" s="2" t="s">
        <v>187</v>
      </c>
      <c r="CL248" s="9" t="str">
        <f>HYPERLINK(".\links\PFAM\AGAP006630-PA-PFAM.txt","MWFE, NADH-ubiquinone oxidoreductase MWFE subunit")</f>
        <v>MWFE, NADH-ubiquinone oxidoreductase MWFE subunit</v>
      </c>
      <c r="CM248" s="13">
        <v>4.0000000000000003E-17</v>
      </c>
      <c r="CN248" s="2">
        <v>100</v>
      </c>
      <c r="CO248" s="2" t="s">
        <v>1694</v>
      </c>
      <c r="CP248" s="9" t="str">
        <f>HYPERLINK(".\links\SMART\AGAP006630-PA-SMART.txt","Piwi, This domain is found in the protein Piwi and its relatives")</f>
        <v>Piwi, This domain is found in the protein Piwi and its relatives</v>
      </c>
      <c r="CQ248" s="13">
        <v>1.9</v>
      </c>
      <c r="CR248" s="2">
        <v>7</v>
      </c>
      <c r="CS248" s="2" t="s">
        <v>598</v>
      </c>
      <c r="CT248" s="2" t="s">
        <v>1688</v>
      </c>
      <c r="CU248" s="2" t="s">
        <v>1688</v>
      </c>
      <c r="CV248" s="2" t="s">
        <v>1688</v>
      </c>
      <c r="CW248" s="2" t="str">
        <f>HYPERLINK(".\links\pep\AGAP006630-PA-pep.txt","AGAP006630-PA")</f>
        <v>AGAP006630-PA</v>
      </c>
      <c r="CX248" s="2" t="s">
        <v>88</v>
      </c>
      <c r="CY248" s="2">
        <v>70</v>
      </c>
      <c r="CZ248" s="2" t="s">
        <v>103</v>
      </c>
      <c r="DA248" s="2" t="s">
        <v>1697</v>
      </c>
      <c r="DB248" s="2">
        <v>0</v>
      </c>
      <c r="DC248" s="2">
        <v>0</v>
      </c>
      <c r="DD248" s="2" t="str">
        <f>HYPERLINK("https://www.kegg.jp/kegg-bin/search_pathway_text?map=aga&amp;keyword=AGAP006630&amp;mode=1&amp;viewImage=true","AGAP006630")</f>
        <v>AGAP006630</v>
      </c>
      <c r="DE248" s="2" t="s">
        <v>1685</v>
      </c>
      <c r="DF248" s="2" t="s">
        <v>1686</v>
      </c>
      <c r="DG248" s="2" t="s">
        <v>87</v>
      </c>
      <c r="DH248" s="2" t="str">
        <f>HYPERLINK("https://vectorbase.org/vectorbase/app/record/gene/AGAP006630","AGAP006630-RA")</f>
        <v>AGAP006630-RA</v>
      </c>
      <c r="DI248" s="2" t="s">
        <v>140</v>
      </c>
      <c r="DJ248" s="2">
        <v>381</v>
      </c>
      <c r="DK248" s="2" t="str">
        <f>HYPERLINK(".\links\netoglyc\AGAP006630-PA-netoglyc.txt","0")</f>
        <v>0</v>
      </c>
      <c r="DL248" s="2">
        <v>11.4</v>
      </c>
      <c r="DM248" s="2">
        <v>7.1</v>
      </c>
      <c r="DN248" s="2">
        <v>5.7</v>
      </c>
      <c r="DO248" s="2" t="s">
        <v>94</v>
      </c>
      <c r="DP248" s="2" t="s">
        <v>89</v>
      </c>
      <c r="DQ248" s="2" t="str">
        <f>HYPERLINK(".\links\Sigp\AGAP006630-PA-SigP.txt","SIG")</f>
        <v>SIG</v>
      </c>
      <c r="DR248" s="2" t="s">
        <v>1690</v>
      </c>
      <c r="DS248" s="2">
        <v>8.2469999999999999</v>
      </c>
      <c r="DT248" s="2">
        <v>6.53</v>
      </c>
      <c r="DU248" s="2">
        <v>6.2839999999999998</v>
      </c>
      <c r="DV248" s="2">
        <v>8.1</v>
      </c>
      <c r="DW248" s="2" t="s">
        <v>1691</v>
      </c>
      <c r="DX248" s="2">
        <v>70</v>
      </c>
      <c r="DY248" s="12" t="str">
        <f>HYPERLINK(".\links\tmhmm\AGAP006630-PA-tmhmm.txt","1")</f>
        <v>1</v>
      </c>
      <c r="DZ248" s="2">
        <v>31.4</v>
      </c>
      <c r="EA248" s="2">
        <v>7.1</v>
      </c>
      <c r="EB248" s="2">
        <v>61.4</v>
      </c>
      <c r="EC248" s="2" t="str">
        <f>HYPERLINK(".\links\gpi\AGAP006630-PA-gpi.txt","Y-NoSP")</f>
        <v>Y-NoSP</v>
      </c>
      <c r="ED248" s="2">
        <v>0.41</v>
      </c>
      <c r="EF248" s="2">
        <v>1</v>
      </c>
      <c r="EG248" s="2" t="s">
        <v>89</v>
      </c>
      <c r="EH248" s="2" t="s">
        <v>89</v>
      </c>
      <c r="EI248" s="2">
        <v>11.4285714285714</v>
      </c>
      <c r="EJ248" s="2">
        <v>5.71428571428571</v>
      </c>
      <c r="EK248" s="2">
        <v>7.1428571428571397</v>
      </c>
      <c r="EL248" s="2">
        <v>12.8571428571429</v>
      </c>
      <c r="EM248" s="2" t="s">
        <v>89</v>
      </c>
      <c r="EN248" s="2" t="s">
        <v>89</v>
      </c>
      <c r="EO248" s="2">
        <v>1</v>
      </c>
      <c r="EP248" s="2" t="s">
        <v>89</v>
      </c>
      <c r="EQ248" s="2" t="s">
        <v>89</v>
      </c>
      <c r="ER248" s="2" t="s">
        <v>89</v>
      </c>
      <c r="ES248" s="2" t="s">
        <v>89</v>
      </c>
      <c r="ET248" s="2" t="str">
        <f>HYPERLINK(".\links\REFSEQ-INVERTEBRATE\AGAP006630-PA-REFSEQ-INVERTEBRATE.txt","AGAP006630-PA")</f>
        <v>AGAP006630-PA</v>
      </c>
      <c r="EU248" s="2" t="str">
        <f>HYPERLINK("http://www.ncbi.nlm.nih.gov/sutils/blink.cgi?pid=XP_316660.2","6E-47")</f>
        <v>6E-47</v>
      </c>
      <c r="EV248" s="2" t="str">
        <f>HYPERLINK("http://www.ncbi.nlm.nih.gov/protein/XP_316660.2","XP_316660.2")</f>
        <v>XP_316660.2</v>
      </c>
      <c r="EW248" s="2">
        <v>100</v>
      </c>
      <c r="EX248" s="2">
        <v>100</v>
      </c>
      <c r="EY248" s="2">
        <v>100</v>
      </c>
      <c r="EZ248" s="2" t="s">
        <v>95</v>
      </c>
    </row>
    <row r="249" spans="1:156" x14ac:dyDescent="0.25">
      <c r="A249" s="2" t="s">
        <v>3039</v>
      </c>
      <c r="B249" s="2">
        <v>-1.23447097358289</v>
      </c>
      <c r="C249" s="2">
        <f t="shared" si="3"/>
        <v>0.42499831497849128</v>
      </c>
      <c r="D249" s="2">
        <v>13.440506225540201</v>
      </c>
      <c r="E249" s="2">
        <v>28.255161040126001</v>
      </c>
      <c r="F249" s="2">
        <v>1.06330742660852E-7</v>
      </c>
      <c r="G249" s="2">
        <v>1.25789268567787E-4</v>
      </c>
      <c r="H249" s="2" t="s">
        <v>3040</v>
      </c>
      <c r="I249" s="2" t="s">
        <v>89</v>
      </c>
      <c r="J249" s="2" t="str">
        <f>HYPERLINK("https://vectorbase.org/vectorbase/app/record/gene/AGAP028371","AGAP028371-RA")</f>
        <v>AGAP028371-RA</v>
      </c>
      <c r="K249" s="2" t="str">
        <f>HYPERLINK(".\links\pep\AGAP028371-PA-pep.txt","AGAP028371-PA")</f>
        <v>AGAP028371-PA</v>
      </c>
      <c r="L249" s="12" t="s">
        <v>88</v>
      </c>
      <c r="M249" s="2">
        <v>262</v>
      </c>
      <c r="N249" s="2">
        <v>0</v>
      </c>
      <c r="O249" s="2">
        <v>0</v>
      </c>
      <c r="P249" s="2" t="s">
        <v>3041</v>
      </c>
      <c r="Q249" s="9" t="s">
        <v>3042</v>
      </c>
      <c r="R249" s="2" t="s">
        <v>3043</v>
      </c>
      <c r="S249" s="2" t="str">
        <f>HYPERLINK(".\links\KOG\AGAP028371-PA-KOG.txt","KOG")</f>
        <v>KOG</v>
      </c>
      <c r="T249" s="2">
        <v>0</v>
      </c>
      <c r="U249" s="2">
        <v>99.6</v>
      </c>
      <c r="V249" s="2" t="s">
        <v>3044</v>
      </c>
      <c r="W249" s="10" t="s">
        <v>3045</v>
      </c>
      <c r="X249" s="2" t="s">
        <v>3043</v>
      </c>
      <c r="Y249" s="2" t="str">
        <f>HYPERLINK(".\links\COG\AGAP028371-PA-COG.txt","COG")</f>
        <v>COG</v>
      </c>
      <c r="Z249" s="13">
        <v>2.0000000000000001E-33</v>
      </c>
      <c r="AA249" s="2">
        <v>100.9</v>
      </c>
      <c r="AB249" s="14" t="s">
        <v>89</v>
      </c>
      <c r="AC249" s="14" t="str">
        <f>HYPERLINK(".\links\Sigp\AGAP028371-PA-SigP.txt","CYT")</f>
        <v>CYT</v>
      </c>
      <c r="AD249" s="2" t="s">
        <v>89</v>
      </c>
      <c r="AE249" s="2">
        <v>30.157</v>
      </c>
      <c r="AF249" s="2">
        <v>6.2</v>
      </c>
      <c r="AG249" s="2" t="s">
        <v>89</v>
      </c>
      <c r="AH249" s="2" t="s">
        <v>89</v>
      </c>
      <c r="AI249" s="2" t="s">
        <v>3046</v>
      </c>
      <c r="AJ249" s="14" t="str">
        <f>HYPERLINK(".\links\tmhmm\AGAP028371-PA-tmhmm.txt","6")</f>
        <v>6</v>
      </c>
      <c r="AK249" s="2">
        <v>48.1</v>
      </c>
      <c r="AL249" s="2">
        <v>27.9</v>
      </c>
      <c r="AM249" s="2">
        <v>24</v>
      </c>
      <c r="AN249" s="14" t="str">
        <f>HYPERLINK(".\links\gpi\AGAP028371-PA-gpi.txt","Y")</f>
        <v>Y</v>
      </c>
      <c r="AO249" s="15" t="str">
        <f>HYPERLINK(".\links\netoglyc\AGAP028371-PA-netoglyc.txt","2")</f>
        <v>2</v>
      </c>
      <c r="AP249" s="14">
        <v>14.9</v>
      </c>
      <c r="AQ249" s="2">
        <v>7.6</v>
      </c>
      <c r="AR249" s="2">
        <v>3.8</v>
      </c>
      <c r="AS249" s="2" t="s">
        <v>94</v>
      </c>
      <c r="AT249" s="9" t="str">
        <f>HYPERLINK(".\links\NR-LIGHT\AGAP028371-PA-NR-LIGHT.txt","COX3 gene product (mitochondrion)")</f>
        <v>COX3 gene product (mitochondrion)</v>
      </c>
      <c r="AU249" s="2" t="str">
        <f>HYPERLINK("http://www.ncbi.nlm.nih.gov/sutils/blink.cgi?pid=NP_008074.1","1E-158")</f>
        <v>1E-158</v>
      </c>
      <c r="AV249" s="2" t="str">
        <f>HYPERLINK("http://www.ncbi.nlm.nih.gov/protein/NP_008074.1","NP_008074.1")</f>
        <v>NP_008074.1</v>
      </c>
      <c r="AW249" s="2">
        <v>100</v>
      </c>
      <c r="AX249" s="2">
        <v>100</v>
      </c>
      <c r="AY249" s="2">
        <v>100</v>
      </c>
      <c r="AZ249" s="2" t="s">
        <v>215</v>
      </c>
      <c r="BA249" s="9" t="str">
        <f>HYPERLINK(".\links\REFSEQ-INVERTEBRATE\AGAP028371-PA-REFSEQ-INVERTEBRATE.txt","cytochrome c oxidase subunit III (mitochondrion)")</f>
        <v>cytochrome c oxidase subunit III (mitochondrion)</v>
      </c>
      <c r="BB249" s="2" t="str">
        <f>HYPERLINK("http://www.ncbi.nlm.nih.gov/sutils/blink.cgi?pid=YP_009176668.1","1E-158")</f>
        <v>1E-158</v>
      </c>
      <c r="BC249" s="2" t="str">
        <f>HYPERLINK("http://www.ncbi.nlm.nih.gov/protein/YP_009176668.1","YP_009176668.1")</f>
        <v>YP_009176668.1</v>
      </c>
      <c r="BD249" s="2">
        <v>100</v>
      </c>
      <c r="BE249" s="2">
        <v>100</v>
      </c>
      <c r="BF249" s="2">
        <v>100</v>
      </c>
      <c r="BG249" s="2" t="s">
        <v>3047</v>
      </c>
      <c r="BH249" s="9" t="str">
        <f>HYPERLINK(".\links\REFSEQ-PROTOZOA\AGAP028371-PA-REFSEQ-PROTOZOA.txt","cytochrome c oxidase subunit III (mitochondrion)")</f>
        <v>cytochrome c oxidase subunit III (mitochondrion)</v>
      </c>
      <c r="BI249" s="2" t="str">
        <f>HYPERLINK("http://www.ncbi.nlm.nih.gov/sutils/blink.cgi?pid=YP_009446442.1","1E-101")</f>
        <v>1E-101</v>
      </c>
      <c r="BJ249" s="2" t="str">
        <f>HYPERLINK("http://www.ncbi.nlm.nih.gov/protein/YP_009446442.1","YP_009446442.1")</f>
        <v>YP_009446442.1</v>
      </c>
      <c r="BK249" s="2">
        <v>62</v>
      </c>
      <c r="BL249" s="2">
        <v>77</v>
      </c>
      <c r="BM249" s="2">
        <v>98</v>
      </c>
      <c r="BN249" s="2" t="s">
        <v>3048</v>
      </c>
      <c r="BO249" s="9" t="str">
        <f>HYPERLINK(".\links\SWISSP\AGAP028371-PA-SWISSP.txt","Cytochrome c oxidase subunit 3")</f>
        <v>Cytochrome c oxidase subunit 3</v>
      </c>
      <c r="BP249" s="2" t="str">
        <f>HYPERLINK("http://www.uniprot.org/uniprot/P34842","1E-159")</f>
        <v>1E-159</v>
      </c>
      <c r="BQ249" s="2" t="str">
        <f>HYPERLINK("http://www.uniprot.org/uniprot/P34842#expression","P34842")</f>
        <v>P34842</v>
      </c>
      <c r="BR249" s="2">
        <v>100</v>
      </c>
      <c r="BS249" s="2">
        <v>100</v>
      </c>
      <c r="BT249" s="2">
        <v>100</v>
      </c>
      <c r="BU249" s="2" t="s">
        <v>215</v>
      </c>
      <c r="BV249" s="9" t="str">
        <f>HYPERLINK(".\links\FLYBASE\AGAP028371-PA-FLYBASE.txt","FBpp0100180")</f>
        <v>FBpp0100180</v>
      </c>
      <c r="BW249" s="2" t="str">
        <f>HYPERLINK("http://flybase.org/reports/FBgn0013676#alliance_summary_container","1E-164")</f>
        <v>1E-164</v>
      </c>
      <c r="BX249" s="2">
        <v>262</v>
      </c>
      <c r="BY249" s="2">
        <v>86</v>
      </c>
      <c r="BZ249" s="2">
        <v>96</v>
      </c>
      <c r="CA249" s="2">
        <v>100</v>
      </c>
      <c r="CB249" s="9" t="str">
        <f>HYPERLINK(".\links\CDD\AGAP028371-PA-CDD.txt","COX3, cytochrome c oxidase subunit III")</f>
        <v>COX3, cytochrome c oxidase subunit III</v>
      </c>
      <c r="CC249" s="13">
        <v>1E-134</v>
      </c>
      <c r="CD249" s="2">
        <v>100</v>
      </c>
      <c r="CE249" s="2" t="s">
        <v>3049</v>
      </c>
      <c r="CF249" s="2" t="s">
        <v>3050</v>
      </c>
      <c r="CG249" s="9" t="str">
        <f>HYPERLINK(".\links\KOG\AGAP028371-PA-KOG.txt","Cytochrome oxidase subunit III and related proteins")</f>
        <v>Cytochrome oxidase subunit III and related proteins</v>
      </c>
      <c r="CH249" s="13">
        <v>9.9999999999999993E-105</v>
      </c>
      <c r="CI249" s="2">
        <v>99.6</v>
      </c>
      <c r="CJ249" s="2" t="s">
        <v>3051</v>
      </c>
      <c r="CK249" s="2" t="s">
        <v>155</v>
      </c>
      <c r="CL249" s="9" t="str">
        <f>HYPERLINK(".\links\PFAM\AGAP028371-PA-PFAM.txt","COX3, Cytochrome c oxidase subunit III")</f>
        <v>COX3, Cytochrome c oxidase subunit III</v>
      </c>
      <c r="CM249" s="13">
        <v>1.0000000000000001E-111</v>
      </c>
      <c r="CN249" s="2">
        <v>100</v>
      </c>
      <c r="CO249" s="2" t="s">
        <v>3052</v>
      </c>
      <c r="CP249" s="9" t="str">
        <f>HYPERLINK(".\links\SMART\AGAP028371-PA-SMART.txt","MYSc, Myosin")</f>
        <v>MYSc, Myosin</v>
      </c>
      <c r="CQ249" s="13">
        <v>1.2</v>
      </c>
      <c r="CR249" s="2">
        <v>2.4</v>
      </c>
      <c r="CS249" s="2" t="s">
        <v>1029</v>
      </c>
      <c r="CT249" s="2" t="s">
        <v>3044</v>
      </c>
      <c r="CU249" s="2" t="s">
        <v>3044</v>
      </c>
      <c r="CV249" s="2" t="s">
        <v>3044</v>
      </c>
      <c r="CW249" s="2" t="str">
        <f>HYPERLINK(".\links\pep\AGAP028371-PA-pep.txt","AGAP028371-PA")</f>
        <v>AGAP028371-PA</v>
      </c>
      <c r="CX249" s="2" t="s">
        <v>88</v>
      </c>
      <c r="CY249" s="2">
        <v>262</v>
      </c>
      <c r="CZ249" s="2" t="s">
        <v>103</v>
      </c>
      <c r="DA249" s="2">
        <v>0</v>
      </c>
      <c r="DB249" s="2">
        <v>0</v>
      </c>
      <c r="DD249" s="2" t="str">
        <f>HYPERLINK("https://www.kegg.jp/kegg-bin/search_pathway_text?map=aga&amp;keyword=AGAP028371&amp;mode=1&amp;viewImage=true","AGAP028371")</f>
        <v>AGAP028371</v>
      </c>
      <c r="DE249" s="2" t="s">
        <v>3039</v>
      </c>
      <c r="DF249" s="2" t="s">
        <v>3040</v>
      </c>
      <c r="DG249" s="2" t="s">
        <v>89</v>
      </c>
      <c r="DH249" s="2" t="str">
        <f>HYPERLINK("https://vectorbase.org/vectorbase/app/record/gene/AGAP028371","AGAP028371-RA")</f>
        <v>AGAP028371-RA</v>
      </c>
      <c r="DI249" s="2" t="s">
        <v>140</v>
      </c>
      <c r="DJ249" s="2">
        <v>789</v>
      </c>
      <c r="DK249" s="2" t="str">
        <f>HYPERLINK(".\links\netoglyc\AGAP028371-PA-netoglyc.txt","2")</f>
        <v>2</v>
      </c>
      <c r="DL249" s="2">
        <v>14.9</v>
      </c>
      <c r="DM249" s="2">
        <v>7.6</v>
      </c>
      <c r="DN249" s="2">
        <v>3.8</v>
      </c>
      <c r="DO249" s="2" t="s">
        <v>94</v>
      </c>
      <c r="DP249" s="2" t="s">
        <v>89</v>
      </c>
      <c r="DQ249" s="2" t="str">
        <f>HYPERLINK(".\links\Sigp\AGAP028371-PA-SigP.txt","CYT")</f>
        <v>CYT</v>
      </c>
      <c r="DR249" s="2" t="s">
        <v>89</v>
      </c>
      <c r="DS249" s="2">
        <v>30.157</v>
      </c>
      <c r="DT249" s="2">
        <v>6.2</v>
      </c>
      <c r="DU249" s="2" t="s">
        <v>89</v>
      </c>
      <c r="DV249" s="2" t="s">
        <v>89</v>
      </c>
      <c r="DW249" s="2" t="s">
        <v>3046</v>
      </c>
      <c r="DX249" s="2">
        <v>262</v>
      </c>
      <c r="DY249" s="12" t="str">
        <f>HYPERLINK(".\links\tmhmm\AGAP028371-PA-tmhmm.txt","6")</f>
        <v>6</v>
      </c>
      <c r="DZ249" s="2">
        <v>48.1</v>
      </c>
      <c r="EA249" s="2">
        <v>27.9</v>
      </c>
      <c r="EB249" s="2">
        <v>24</v>
      </c>
      <c r="EC249" s="2" t="str">
        <f>HYPERLINK(".\links\gpi\AGAP028371-PA-gpi.txt","")</f>
        <v/>
      </c>
      <c r="ED249" s="2">
        <v>0.53</v>
      </c>
      <c r="EE249" s="2" t="s">
        <v>3053</v>
      </c>
      <c r="EF249" s="2">
        <v>1</v>
      </c>
      <c r="EG249" s="2" t="s">
        <v>89</v>
      </c>
      <c r="EH249" s="2" t="s">
        <v>89</v>
      </c>
      <c r="EI249" s="2">
        <v>14.885496183206101</v>
      </c>
      <c r="EJ249" s="2">
        <v>3.8167938931297698</v>
      </c>
      <c r="EK249" s="2">
        <v>7.6335877862595396</v>
      </c>
      <c r="EL249" s="2">
        <v>11.450381679389301</v>
      </c>
      <c r="EM249" s="2" t="s">
        <v>89</v>
      </c>
      <c r="EN249" s="2" t="s">
        <v>89</v>
      </c>
      <c r="EO249" s="2" t="s">
        <v>89</v>
      </c>
      <c r="EP249" s="2" t="s">
        <v>89</v>
      </c>
      <c r="EQ249" s="2" t="s">
        <v>89</v>
      </c>
      <c r="ER249" s="2" t="s">
        <v>89</v>
      </c>
      <c r="ES249" s="2" t="s">
        <v>89</v>
      </c>
      <c r="ET249" s="2" t="str">
        <f>HYPERLINK(".\links\REFSEQ-INVERTEBRATE\AGAP028371-PA-REFSEQ-INVERTEBRATE.txt","COX3 gene product (mitochondrion)")</f>
        <v>COX3 gene product (mitochondrion)</v>
      </c>
      <c r="EU249" s="2" t="str">
        <f>HYPERLINK("http://www.ncbi.nlm.nih.gov/sutils/blink.cgi?pid=NP_008074.1","0.0")</f>
        <v>0.0</v>
      </c>
      <c r="EV249" s="2" t="str">
        <f>HYPERLINK("http://www.ncbi.nlm.nih.gov/protein/NP_008074.1","NP_008074.1")</f>
        <v>NP_008074.1</v>
      </c>
      <c r="EW249" s="2">
        <v>100</v>
      </c>
      <c r="EX249" s="2">
        <v>100</v>
      </c>
      <c r="EY249" s="2">
        <v>100</v>
      </c>
      <c r="EZ249" s="2" t="s">
        <v>215</v>
      </c>
    </row>
    <row r="250" spans="1:156" x14ac:dyDescent="0.25">
      <c r="A250" s="2" t="s">
        <v>1134</v>
      </c>
      <c r="B250" s="2">
        <v>-1.2474328493918601</v>
      </c>
      <c r="C250" s="2">
        <f t="shared" si="3"/>
        <v>0.42119702474994819</v>
      </c>
      <c r="D250" s="2">
        <v>2.9516006014184599</v>
      </c>
      <c r="E250" s="2">
        <v>16.710296137775</v>
      </c>
      <c r="F250" s="2">
        <v>4.3544034148016698E-5</v>
      </c>
      <c r="G250" s="2">
        <v>5.0458718121086698E-3</v>
      </c>
      <c r="H250" s="2" t="s">
        <v>1135</v>
      </c>
      <c r="I250" s="2" t="s">
        <v>87</v>
      </c>
      <c r="J250" s="2" t="str">
        <f>HYPERLINK("https://vectorbase.org/vectorbase/app/record/gene/AGAP004550","AGAP004550-RA")</f>
        <v>AGAP004550-RA</v>
      </c>
      <c r="K250" s="2" t="str">
        <f>HYPERLINK(".\links\pep\AGAP004550-PA-pep.txt","AGAP004550-PA")</f>
        <v>AGAP004550-PA</v>
      </c>
      <c r="L250" s="12" t="s">
        <v>88</v>
      </c>
      <c r="M250" s="2">
        <v>94</v>
      </c>
      <c r="N250" s="2">
        <v>0</v>
      </c>
      <c r="O250" s="2">
        <v>0</v>
      </c>
      <c r="P250" s="2" t="s">
        <v>1136</v>
      </c>
      <c r="Q250" s="9" t="s">
        <v>1137</v>
      </c>
      <c r="R250" s="2" t="s">
        <v>1138</v>
      </c>
      <c r="S250" s="2" t="str">
        <f>HYPERLINK(".\links\REFSEQ-INVERTEBRATE\AGAP004550-PA-REFSEQ-INVERTEBRATE.txt","REFSEQ-INVERTEBRATE")</f>
        <v>REFSEQ-INVERTEBRATE</v>
      </c>
      <c r="T250" s="2">
        <v>5E-36</v>
      </c>
      <c r="U250" s="2">
        <v>100</v>
      </c>
      <c r="V250" s="2" t="s">
        <v>1139</v>
      </c>
      <c r="W250" s="10" t="s">
        <v>1140</v>
      </c>
      <c r="X250" s="2" t="s">
        <v>1138</v>
      </c>
      <c r="Y250" s="2" t="str">
        <f>HYPERLINK(".\links\ARTHORPODA\AGAP004550-PA-ARTHORPODA.txt","ARTHORPODA")</f>
        <v>ARTHORPODA</v>
      </c>
      <c r="Z250" s="13">
        <v>2.9999999999999998E-63</v>
      </c>
      <c r="AA250" s="2">
        <v>100</v>
      </c>
      <c r="AB250" s="14" t="s">
        <v>89</v>
      </c>
      <c r="AC250" s="14" t="str">
        <f>HYPERLINK(".\links\Sigp\AGAP004550-PA-SigP.txt","ANC")</f>
        <v>ANC</v>
      </c>
      <c r="AD250" s="2" t="s">
        <v>89</v>
      </c>
      <c r="AE250" s="2">
        <v>10.941000000000001</v>
      </c>
      <c r="AF250" s="2">
        <v>5.32</v>
      </c>
      <c r="AG250" s="2">
        <v>8.5120000000000005</v>
      </c>
      <c r="AH250" s="2">
        <v>5.29</v>
      </c>
      <c r="AI250" s="2" t="s">
        <v>1141</v>
      </c>
      <c r="AJ250" s="14" t="str">
        <f>HYPERLINK(".\links\tmhmm\AGAP004550-PA-tmhmm.txt","2")</f>
        <v>2</v>
      </c>
      <c r="AK250" s="2">
        <v>43.6</v>
      </c>
      <c r="AL250" s="2">
        <v>10.6</v>
      </c>
      <c r="AM250" s="2">
        <v>45.7</v>
      </c>
      <c r="AN250" s="14" t="str">
        <f>HYPERLINK(".\links\gpi\AGAP004550-PA-gpi.txt","N")</f>
        <v>N</v>
      </c>
      <c r="AO250" s="15" t="str">
        <f>HYPERLINK(".\links\netoglyc\AGAP004550-PA-netoglyc.txt","0")</f>
        <v>0</v>
      </c>
      <c r="AP250" s="14">
        <v>9.6</v>
      </c>
      <c r="AQ250" s="2">
        <v>2.1</v>
      </c>
      <c r="AR250" s="2">
        <v>2.1</v>
      </c>
      <c r="AS250" s="2" t="s">
        <v>94</v>
      </c>
      <c r="AT250" s="9" t="str">
        <f>HYPERLINK(".\links\NR-LIGHT\AGAP004550-PA-NR-LIGHT.txt","AGAP004550-PA")</f>
        <v>AGAP004550-PA</v>
      </c>
      <c r="AU250" s="2" t="str">
        <f>HYPERLINK("http://www.ncbi.nlm.nih.gov/sutils/blink.cgi?pid=XP_001237549.1","3E-046")</f>
        <v>3E-046</v>
      </c>
      <c r="AV250" s="2" t="str">
        <f>HYPERLINK("http://www.ncbi.nlm.nih.gov/protein/XP_001237549.1","XP_001237549.1")</f>
        <v>XP_001237549.1</v>
      </c>
      <c r="AW250" s="2">
        <v>100</v>
      </c>
      <c r="AX250" s="2">
        <v>100</v>
      </c>
      <c r="AY250" s="2">
        <v>100</v>
      </c>
      <c r="AZ250" s="2" t="s">
        <v>95</v>
      </c>
      <c r="BA250" s="9" t="str">
        <f>HYPERLINK(".\links\REFSEQ-INVERTEBRATE\AGAP004550-PA-REFSEQ-INVERTEBRATE.txt","AGAP004550-PA")</f>
        <v>AGAP004550-PA</v>
      </c>
      <c r="BB250" s="2" t="str">
        <f>HYPERLINK("http://www.ncbi.nlm.nih.gov/sutils/blink.cgi?pid=XP_001237549.1","2E-046")</f>
        <v>2E-046</v>
      </c>
      <c r="BC250" s="2" t="str">
        <f>HYPERLINK("http://www.ncbi.nlm.nih.gov/protein/XP_001237549.1","XP_001237549.1")</f>
        <v>XP_001237549.1</v>
      </c>
      <c r="BD250" s="2">
        <v>100</v>
      </c>
      <c r="BE250" s="2">
        <v>100</v>
      </c>
      <c r="BF250" s="2">
        <v>100</v>
      </c>
      <c r="BG250" s="2" t="s">
        <v>95</v>
      </c>
      <c r="BH250" s="9" t="str">
        <f>HYPERLINK(".\links\REFSEQ-PROTOZOA\AGAP004550-PA-REFSEQ-PROTOZOA.txt","hypothetical protein DICPUDRAFT_86185")</f>
        <v>hypothetical protein DICPUDRAFT_86185</v>
      </c>
      <c r="BI250" s="2" t="str">
        <f>HYPERLINK("http://www.ncbi.nlm.nih.gov/sutils/blink.cgi?pid=XP_003284282.1","3E-009")</f>
        <v>3E-009</v>
      </c>
      <c r="BJ250" s="2" t="str">
        <f>HYPERLINK("http://www.ncbi.nlm.nih.gov/protein/XP_003284282.1","XP_003284282.1")</f>
        <v>XP_003284282.1</v>
      </c>
      <c r="BK250" s="2">
        <v>35</v>
      </c>
      <c r="BL250" s="2">
        <v>60</v>
      </c>
      <c r="BM250" s="2">
        <v>92</v>
      </c>
      <c r="BN250" s="2" t="s">
        <v>1142</v>
      </c>
      <c r="BO250" s="9" t="str">
        <f>HYPERLINK(".\links\SWISSP\AGAP004550-PA-SWISSP.txt","Dolichol-phosphate mannosyltransferase subunit 3")</f>
        <v>Dolichol-phosphate mannosyltransferase subunit 3</v>
      </c>
      <c r="BP250" s="2" t="str">
        <f>HYPERLINK("http://www.uniprot.org/uniprot/Q3ZC71","4E-009")</f>
        <v>4E-009</v>
      </c>
      <c r="BQ250" s="2" t="str">
        <f>HYPERLINK("http://www.uniprot.org/uniprot/Q3ZC71#expression","Q3ZC71")</f>
        <v>Q3ZC71</v>
      </c>
      <c r="BR250" s="2">
        <v>36</v>
      </c>
      <c r="BS250" s="2">
        <v>56</v>
      </c>
      <c r="BT250" s="2">
        <v>98</v>
      </c>
      <c r="BU250" s="2" t="s">
        <v>183</v>
      </c>
      <c r="BV250" s="9" t="str">
        <f>HYPERLINK(".\links\FLYBASE\AGAP004550-PA-FLYBASE.txt","FBpp0099388")</f>
        <v>FBpp0099388</v>
      </c>
      <c r="BW250" s="2" t="str">
        <f>HYPERLINK("http://flybase.org/reports/FBgn0053977#alliance_summary_container","1E-23")</f>
        <v>1E-23</v>
      </c>
      <c r="BX250" s="2">
        <v>94</v>
      </c>
      <c r="BY250" s="2">
        <v>50</v>
      </c>
      <c r="BZ250" s="2">
        <v>65</v>
      </c>
      <c r="CA250" s="2">
        <v>100</v>
      </c>
      <c r="CB250" s="9" t="str">
        <f>HYPERLINK(".\links\CDD\AGAP004550-PA-CDD.txt","DPM3, Dolichol-phosphate mannosyltransferase subunit 3 (DPM3)")</f>
        <v>DPM3, Dolichol-phosphate mannosyltransferase subunit 3 (DPM3)</v>
      </c>
      <c r="CC250" s="13">
        <v>9.9999999999999998E-20</v>
      </c>
      <c r="CD250" s="2">
        <v>100</v>
      </c>
      <c r="CE250" s="2" t="s">
        <v>1143</v>
      </c>
      <c r="CF250" s="2" t="s">
        <v>1144</v>
      </c>
      <c r="CG250" s="9" t="str">
        <f>HYPERLINK(".\links\KOG\AGAP004550-PA-KOG.txt","subunit 3")</f>
        <v>subunit 3</v>
      </c>
      <c r="CH250" s="13">
        <v>7.9999999999999998E-12</v>
      </c>
      <c r="CI250" s="2">
        <v>94.7</v>
      </c>
      <c r="CJ250" s="2" t="s">
        <v>1145</v>
      </c>
      <c r="CK250" s="2" t="s">
        <v>1146</v>
      </c>
      <c r="CL250" s="9" t="str">
        <f>HYPERLINK(".\links\PFAM\AGAP004550-PA-PFAM.txt","DPM3, Dolichol-phosphate mannosyltransferase subunit 3 (DPM3)")</f>
        <v>DPM3, Dolichol-phosphate mannosyltransferase subunit 3 (DPM3)</v>
      </c>
      <c r="CM250" s="13">
        <v>3.0000000000000003E-20</v>
      </c>
      <c r="CN250" s="2">
        <v>100</v>
      </c>
      <c r="CO250" s="2" t="s">
        <v>1143</v>
      </c>
      <c r="CP250" s="9" t="str">
        <f>HYPERLINK(".\links\SMART\AGAP004550-PA-SMART.txt","Elp3, Elongator protein 3, MiaB family, Radical SAM")</f>
        <v>Elp3, Elongator protein 3, MiaB family, Radical SAM</v>
      </c>
      <c r="CQ250" s="13">
        <v>0.28999999999999998</v>
      </c>
      <c r="CR250" s="2">
        <v>38</v>
      </c>
      <c r="CS250" s="2" t="s">
        <v>1147</v>
      </c>
      <c r="CT250" s="2" t="s">
        <v>1139</v>
      </c>
      <c r="CU250" s="2" t="s">
        <v>1139</v>
      </c>
      <c r="CV250" s="2" t="s">
        <v>1139</v>
      </c>
      <c r="CW250" s="2" t="str">
        <f>HYPERLINK(".\links\pep\AGAP004550-PA-pep.txt","AGAP004550-PA")</f>
        <v>AGAP004550-PA</v>
      </c>
      <c r="CX250" s="2" t="s">
        <v>88</v>
      </c>
      <c r="CY250" s="2">
        <v>94</v>
      </c>
      <c r="CZ250" s="2" t="s">
        <v>103</v>
      </c>
      <c r="DA250" s="2" t="s">
        <v>1148</v>
      </c>
      <c r="DB250" s="2">
        <v>0</v>
      </c>
      <c r="DC250" s="2">
        <v>0</v>
      </c>
      <c r="DD250" s="2" t="str">
        <f>HYPERLINK("https://www.kegg.jp/kegg-bin/search_pathway_text?map=aga&amp;keyword=AGAP004550&amp;mode=1&amp;viewImage=true","AGAP004550")</f>
        <v>AGAP004550</v>
      </c>
      <c r="DE250" s="2" t="s">
        <v>1134</v>
      </c>
      <c r="DF250" s="2" t="s">
        <v>1135</v>
      </c>
      <c r="DG250" s="2" t="s">
        <v>87</v>
      </c>
      <c r="DH250" s="2" t="str">
        <f>HYPERLINK("https://vectorbase.org/vectorbase/app/record/gene/AGAP004550","AGAP004550-RA")</f>
        <v>AGAP004550-RA</v>
      </c>
      <c r="DI250" s="2" t="s">
        <v>158</v>
      </c>
      <c r="DJ250" s="2">
        <v>572</v>
      </c>
      <c r="DK250" s="2" t="str">
        <f>HYPERLINK(".\links\netoglyc\AGAP004550-PA-netoglyc.txt","0")</f>
        <v>0</v>
      </c>
      <c r="DL250" s="2">
        <v>9.6</v>
      </c>
      <c r="DM250" s="2">
        <v>2.1</v>
      </c>
      <c r="DN250" s="2">
        <v>2.1</v>
      </c>
      <c r="DO250" s="2" t="s">
        <v>94</v>
      </c>
      <c r="DP250" s="2" t="s">
        <v>89</v>
      </c>
      <c r="DQ250" s="2" t="str">
        <f>HYPERLINK(".\links\Sigp\AGAP004550-PA-SigP.txt","ANC")</f>
        <v>ANC</v>
      </c>
      <c r="DR250" s="2" t="s">
        <v>89</v>
      </c>
      <c r="DS250" s="2">
        <v>10.941000000000001</v>
      </c>
      <c r="DT250" s="2">
        <v>5.32</v>
      </c>
      <c r="DU250" s="2">
        <v>8.5120000000000005</v>
      </c>
      <c r="DV250" s="2">
        <v>5.29</v>
      </c>
      <c r="DW250" s="2" t="s">
        <v>1141</v>
      </c>
      <c r="DX250" s="2">
        <v>94</v>
      </c>
      <c r="DY250" s="12" t="str">
        <f>HYPERLINK(".\links\tmhmm\AGAP004550-PA-tmhmm.txt","2")</f>
        <v>2</v>
      </c>
      <c r="DZ250" s="2">
        <v>43.6</v>
      </c>
      <c r="EA250" s="2">
        <v>10.6</v>
      </c>
      <c r="EB250" s="2">
        <v>45.7</v>
      </c>
      <c r="EC250" s="2" t="str">
        <f>HYPERLINK(".\links\gpi\AGAP004550-PA-gpi.txt","N")</f>
        <v>N</v>
      </c>
      <c r="ED250" s="2">
        <v>0.46</v>
      </c>
      <c r="EE250" s="2" t="s">
        <v>1149</v>
      </c>
      <c r="EF250" s="2">
        <v>2</v>
      </c>
      <c r="EG250" s="2" t="s">
        <v>89</v>
      </c>
      <c r="EH250" s="2" t="s">
        <v>89</v>
      </c>
      <c r="EI250" s="2">
        <v>9.5744680851063801</v>
      </c>
      <c r="EJ250" s="2">
        <v>2.12765957446809</v>
      </c>
      <c r="EK250" s="2">
        <v>2.12765957446809</v>
      </c>
      <c r="EL250" s="2">
        <v>4.2553191489361701</v>
      </c>
      <c r="EM250" s="2" t="s">
        <v>89</v>
      </c>
      <c r="EN250" s="2">
        <v>1</v>
      </c>
      <c r="EO250" s="2">
        <v>1</v>
      </c>
      <c r="EP250" s="2" t="s">
        <v>89</v>
      </c>
      <c r="EQ250" s="2" t="s">
        <v>89</v>
      </c>
      <c r="ER250" s="2" t="s">
        <v>89</v>
      </c>
      <c r="ES250" s="2" t="s">
        <v>89</v>
      </c>
      <c r="ET250" s="2" t="str">
        <f>HYPERLINK(".\links\REFSEQ-INVERTEBRATE\AGAP004550-PA-REFSEQ-INVERTEBRATE.txt","AGAP004550-PA")</f>
        <v>AGAP004550-PA</v>
      </c>
      <c r="EU250" s="2" t="str">
        <f>HYPERLINK("http://www.ncbi.nlm.nih.gov/sutils/blink.cgi?pid=XP_001237549.1","5E-63")</f>
        <v>5E-63</v>
      </c>
      <c r="EV250" s="2" t="str">
        <f>HYPERLINK("http://www.ncbi.nlm.nih.gov/protein/XP_001237549.1","XP_001237549.1")</f>
        <v>XP_001237549.1</v>
      </c>
      <c r="EW250" s="2">
        <v>100</v>
      </c>
      <c r="EX250" s="2">
        <v>100</v>
      </c>
      <c r="EY250" s="2">
        <v>100</v>
      </c>
      <c r="EZ250" s="2" t="s">
        <v>95</v>
      </c>
    </row>
    <row r="251" spans="1:156" x14ac:dyDescent="0.25">
      <c r="A251" s="2" t="s">
        <v>2973</v>
      </c>
      <c r="B251" s="2">
        <v>-1.2475913447703499</v>
      </c>
      <c r="C251" s="2">
        <f t="shared" si="3"/>
        <v>0.4211507543233694</v>
      </c>
      <c r="D251" s="2">
        <v>10.7960362533862</v>
      </c>
      <c r="E251" s="2">
        <v>16.914423610252701</v>
      </c>
      <c r="F251" s="2">
        <v>3.9103322930525001E-5</v>
      </c>
      <c r="G251" s="2">
        <v>4.7854376924287402E-3</v>
      </c>
      <c r="H251" s="2" t="s">
        <v>86</v>
      </c>
      <c r="I251" s="2" t="s">
        <v>87</v>
      </c>
      <c r="J251" s="2" t="str">
        <f>HYPERLINK("https://vectorbase.org/vectorbase/app/record/gene/AGAP013400","AGAP013400-RA")</f>
        <v>AGAP013400-RA</v>
      </c>
      <c r="K251" s="2" t="str">
        <f>HYPERLINK(".\links\pep\AGAP013400-PA-pep.txt","AGAP013400-PA")</f>
        <v>AGAP013400-PA</v>
      </c>
      <c r="L251" s="12" t="s">
        <v>88</v>
      </c>
      <c r="M251" s="2">
        <v>131</v>
      </c>
      <c r="N251" s="2">
        <v>0</v>
      </c>
      <c r="O251" s="2">
        <v>0</v>
      </c>
      <c r="P251" s="2" t="s">
        <v>89</v>
      </c>
      <c r="Q251" s="9" t="s">
        <v>2944</v>
      </c>
      <c r="R251" s="2" t="s">
        <v>164</v>
      </c>
      <c r="S251" s="2" t="str">
        <f>HYPERLINK(".\links\KOG\AGAP013400-PA-KOG.txt","KOG")</f>
        <v>KOG</v>
      </c>
      <c r="T251" s="2">
        <v>2.0000000000000001E-37</v>
      </c>
      <c r="U251" s="2">
        <v>93.9</v>
      </c>
      <c r="V251" s="2" t="s">
        <v>2974</v>
      </c>
      <c r="W251" s="10" t="s">
        <v>2946</v>
      </c>
      <c r="X251" s="2" t="s">
        <v>164</v>
      </c>
      <c r="Y251" s="2" t="str">
        <f>HYPERLINK(".\links\CDD\AGAP013400-PA-CDD.txt","CDD")</f>
        <v>CDD</v>
      </c>
      <c r="Z251" s="13">
        <v>7E-45</v>
      </c>
      <c r="AA251" s="2">
        <v>97.6</v>
      </c>
      <c r="AB251" s="14" t="str">
        <f>HYPERLINK(".\links\pep\AGAP013400-PA-sulf.txt","1")</f>
        <v>1</v>
      </c>
      <c r="AC251" s="14" t="str">
        <f>HYPERLINK(".\links\Sigp\AGAP013400-PA-SigP.txt","CYT")</f>
        <v>CYT</v>
      </c>
      <c r="AD251" s="2" t="s">
        <v>89</v>
      </c>
      <c r="AE251" s="2">
        <v>14.792</v>
      </c>
      <c r="AF251" s="2">
        <v>7.69</v>
      </c>
      <c r="AG251" s="2" t="s">
        <v>89</v>
      </c>
      <c r="AH251" s="2" t="s">
        <v>89</v>
      </c>
      <c r="AI251" s="2" t="s">
        <v>273</v>
      </c>
      <c r="AJ251" s="14">
        <v>0</v>
      </c>
      <c r="AK251" s="2" t="s">
        <v>89</v>
      </c>
      <c r="AL251" s="2" t="s">
        <v>89</v>
      </c>
      <c r="AM251" s="2" t="s">
        <v>89</v>
      </c>
      <c r="AN251" s="14" t="str">
        <f>HYPERLINK(".\links\gpi\AGAP013400-PA-gpi.txt","N")</f>
        <v>N</v>
      </c>
      <c r="AO251" s="15" t="str">
        <f>HYPERLINK(".\links\netoglyc\AGAP013400-PA-netoglyc.txt","1")</f>
        <v>1</v>
      </c>
      <c r="AP251" s="14">
        <v>15.3</v>
      </c>
      <c r="AQ251" s="2">
        <v>8.4</v>
      </c>
      <c r="AR251" s="2">
        <v>1.5</v>
      </c>
      <c r="AS251" s="2" t="s">
        <v>94</v>
      </c>
      <c r="AT251" s="9" t="str">
        <f>HYPERLINK(".\links\NR-LIGHT\AGAP013400-PA-NR-LIGHT.txt","AGAP013189-PA")</f>
        <v>AGAP013189-PA</v>
      </c>
      <c r="AU251" s="2" t="str">
        <f>HYPERLINK("http://www.ncbi.nlm.nih.gov/sutils/blink.cgi?pid=XP_003436444.1","2E-070")</f>
        <v>2E-070</v>
      </c>
      <c r="AV251" s="2" t="str">
        <f>HYPERLINK("http://www.ncbi.nlm.nih.gov/protein/XP_003436444.1","XP_003436444.1")</f>
        <v>XP_003436444.1</v>
      </c>
      <c r="AW251" s="2">
        <v>100</v>
      </c>
      <c r="AX251" s="2">
        <v>100</v>
      </c>
      <c r="AY251" s="2">
        <v>100</v>
      </c>
      <c r="AZ251" s="2" t="s">
        <v>95</v>
      </c>
      <c r="BA251" s="9" t="str">
        <f>HYPERLINK(".\links\REFSEQ-INVERTEBRATE\AGAP013400-PA-REFSEQ-INVERTEBRATE.txt","AGAP013400-PA")</f>
        <v>AGAP013400-PA</v>
      </c>
      <c r="BB251" s="2" t="str">
        <f>HYPERLINK("http://www.ncbi.nlm.nih.gov/sutils/blink.cgi?pid=XP_003436445.1","2E-070")</f>
        <v>2E-070</v>
      </c>
      <c r="BC251" s="2" t="str">
        <f>HYPERLINK("http://www.ncbi.nlm.nih.gov/protein/XP_003436445.1","XP_003436445.1")</f>
        <v>XP_003436445.1</v>
      </c>
      <c r="BD251" s="2">
        <v>100</v>
      </c>
      <c r="BE251" s="2">
        <v>100</v>
      </c>
      <c r="BF251" s="2">
        <v>100</v>
      </c>
      <c r="BG251" s="2" t="s">
        <v>95</v>
      </c>
      <c r="BH251" s="9" t="str">
        <f>HYPERLINK(".\links\REFSEQ-PROTOZOA\AGAP013400-PA-REFSEQ-PROTOZOA.txt","hypothetical protein H257_01080")</f>
        <v>hypothetical protein H257_01080</v>
      </c>
      <c r="BI251" s="2" t="str">
        <f>HYPERLINK("http://www.ncbi.nlm.nih.gov/sutils/blink.cgi?pid=XP_009822402.1","1E-005")</f>
        <v>1E-005</v>
      </c>
      <c r="BJ251" s="2" t="str">
        <f>HYPERLINK("http://www.ncbi.nlm.nih.gov/protein/XP_009822402.1","XP_009822402.1")</f>
        <v>XP_009822402.1</v>
      </c>
      <c r="BK251" s="2">
        <v>37</v>
      </c>
      <c r="BL251" s="2">
        <v>52</v>
      </c>
      <c r="BM251" s="2">
        <v>34</v>
      </c>
      <c r="BN251" s="2" t="s">
        <v>320</v>
      </c>
      <c r="BO251" s="9" t="str">
        <f>HYPERLINK(".\links\SWISSP\AGAP013400-PA-SWISSP.txt","Probable fatty acid-binding protein")</f>
        <v>Probable fatty acid-binding protein</v>
      </c>
      <c r="BP251" s="2" t="str">
        <f>HYPERLINK("http://www.uniprot.org/uniprot/Q17017","5E-044")</f>
        <v>5E-044</v>
      </c>
      <c r="BQ251" s="2" t="str">
        <f>HYPERLINK("http://www.uniprot.org/uniprot/Q17017#expression","Q17017")</f>
        <v>Q17017</v>
      </c>
      <c r="BR251" s="2">
        <v>87</v>
      </c>
      <c r="BS251" s="2">
        <v>88</v>
      </c>
      <c r="BT251" s="2">
        <v>89</v>
      </c>
      <c r="BU251" s="2" t="s">
        <v>215</v>
      </c>
      <c r="BV251" s="9" t="str">
        <f>HYPERLINK(".\links\FLYBASE\AGAP013400-PA-FLYBASE.txt","FBpp0099726")</f>
        <v>FBpp0099726</v>
      </c>
      <c r="BW251" s="2" t="str">
        <f>HYPERLINK("http://flybase.org/reports/FBgn0037913#alliance_summary_container","3E-53")</f>
        <v>3E-53</v>
      </c>
      <c r="BX251" s="2">
        <v>130</v>
      </c>
      <c r="BY251" s="2">
        <v>69</v>
      </c>
      <c r="BZ251" s="2">
        <v>79</v>
      </c>
      <c r="CA251" s="2">
        <v>97</v>
      </c>
      <c r="CB251" s="9" t="str">
        <f>HYPERLINK(".\links\CDD\AGAP013400-PA-CDD.txt","Lipocalin, Lipocalin / cytosolic fatty-acid binding protein family")</f>
        <v>Lipocalin, Lipocalin / cytosolic fatty-acid binding protein family</v>
      </c>
      <c r="CC251" s="13">
        <v>6.0000000000000002E-6</v>
      </c>
      <c r="CD251" s="2">
        <v>81.400000000000006</v>
      </c>
      <c r="CE251" s="2" t="s">
        <v>2947</v>
      </c>
      <c r="CF251" s="2" t="s">
        <v>2948</v>
      </c>
      <c r="CG251" s="9" t="str">
        <f>HYPERLINK(".\links\KOG\AGAP013400-PA-KOG.txt","Fatty acid-binding protein FABP")</f>
        <v>Fatty acid-binding protein FABP</v>
      </c>
      <c r="CH251" s="13">
        <v>2.0000000000000001E-37</v>
      </c>
      <c r="CI251" s="2">
        <v>94</v>
      </c>
      <c r="CJ251" s="2" t="s">
        <v>2949</v>
      </c>
      <c r="CK251" s="2" t="s">
        <v>172</v>
      </c>
      <c r="CL251" s="9" t="str">
        <f>HYPERLINK(".\links\PFAM\AGAP013400-PA-PFAM.txt","Lipocalin, Lipocalin / cytosolic fatty-acid binding protein family")</f>
        <v>Lipocalin, Lipocalin / cytosolic fatty-acid binding protein family</v>
      </c>
      <c r="CM251" s="13">
        <v>9.9999999999999995E-7</v>
      </c>
      <c r="CN251" s="2">
        <v>81.400000000000006</v>
      </c>
      <c r="CO251" s="2" t="s">
        <v>2947</v>
      </c>
      <c r="CP251" s="9" t="str">
        <f>HYPERLINK(".\links\SMART\AGAP013400-PA-SMART.txt","Lactamase_B, Metallo-beta-lactamase superfamily")</f>
        <v>Lactamase_B, Metallo-beta-lactamase superfamily</v>
      </c>
      <c r="CQ251" s="13">
        <v>0.39</v>
      </c>
      <c r="CR251" s="2">
        <v>22</v>
      </c>
      <c r="CS251" s="2" t="s">
        <v>189</v>
      </c>
      <c r="CT251" s="2" t="s">
        <v>2974</v>
      </c>
      <c r="CU251" s="2" t="s">
        <v>2974</v>
      </c>
      <c r="CV251" s="2" t="s">
        <v>2974</v>
      </c>
      <c r="CW251" s="2" t="str">
        <f>HYPERLINK(".\links\pep\AGAP013400-PA-pep.txt","AGAP013400-PA")</f>
        <v>AGAP013400-PA</v>
      </c>
      <c r="CX251" s="2" t="s">
        <v>88</v>
      </c>
      <c r="CY251" s="2">
        <v>131</v>
      </c>
      <c r="CZ251" s="2" t="s">
        <v>103</v>
      </c>
      <c r="DA251" s="2" t="s">
        <v>2975</v>
      </c>
      <c r="DB251" s="2">
        <v>0</v>
      </c>
      <c r="DC251" s="2">
        <v>0</v>
      </c>
      <c r="DD251" s="2" t="str">
        <f>HYPERLINK("https://www.kegg.jp/kegg-bin/search_pathway_text?map=aga&amp;keyword=AGAP013400&amp;mode=1&amp;viewImage=true","AGAP013400")</f>
        <v>AGAP013400</v>
      </c>
      <c r="DE251" s="2" t="s">
        <v>2973</v>
      </c>
      <c r="DF251" s="2" t="s">
        <v>86</v>
      </c>
      <c r="DG251" s="2" t="s">
        <v>87</v>
      </c>
      <c r="DH251" s="2" t="str">
        <f>HYPERLINK("https://vectorbase.org/vectorbase/app/record/gene/AGAP013400","AGAP013400-RA")</f>
        <v>AGAP013400-RA</v>
      </c>
      <c r="DI251" s="2" t="s">
        <v>105</v>
      </c>
      <c r="DJ251" s="2">
        <v>1017</v>
      </c>
      <c r="DK251" s="2" t="str">
        <f>HYPERLINK(".\links\netoglyc\AGAP013400-PA-netoglyc.txt","1")</f>
        <v>1</v>
      </c>
      <c r="DL251" s="2">
        <v>15.3</v>
      </c>
      <c r="DM251" s="2">
        <v>8.4</v>
      </c>
      <c r="DN251" s="2">
        <v>1.5</v>
      </c>
      <c r="DO251" s="2" t="s">
        <v>94</v>
      </c>
      <c r="DP251" s="2" t="s">
        <v>89</v>
      </c>
      <c r="DQ251" s="2" t="str">
        <f>HYPERLINK(".\links\Sigp\AGAP013400-PA-SigP.txt","CYT")</f>
        <v>CYT</v>
      </c>
      <c r="DR251" s="2" t="s">
        <v>89</v>
      </c>
      <c r="DS251" s="2">
        <v>14.792</v>
      </c>
      <c r="DT251" s="2">
        <v>7.69</v>
      </c>
      <c r="DU251" s="2" t="s">
        <v>89</v>
      </c>
      <c r="DV251" s="2" t="s">
        <v>89</v>
      </c>
      <c r="DW251" s="2" t="s">
        <v>273</v>
      </c>
      <c r="DX251" s="2">
        <v>131</v>
      </c>
      <c r="DY251" s="12">
        <v>0</v>
      </c>
      <c r="DZ251" s="2" t="s">
        <v>89</v>
      </c>
      <c r="EA251" s="2" t="s">
        <v>89</v>
      </c>
      <c r="EB251" s="2" t="s">
        <v>89</v>
      </c>
      <c r="EC251" s="2" t="str">
        <f>HYPERLINK(".\links\gpi\AGAP013400-PA-gpi.txt","N")</f>
        <v>N</v>
      </c>
      <c r="ED251" s="2">
        <v>0.48</v>
      </c>
      <c r="EF251" s="2">
        <v>2</v>
      </c>
      <c r="EG251" s="2" t="str">
        <f>HYPERLINK(".\links\pep\AGAP013400-PA-sulf.txt","1")</f>
        <v>1</v>
      </c>
      <c r="EH251" s="2" t="s">
        <v>89</v>
      </c>
      <c r="EI251" s="2">
        <v>15.267175572519101</v>
      </c>
      <c r="EJ251" s="2">
        <v>1.5267175572519101</v>
      </c>
      <c r="EK251" s="2">
        <v>8.3969465648855</v>
      </c>
      <c r="EL251" s="2">
        <v>9.9236641221373993</v>
      </c>
      <c r="EM251" s="2" t="s">
        <v>89</v>
      </c>
      <c r="EN251" s="2">
        <v>1</v>
      </c>
      <c r="EO251" s="2">
        <v>1</v>
      </c>
      <c r="EP251" s="2" t="s">
        <v>89</v>
      </c>
      <c r="EQ251" s="2" t="s">
        <v>89</v>
      </c>
      <c r="ER251" s="2" t="s">
        <v>89</v>
      </c>
      <c r="ES251" s="2" t="s">
        <v>89</v>
      </c>
      <c r="ET251" s="2" t="str">
        <f>HYPERLINK(".\links\REFSEQ-INVERTEBRATE\AGAP013400-PA-REFSEQ-INVERTEBRATE.txt","AGAP013400-PA")</f>
        <v>AGAP013400-PA</v>
      </c>
      <c r="EU251" s="2" t="str">
        <f>HYPERLINK("http://www.ncbi.nlm.nih.gov/sutils/blink.cgi?pid=XP_003436445.1","2E-92")</f>
        <v>2E-92</v>
      </c>
      <c r="EV251" s="2" t="str">
        <f>HYPERLINK("http://www.ncbi.nlm.nih.gov/protein/XP_003436445.1","XP_003436445.1")</f>
        <v>XP_003436445.1</v>
      </c>
      <c r="EW251" s="2">
        <v>100</v>
      </c>
      <c r="EX251" s="2">
        <v>100</v>
      </c>
      <c r="EY251" s="2">
        <v>100</v>
      </c>
      <c r="EZ251" s="2" t="s">
        <v>95</v>
      </c>
    </row>
    <row r="252" spans="1:156" x14ac:dyDescent="0.25">
      <c r="A252" s="2" t="s">
        <v>3013</v>
      </c>
      <c r="B252" s="2">
        <v>-1.2718557152038299</v>
      </c>
      <c r="C252" s="2">
        <f t="shared" si="3"/>
        <v>0.41412674566043917</v>
      </c>
      <c r="D252" s="2">
        <v>12.1058261314964</v>
      </c>
      <c r="E252" s="2">
        <v>26.453512146061701</v>
      </c>
      <c r="F252" s="2">
        <v>2.6995719829049399E-7</v>
      </c>
      <c r="G252" s="2">
        <v>1.9161561934659299E-4</v>
      </c>
      <c r="H252" s="2" t="s">
        <v>3014</v>
      </c>
      <c r="I252" s="2" t="s">
        <v>89</v>
      </c>
      <c r="J252" s="2" t="str">
        <f>HYPERLINK("https://vectorbase.org/vectorbase/app/record/gene/AGAP028366","AGAP028366-RA")</f>
        <v>AGAP028366-RA</v>
      </c>
      <c r="K252" s="2" t="str">
        <f>HYPERLINK(".\links\pep\AGAP028366-PA-pep.txt","AGAP028366-PA")</f>
        <v>AGAP028366-PA</v>
      </c>
      <c r="L252" s="12" t="s">
        <v>88</v>
      </c>
      <c r="M252" s="2">
        <v>228</v>
      </c>
      <c r="N252" s="2">
        <v>0</v>
      </c>
      <c r="O252" s="2">
        <v>0</v>
      </c>
      <c r="P252" s="2" t="s">
        <v>3015</v>
      </c>
      <c r="Q252" s="9" t="s">
        <v>3016</v>
      </c>
      <c r="R252" s="2" t="s">
        <v>663</v>
      </c>
      <c r="S252" s="2" t="str">
        <f>HYPERLINK(".\links\KOG\AGAP028366-PA-KOG.txt","KOG")</f>
        <v>KOG</v>
      </c>
      <c r="T252" s="2">
        <v>0</v>
      </c>
      <c r="U252" s="2">
        <v>97</v>
      </c>
      <c r="V252" s="2" t="s">
        <v>3017</v>
      </c>
      <c r="W252" s="10" t="s">
        <v>3018</v>
      </c>
      <c r="X252" s="2" t="s">
        <v>663</v>
      </c>
      <c r="Y252" s="2" t="str">
        <f>HYPERLINK(".\links\REFSEQVERTEBRATE95\AGAP028366-PA-REFSEQVERTEBRATE95.txt","REFSEQVERTEBRATE95")</f>
        <v>REFSEQVERTEBRATE95</v>
      </c>
      <c r="Z252" s="2">
        <v>0</v>
      </c>
      <c r="AA252" s="2">
        <v>96.5</v>
      </c>
      <c r="AB252" s="14" t="s">
        <v>89</v>
      </c>
      <c r="AC252" s="14" t="str">
        <f>HYPERLINK(".\links\Sigp\AGAP028366-PA-SigP.txt","BL")</f>
        <v>BL</v>
      </c>
      <c r="AD252" s="2" t="s">
        <v>3019</v>
      </c>
      <c r="AE252" s="2">
        <v>26.256</v>
      </c>
      <c r="AF252" s="2">
        <v>5.22</v>
      </c>
      <c r="AG252" s="2">
        <v>21.428000000000001</v>
      </c>
      <c r="AH252" s="2">
        <v>5.47</v>
      </c>
      <c r="AI252" s="2" t="s">
        <v>3020</v>
      </c>
      <c r="AJ252" s="14" t="str">
        <f>HYPERLINK(".\links\tmhmm\AGAP028366-PA-tmhmm.txt","2")</f>
        <v>2</v>
      </c>
      <c r="AK252" s="2">
        <v>19.3</v>
      </c>
      <c r="AL252" s="2">
        <v>77.599999999999994</v>
      </c>
      <c r="AM252" s="2">
        <v>3.1</v>
      </c>
      <c r="AN252" s="14" t="str">
        <f>HYPERLINK(".\links\gpi\AGAP028366-PA-gpi.txt","N")</f>
        <v>N</v>
      </c>
      <c r="AO252" s="15" t="str">
        <f>HYPERLINK(".\links\netoglyc\AGAP028366-PA-netoglyc.txt","0")</f>
        <v>0</v>
      </c>
      <c r="AP252" s="14">
        <v>14.5</v>
      </c>
      <c r="AQ252" s="2">
        <v>4.8</v>
      </c>
      <c r="AR252" s="2">
        <v>4.8</v>
      </c>
      <c r="AS252" s="2" t="s">
        <v>94</v>
      </c>
      <c r="AT252" s="9" t="str">
        <f>HYPERLINK(".\links\NR-LIGHT\AGAP028366-PA-NR-LIGHT.txt","COX2 gene product (mitochondrion)")</f>
        <v>COX2 gene product (mitochondrion)</v>
      </c>
      <c r="AU252" s="2" t="str">
        <f>HYPERLINK("http://www.ncbi.nlm.nih.gov/sutils/blink.cgi?pid=NP_008071.1","1E-130")</f>
        <v>1E-130</v>
      </c>
      <c r="AV252" s="2" t="str">
        <f>HYPERLINK("http://www.ncbi.nlm.nih.gov/protein/NP_008071.1","NP_008071.1")</f>
        <v>NP_008071.1</v>
      </c>
      <c r="AW252" s="2">
        <v>100</v>
      </c>
      <c r="AX252" s="2">
        <v>100</v>
      </c>
      <c r="AY252" s="2">
        <v>100</v>
      </c>
      <c r="AZ252" s="2" t="s">
        <v>215</v>
      </c>
      <c r="BA252" s="9" t="str">
        <f>HYPERLINK(".\links\REFSEQ-INVERTEBRATE\AGAP028366-PA-REFSEQ-INVERTEBRATE.txt","cytochrome c oxidase subunit II (mitochondrion)")</f>
        <v>cytochrome c oxidase subunit II (mitochondrion)</v>
      </c>
      <c r="BB252" s="2" t="str">
        <f>HYPERLINK("http://www.ncbi.nlm.nih.gov/sutils/blink.cgi?pid=YP_009176730.1","1E-130")</f>
        <v>1E-130</v>
      </c>
      <c r="BC252" s="2" t="str">
        <f>HYPERLINK("http://www.ncbi.nlm.nih.gov/protein/YP_009176730.1","YP_009176730.1")</f>
        <v>YP_009176730.1</v>
      </c>
      <c r="BD252" s="2">
        <v>100</v>
      </c>
      <c r="BE252" s="2">
        <v>100</v>
      </c>
      <c r="BF252" s="2">
        <v>100</v>
      </c>
      <c r="BG252" s="2" t="s">
        <v>3021</v>
      </c>
      <c r="BH252" s="9" t="str">
        <f>HYPERLINK(".\links\REFSEQ-PROTOZOA\AGAP028366-PA-REFSEQ-PROTOZOA.txt","cytochrome c oxidase subunit 2 (mitochondrion)")</f>
        <v>cytochrome c oxidase subunit 2 (mitochondrion)</v>
      </c>
      <c r="BI252" s="2" t="str">
        <f>HYPERLINK("http://www.ncbi.nlm.nih.gov/sutils/blink.cgi?pid=XP_009498409.1","2E-073")</f>
        <v>2E-073</v>
      </c>
      <c r="BJ252" s="2" t="str">
        <f>HYPERLINK("http://www.ncbi.nlm.nih.gov/protein/XP_009498409.1","XP_009498409.1")</f>
        <v>XP_009498409.1</v>
      </c>
      <c r="BK252" s="2">
        <v>54</v>
      </c>
      <c r="BL252" s="2">
        <v>76</v>
      </c>
      <c r="BM252" s="2">
        <v>93</v>
      </c>
      <c r="BN252" s="2" t="s">
        <v>1072</v>
      </c>
      <c r="BO252" s="9" t="str">
        <f>HYPERLINK(".\links\SWISSP\AGAP028366-PA-SWISSP.txt","Cytochrome c oxidase subunit 2")</f>
        <v>Cytochrome c oxidase subunit 2</v>
      </c>
      <c r="BP252" s="2" t="str">
        <f>HYPERLINK("http://www.uniprot.org/uniprot/P34840","1E-131")</f>
        <v>1E-131</v>
      </c>
      <c r="BQ252" s="2" t="str">
        <f>HYPERLINK("http://www.uniprot.org/uniprot/P34840#expression","P34840")</f>
        <v>P34840</v>
      </c>
      <c r="BR252" s="2">
        <v>100</v>
      </c>
      <c r="BS252" s="2">
        <v>100</v>
      </c>
      <c r="BT252" s="2">
        <v>100</v>
      </c>
      <c r="BU252" s="2" t="s">
        <v>215</v>
      </c>
      <c r="BV252" s="9" t="str">
        <f>HYPERLINK(".\links\FLYBASE\AGAP028366-PA-FLYBASE.txt","FBpp0100177")</f>
        <v>FBpp0100177</v>
      </c>
      <c r="BW252" s="2" t="str">
        <f>HYPERLINK("http://flybase.org/reports/FBgn0013675#alliance_summary_container","1E-137")</f>
        <v>1E-137</v>
      </c>
      <c r="BX252" s="2">
        <v>228</v>
      </c>
      <c r="BY252" s="2">
        <v>84</v>
      </c>
      <c r="BZ252" s="2">
        <v>92</v>
      </c>
      <c r="CA252" s="2">
        <v>99</v>
      </c>
      <c r="CB252" s="9" t="str">
        <f>HYPERLINK(".\links\CDD\AGAP028366-PA-CDD.txt","COX2, cytochrome c oxidase subunit II")</f>
        <v>COX2, cytochrome c oxidase subunit II</v>
      </c>
      <c r="CC252" s="13">
        <v>1.0000000000000001E-130</v>
      </c>
      <c r="CD252" s="2">
        <v>99.6</v>
      </c>
      <c r="CE252" s="2" t="s">
        <v>3022</v>
      </c>
      <c r="CF252" s="2" t="s">
        <v>3023</v>
      </c>
      <c r="CG252" s="9" t="str">
        <f>HYPERLINK(".\links\KOG\AGAP028366-PA-KOG.txt","subunit II, and related proteins")</f>
        <v>subunit II, and related proteins</v>
      </c>
      <c r="CH252" s="13">
        <v>9.9999999999999996E-104</v>
      </c>
      <c r="CI252" s="2">
        <v>97.4</v>
      </c>
      <c r="CJ252" s="2" t="s">
        <v>3024</v>
      </c>
      <c r="CK252" s="2" t="s">
        <v>155</v>
      </c>
      <c r="CL252" s="9" t="str">
        <f>HYPERLINK(".\links\PFAM\AGAP028366-PA-PFAM.txt","COX2, Cytochrome C oxidase subunit II, periplasmic domain")</f>
        <v>COX2, Cytochrome C oxidase subunit II, periplasmic domain</v>
      </c>
      <c r="CM252" s="13">
        <v>5.0000000000000002E-63</v>
      </c>
      <c r="CN252" s="2">
        <v>100</v>
      </c>
      <c r="CO252" s="2" t="s">
        <v>3025</v>
      </c>
      <c r="CP252" s="9" t="str">
        <f>HYPERLINK(".\links\SMART\AGAP028366-PA-SMART.txt","alkPPc, Alkaline phosphatase homologues")</f>
        <v>alkPPc, Alkaline phosphatase homologues</v>
      </c>
      <c r="CQ252" s="13">
        <v>3.5</v>
      </c>
      <c r="CR252" s="2">
        <v>5.3</v>
      </c>
      <c r="CS252" s="2" t="s">
        <v>3026</v>
      </c>
      <c r="CT252" s="2" t="s">
        <v>3017</v>
      </c>
      <c r="CU252" s="2" t="s">
        <v>3017</v>
      </c>
      <c r="CV252" s="2" t="s">
        <v>3017</v>
      </c>
      <c r="CW252" s="2" t="str">
        <f>HYPERLINK(".\links\pep\AGAP028366-PA-pep.txt","AGAP028366-PA")</f>
        <v>AGAP028366-PA</v>
      </c>
      <c r="CX252" s="2" t="s">
        <v>88</v>
      </c>
      <c r="CY252" s="2">
        <v>228</v>
      </c>
      <c r="CZ252" s="2" t="s">
        <v>103</v>
      </c>
      <c r="DA252" s="2">
        <v>0</v>
      </c>
      <c r="DB252" s="2">
        <v>0</v>
      </c>
      <c r="DD252" s="2" t="str">
        <f>HYPERLINK("https://www.kegg.jp/kegg-bin/search_pathway_text?map=aga&amp;keyword=AGAP028366&amp;mode=1&amp;viewImage=true","AGAP028366")</f>
        <v>AGAP028366</v>
      </c>
      <c r="DE252" s="2" t="s">
        <v>3013</v>
      </c>
      <c r="DF252" s="2" t="s">
        <v>3014</v>
      </c>
      <c r="DG252" s="2" t="s">
        <v>89</v>
      </c>
      <c r="DH252" s="2" t="str">
        <f>HYPERLINK("https://vectorbase.org/vectorbase/app/record/gene/AGAP028366","AGAP028366-RA")</f>
        <v>AGAP028366-RA</v>
      </c>
      <c r="DI252" s="2" t="s">
        <v>140</v>
      </c>
      <c r="DJ252" s="2">
        <v>687</v>
      </c>
      <c r="DK252" s="2" t="str">
        <f>HYPERLINK(".\links\netoglyc\AGAP028366-PA-netoglyc.txt","0")</f>
        <v>0</v>
      </c>
      <c r="DL252" s="2">
        <v>14.5</v>
      </c>
      <c r="DM252" s="2">
        <v>4.8</v>
      </c>
      <c r="DN252" s="2">
        <v>4.8</v>
      </c>
      <c r="DO252" s="2" t="s">
        <v>94</v>
      </c>
      <c r="DP252" s="2" t="s">
        <v>89</v>
      </c>
      <c r="DQ252" s="2" t="str">
        <f>HYPERLINK(".\links\Sigp\AGAP028366-PA-SigP.txt","BL")</f>
        <v>BL</v>
      </c>
      <c r="DR252" s="2" t="s">
        <v>3019</v>
      </c>
      <c r="DS252" s="2">
        <v>26.256</v>
      </c>
      <c r="DT252" s="2">
        <v>5.22</v>
      </c>
      <c r="DU252" s="2">
        <v>21.428000000000001</v>
      </c>
      <c r="DV252" s="2">
        <v>5.47</v>
      </c>
      <c r="DW252" s="2" t="s">
        <v>3020</v>
      </c>
      <c r="DX252" s="2">
        <v>228</v>
      </c>
      <c r="DY252" s="12" t="str">
        <f>HYPERLINK(".\links\tmhmm\AGAP028366-PA-tmhmm.txt","2")</f>
        <v>2</v>
      </c>
      <c r="DZ252" s="2">
        <v>19.3</v>
      </c>
      <c r="EA252" s="2">
        <v>77.599999999999994</v>
      </c>
      <c r="EB252" s="2">
        <v>3.1</v>
      </c>
      <c r="EC252" s="2" t="str">
        <f>HYPERLINK(".\links\gpi\AGAP028366-PA-gpi.txt","Y-NoSP")</f>
        <v>Y-NoSP</v>
      </c>
      <c r="ED252" s="2">
        <v>0.44</v>
      </c>
      <c r="EF252" s="2">
        <v>2</v>
      </c>
      <c r="EG252" s="2" t="s">
        <v>89</v>
      </c>
      <c r="EH252" s="2" t="s">
        <v>89</v>
      </c>
      <c r="EI252" s="2">
        <v>14.473684210526301</v>
      </c>
      <c r="EJ252" s="2">
        <v>4.8245614035087696</v>
      </c>
      <c r="EK252" s="2">
        <v>4.8245614035087696</v>
      </c>
      <c r="EL252" s="2">
        <v>9.6491228070175392</v>
      </c>
      <c r="EM252" s="2" t="s">
        <v>89</v>
      </c>
      <c r="EN252" s="2" t="s">
        <v>89</v>
      </c>
      <c r="EO252" s="2">
        <v>2</v>
      </c>
      <c r="EP252" s="2" t="s">
        <v>89</v>
      </c>
      <c r="EQ252" s="2" t="s">
        <v>89</v>
      </c>
      <c r="ER252" s="2" t="s">
        <v>89</v>
      </c>
      <c r="ES252" s="2" t="s">
        <v>89</v>
      </c>
      <c r="ET252" s="2" t="str">
        <f>HYPERLINK(".\links\REFSEQ-INVERTEBRATE\AGAP028366-PA-REFSEQ-INVERTEBRATE.txt","COX2 gene product (mitochondrion)")</f>
        <v>COX2 gene product (mitochondrion)</v>
      </c>
      <c r="EU252" s="2" t="str">
        <f>HYPERLINK("http://www.ncbi.nlm.nih.gov/sutils/blink.cgi?pid=NP_008071.1","1E-167")</f>
        <v>1E-167</v>
      </c>
      <c r="EV252" s="2" t="str">
        <f>HYPERLINK("http://www.ncbi.nlm.nih.gov/protein/NP_008071.1","NP_008071.1")</f>
        <v>NP_008071.1</v>
      </c>
      <c r="EW252" s="2">
        <v>100</v>
      </c>
      <c r="EX252" s="2">
        <v>100</v>
      </c>
      <c r="EY252" s="2">
        <v>100</v>
      </c>
      <c r="EZ252" s="2" t="s">
        <v>215</v>
      </c>
    </row>
    <row r="253" spans="1:156" x14ac:dyDescent="0.25">
      <c r="A253" s="2" t="s">
        <v>959</v>
      </c>
      <c r="B253" s="2">
        <v>-1.2740016041465101</v>
      </c>
      <c r="C253" s="2">
        <f t="shared" si="3"/>
        <v>0.41351122443426436</v>
      </c>
      <c r="D253" s="2">
        <v>3.7864482650641902</v>
      </c>
      <c r="E253" s="2">
        <v>14.9746010850382</v>
      </c>
      <c r="F253" s="2">
        <v>1.08968030312281E-4</v>
      </c>
      <c r="G253" s="2">
        <v>9.4323790141045E-3</v>
      </c>
      <c r="H253" s="2" t="s">
        <v>960</v>
      </c>
      <c r="I253" s="2" t="s">
        <v>87</v>
      </c>
      <c r="J253" s="2" t="str">
        <f>HYPERLINK("https://vectorbase.org/vectorbase/app/record/gene/AGAP003789","AGAP003789-RC")</f>
        <v>AGAP003789-RC</v>
      </c>
      <c r="K253" s="2" t="str">
        <f>HYPERLINK(".\links\pep\AGAP003789-PC-pep.txt","AGAP003789-PC")</f>
        <v>AGAP003789-PC</v>
      </c>
      <c r="L253" s="12" t="s">
        <v>88</v>
      </c>
      <c r="M253" s="2">
        <v>281</v>
      </c>
      <c r="N253" s="2">
        <v>0</v>
      </c>
      <c r="O253" s="2">
        <v>0</v>
      </c>
      <c r="P253" s="2" t="s">
        <v>961</v>
      </c>
      <c r="Q253" s="9" t="s">
        <v>962</v>
      </c>
      <c r="R253" s="2" t="s">
        <v>902</v>
      </c>
      <c r="S253" s="2" t="str">
        <f>HYPERLINK(".\links\KOG\AGAP003789-PC-KOG.txt","KOG")</f>
        <v>KOG</v>
      </c>
      <c r="T253" s="2">
        <v>4.0000000000000001E-91</v>
      </c>
      <c r="U253" s="2">
        <v>67.5</v>
      </c>
      <c r="V253" s="2" t="s">
        <v>963</v>
      </c>
      <c r="W253" s="10" t="s">
        <v>964</v>
      </c>
      <c r="X253" s="2" t="s">
        <v>902</v>
      </c>
      <c r="Y253" s="2" t="str">
        <f>HYPERLINK(".\links\KOG\AGAP003789-PC-KOG.txt","KOG")</f>
        <v>KOG</v>
      </c>
      <c r="Z253" s="13">
        <v>9.0000000000000001E-78</v>
      </c>
      <c r="AA253" s="2">
        <v>65.099999999999994</v>
      </c>
      <c r="AB253" s="14" t="s">
        <v>89</v>
      </c>
      <c r="AC253" s="14" t="str">
        <f>HYPERLINK(".\links\Sigp\AGAP003789-PC-SigP.txt","CYT")</f>
        <v>CYT</v>
      </c>
      <c r="AD253" s="2" t="s">
        <v>89</v>
      </c>
      <c r="AE253" s="2">
        <v>30.951000000000001</v>
      </c>
      <c r="AF253" s="2">
        <v>5.26</v>
      </c>
      <c r="AG253" s="2" t="s">
        <v>89</v>
      </c>
      <c r="AH253" s="2" t="s">
        <v>89</v>
      </c>
      <c r="AI253" s="2" t="s">
        <v>93</v>
      </c>
      <c r="AJ253" s="14">
        <v>0</v>
      </c>
      <c r="AK253" s="2" t="s">
        <v>89</v>
      </c>
      <c r="AL253" s="2" t="s">
        <v>89</v>
      </c>
      <c r="AM253" s="2" t="s">
        <v>89</v>
      </c>
      <c r="AN253" s="14" t="str">
        <f>HYPERLINK(".\links\gpi\AGAP003789-PC-gpi.txt","N")</f>
        <v>N</v>
      </c>
      <c r="AO253" s="15" t="str">
        <f>HYPERLINK(".\links\netoglyc\AGAP003789-PC-netoglyc.txt","0")</f>
        <v>0</v>
      </c>
      <c r="AP253" s="14">
        <v>8.9</v>
      </c>
      <c r="AQ253" s="2">
        <v>5.3</v>
      </c>
      <c r="AR253" s="2">
        <v>2.1</v>
      </c>
      <c r="AS253" s="2" t="s">
        <v>94</v>
      </c>
      <c r="AT253" s="9" t="str">
        <f>HYPERLINK(".\links\NR-LIGHT\AGAP003789-PC-NR-LIGHT.txt","AGAP003789-PB")</f>
        <v>AGAP003789-PB</v>
      </c>
      <c r="AU253" s="2" t="str">
        <f>HYPERLINK("http://www.ncbi.nlm.nih.gov/sutils/blink.cgi?pid=XP_003436616.1","1E-150")</f>
        <v>1E-150</v>
      </c>
      <c r="AV253" s="2" t="str">
        <f>HYPERLINK("http://www.ncbi.nlm.nih.gov/protein/XP_003436616.1","XP_003436616.1")</f>
        <v>XP_003436616.1</v>
      </c>
      <c r="AW253" s="2">
        <v>100</v>
      </c>
      <c r="AX253" s="2">
        <v>100</v>
      </c>
      <c r="AY253" s="2">
        <v>100</v>
      </c>
      <c r="AZ253" s="2" t="s">
        <v>95</v>
      </c>
      <c r="BA253" s="9" t="str">
        <f>HYPERLINK(".\links\REFSEQ-INVERTEBRATE\AGAP003789-PC-REFSEQ-INVERTEBRATE.txt","AGAP003789-PC")</f>
        <v>AGAP003789-PC</v>
      </c>
      <c r="BB253" s="2" t="str">
        <f>HYPERLINK("http://www.ncbi.nlm.nih.gov/sutils/blink.cgi?pid=XP_003436617.1","1E-150")</f>
        <v>1E-150</v>
      </c>
      <c r="BC253" s="2" t="str">
        <f>HYPERLINK("http://www.ncbi.nlm.nih.gov/protein/XP_003436617.1","XP_003436617.1")</f>
        <v>XP_003436617.1</v>
      </c>
      <c r="BD253" s="2">
        <v>100</v>
      </c>
      <c r="BE253" s="2">
        <v>100</v>
      </c>
      <c r="BF253" s="2">
        <v>100</v>
      </c>
      <c r="BG253" s="2" t="s">
        <v>95</v>
      </c>
      <c r="BH253" s="9" t="str">
        <f>HYPERLINK(".\links\REFSEQ-PROTOZOA\AGAP003789-PC-REFSEQ-PROTOZOA.txt","flotillin 2-PF")</f>
        <v>flotillin 2-PF</v>
      </c>
      <c r="BI253" s="2" t="str">
        <f>HYPERLINK("http://www.ncbi.nlm.nih.gov/sutils/blink.cgi?pid=XP_004343619.1","3E-092")</f>
        <v>3E-092</v>
      </c>
      <c r="BJ253" s="2" t="str">
        <f>HYPERLINK("http://www.ncbi.nlm.nih.gov/protein/XP_004343619.1","XP_004343619.1")</f>
        <v>XP_004343619.1</v>
      </c>
      <c r="BK253" s="2">
        <v>60</v>
      </c>
      <c r="BL253" s="2">
        <v>78</v>
      </c>
      <c r="BM253" s="2">
        <v>65</v>
      </c>
      <c r="BN253" s="2" t="s">
        <v>150</v>
      </c>
      <c r="BO253" s="9" t="str">
        <f>HYPERLINK(".\links\SWISSP\AGAP003789-PC-SWISSP.txt","Flotillin-2")</f>
        <v>Flotillin-2</v>
      </c>
      <c r="BP253" s="2" t="str">
        <f>HYPERLINK("http://www.uniprot.org/uniprot/O61492","1E-133")</f>
        <v>1E-133</v>
      </c>
      <c r="BQ253" s="2" t="str">
        <f>HYPERLINK("http://www.uniprot.org/uniprot/O61492#expression","O61492")</f>
        <v>O61492</v>
      </c>
      <c r="BR253" s="2">
        <v>87</v>
      </c>
      <c r="BS253" s="2">
        <v>93</v>
      </c>
      <c r="BT253" s="2">
        <v>64</v>
      </c>
      <c r="BU253" s="2" t="s">
        <v>151</v>
      </c>
      <c r="BV253" s="9" t="str">
        <f>HYPERLINK(".\links\FLYBASE\AGAP003789-PC-FLYBASE.txt","FBpp0289664")</f>
        <v>FBpp0289664</v>
      </c>
      <c r="BW253" s="2" t="str">
        <f>HYPERLINK("http://flybase.org/reports/FBgn0264078#alliance_summary_container","1E-180")</f>
        <v>1E-180</v>
      </c>
      <c r="BX253" s="2">
        <v>281</v>
      </c>
      <c r="BY253" s="2">
        <v>87</v>
      </c>
      <c r="BZ253" s="2">
        <v>93</v>
      </c>
      <c r="CA253" s="2">
        <v>100</v>
      </c>
      <c r="CB253" s="9" t="str">
        <f>HYPERLINK(".\links\CDD\AGAP003789-PC-CDD.txt","COG2268, Uncharacterized protein conserved in bacteria")</f>
        <v>COG2268, Uncharacterized protein conserved in bacteria</v>
      </c>
      <c r="CC253" s="13">
        <v>4.0000000000000002E-9</v>
      </c>
      <c r="CD253" s="2">
        <v>64.8</v>
      </c>
      <c r="CE253" s="2" t="s">
        <v>965</v>
      </c>
      <c r="CF253" s="2" t="s">
        <v>966</v>
      </c>
      <c r="CG253" s="9" t="str">
        <f>HYPERLINK(".\links\KOG\AGAP003789-PC-KOG.txt","Flotillins")</f>
        <v>Flotillins</v>
      </c>
      <c r="CH253" s="13">
        <v>4.0000000000000001E-91</v>
      </c>
      <c r="CI253" s="2">
        <v>67.5</v>
      </c>
      <c r="CJ253" s="2" t="s">
        <v>967</v>
      </c>
      <c r="CK253" s="2" t="s">
        <v>968</v>
      </c>
      <c r="CL253" s="9" t="str">
        <f>HYPERLINK(".\links\PFAM\AGAP003789-PC-PFAM.txt","Flot, Flotillin")</f>
        <v>Flot, Flotillin</v>
      </c>
      <c r="CM253" s="13">
        <v>6.9999999999999994E-5</v>
      </c>
      <c r="CN253" s="2">
        <v>67.5</v>
      </c>
      <c r="CO253" s="2" t="s">
        <v>969</v>
      </c>
      <c r="CP253" s="9" t="str">
        <f>HYPERLINK(".\links\SMART\AGAP003789-PC-SMART.txt","PHB, prohibitin homologues")</f>
        <v>PHB, prohibitin homologues</v>
      </c>
      <c r="CQ253" s="13">
        <v>5.9999999999999997E-7</v>
      </c>
      <c r="CR253" s="2">
        <v>71.3</v>
      </c>
      <c r="CS253" s="2" t="s">
        <v>970</v>
      </c>
      <c r="CT253" s="2" t="s">
        <v>963</v>
      </c>
      <c r="CU253" s="2" t="s">
        <v>963</v>
      </c>
      <c r="CV253" s="2" t="s">
        <v>963</v>
      </c>
      <c r="CW253" s="2" t="str">
        <f>HYPERLINK(".\links\pep\AGAP003789-PC-pep.txt","AGAP003789-PC")</f>
        <v>AGAP003789-PC</v>
      </c>
      <c r="CX253" s="2" t="s">
        <v>88</v>
      </c>
      <c r="CY253" s="2">
        <v>281</v>
      </c>
      <c r="CZ253" s="2" t="s">
        <v>103</v>
      </c>
      <c r="DA253" s="2" t="s">
        <v>971</v>
      </c>
      <c r="DB253" s="2">
        <v>0</v>
      </c>
      <c r="DC253" s="2">
        <v>0</v>
      </c>
      <c r="DD253" s="2" t="str">
        <f>HYPERLINK("https://www.kegg.jp/kegg-bin/search_pathway_text?map=aga&amp;keyword=AGAP003789&amp;mode=1&amp;viewImage=true","AGAP003789")</f>
        <v>AGAP003789</v>
      </c>
      <c r="DE253" s="2" t="s">
        <v>959</v>
      </c>
      <c r="DF253" s="2" t="s">
        <v>960</v>
      </c>
      <c r="DG253" s="2" t="s">
        <v>87</v>
      </c>
      <c r="DH253" s="2" t="str">
        <f>HYPERLINK("https://vectorbase.org/vectorbase/app/record/gene/AGAP003789","AGAP003789-RC")</f>
        <v>AGAP003789-RC</v>
      </c>
      <c r="DI253" s="2" t="s">
        <v>158</v>
      </c>
      <c r="DJ253" s="2">
        <v>1480</v>
      </c>
      <c r="DK253" s="2" t="str">
        <f>HYPERLINK(".\links\netoglyc\AGAP003789-PC-netoglyc.txt","0")</f>
        <v>0</v>
      </c>
      <c r="DL253" s="2">
        <v>8.9</v>
      </c>
      <c r="DM253" s="2">
        <v>5.3</v>
      </c>
      <c r="DN253" s="2">
        <v>2.1</v>
      </c>
      <c r="DO253" s="2" t="s">
        <v>94</v>
      </c>
      <c r="DP253" s="2" t="s">
        <v>972</v>
      </c>
      <c r="DQ253" s="2" t="str">
        <f>HYPERLINK(".\links\Sigp\AGAP003789-PC-SigP.txt","CYT")</f>
        <v>CYT</v>
      </c>
      <c r="DR253" s="2" t="s">
        <v>89</v>
      </c>
      <c r="DS253" s="2">
        <v>30.951000000000001</v>
      </c>
      <c r="DT253" s="2">
        <v>5.26</v>
      </c>
      <c r="DU253" s="2" t="s">
        <v>89</v>
      </c>
      <c r="DV253" s="2" t="s">
        <v>89</v>
      </c>
      <c r="DW253" s="2" t="s">
        <v>93</v>
      </c>
      <c r="DX253" s="2">
        <v>281</v>
      </c>
      <c r="DY253" s="12">
        <v>0</v>
      </c>
      <c r="DZ253" s="2" t="s">
        <v>89</v>
      </c>
      <c r="EA253" s="2" t="s">
        <v>89</v>
      </c>
      <c r="EB253" s="2" t="s">
        <v>89</v>
      </c>
      <c r="EC253" s="2" t="str">
        <f>HYPERLINK(".\links\gpi\AGAP003789-PC-gpi.txt","Y-NoSP")</f>
        <v>Y-NoSP</v>
      </c>
      <c r="ED253" s="2">
        <v>0.41</v>
      </c>
      <c r="EF253" s="2">
        <v>2</v>
      </c>
      <c r="EG253" s="2" t="s">
        <v>89</v>
      </c>
      <c r="EH253" s="2" t="s">
        <v>89</v>
      </c>
      <c r="EI253" s="2">
        <v>8.8967971530249095</v>
      </c>
      <c r="EJ253" s="2">
        <v>2.1352313167259802</v>
      </c>
      <c r="EK253" s="2">
        <v>5.3380782918149503</v>
      </c>
      <c r="EL253" s="2">
        <v>7.4733096085409301</v>
      </c>
      <c r="EM253" s="2" t="s">
        <v>89</v>
      </c>
      <c r="EN253" s="2" t="s">
        <v>89</v>
      </c>
      <c r="EO253" s="2">
        <v>1</v>
      </c>
      <c r="EP253" s="2" t="s">
        <v>89</v>
      </c>
      <c r="EQ253" s="2" t="s">
        <v>89</v>
      </c>
      <c r="ER253" s="2" t="s">
        <v>89</v>
      </c>
      <c r="ES253" s="2" t="s">
        <v>89</v>
      </c>
      <c r="ET253" s="2" t="str">
        <f>HYPERLINK(".\links\REFSEQ-INVERTEBRATE\AGAP003789-PC-REFSEQ-INVERTEBRATE.txt","AGAP003789-PC")</f>
        <v>AGAP003789-PC</v>
      </c>
      <c r="EU253" s="2" t="str">
        <f>HYPERLINK("http://www.ncbi.nlm.nih.gov/sutils/blink.cgi?pid=XP_003436617.1","0.0")</f>
        <v>0.0</v>
      </c>
      <c r="EV253" s="2" t="str">
        <f>HYPERLINK("http://www.ncbi.nlm.nih.gov/protein/XP_003436617.1","XP_003436617.1")</f>
        <v>XP_003436617.1</v>
      </c>
      <c r="EW253" s="2">
        <v>100</v>
      </c>
      <c r="EX253" s="2">
        <v>100</v>
      </c>
      <c r="EY253" s="2">
        <v>100</v>
      </c>
      <c r="EZ253" s="2" t="s">
        <v>95</v>
      </c>
    </row>
    <row r="254" spans="1:156" x14ac:dyDescent="0.25">
      <c r="A254" s="2" t="s">
        <v>1813</v>
      </c>
      <c r="B254" s="2">
        <v>-1.2957146804925901</v>
      </c>
      <c r="C254" s="2">
        <f t="shared" si="3"/>
        <v>0.40733433143366199</v>
      </c>
      <c r="D254" s="2">
        <v>12.202327195956601</v>
      </c>
      <c r="E254" s="2">
        <v>12.778779031335</v>
      </c>
      <c r="F254" s="2">
        <v>3.5057367384568099E-4</v>
      </c>
      <c r="G254" s="2">
        <v>2.1087897770819E-2</v>
      </c>
      <c r="H254" s="2" t="s">
        <v>1814</v>
      </c>
      <c r="I254" s="2" t="s">
        <v>89</v>
      </c>
      <c r="J254" s="2" t="str">
        <f>HYPERLINK("https://vectorbase.org/vectorbase/app/record/gene/AGAP007087","AGAP007087-RA")</f>
        <v>AGAP007087-RA</v>
      </c>
      <c r="K254" s="2" t="str">
        <f>HYPERLINK(".\links\pep\AGAP007087-PA-pep.txt","AGAP007087-PA")</f>
        <v>AGAP007087-PA</v>
      </c>
      <c r="L254" s="12" t="s">
        <v>88</v>
      </c>
      <c r="M254" s="2">
        <v>25</v>
      </c>
      <c r="N254" s="2">
        <v>0</v>
      </c>
      <c r="O254" s="2">
        <v>0</v>
      </c>
      <c r="P254" s="2" t="s">
        <v>1815</v>
      </c>
      <c r="Q254" s="9" t="s">
        <v>1816</v>
      </c>
      <c r="R254" s="2" t="s">
        <v>245</v>
      </c>
      <c r="S254" s="2" t="str">
        <f>HYPERLINK(".\links\SWISSP\AGAP007087-PA-SWISSP.txt","SWISSP")</f>
        <v>SWISSP</v>
      </c>
      <c r="T254" s="2">
        <v>3.9999999999999998E-7</v>
      </c>
      <c r="U254" s="2">
        <v>100</v>
      </c>
      <c r="V254" s="2" t="s">
        <v>1817</v>
      </c>
      <c r="W254" s="10" t="s">
        <v>1818</v>
      </c>
      <c r="X254" s="2" t="s">
        <v>245</v>
      </c>
      <c r="Y254" s="2" t="str">
        <f>HYPERLINK(".\links\KOG\AGAP007087-PA-KOG.txt","KOG")</f>
        <v>KOG</v>
      </c>
      <c r="Z254" s="2">
        <v>2.9999999999999997E-8</v>
      </c>
      <c r="AA254" s="2">
        <v>100</v>
      </c>
      <c r="AB254" s="14" t="s">
        <v>89</v>
      </c>
      <c r="AC254" s="14" t="str">
        <f>HYPERLINK(".\links\Sigp\AGAP007087-PA-SigP.txt","CYT")</f>
        <v>CYT</v>
      </c>
      <c r="AD254" s="2" t="s">
        <v>89</v>
      </c>
      <c r="AE254" s="2">
        <v>3.74</v>
      </c>
      <c r="AF254" s="2">
        <v>12.96</v>
      </c>
      <c r="AG254" s="2" t="s">
        <v>89</v>
      </c>
      <c r="AH254" s="2" t="s">
        <v>89</v>
      </c>
      <c r="AI254" s="2" t="s">
        <v>273</v>
      </c>
      <c r="AJ254" s="14">
        <v>0</v>
      </c>
      <c r="AK254" s="2" t="s">
        <v>89</v>
      </c>
      <c r="AL254" s="2" t="s">
        <v>89</v>
      </c>
      <c r="AM254" s="2" t="s">
        <v>89</v>
      </c>
      <c r="AN254" s="14" t="str">
        <f>HYPERLINK(".\links\gpi\AGAP007087-PA-gpi.txt","N")</f>
        <v>N</v>
      </c>
      <c r="AO254" s="15" t="str">
        <f>HYPERLINK(".\links\netoglyc\AGAP007087-PA-netoglyc.txt","0")</f>
        <v>0</v>
      </c>
      <c r="AP254" s="14">
        <v>4</v>
      </c>
      <c r="AQ254" s="2" t="s">
        <v>274</v>
      </c>
      <c r="AR254" s="2" t="s">
        <v>274</v>
      </c>
      <c r="AS254" s="2" t="s">
        <v>94</v>
      </c>
      <c r="AT254" s="9" t="str">
        <f>HYPERLINK(".\links\NR-LIGHT\AGAP007087-PA-NR-LIGHT.txt","ribosomal protein L41")</f>
        <v>ribosomal protein L41</v>
      </c>
      <c r="AU254" s="2" t="str">
        <f>HYPERLINK("http://www.ncbi.nlm.nih.gov/sutils/blink.cgi?pid=NP_001014551.1","5E-006")</f>
        <v>5E-006</v>
      </c>
      <c r="AV254" s="2" t="str">
        <f>HYPERLINK("http://www.ncbi.nlm.nih.gov/protein/NP_001014551.1","NP_001014551.1")</f>
        <v>NP_001014551.1</v>
      </c>
      <c r="AW254" s="2">
        <v>100</v>
      </c>
      <c r="AX254" s="2">
        <v>100</v>
      </c>
      <c r="AY254" s="2">
        <v>100</v>
      </c>
      <c r="AZ254" s="2" t="s">
        <v>151</v>
      </c>
      <c r="BA254" s="9" t="str">
        <f>HYPERLINK(".\links\REFSEQ-INVERTEBRATE\AGAP007087-PA-REFSEQ-INVERTEBRATE.txt","ribosomal protein L41")</f>
        <v>ribosomal protein L41</v>
      </c>
      <c r="BB254" s="2" t="str">
        <f>HYPERLINK("http://www.ncbi.nlm.nih.gov/sutils/blink.cgi?pid=NP_001035914.1","4E-006")</f>
        <v>4E-006</v>
      </c>
      <c r="BC254" s="2" t="str">
        <f>HYPERLINK("http://www.ncbi.nlm.nih.gov/protein/NP_001035914.1","NP_001035914.1")</f>
        <v>NP_001035914.1</v>
      </c>
      <c r="BD254" s="2">
        <v>100</v>
      </c>
      <c r="BE254" s="2">
        <v>100</v>
      </c>
      <c r="BF254" s="2">
        <v>100</v>
      </c>
      <c r="BG254" s="2" t="s">
        <v>1620</v>
      </c>
      <c r="BH254" s="9" t="str">
        <f>HYPERLINK(".\links\REFSEQ-PROTOZOA\AGAP007087-PA-REFSEQ-PROTOZOA.txt","60S ribosomal protein L41")</f>
        <v>60S ribosomal protein L41</v>
      </c>
      <c r="BI254" s="2" t="str">
        <f>HYPERLINK("http://www.ncbi.nlm.nih.gov/sutils/blink.cgi?pid=XP_005537481.1","2E-005")</f>
        <v>2E-005</v>
      </c>
      <c r="BJ254" s="2" t="str">
        <f>HYPERLINK("http://www.ncbi.nlm.nih.gov/protein/XP_005537481.1","XP_005537481.1")</f>
        <v>XP_005537481.1</v>
      </c>
      <c r="BK254" s="2">
        <v>88</v>
      </c>
      <c r="BL254" s="2">
        <v>96</v>
      </c>
      <c r="BM254" s="2">
        <v>100</v>
      </c>
      <c r="BN254" s="2" t="s">
        <v>1692</v>
      </c>
      <c r="BO254" s="9" t="str">
        <f>HYPERLINK(".\links\SWISSP\AGAP007087-PA-SWISSP.txt","60S ribosomal protein L41")</f>
        <v>60S ribosomal protein L41</v>
      </c>
      <c r="BP254" s="2" t="str">
        <f>HYPERLINK("http://www.uniprot.org/uniprot/Q7KF89","4E-007")</f>
        <v>4E-007</v>
      </c>
      <c r="BQ254" s="2" t="str">
        <f>HYPERLINK("http://www.uniprot.org/uniprot/Q7KF89#expression","Q7KF89")</f>
        <v>Q7KF89</v>
      </c>
      <c r="BR254" s="2">
        <v>100</v>
      </c>
      <c r="BS254" s="2">
        <v>100</v>
      </c>
      <c r="BT254" s="2">
        <v>100</v>
      </c>
      <c r="BU254" s="2" t="s">
        <v>978</v>
      </c>
      <c r="BV254" s="9" t="str">
        <f>HYPERLINK(".\links\FLYBASE\AGAP007087-PA-FLYBASE.txt","FBpp0099610")</f>
        <v>FBpp0099610</v>
      </c>
      <c r="BW254" s="2" t="str">
        <f>HYPERLINK("http://flybase.org/reports/FBgn0066084#alliance_summary_container","2E-07")</f>
        <v>2E-07</v>
      </c>
      <c r="BX254" s="2">
        <v>25</v>
      </c>
      <c r="BY254" s="2">
        <v>100</v>
      </c>
      <c r="BZ254" s="2">
        <v>100</v>
      </c>
      <c r="CA254" s="2">
        <v>100</v>
      </c>
      <c r="CB254" s="9" t="s">
        <v>89</v>
      </c>
      <c r="CC254" s="13" t="s">
        <v>89</v>
      </c>
      <c r="CD254" s="2" t="s">
        <v>89</v>
      </c>
      <c r="CE254" s="2" t="s">
        <v>89</v>
      </c>
      <c r="CF254" s="2" t="s">
        <v>89</v>
      </c>
      <c r="CG254" s="9" t="str">
        <f>HYPERLINK(".\links\KOG\AGAP007087-PA-KOG.txt","pore-forming alpha1I subunit")</f>
        <v>pore-forming alpha1I subunit</v>
      </c>
      <c r="CH254" s="13">
        <v>4.9000000000000004</v>
      </c>
      <c r="CI254" s="2">
        <v>1.1000000000000001</v>
      </c>
      <c r="CJ254" s="2" t="s">
        <v>1819</v>
      </c>
      <c r="CK254" s="2" t="s">
        <v>1809</v>
      </c>
      <c r="CL254" s="9" t="str">
        <f>HYPERLINK(".\links\PFAM\AGAP007087-PA-PFAM.txt","7TM_GPCR_Srd, Serpentine type 7TM GPCR chemoreceptor Srd")</f>
        <v>7TM_GPCR_Srd, Serpentine type 7TM GPCR chemoreceptor Srd</v>
      </c>
      <c r="CM254" s="13">
        <v>0.1</v>
      </c>
      <c r="CN254" s="2">
        <v>7.2</v>
      </c>
      <c r="CO254" s="2" t="s">
        <v>1820</v>
      </c>
      <c r="CP254" s="9" t="str">
        <f>HYPERLINK(".\links\SMART\AGAP007087-PA-SMART.txt","DnaG_DnaB_bind, DNA primase DnaG DnaB-binding")</f>
        <v>DnaG_DnaB_bind, DNA primase DnaG DnaB-binding</v>
      </c>
      <c r="CQ254" s="13">
        <v>2.4</v>
      </c>
      <c r="CR254" s="2">
        <v>15.2</v>
      </c>
      <c r="CS254" s="2" t="s">
        <v>993</v>
      </c>
      <c r="CT254" s="2" t="s">
        <v>1817</v>
      </c>
      <c r="CU254" s="2" t="s">
        <v>1817</v>
      </c>
      <c r="CV254" s="2" t="s">
        <v>1817</v>
      </c>
      <c r="CW254" s="2" t="str">
        <f>HYPERLINK(".\links\pep\AGAP007087-PA-pep.txt","AGAP007087-PA")</f>
        <v>AGAP007087-PA</v>
      </c>
      <c r="CX254" s="2" t="s">
        <v>88</v>
      </c>
      <c r="CY254" s="2">
        <v>25</v>
      </c>
      <c r="CZ254" s="2" t="s">
        <v>103</v>
      </c>
      <c r="DA254" s="2">
        <v>0</v>
      </c>
      <c r="DB254" s="2">
        <v>0</v>
      </c>
      <c r="DD254" s="2" t="str">
        <f>HYPERLINK("https://www.kegg.jp/kegg-bin/search_pathway_text?map=aga&amp;keyword=AGAP007087&amp;mode=1&amp;viewImage=true","AGAP007087")</f>
        <v>AGAP007087</v>
      </c>
      <c r="DE254" s="2" t="s">
        <v>1813</v>
      </c>
      <c r="DF254" s="2" t="s">
        <v>1814</v>
      </c>
      <c r="DG254" s="2" t="s">
        <v>89</v>
      </c>
      <c r="DH254" s="2" t="str">
        <f>HYPERLINK("https://vectorbase.org/vectorbase/app/record/gene/AGAP007087","AGAP007087-RA")</f>
        <v>AGAP007087-RA</v>
      </c>
      <c r="DI254" s="2" t="s">
        <v>158</v>
      </c>
      <c r="DJ254" s="2">
        <v>486</v>
      </c>
      <c r="DK254" s="2" t="str">
        <f>HYPERLINK(".\links\netoglyc\AGAP007087-PA-netoglyc.txt","0")</f>
        <v>0</v>
      </c>
      <c r="DL254" s="2">
        <v>4</v>
      </c>
      <c r="DM254" s="2" t="s">
        <v>274</v>
      </c>
      <c r="DN254" s="2" t="s">
        <v>274</v>
      </c>
      <c r="DO254" s="2" t="s">
        <v>94</v>
      </c>
      <c r="DP254" s="2" t="s">
        <v>1821</v>
      </c>
      <c r="DQ254" s="2" t="str">
        <f>HYPERLINK(".\links\Sigp\AGAP007087-PA-SigP.txt","CYT")</f>
        <v>CYT</v>
      </c>
      <c r="DR254" s="2" t="s">
        <v>89</v>
      </c>
      <c r="DS254" s="2">
        <v>3.74</v>
      </c>
      <c r="DT254" s="2">
        <v>12.96</v>
      </c>
      <c r="DU254" s="2" t="s">
        <v>89</v>
      </c>
      <c r="DV254" s="2" t="s">
        <v>89</v>
      </c>
      <c r="DW254" s="2" t="s">
        <v>273</v>
      </c>
      <c r="DX254" s="2">
        <v>25</v>
      </c>
      <c r="DY254" s="12">
        <v>0</v>
      </c>
      <c r="DZ254" s="2" t="s">
        <v>89</v>
      </c>
      <c r="EA254" s="2" t="s">
        <v>89</v>
      </c>
      <c r="EB254" s="2" t="s">
        <v>89</v>
      </c>
      <c r="EC254" s="2" t="str">
        <f>HYPERLINK(".\links\gpi\AGAP007087-PA-gpi.txt","N")</f>
        <v>N</v>
      </c>
      <c r="ED254" s="2">
        <v>1.4</v>
      </c>
      <c r="EE254" s="2" t="s">
        <v>1822</v>
      </c>
      <c r="EF254" s="2">
        <v>0</v>
      </c>
      <c r="EG254" s="2" t="s">
        <v>89</v>
      </c>
      <c r="EH254" s="2" t="s">
        <v>89</v>
      </c>
      <c r="EI254" s="2">
        <v>4</v>
      </c>
      <c r="EJ254" s="2">
        <v>0</v>
      </c>
      <c r="EK254" s="2">
        <v>0</v>
      </c>
      <c r="EL254" s="2">
        <v>0</v>
      </c>
      <c r="EM254" s="2" t="s">
        <v>89</v>
      </c>
      <c r="EN254" s="2" t="s">
        <v>89</v>
      </c>
      <c r="EO254" s="2" t="s">
        <v>89</v>
      </c>
      <c r="EP254" s="2" t="s">
        <v>89</v>
      </c>
      <c r="EQ254" s="2" t="s">
        <v>89</v>
      </c>
      <c r="ER254" s="2" t="s">
        <v>89</v>
      </c>
      <c r="ES254" s="2" t="s">
        <v>89</v>
      </c>
      <c r="ET254" s="2" t="str">
        <f>HYPERLINK(".\links\REFSEQ-INVERTEBRATE\AGAP007087-PA-REFSEQ-INVERTEBRATE.txt","AGAP007087-PA")</f>
        <v>AGAP007087-PA</v>
      </c>
      <c r="EU254" s="2" t="str">
        <f>HYPERLINK("http://www.ncbi.nlm.nih.gov/sutils/blink.cgi?pid=XP_001237125.2","4E-05")</f>
        <v>4E-05</v>
      </c>
      <c r="EV254" s="2" t="str">
        <f>HYPERLINK("http://www.ncbi.nlm.nih.gov/protein/XP_001237125.2","XP_001237125.2")</f>
        <v>XP_001237125.2</v>
      </c>
      <c r="EW254" s="2">
        <v>100</v>
      </c>
      <c r="EX254" s="2">
        <v>100</v>
      </c>
      <c r="EY254" s="2">
        <v>100</v>
      </c>
      <c r="EZ254" s="2" t="s">
        <v>95</v>
      </c>
    </row>
    <row r="255" spans="1:156" x14ac:dyDescent="0.25">
      <c r="A255" s="2" t="s">
        <v>3172</v>
      </c>
      <c r="B255" s="2">
        <v>-1.30487180254982</v>
      </c>
      <c r="C255" s="2">
        <f t="shared" si="3"/>
        <v>0.4047570732683291</v>
      </c>
      <c r="D255" s="2">
        <v>2.4360250379422799</v>
      </c>
      <c r="E255" s="2">
        <v>13.3340193691041</v>
      </c>
      <c r="F255" s="2">
        <v>2.6063426306160899E-4</v>
      </c>
      <c r="G255" s="2">
        <v>1.70243742258709E-2</v>
      </c>
      <c r="H255" s="2" t="s">
        <v>86</v>
      </c>
      <c r="I255" s="2" t="s">
        <v>87</v>
      </c>
      <c r="J255" s="2" t="str">
        <f>HYPERLINK("https://vectorbase.org/vectorbase/app/record/gene/AGAP029367","AGAP029367-RA")</f>
        <v>AGAP029367-RA</v>
      </c>
      <c r="K255" s="2" t="str">
        <f>HYPERLINK(".\links\pep\AGAP029367-PA-pep.txt","AGAP029367-PA")</f>
        <v>AGAP029367-PA</v>
      </c>
      <c r="L255" s="12" t="s">
        <v>88</v>
      </c>
      <c r="M255" s="2">
        <v>89</v>
      </c>
      <c r="N255" s="2">
        <v>0</v>
      </c>
      <c r="O255" s="2">
        <v>0</v>
      </c>
      <c r="P255" s="2" t="s">
        <v>89</v>
      </c>
      <c r="Q255" s="9" t="s">
        <v>3121</v>
      </c>
      <c r="R255" s="2" t="s">
        <v>3122</v>
      </c>
      <c r="V255" s="2" t="s">
        <v>3173</v>
      </c>
      <c r="W255" s="10" t="s">
        <v>3121</v>
      </c>
      <c r="X255" s="2" t="s">
        <v>3122</v>
      </c>
      <c r="Z255" s="13"/>
      <c r="AB255" s="14" t="s">
        <v>89</v>
      </c>
      <c r="AC255" s="14" t="str">
        <f>HYPERLINK(".\links\Sigp\AGAP029367-PA-SigP.txt","SIG")</f>
        <v>SIG</v>
      </c>
      <c r="AD255" s="2" t="s">
        <v>404</v>
      </c>
      <c r="AE255" s="2">
        <v>9.8819999999999997</v>
      </c>
      <c r="AF255" s="2">
        <v>9.25</v>
      </c>
      <c r="AG255" s="2">
        <v>7.1710000000000003</v>
      </c>
      <c r="AH255" s="2">
        <v>9.6999999999999993</v>
      </c>
      <c r="AI255" s="2" t="s">
        <v>3174</v>
      </c>
      <c r="AJ255" s="14" t="str">
        <f>HYPERLINK(".\links\tmhmm\AGAP029367-PA-tmhmm.txt","1")</f>
        <v>1</v>
      </c>
      <c r="AK255" s="2">
        <v>21.3</v>
      </c>
      <c r="AL255" s="2">
        <v>4.5</v>
      </c>
      <c r="AM255" s="2">
        <v>74.2</v>
      </c>
      <c r="AN255" s="9" t="str">
        <f>HYPERLINK(".\links\gpi\AGAP029367-PA-gpi.txt","N")</f>
        <v>N</v>
      </c>
      <c r="AO255" s="15" t="str">
        <f>HYPERLINK(".\links\netoglyc\AGAP029367-PA-netoglyc.txt","2")</f>
        <v>2</v>
      </c>
      <c r="AP255" s="14">
        <v>5.6</v>
      </c>
      <c r="AQ255" s="2">
        <v>5.6</v>
      </c>
      <c r="AR255" s="2">
        <v>10.1</v>
      </c>
      <c r="AS255" s="2" t="s">
        <v>94</v>
      </c>
      <c r="AT255" s="9" t="str">
        <f>HYPERLINK(".\links\NR-LIGHT\AGAP029367-PA-NR-LIGHT.txt","hypothetical protein AND_005458")</f>
        <v>hypothetical protein AND_005458</v>
      </c>
      <c r="AU255" s="2" t="str">
        <f>HYPERLINK("http://www.ncbi.nlm.nih.gov/sutils/blink.cgi?pid=ETN62852.1","2E-006")</f>
        <v>2E-006</v>
      </c>
      <c r="AV255" s="2" t="str">
        <f>HYPERLINK("http://www.ncbi.nlm.nih.gov/protein/ETN62852.1","ETN62852.1")</f>
        <v>ETN62852.1</v>
      </c>
      <c r="AW255" s="2">
        <v>42</v>
      </c>
      <c r="AX255" s="2">
        <v>57</v>
      </c>
      <c r="AY255" s="2">
        <v>87</v>
      </c>
      <c r="AZ255" s="2" t="s">
        <v>2245</v>
      </c>
      <c r="BA255" s="9" t="str">
        <f>HYPERLINK(".\links\REFSEQ-INVERTEBRATE\AGAP029367-PA-REFSEQ-INVERTEBRATE.txt","splicing factor, suppressor of white-apricot homolog")</f>
        <v>splicing factor, suppressor of white-apricot homolog</v>
      </c>
      <c r="BB255" s="2" t="str">
        <f>HYPERLINK("http://www.ncbi.nlm.nih.gov/sutils/blink.cgi?pid=XP_008554006.1","9.7")</f>
        <v>9.7</v>
      </c>
      <c r="BC255" s="2" t="str">
        <f>HYPERLINK("http://www.ncbi.nlm.nih.gov/protein/XP_008554006.1","XP_008554006.1")</f>
        <v>XP_008554006.1</v>
      </c>
      <c r="BD255" s="2">
        <v>42</v>
      </c>
      <c r="BE255" s="2">
        <v>60</v>
      </c>
      <c r="BF255" s="2">
        <v>4</v>
      </c>
      <c r="BG255" s="2" t="s">
        <v>3175</v>
      </c>
      <c r="BH255" s="9" t="str">
        <f>HYPERLINK(".\links\REFSEQ-PROTOZOA\AGAP029367-PA-REFSEQ-PROTOZOA.txt","hypothetical protein PPL_07355")</f>
        <v>hypothetical protein PPL_07355</v>
      </c>
      <c r="BI255" s="2" t="str">
        <f>HYPERLINK("http://www.ncbi.nlm.nih.gov/sutils/blink.cgi?pid=XP_020432639.1","6.2")</f>
        <v>6.2</v>
      </c>
      <c r="BJ255" s="2" t="str">
        <f>HYPERLINK("http://www.ncbi.nlm.nih.gov/protein/XP_020432639.1","XP_020432639.1")</f>
        <v>XP_020432639.1</v>
      </c>
      <c r="BK255" s="2">
        <v>30</v>
      </c>
      <c r="BL255" s="2">
        <v>44</v>
      </c>
      <c r="BM255" s="2">
        <v>29</v>
      </c>
      <c r="BN255" s="2" t="s">
        <v>2387</v>
      </c>
      <c r="BO255" s="9" t="str">
        <f>HYPERLINK(".\links\SWISSP\AGAP029367-PA-SWISSP.txt","Inner kinetochore subunit CNN1")</f>
        <v>Inner kinetochore subunit CNN1</v>
      </c>
      <c r="BP255" s="2" t="str">
        <f>HYPERLINK("http://www.uniprot.org/uniprot/P43618","1.2")</f>
        <v>1.2</v>
      </c>
      <c r="BQ255" s="2" t="str">
        <f>HYPERLINK("http://www.uniprot.org/uniprot/P43618#expression","P43618")</f>
        <v>P43618</v>
      </c>
      <c r="BR255" s="2">
        <v>26</v>
      </c>
      <c r="BS255" s="2">
        <v>47</v>
      </c>
      <c r="BT255" s="2">
        <v>20</v>
      </c>
      <c r="BU255" s="2" t="s">
        <v>3176</v>
      </c>
      <c r="BV255" s="9" t="str">
        <f>HYPERLINK(".\links\FLYBASE\AGAP029367-PA-FLYBASE.txt","FBpp0081117")</f>
        <v>FBpp0081117</v>
      </c>
      <c r="BW255" s="2" t="str">
        <f>HYPERLINK("http://flybase.org/reports/FBgn0037489#alliance_summary_container","0.98")</f>
        <v>0.98</v>
      </c>
      <c r="BX255" s="2">
        <v>822</v>
      </c>
      <c r="BY255" s="2">
        <v>30</v>
      </c>
      <c r="BZ255" s="2">
        <v>46</v>
      </c>
      <c r="CA255" s="2">
        <v>7</v>
      </c>
      <c r="CB255" s="9" t="str">
        <f>HYPERLINK(".\links\CDD\AGAP029367-PA-CDD.txt","7tmA_P2Y4, P2Y purinoceptor 4, member of the class A family of seven-transmembrane G protein-coupled receptors")</f>
        <v>7tmA_P2Y4, P2Y purinoceptor 4, member of the class A family of seven-transmembrane G protein-coupled receptors</v>
      </c>
      <c r="CC255" s="13">
        <v>0.88</v>
      </c>
      <c r="CD255" s="2">
        <v>10.5</v>
      </c>
      <c r="CE255" s="2" t="s">
        <v>3177</v>
      </c>
      <c r="CF255" s="2" t="s">
        <v>3178</v>
      </c>
      <c r="CG255" s="9" t="str">
        <f>HYPERLINK(".\links\KOG\AGAP029367-PA-KOG.txt","SATB1 matrix attachment region binding protein")</f>
        <v>SATB1 matrix attachment region binding protein</v>
      </c>
      <c r="CH255" s="13">
        <v>0.57999999999999996</v>
      </c>
      <c r="CI255" s="2">
        <v>5.7</v>
      </c>
      <c r="CJ255" s="2" t="s">
        <v>3179</v>
      </c>
      <c r="CK255" s="2" t="s">
        <v>377</v>
      </c>
      <c r="CL255" s="9" t="str">
        <f>HYPERLINK(".\links\PFAM\AGAP029367-PA-PFAM.txt","DUF1092, Protein of unknown function (DUF1092)")</f>
        <v>DUF1092, Protein of unknown function (DUF1092)</v>
      </c>
      <c r="CM255" s="13">
        <v>0.73</v>
      </c>
      <c r="CN255" s="2">
        <v>18.600000000000001</v>
      </c>
      <c r="CO255" s="2" t="s">
        <v>3180</v>
      </c>
      <c r="CP255" s="9" t="str">
        <f>HYPERLINK(".\links\SMART\AGAP029367-PA-SMART.txt","NEAT, NEAr Transporter domain")</f>
        <v>NEAT, NEAr Transporter domain</v>
      </c>
      <c r="CQ255" s="13">
        <v>0.99</v>
      </c>
      <c r="CR255" s="2">
        <v>24.4</v>
      </c>
      <c r="CS255" s="2" t="s">
        <v>3181</v>
      </c>
      <c r="CT255" s="2" t="s">
        <v>3173</v>
      </c>
      <c r="CU255" s="2" t="s">
        <v>3173</v>
      </c>
      <c r="CV255" s="2" t="s">
        <v>3173</v>
      </c>
      <c r="CW255" s="2" t="str">
        <f>HYPERLINK(".\links\pep\AGAP029367-PA-pep.txt","AGAP029367-PA")</f>
        <v>AGAP029367-PA</v>
      </c>
      <c r="CX255" s="2" t="s">
        <v>88</v>
      </c>
      <c r="CY255" s="2">
        <v>89</v>
      </c>
      <c r="CZ255" s="2" t="s">
        <v>103</v>
      </c>
      <c r="DA255" s="2" t="s">
        <v>3182</v>
      </c>
      <c r="DB255" s="2">
        <v>0</v>
      </c>
      <c r="DC255" s="2">
        <v>0</v>
      </c>
      <c r="DD255" s="2" t="str">
        <f>HYPERLINK("https://www.kegg.jp/kegg-bin/search_pathway_text?map=aga&amp;keyword=AGAP029367&amp;mode=1&amp;viewImage=true","AGAP029367")</f>
        <v>AGAP029367</v>
      </c>
      <c r="DE255" s="2" t="s">
        <v>3172</v>
      </c>
      <c r="DF255" s="2" t="s">
        <v>86</v>
      </c>
      <c r="DG255" s="2" t="s">
        <v>87</v>
      </c>
      <c r="DH255" s="2" t="str">
        <f>HYPERLINK("https://vectorbase.org/vectorbase/app/record/gene/AGAP029367","AGAP029367-RA")</f>
        <v>AGAP029367-RA</v>
      </c>
      <c r="DI255" s="2" t="s">
        <v>158</v>
      </c>
      <c r="DJ255" s="2">
        <v>360</v>
      </c>
      <c r="DK255" s="2" t="str">
        <f>HYPERLINK(".\links\netoglyc\AGAP029367-PA-netoglyc.txt","2")</f>
        <v>2</v>
      </c>
      <c r="DL255" s="2">
        <v>5.6</v>
      </c>
      <c r="DM255" s="2">
        <v>5.6</v>
      </c>
      <c r="DN255" s="2">
        <v>10.1</v>
      </c>
      <c r="DO255" s="2" t="s">
        <v>94</v>
      </c>
      <c r="DP255" s="2" t="s">
        <v>89</v>
      </c>
      <c r="DQ255" s="2" t="str">
        <f>HYPERLINK(".\links\Sigp\AGAP029367-PA-SigP.txt","SIG")</f>
        <v>SIG</v>
      </c>
      <c r="DR255" s="2" t="s">
        <v>404</v>
      </c>
      <c r="DS255" s="2">
        <v>9.8819999999999997</v>
      </c>
      <c r="DT255" s="2">
        <v>9.25</v>
      </c>
      <c r="DU255" s="2">
        <v>7.1710000000000003</v>
      </c>
      <c r="DV255" s="2">
        <v>9.6999999999999993</v>
      </c>
      <c r="DW255" s="2" t="s">
        <v>3174</v>
      </c>
      <c r="DX255" s="2">
        <v>89</v>
      </c>
      <c r="DY255" s="12" t="str">
        <f>HYPERLINK(".\links\tmhmm\AGAP029367-PA-tmhmm.txt","1")</f>
        <v>1</v>
      </c>
      <c r="DZ255" s="2">
        <v>21.3</v>
      </c>
      <c r="EA255" s="2">
        <v>4.5</v>
      </c>
      <c r="EB255" s="2">
        <v>74.2</v>
      </c>
      <c r="EC255" s="2" t="str">
        <f>HYPERLINK(".\links\gpi\AGAP029367-PA-gpi.txt","N")</f>
        <v>N</v>
      </c>
      <c r="ED255" s="2">
        <v>0.45</v>
      </c>
      <c r="EF255" s="2">
        <v>1</v>
      </c>
      <c r="EG255" s="2" t="s">
        <v>89</v>
      </c>
      <c r="EH255" s="2" t="s">
        <v>89</v>
      </c>
      <c r="EI255" s="2">
        <v>5.6179775280898898</v>
      </c>
      <c r="EJ255" s="2">
        <v>10.1123595505618</v>
      </c>
      <c r="EK255" s="2">
        <v>5.6179775280898898</v>
      </c>
      <c r="EL255" s="2">
        <v>15.730337078651701</v>
      </c>
      <c r="EM255" s="2" t="s">
        <v>89</v>
      </c>
      <c r="EN255" s="2" t="s">
        <v>89</v>
      </c>
      <c r="EO255" s="2">
        <v>1</v>
      </c>
      <c r="EP255" s="2" t="s">
        <v>89</v>
      </c>
      <c r="EQ255" s="2" t="s">
        <v>89</v>
      </c>
      <c r="ER255" s="2" t="s">
        <v>89</v>
      </c>
      <c r="ES255" s="2" t="s">
        <v>89</v>
      </c>
      <c r="ET255" s="2" t="str">
        <f>HYPERLINK(".\links\REFSEQ-INVERTEBRATE\AGAP029367-PA-REFSEQ-INVERTEBRATE.txt","splicing factor 3B subunit 4-like isoform X2")</f>
        <v>splicing factor 3B subunit 4-like isoform X2</v>
      </c>
      <c r="EU255" s="2" t="str">
        <f>HYPERLINK("http://www.ncbi.nlm.nih.gov/sutils/blink.cgi?pid=XP_037899238.1","1.1")</f>
        <v>1.1</v>
      </c>
      <c r="EV255" s="2" t="str">
        <f>HYPERLINK("http://www.ncbi.nlm.nih.gov/protein/XP_037899238.1","XP_037899238.1")</f>
        <v>XP_037899238.1</v>
      </c>
      <c r="EW255" s="2">
        <v>37</v>
      </c>
      <c r="EX255" s="2">
        <v>62</v>
      </c>
      <c r="EY255" s="2">
        <v>26</v>
      </c>
      <c r="EZ255" s="2" t="s">
        <v>3183</v>
      </c>
    </row>
    <row r="256" spans="1:156" x14ac:dyDescent="0.25">
      <c r="A256" s="2" t="s">
        <v>1784</v>
      </c>
      <c r="B256" s="2">
        <v>-1.32014155630172</v>
      </c>
      <c r="C256" s="2">
        <f t="shared" si="3"/>
        <v>0.4004956404943858</v>
      </c>
      <c r="D256" s="2">
        <v>4.6606954103326403</v>
      </c>
      <c r="E256" s="2">
        <v>23.4885947206553</v>
      </c>
      <c r="F256" s="2">
        <v>1.25656467318939E-6</v>
      </c>
      <c r="G256" s="2">
        <v>4.8854594496907603E-4</v>
      </c>
      <c r="H256" s="2" t="s">
        <v>86</v>
      </c>
      <c r="I256" s="2" t="s">
        <v>87</v>
      </c>
      <c r="J256" s="2" t="str">
        <f>HYPERLINK("https://vectorbase.org/vectorbase/app/record/gene/AGAP007043","AGAP007043-RA")</f>
        <v>AGAP007043-RA</v>
      </c>
      <c r="K256" s="2" t="str">
        <f>HYPERLINK(".\links\pep\AGAP007043-PA-pep.txt","AGAP007043-PA")</f>
        <v>AGAP007043-PA</v>
      </c>
      <c r="L256" s="12" t="s">
        <v>88</v>
      </c>
      <c r="M256" s="2">
        <v>532</v>
      </c>
      <c r="N256" s="2">
        <v>0</v>
      </c>
      <c r="O256" s="2">
        <v>1</v>
      </c>
      <c r="P256" s="2" t="s">
        <v>89</v>
      </c>
      <c r="Q256" s="9" t="s">
        <v>1785</v>
      </c>
      <c r="R256" s="2" t="s">
        <v>303</v>
      </c>
      <c r="S256" s="2" t="str">
        <f>HYPERLINK(".\links\SMART\AGAP007043-PA-SMART.txt","SMART")</f>
        <v>SMART</v>
      </c>
      <c r="T256" s="2">
        <v>2E-45</v>
      </c>
      <c r="U256" s="2">
        <v>107.8</v>
      </c>
      <c r="V256" s="2" t="s">
        <v>1786</v>
      </c>
      <c r="W256" s="10" t="s">
        <v>1787</v>
      </c>
      <c r="X256" s="2" t="s">
        <v>1788</v>
      </c>
      <c r="Y256" s="2" t="str">
        <f>HYPERLINK(".\links\MEROPS\AGAP007043-PA-MEROPS.txt","MEROPS")</f>
        <v>MEROPS</v>
      </c>
      <c r="Z256" s="2">
        <v>0</v>
      </c>
      <c r="AA256" s="2">
        <v>100</v>
      </c>
      <c r="AB256" s="14" t="str">
        <f>HYPERLINK(".\links\pep\AGAP007043-PA-sulf.txt","1")</f>
        <v>1</v>
      </c>
      <c r="AC256" s="14" t="str">
        <f>HYPERLINK(".\links\Sigp\AGAP007043-PA-SigP.txt","CYT")</f>
        <v>CYT</v>
      </c>
      <c r="AD256" s="2" t="s">
        <v>89</v>
      </c>
      <c r="AE256" s="2">
        <v>59.917000000000002</v>
      </c>
      <c r="AF256" s="2">
        <v>6.86</v>
      </c>
      <c r="AG256" s="2" t="s">
        <v>89</v>
      </c>
      <c r="AH256" s="2" t="s">
        <v>89</v>
      </c>
      <c r="AI256" s="2" t="s">
        <v>1789</v>
      </c>
      <c r="AJ256" s="14">
        <v>0</v>
      </c>
      <c r="AK256" s="2" t="s">
        <v>89</v>
      </c>
      <c r="AL256" s="2" t="s">
        <v>89</v>
      </c>
      <c r="AM256" s="2" t="s">
        <v>89</v>
      </c>
      <c r="AN256" s="14" t="str">
        <f>HYPERLINK(".\links\gpi\AGAP007043-PA-gpi.txt","N")</f>
        <v>N</v>
      </c>
      <c r="AO256" s="15" t="str">
        <f>HYPERLINK(".\links\netoglyc\AGAP007043-PA-netoglyc.txt","0")</f>
        <v>0</v>
      </c>
      <c r="AP256" s="14">
        <v>10.9</v>
      </c>
      <c r="AQ256" s="2">
        <v>5.5</v>
      </c>
      <c r="AR256" s="2">
        <v>5.5</v>
      </c>
      <c r="AS256" s="2" t="s">
        <v>94</v>
      </c>
      <c r="AT256" s="9" t="str">
        <f>HYPERLINK(".\links\NR-LIGHT\AGAP007043-PA-NR-LIGHT.txt","AGAP007043-PB")</f>
        <v>AGAP007043-PB</v>
      </c>
      <c r="AU256" s="2" t="str">
        <f>HYPERLINK("http://www.ncbi.nlm.nih.gov/sutils/blink.cgi?pid=XP_001237132.2","0.0")</f>
        <v>0.0</v>
      </c>
      <c r="AV256" s="2" t="str">
        <f>HYPERLINK("http://www.ncbi.nlm.nih.gov/protein/XP_001237132.2","XP_001237132.2")</f>
        <v>XP_001237132.2</v>
      </c>
      <c r="AW256" s="2">
        <v>100</v>
      </c>
      <c r="AX256" s="2">
        <v>100</v>
      </c>
      <c r="AY256" s="2">
        <v>93</v>
      </c>
      <c r="AZ256" s="2" t="s">
        <v>95</v>
      </c>
      <c r="BA256" s="9" t="str">
        <f>HYPERLINK(".\links\REFSEQ-INVERTEBRATE\AGAP007043-PA-REFSEQ-INVERTEBRATE.txt","AGAP007043-PA")</f>
        <v>AGAP007043-PA</v>
      </c>
      <c r="BB256" s="2" t="str">
        <f>HYPERLINK("http://www.ncbi.nlm.nih.gov/sutils/blink.cgi?pid=XP_308721.4","0.0")</f>
        <v>0.0</v>
      </c>
      <c r="BC256" s="2" t="str">
        <f>HYPERLINK("http://www.ncbi.nlm.nih.gov/protein/XP_308721.4","XP_308721.4")</f>
        <v>XP_308721.4</v>
      </c>
      <c r="BD256" s="2">
        <v>100</v>
      </c>
      <c r="BE256" s="2">
        <v>100</v>
      </c>
      <c r="BF256" s="2">
        <v>100</v>
      </c>
      <c r="BG256" s="2" t="s">
        <v>95</v>
      </c>
      <c r="BH256" s="9" t="str">
        <f>HYPERLINK(".\links\REFSEQ-PROTOZOA\AGAP007043-PA-REFSEQ-PROTOZOA.txt","trypsin-like protein")</f>
        <v>trypsin-like protein</v>
      </c>
      <c r="BI256" s="2" t="str">
        <f>HYPERLINK("http://www.ncbi.nlm.nih.gov/sutils/blink.cgi?pid=XP_002678233.1","4E-015")</f>
        <v>4E-015</v>
      </c>
      <c r="BJ256" s="2" t="str">
        <f>HYPERLINK("http://www.ncbi.nlm.nih.gov/protein/XP_002678233.1","XP_002678233.1")</f>
        <v>XP_002678233.1</v>
      </c>
      <c r="BK256" s="2">
        <v>26</v>
      </c>
      <c r="BL256" s="2">
        <v>46</v>
      </c>
      <c r="BM256" s="2">
        <v>54</v>
      </c>
      <c r="BN256" s="2" t="s">
        <v>1037</v>
      </c>
      <c r="BO256" s="9" t="str">
        <f>HYPERLINK(".\links\SWISSP\AGAP007043-PA-SWISSP.txt","Prostasin")</f>
        <v>Prostasin</v>
      </c>
      <c r="BP256" s="2" t="str">
        <f>HYPERLINK("http://www.uniprot.org/uniprot/Q9ES87","2E-027")</f>
        <v>2E-027</v>
      </c>
      <c r="BQ256" s="2" t="str">
        <f>HYPERLINK("http://www.uniprot.org/uniprot/Q9ES87#expression","Q9ES87")</f>
        <v>Q9ES87</v>
      </c>
      <c r="BR256" s="2">
        <v>33</v>
      </c>
      <c r="BS256" s="2">
        <v>51</v>
      </c>
      <c r="BT256" s="2">
        <v>76</v>
      </c>
      <c r="BU256" s="2" t="s">
        <v>198</v>
      </c>
      <c r="BV256" s="9" t="str">
        <f>HYPERLINK(".\links\FLYBASE\AGAP007043-PA-FLYBASE.txt","FBpp0082362")</f>
        <v>FBpp0082362</v>
      </c>
      <c r="BW256" s="2" t="str">
        <f>HYPERLINK("http://flybase.org/reports/FBgn0051326#alliance_summary_container","6E-31")</f>
        <v>6E-31</v>
      </c>
      <c r="BX256" s="2">
        <v>520</v>
      </c>
      <c r="BY256" s="2">
        <v>32</v>
      </c>
      <c r="BZ256" s="2">
        <v>50</v>
      </c>
      <c r="CA256" s="2">
        <v>49</v>
      </c>
      <c r="CB256" s="9" t="str">
        <f>HYPERLINK(".\links\CDD\AGAP007043-PA-CDD.txt","Tryp_SPc, Trypsin-like serine protease")</f>
        <v>Tryp_SPc, Trypsin-like serine protease</v>
      </c>
      <c r="CC256" s="13">
        <v>3E-43</v>
      </c>
      <c r="CD256" s="2">
        <v>107.9</v>
      </c>
      <c r="CE256" s="2" t="s">
        <v>762</v>
      </c>
      <c r="CF256" s="2" t="s">
        <v>1790</v>
      </c>
      <c r="CG256" s="9" t="str">
        <f>HYPERLINK(".\links\KOG\AGAP007043-PA-KOG.txt","Trypsin")</f>
        <v>Trypsin</v>
      </c>
      <c r="CH256" s="13">
        <v>8.0000000000000003E-42</v>
      </c>
      <c r="CI256" s="2">
        <v>102.3</v>
      </c>
      <c r="CJ256" s="2" t="s">
        <v>760</v>
      </c>
      <c r="CK256" s="2" t="s">
        <v>393</v>
      </c>
      <c r="CL256" s="9" t="str">
        <f>HYPERLINK(".\links\PFAM\AGAP007043-PA-PFAM.txt","Trypsin, Trypsin")</f>
        <v>Trypsin, Trypsin</v>
      </c>
      <c r="CM256" s="13">
        <v>8.0000000000000004E-32</v>
      </c>
      <c r="CN256" s="2">
        <v>110</v>
      </c>
      <c r="CO256" s="2" t="s">
        <v>761</v>
      </c>
      <c r="CP256" s="9" t="str">
        <f>HYPERLINK(".\links\SMART\AGAP007043-PA-SMART.txt","Tryp_SPc, Trypsin-like serine protease")</f>
        <v>Tryp_SPc, Trypsin-like serine protease</v>
      </c>
      <c r="CQ256" s="13">
        <v>2E-45</v>
      </c>
      <c r="CR256" s="2">
        <v>107.9</v>
      </c>
      <c r="CS256" s="2" t="s">
        <v>762</v>
      </c>
      <c r="CT256" s="2" t="s">
        <v>1786</v>
      </c>
      <c r="CU256" s="2" t="s">
        <v>1786</v>
      </c>
      <c r="CV256" s="2" t="s">
        <v>1786</v>
      </c>
      <c r="CW256" s="2" t="str">
        <f>HYPERLINK(".\links\pep\AGAP007043-PA-pep.txt","AGAP007043-PA")</f>
        <v>AGAP007043-PA</v>
      </c>
      <c r="CX256" s="2" t="s">
        <v>88</v>
      </c>
      <c r="CY256" s="2">
        <v>532</v>
      </c>
      <c r="CZ256" s="2" t="s">
        <v>103</v>
      </c>
      <c r="DA256" s="2" t="s">
        <v>1791</v>
      </c>
      <c r="DB256" s="2">
        <v>0</v>
      </c>
      <c r="DC256" s="2">
        <v>1</v>
      </c>
      <c r="DD256" s="2" t="str">
        <f>HYPERLINK("https://www.kegg.jp/kegg-bin/search_pathway_text?map=aga&amp;keyword=AGAP007043&amp;mode=1&amp;viewImage=true","AGAP007043")</f>
        <v>AGAP007043</v>
      </c>
      <c r="DE256" s="2" t="s">
        <v>1784</v>
      </c>
      <c r="DF256" s="2" t="s">
        <v>86</v>
      </c>
      <c r="DG256" s="2" t="s">
        <v>87</v>
      </c>
      <c r="DH256" s="2" t="str">
        <f>HYPERLINK("https://vectorbase.org/vectorbase/app/record/gene/AGAP007043","AGAP007043-RA")</f>
        <v>AGAP007043-RA</v>
      </c>
      <c r="DI256" s="2" t="s">
        <v>158</v>
      </c>
      <c r="DJ256" s="2">
        <v>1851</v>
      </c>
      <c r="DK256" s="2" t="str">
        <f>HYPERLINK(".\links\netoglyc\AGAP007043-PA-netoglyc.txt","0")</f>
        <v>0</v>
      </c>
      <c r="DL256" s="2">
        <v>10.9</v>
      </c>
      <c r="DM256" s="2">
        <v>5.5</v>
      </c>
      <c r="DN256" s="2">
        <v>5.5</v>
      </c>
      <c r="DO256" s="2" t="s">
        <v>94</v>
      </c>
      <c r="DP256" s="2" t="s">
        <v>89</v>
      </c>
      <c r="DQ256" s="2" t="str">
        <f>HYPERLINK(".\links\Sigp\AGAP007043-PA-SigP.txt","CYT")</f>
        <v>CYT</v>
      </c>
      <c r="DR256" s="2" t="s">
        <v>89</v>
      </c>
      <c r="DS256" s="2">
        <v>59.917000000000002</v>
      </c>
      <c r="DT256" s="2">
        <v>6.86</v>
      </c>
      <c r="DU256" s="2" t="s">
        <v>89</v>
      </c>
      <c r="DV256" s="2" t="s">
        <v>89</v>
      </c>
      <c r="DW256" s="2" t="s">
        <v>1789</v>
      </c>
      <c r="DX256" s="2">
        <v>532</v>
      </c>
      <c r="DY256" s="12">
        <v>0</v>
      </c>
      <c r="DZ256" s="2" t="s">
        <v>89</v>
      </c>
      <c r="EA256" s="2" t="s">
        <v>89</v>
      </c>
      <c r="EB256" s="2" t="s">
        <v>89</v>
      </c>
      <c r="EC256" s="2" t="str">
        <f>HYPERLINK(".\links\gpi\AGAP007043-PA-gpi.txt","N")</f>
        <v>N</v>
      </c>
      <c r="ED256" s="2">
        <v>0.18</v>
      </c>
      <c r="EF256" s="2">
        <v>16</v>
      </c>
      <c r="EG256" s="2" t="str">
        <f>HYPERLINK(".\links\pep\AGAP007043-PA-sulf.txt","1")</f>
        <v>1</v>
      </c>
      <c r="EH256" s="2" t="s">
        <v>89</v>
      </c>
      <c r="EI256" s="2">
        <v>10.902255639097699</v>
      </c>
      <c r="EJ256" s="2">
        <v>5.4511278195488702</v>
      </c>
      <c r="EK256" s="2">
        <v>5.4511278195488702</v>
      </c>
      <c r="EL256" s="2">
        <v>10.902255639097699</v>
      </c>
      <c r="EM256" s="2" t="s">
        <v>89</v>
      </c>
      <c r="EN256" s="2">
        <v>2</v>
      </c>
      <c r="EO256" s="2">
        <v>2</v>
      </c>
      <c r="EP256" s="2" t="s">
        <v>89</v>
      </c>
      <c r="EQ256" s="2" t="s">
        <v>89</v>
      </c>
      <c r="ER256" s="2" t="s">
        <v>89</v>
      </c>
      <c r="ES256" s="2" t="s">
        <v>89</v>
      </c>
      <c r="ET256" s="2" t="str">
        <f>HYPERLINK(".\links\REFSEQ-INVERTEBRATE\AGAP007043-PA-REFSEQ-INVERTEBRATE.txt","AGAP007043-PB")</f>
        <v>AGAP007043-PB</v>
      </c>
      <c r="EU256" s="2" t="str">
        <f>HYPERLINK("http://www.ncbi.nlm.nih.gov/sutils/blink.cgi?pid=XP_001237132.2","0.0")</f>
        <v>0.0</v>
      </c>
      <c r="EV256" s="2" t="str">
        <f>HYPERLINK("http://www.ncbi.nlm.nih.gov/protein/XP_001237132.2","XP_001237132.2")</f>
        <v>XP_001237132.2</v>
      </c>
      <c r="EW256" s="2">
        <v>100</v>
      </c>
      <c r="EX256" s="2">
        <v>100</v>
      </c>
      <c r="EY256" s="2">
        <v>93</v>
      </c>
      <c r="EZ256" s="2" t="s">
        <v>95</v>
      </c>
    </row>
    <row r="257" spans="1:156" x14ac:dyDescent="0.25">
      <c r="A257" s="2" t="s">
        <v>124</v>
      </c>
      <c r="B257" s="2">
        <v>-1.3317326535162901</v>
      </c>
      <c r="C257" s="2">
        <f t="shared" si="3"/>
        <v>0.39729081537130978</v>
      </c>
      <c r="D257" s="2">
        <v>5.8468737827939101</v>
      </c>
      <c r="E257" s="2">
        <v>30.190207683512401</v>
      </c>
      <c r="F257" s="2">
        <v>3.91682090957842E-8</v>
      </c>
      <c r="G257" s="2">
        <v>6.9503987040469E-5</v>
      </c>
      <c r="H257" s="2" t="s">
        <v>125</v>
      </c>
      <c r="I257" s="2" t="s">
        <v>87</v>
      </c>
      <c r="J257" s="2" t="str">
        <f>HYPERLINK("https://vectorbase.org/vectorbase/app/record/gene/AGAP000181","AGAP000181-RA")</f>
        <v>AGAP000181-RA</v>
      </c>
      <c r="K257" s="2" t="str">
        <f>HYPERLINK(".\links\pep\AGAP000181-PA-pep.txt","AGAP000181-PA")</f>
        <v>AGAP000181-PA</v>
      </c>
      <c r="L257" s="12" t="s">
        <v>88</v>
      </c>
      <c r="M257" s="2">
        <v>443</v>
      </c>
      <c r="N257" s="2">
        <v>0</v>
      </c>
      <c r="O257" s="2">
        <v>2</v>
      </c>
      <c r="P257" s="2" t="s">
        <v>126</v>
      </c>
      <c r="Q257" s="9" t="s">
        <v>127</v>
      </c>
      <c r="R257" s="2" t="s">
        <v>128</v>
      </c>
      <c r="S257" s="2" t="str">
        <f>HYPERLINK(".\links\REFSEQ-INVERTEBRATE\AGAP000181-PA-REFSEQ-INVERTEBRATE.txt","REFSEQ-INVERTEBRATE")</f>
        <v>REFSEQ-INVERTEBRATE</v>
      </c>
      <c r="T257" s="2">
        <v>0</v>
      </c>
      <c r="U257" s="2">
        <v>80.2</v>
      </c>
      <c r="V257" s="2" t="s">
        <v>129</v>
      </c>
      <c r="W257" s="10" t="s">
        <v>130</v>
      </c>
      <c r="X257" s="2" t="s">
        <v>128</v>
      </c>
      <c r="Y257" s="2" t="str">
        <f>HYPERLINK(".\links\REFSEQ-INVERTEBRATE\AGAP000181-PA-REFSEQ-INVERTEBRATE.txt","REFSEQ-INVERTEBRATE")</f>
        <v>REFSEQ-INVERTEBRATE</v>
      </c>
      <c r="Z257" s="2">
        <v>0</v>
      </c>
      <c r="AA257" s="2">
        <v>98</v>
      </c>
      <c r="AB257" s="14" t="s">
        <v>89</v>
      </c>
      <c r="AC257" s="14" t="str">
        <f>HYPERLINK(".\links\Sigp\AGAP000181-PA-SigP.txt","BL")</f>
        <v>BL</v>
      </c>
      <c r="AD257" s="2" t="s">
        <v>131</v>
      </c>
      <c r="AE257" s="2">
        <v>47.99</v>
      </c>
      <c r="AF257" s="2">
        <v>7.94</v>
      </c>
      <c r="AG257" s="2">
        <v>44.287999999999997</v>
      </c>
      <c r="AH257" s="2">
        <v>6.34</v>
      </c>
      <c r="AI257" s="2" t="s">
        <v>132</v>
      </c>
      <c r="AJ257" s="14" t="str">
        <f>HYPERLINK(".\links\tmhmm\AGAP000181-PA-tmhmm.txt","11")</f>
        <v>11</v>
      </c>
      <c r="AK257" s="2">
        <v>53.3</v>
      </c>
      <c r="AL257" s="2">
        <v>22.6</v>
      </c>
      <c r="AM257" s="2">
        <v>24.2</v>
      </c>
      <c r="AN257" s="14" t="str">
        <f>HYPERLINK(".\links\gpi\AGAP000181-PA-gpi.txt","N")</f>
        <v>N</v>
      </c>
      <c r="AO257" s="15" t="str">
        <f>HYPERLINK(".\links\netoglyc\AGAP000181-PA-netoglyc.txt","4")</f>
        <v>4</v>
      </c>
      <c r="AP257" s="14">
        <v>14.7</v>
      </c>
      <c r="AQ257" s="2">
        <v>8.4</v>
      </c>
      <c r="AR257" s="2">
        <v>5.4</v>
      </c>
      <c r="AS257" s="2" t="s">
        <v>94</v>
      </c>
      <c r="AT257" s="9" t="str">
        <f>HYPERLINK(".\links\NR-LIGHT\AGAP000181-PA-NR-LIGHT.txt","AGAP000181-PA")</f>
        <v>AGAP000181-PA</v>
      </c>
      <c r="AU257" s="2" t="str">
        <f>HYPERLINK("http://www.ncbi.nlm.nih.gov/sutils/blink.cgi?pid=XP_310954.5","0.0")</f>
        <v>0.0</v>
      </c>
      <c r="AV257" s="2" t="str">
        <f>HYPERLINK("http://www.ncbi.nlm.nih.gov/protein/XP_310954.5","XP_310954.5")</f>
        <v>XP_310954.5</v>
      </c>
      <c r="AW257" s="2">
        <v>100</v>
      </c>
      <c r="AX257" s="2">
        <v>100</v>
      </c>
      <c r="AY257" s="2">
        <v>100</v>
      </c>
      <c r="AZ257" s="2" t="s">
        <v>95</v>
      </c>
      <c r="BA257" s="9" t="str">
        <f>HYPERLINK(".\links\REFSEQ-INVERTEBRATE\AGAP000181-PA-REFSEQ-INVERTEBRATE.txt","AGAP000181-PA")</f>
        <v>AGAP000181-PA</v>
      </c>
      <c r="BB257" s="2" t="str">
        <f>HYPERLINK("http://www.ncbi.nlm.nih.gov/sutils/blink.cgi?pid=XP_310954.5","0.0")</f>
        <v>0.0</v>
      </c>
      <c r="BC257" s="2" t="str">
        <f>HYPERLINK("http://www.ncbi.nlm.nih.gov/protein/XP_310954.5","XP_310954.5")</f>
        <v>XP_310954.5</v>
      </c>
      <c r="BD257" s="2">
        <v>100</v>
      </c>
      <c r="BE257" s="2">
        <v>100</v>
      </c>
      <c r="BF257" s="2">
        <v>100</v>
      </c>
      <c r="BG257" s="2" t="s">
        <v>95</v>
      </c>
      <c r="BH257" s="9" t="str">
        <f>HYPERLINK(".\links\REFSEQ-PROTOZOA\AGAP000181-PA-REFSEQ-PROTOZOA.txt","hypothetical protein SDRG_04022")</f>
        <v>hypothetical protein SDRG_04022</v>
      </c>
      <c r="BI257" s="2" t="str">
        <f>HYPERLINK("http://www.ncbi.nlm.nih.gov/sutils/blink.cgi?pid=XP_008607893.1","7E-032")</f>
        <v>7E-032</v>
      </c>
      <c r="BJ257" s="2" t="str">
        <f>HYPERLINK("http://www.ncbi.nlm.nih.gov/protein/XP_008607893.1","XP_008607893.1")</f>
        <v>XP_008607893.1</v>
      </c>
      <c r="BK257" s="2">
        <v>27</v>
      </c>
      <c r="BL257" s="2">
        <v>44</v>
      </c>
      <c r="BM257" s="2">
        <v>95</v>
      </c>
      <c r="BN257" s="2" t="s">
        <v>133</v>
      </c>
      <c r="BO257" s="9" t="str">
        <f>HYPERLINK(".\links\SWISSP\AGAP000181-PA-SWISSP.txt","Riboflavin transporter 2")</f>
        <v>Riboflavin transporter 2</v>
      </c>
      <c r="BP257" s="2" t="str">
        <f>HYPERLINK("http://www.uniprot.org/uniprot/B5X4H8","1E-077")</f>
        <v>1E-077</v>
      </c>
      <c r="BQ257" s="2" t="str">
        <f>HYPERLINK("http://www.uniprot.org/uniprot/B5X4H8#expression","B5X4H8")</f>
        <v>B5X4H8</v>
      </c>
      <c r="BR257" s="2">
        <v>37</v>
      </c>
      <c r="BS257" s="2">
        <v>54</v>
      </c>
      <c r="BT257" s="2">
        <v>99</v>
      </c>
      <c r="BU257" s="2" t="s">
        <v>134</v>
      </c>
      <c r="BV257" s="9" t="str">
        <f>HYPERLINK(".\links\FLYBASE\AGAP000181-PA-FLYBASE.txt","FBpp0085211")</f>
        <v>FBpp0085211</v>
      </c>
      <c r="BW257" s="2" t="str">
        <f>HYPERLINK("http://flybase.org/reports/FBgn0039882#alliance_summary_container","1E-137")</f>
        <v>1E-137</v>
      </c>
      <c r="BX257" s="2">
        <v>487</v>
      </c>
      <c r="BY257" s="2">
        <v>47</v>
      </c>
      <c r="BZ257" s="2">
        <v>65</v>
      </c>
      <c r="CA257" s="2">
        <v>88</v>
      </c>
      <c r="CB257" s="9" t="str">
        <f>HYPERLINK(".\links\CDD\AGAP000181-PA-CDD.txt","DUF1011, Protein of unknown function (DUF1011)")</f>
        <v>DUF1011, Protein of unknown function (DUF1011)</v>
      </c>
      <c r="CC257" s="13">
        <v>2.0000000000000002E-31</v>
      </c>
      <c r="CD257" s="2">
        <v>100</v>
      </c>
      <c r="CE257" s="2" t="s">
        <v>135</v>
      </c>
      <c r="CF257" s="2" t="s">
        <v>136</v>
      </c>
      <c r="CG257" s="9" t="str">
        <f>HYPERLINK(".\links\KOG\AGAP000181-PA-KOG.txt","Uncharacterized conserved protein")</f>
        <v>Uncharacterized conserved protein</v>
      </c>
      <c r="CH257" s="13">
        <v>9.9999999999999993E-77</v>
      </c>
      <c r="CI257" s="2">
        <v>98.6</v>
      </c>
      <c r="CJ257" s="2" t="s">
        <v>137</v>
      </c>
      <c r="CK257" s="2" t="s">
        <v>101</v>
      </c>
      <c r="CL257" s="9" t="str">
        <f>HYPERLINK(".\links\PFAM\AGAP000181-PA-PFAM.txt","DUF1011, Protein of unknown function (DUF1011)")</f>
        <v>DUF1011, Protein of unknown function (DUF1011)</v>
      </c>
      <c r="CM257" s="13">
        <v>5.0000000000000004E-32</v>
      </c>
      <c r="CN257" s="2">
        <v>100</v>
      </c>
      <c r="CO257" s="2" t="s">
        <v>135</v>
      </c>
      <c r="CP257" s="9" t="str">
        <f>HYPERLINK(".\links\SMART\AGAP000181-PA-SMART.txt","Alpha_L_fucos, Alpha-L-fucosidase")</f>
        <v>Alpha_L_fucos, Alpha-L-fucosidase</v>
      </c>
      <c r="CQ257" s="13">
        <v>2.1</v>
      </c>
      <c r="CR257" s="2">
        <v>4.7</v>
      </c>
      <c r="CS257" s="2" t="s">
        <v>138</v>
      </c>
      <c r="CT257" s="2" t="s">
        <v>129</v>
      </c>
      <c r="CU257" s="2" t="s">
        <v>129</v>
      </c>
      <c r="CV257" s="2" t="s">
        <v>129</v>
      </c>
      <c r="CW257" s="2" t="str">
        <f>HYPERLINK(".\links\pep\AGAP000181-PA-pep.txt","AGAP000181-PA")</f>
        <v>AGAP000181-PA</v>
      </c>
      <c r="CX257" s="2" t="s">
        <v>88</v>
      </c>
      <c r="CY257" s="2">
        <v>443</v>
      </c>
      <c r="CZ257" s="2" t="s">
        <v>103</v>
      </c>
      <c r="DA257" s="2" t="s">
        <v>139</v>
      </c>
      <c r="DB257" s="2">
        <v>0</v>
      </c>
      <c r="DC257" s="2">
        <v>2</v>
      </c>
      <c r="DD257" s="2" t="str">
        <f>HYPERLINK("https://www.kegg.jp/kegg-bin/search_pathway_text?map=aga&amp;keyword=AGAP000181&amp;mode=1&amp;viewImage=true","AGAP000181")</f>
        <v>AGAP000181</v>
      </c>
      <c r="DE257" s="2" t="s">
        <v>124</v>
      </c>
      <c r="DF257" s="2" t="s">
        <v>125</v>
      </c>
      <c r="DG257" s="2" t="s">
        <v>87</v>
      </c>
      <c r="DH257" s="2" t="str">
        <f>HYPERLINK("https://vectorbase.org/vectorbase/app/record/gene/AGAP000181","AGAP000181-RA")</f>
        <v>AGAP000181-RA</v>
      </c>
      <c r="DI257" s="2" t="s">
        <v>140</v>
      </c>
      <c r="DJ257" s="2">
        <v>1922</v>
      </c>
      <c r="DK257" s="2" t="str">
        <f>HYPERLINK(".\links\netoglyc\AGAP000181-PA-netoglyc.txt","4")</f>
        <v>4</v>
      </c>
      <c r="DL257" s="2">
        <v>14.7</v>
      </c>
      <c r="DM257" s="2">
        <v>8.4</v>
      </c>
      <c r="DN257" s="2">
        <v>5.4</v>
      </c>
      <c r="DO257" s="2" t="s">
        <v>94</v>
      </c>
      <c r="DP257" s="2" t="s">
        <v>89</v>
      </c>
      <c r="DQ257" s="2" t="str">
        <f>HYPERLINK(".\links\Sigp\AGAP000181-PA-SigP.txt","BL")</f>
        <v>BL</v>
      </c>
      <c r="DR257" s="2" t="s">
        <v>131</v>
      </c>
      <c r="DS257" s="2">
        <v>47.99</v>
      </c>
      <c r="DT257" s="2">
        <v>7.94</v>
      </c>
      <c r="DU257" s="2">
        <v>44.287999999999997</v>
      </c>
      <c r="DV257" s="2">
        <v>6.34</v>
      </c>
      <c r="DW257" s="2" t="s">
        <v>132</v>
      </c>
      <c r="DX257" s="2">
        <v>443</v>
      </c>
      <c r="DY257" s="12" t="str">
        <f>HYPERLINK(".\links\tmhmm\AGAP000181-PA-tmhmm.txt","11")</f>
        <v>11</v>
      </c>
      <c r="DZ257" s="2">
        <v>53.3</v>
      </c>
      <c r="EA257" s="2">
        <v>22.6</v>
      </c>
      <c r="EB257" s="2">
        <v>24.2</v>
      </c>
      <c r="EC257" s="2" t="str">
        <f>HYPERLINK(".\links\gpi\AGAP000181-PA-gpi.txt","Y-NoSP")</f>
        <v>Y-NoSP</v>
      </c>
      <c r="ED257" s="2">
        <v>0.34</v>
      </c>
      <c r="EF257" s="2">
        <v>11</v>
      </c>
      <c r="EG257" s="2" t="s">
        <v>89</v>
      </c>
      <c r="EH257" s="2" t="s">
        <v>89</v>
      </c>
      <c r="EI257" s="2">
        <v>14.672686230248299</v>
      </c>
      <c r="EJ257" s="2">
        <v>5.4176072234763</v>
      </c>
      <c r="EK257" s="2">
        <v>8.3521444695259603</v>
      </c>
      <c r="EL257" s="2">
        <v>13.7697516930023</v>
      </c>
      <c r="EM257" s="2" t="s">
        <v>89</v>
      </c>
      <c r="EN257" s="2">
        <v>2</v>
      </c>
      <c r="EO257" s="2">
        <v>2</v>
      </c>
      <c r="EP257" s="2" t="s">
        <v>89</v>
      </c>
      <c r="EQ257" s="2" t="s">
        <v>89</v>
      </c>
      <c r="ER257" s="2" t="s">
        <v>89</v>
      </c>
      <c r="ES257" s="2" t="s">
        <v>89</v>
      </c>
      <c r="ET257" s="2" t="str">
        <f>HYPERLINK(".\links\REFSEQ-INVERTEBRATE\AGAP000181-PA-REFSEQ-INVERTEBRATE.txt","AGAP000181-PA")</f>
        <v>AGAP000181-PA</v>
      </c>
      <c r="EU257" s="2" t="str">
        <f>HYPERLINK("http://www.ncbi.nlm.nih.gov/sutils/blink.cgi?pid=XP_310954.5","0.0")</f>
        <v>0.0</v>
      </c>
      <c r="EV257" s="2" t="str">
        <f>HYPERLINK("http://www.ncbi.nlm.nih.gov/protein/XP_310954.5","XP_310954.5")</f>
        <v>XP_310954.5</v>
      </c>
      <c r="EW257" s="2">
        <v>100</v>
      </c>
      <c r="EX257" s="2">
        <v>100</v>
      </c>
      <c r="EY257" s="2">
        <v>100</v>
      </c>
      <c r="EZ257" s="2" t="s">
        <v>95</v>
      </c>
    </row>
    <row r="258" spans="1:156" x14ac:dyDescent="0.25">
      <c r="A258" s="2" t="s">
        <v>2951</v>
      </c>
      <c r="B258" s="2">
        <v>-1.35955468011036</v>
      </c>
      <c r="C258" s="2">
        <f t="shared" si="3"/>
        <v>0.38970256162416927</v>
      </c>
      <c r="D258" s="2">
        <v>6.69151935951413</v>
      </c>
      <c r="E258" s="2">
        <v>36.454880290999903</v>
      </c>
      <c r="F258" s="2">
        <v>1.5624143622660801E-9</v>
      </c>
      <c r="G258" s="2">
        <v>4.1587564287617501E-6</v>
      </c>
      <c r="H258" s="2" t="s">
        <v>86</v>
      </c>
      <c r="I258" s="2" t="s">
        <v>87</v>
      </c>
      <c r="J258" s="2" t="str">
        <f>HYPERLINK("https://vectorbase.org/vectorbase/app/record/gene/AGAP013301","AGAP013301-RB")</f>
        <v>AGAP013301-RB</v>
      </c>
      <c r="K258" s="2" t="str">
        <f>HYPERLINK(".\links\pep\AGAP013301-PB-pep.txt","AGAP013301-PB")</f>
        <v>AGAP013301-PB</v>
      </c>
      <c r="L258" s="12" t="s">
        <v>88</v>
      </c>
      <c r="M258" s="2">
        <v>1517</v>
      </c>
      <c r="N258" s="2">
        <v>0</v>
      </c>
      <c r="O258" s="2">
        <v>5</v>
      </c>
      <c r="P258" s="2" t="s">
        <v>89</v>
      </c>
      <c r="Q258" s="9" t="s">
        <v>2952</v>
      </c>
      <c r="R258" s="2" t="s">
        <v>2953</v>
      </c>
      <c r="S258" s="2" t="str">
        <f>HYPERLINK(".\links\REFSEQ-INVERTEBRATE\AGAP013301-PB-REFSEQ-INVERTEBRATE.txt","REFSEQ-INVERTEBRATE")</f>
        <v>REFSEQ-INVERTEBRATE</v>
      </c>
      <c r="T258" s="2">
        <v>0</v>
      </c>
      <c r="U258" s="2">
        <v>84.4</v>
      </c>
      <c r="V258" s="2" t="s">
        <v>2954</v>
      </c>
      <c r="W258" s="10" t="s">
        <v>2955</v>
      </c>
      <c r="X258" s="2" t="s">
        <v>2953</v>
      </c>
      <c r="Y258" s="2" t="str">
        <f>HYPERLINK(".\links\REFSEQ-INVERTEBRATE\AGAP013301-PB-REFSEQ-INVERTEBRATE.txt","REFSEQ-INVERTEBRATE")</f>
        <v>REFSEQ-INVERTEBRATE</v>
      </c>
      <c r="Z258" s="13">
        <v>0</v>
      </c>
      <c r="AA258" s="2">
        <v>81.400000000000006</v>
      </c>
      <c r="AB258" s="14" t="str">
        <f>HYPERLINK(".\links\pep\AGAP013301-PB-sulf.txt","1")</f>
        <v>1</v>
      </c>
      <c r="AC258" s="14" t="str">
        <f>HYPERLINK(".\links\Sigp\AGAP013301-PB-SigP.txt","CYT")</f>
        <v>CYT</v>
      </c>
      <c r="AD258" s="2" t="s">
        <v>89</v>
      </c>
      <c r="AE258" s="2">
        <v>154.47499999999999</v>
      </c>
      <c r="AF258" s="2">
        <v>9.15</v>
      </c>
      <c r="AG258" s="2" t="s">
        <v>89</v>
      </c>
      <c r="AH258" s="2" t="s">
        <v>89</v>
      </c>
      <c r="AI258" s="2" t="s">
        <v>167</v>
      </c>
      <c r="AJ258" s="14">
        <v>0</v>
      </c>
      <c r="AK258" s="2" t="s">
        <v>89</v>
      </c>
      <c r="AL258" s="2" t="s">
        <v>89</v>
      </c>
      <c r="AM258" s="2" t="s">
        <v>89</v>
      </c>
      <c r="AN258" s="14" t="str">
        <f>HYPERLINK(".\links\gpi\AGAP013301-PB-gpi.txt","N")</f>
        <v>N</v>
      </c>
      <c r="AO258" s="15" t="str">
        <f>HYPERLINK(".\links\netoglyc\AGAP013301-PB-netoglyc.txt","76")</f>
        <v>76</v>
      </c>
      <c r="AP258" s="14">
        <v>22.4</v>
      </c>
      <c r="AQ258" s="2">
        <v>9</v>
      </c>
      <c r="AR258" s="2">
        <v>10.1</v>
      </c>
      <c r="AS258" s="2" t="s">
        <v>94</v>
      </c>
      <c r="AT258" s="9" t="str">
        <f>HYPERLINK(".\links\NR-LIGHT\AGAP013301-PB-NR-LIGHT.txt","AGAP013301-PA")</f>
        <v>AGAP013301-PA</v>
      </c>
      <c r="AU258" s="2" t="str">
        <f>HYPERLINK("http://www.ncbi.nlm.nih.gov/sutils/blink.cgi?pid=XP_003436327.1","0.0")</f>
        <v>0.0</v>
      </c>
      <c r="AV258" s="2" t="str">
        <f>HYPERLINK("http://www.ncbi.nlm.nih.gov/protein/XP_003436327.1","XP_003436327.1")</f>
        <v>XP_003436327.1</v>
      </c>
      <c r="AW258" s="2">
        <v>100</v>
      </c>
      <c r="AX258" s="2">
        <v>100</v>
      </c>
      <c r="AY258" s="2">
        <v>97</v>
      </c>
      <c r="AZ258" s="2" t="s">
        <v>95</v>
      </c>
      <c r="BA258" s="9" t="str">
        <f>HYPERLINK(".\links\REFSEQ-INVERTEBRATE\AGAP013301-PB-REFSEQ-INVERTEBRATE.txt","AGAP013301-PA")</f>
        <v>AGAP013301-PA</v>
      </c>
      <c r="BB258" s="2" t="str">
        <f>HYPERLINK("http://www.ncbi.nlm.nih.gov/sutils/blink.cgi?pid=XP_003436327.1","0.0")</f>
        <v>0.0</v>
      </c>
      <c r="BC258" s="2" t="str">
        <f>HYPERLINK("http://www.ncbi.nlm.nih.gov/protein/XP_003436327.1","XP_003436327.1")</f>
        <v>XP_003436327.1</v>
      </c>
      <c r="BD258" s="2">
        <v>100</v>
      </c>
      <c r="BE258" s="2">
        <v>100</v>
      </c>
      <c r="BF258" s="2">
        <v>97</v>
      </c>
      <c r="BG258" s="2" t="s">
        <v>95</v>
      </c>
      <c r="BH258" s="9" t="str">
        <f>HYPERLINK(".\links\REFSEQ-PROTOZOA\AGAP013301-PB-REFSEQ-PROTOZOA.txt","proteophosphoglycan 5")</f>
        <v>proteophosphoglycan 5</v>
      </c>
      <c r="BI258" s="2" t="str">
        <f>HYPERLINK("http://www.ncbi.nlm.nih.gov/sutils/blink.cgi?pid=XP_003722449.1","1E-050")</f>
        <v>1E-050</v>
      </c>
      <c r="BJ258" s="2" t="str">
        <f>HYPERLINK("http://www.ncbi.nlm.nih.gov/protein/XP_003722449.1","XP_003722449.1")</f>
        <v>XP_003722449.1</v>
      </c>
      <c r="BK258" s="2">
        <v>20</v>
      </c>
      <c r="BL258" s="2">
        <v>38</v>
      </c>
      <c r="BM258" s="2">
        <v>8</v>
      </c>
      <c r="BN258" s="2" t="s">
        <v>1429</v>
      </c>
      <c r="BO258" s="9" t="str">
        <f>HYPERLINK(".\links\SWISSP\AGAP013301-PB-SWISSP.txt","Max-binding protein MNT")</f>
        <v>Max-binding protein MNT</v>
      </c>
      <c r="BP258" s="2" t="str">
        <f>HYPERLINK("http://www.uniprot.org/uniprot/Q0VH32","8E-032")</f>
        <v>8E-032</v>
      </c>
      <c r="BQ258" s="2" t="str">
        <f>HYPERLINK("http://www.uniprot.org/uniprot/Q0VH32#expression","Q0VH32")</f>
        <v>Q0VH32</v>
      </c>
      <c r="BR258" s="2">
        <v>35</v>
      </c>
      <c r="BS258" s="2">
        <v>48</v>
      </c>
      <c r="BT258" s="2">
        <v>58</v>
      </c>
      <c r="BU258" s="2" t="s">
        <v>447</v>
      </c>
      <c r="BV258" s="9" t="str">
        <f>HYPERLINK(".\links\FLYBASE\AGAP013301-PB-FLYBASE.txt","FBpp0291038")</f>
        <v>FBpp0291038</v>
      </c>
      <c r="BW258" s="2" t="str">
        <f>HYPERLINK("http://flybase.org/reports/FBgn0023215#alliance_summary_container","4E-25")</f>
        <v>4E-25</v>
      </c>
      <c r="BX258" s="2">
        <v>581</v>
      </c>
      <c r="BY258" s="2">
        <v>57</v>
      </c>
      <c r="BZ258" s="2">
        <v>71</v>
      </c>
      <c r="CA258" s="2">
        <v>17</v>
      </c>
      <c r="CB258" s="9" t="str">
        <f>HYPERLINK(".\links\CDD\AGAP013301-PB-CDD.txt","HLH, Helix-loop-helix domain, found in specific DNA- binding proteins that act as transcription factors")</f>
        <v>HLH, Helix-loop-helix domain, found in specific DNA- binding proteins that act as transcription factors</v>
      </c>
      <c r="CC258" s="13">
        <v>9.9999999999999994E-12</v>
      </c>
      <c r="CD258" s="2">
        <v>93.3</v>
      </c>
      <c r="CE258" s="2" t="s">
        <v>2956</v>
      </c>
      <c r="CF258" s="2" t="s">
        <v>2957</v>
      </c>
      <c r="CG258" s="9" t="str">
        <f>HYPERLINK(".\links\KOG\AGAP013301-PB-KOG.txt","Upstream transcription factor 2/L-myc-2 protein")</f>
        <v>Upstream transcription factor 2/L-myc-2 protein</v>
      </c>
      <c r="CH258" s="13">
        <v>7.0000000000000003E-19</v>
      </c>
      <c r="CI258" s="2">
        <v>87.5</v>
      </c>
      <c r="CJ258" s="2" t="s">
        <v>2958</v>
      </c>
      <c r="CK258" s="2" t="s">
        <v>377</v>
      </c>
      <c r="CL258" s="9" t="str">
        <f>HYPERLINK(".\links\PFAM\AGAP013301-PB-PFAM.txt","HLH, Helix-loop-helix DNA-binding domain")</f>
        <v>HLH, Helix-loop-helix DNA-binding domain</v>
      </c>
      <c r="CM258" s="13">
        <v>7.9999999999999998E-12</v>
      </c>
      <c r="CN258" s="2">
        <v>100</v>
      </c>
      <c r="CO258" s="2" t="s">
        <v>2959</v>
      </c>
      <c r="CP258" s="9" t="str">
        <f>HYPERLINK(".\links\SMART\AGAP013301-PB-SMART.txt","HLH, helix loop helix domain")</f>
        <v>HLH, helix loop helix domain</v>
      </c>
      <c r="CQ258" s="13">
        <v>1.9999999999999999E-11</v>
      </c>
      <c r="CR258" s="2">
        <v>100</v>
      </c>
      <c r="CS258" s="2" t="s">
        <v>2960</v>
      </c>
      <c r="CT258" s="2" t="s">
        <v>2954</v>
      </c>
      <c r="CU258" s="2" t="s">
        <v>2954</v>
      </c>
      <c r="CV258" s="2" t="s">
        <v>2954</v>
      </c>
      <c r="CW258" s="2" t="str">
        <f>HYPERLINK(".\links\pep\AGAP013301-PB-pep.txt","AGAP013301-PB")</f>
        <v>AGAP013301-PB</v>
      </c>
      <c r="CX258" s="2" t="s">
        <v>88</v>
      </c>
      <c r="CY258" s="2">
        <v>1517</v>
      </c>
      <c r="CZ258" s="2" t="s">
        <v>103</v>
      </c>
      <c r="DA258" s="2" t="s">
        <v>2961</v>
      </c>
      <c r="DB258" s="2">
        <v>0</v>
      </c>
      <c r="DC258" s="2">
        <v>5</v>
      </c>
      <c r="DD258" s="2" t="str">
        <f>HYPERLINK("https://www.kegg.jp/kegg-bin/search_pathway_text?map=aga&amp;keyword=AGAP013301&amp;mode=1&amp;viewImage=true","AGAP013301")</f>
        <v>AGAP013301</v>
      </c>
      <c r="DE258" s="2" t="s">
        <v>2951</v>
      </c>
      <c r="DF258" s="2" t="s">
        <v>86</v>
      </c>
      <c r="DG258" s="2" t="s">
        <v>87</v>
      </c>
      <c r="DH258" s="2" t="str">
        <f>HYPERLINK("https://vectorbase.org/vectorbase/app/record/gene/AGAP013301","AGAP013301-RB")</f>
        <v>AGAP013301-RB</v>
      </c>
      <c r="DI258" s="2" t="s">
        <v>158</v>
      </c>
      <c r="DJ258" s="2">
        <v>9700</v>
      </c>
      <c r="DK258" s="2" t="str">
        <f>HYPERLINK(".\links\netoglyc\AGAP013301-PB-netoglyc.txt","76")</f>
        <v>76</v>
      </c>
      <c r="DL258" s="2">
        <v>22.4</v>
      </c>
      <c r="DM258" s="2">
        <v>9</v>
      </c>
      <c r="DN258" s="2">
        <v>10.1</v>
      </c>
      <c r="DO258" s="2" t="s">
        <v>94</v>
      </c>
      <c r="DP258" s="2" t="s">
        <v>89</v>
      </c>
      <c r="DQ258" s="2" t="str">
        <f>HYPERLINK(".\links\Sigp\AGAP013301-PB-SigP.txt","CYT")</f>
        <v>CYT</v>
      </c>
      <c r="DR258" s="2" t="s">
        <v>89</v>
      </c>
      <c r="DS258" s="2">
        <v>154.47499999999999</v>
      </c>
      <c r="DT258" s="2">
        <v>9.15</v>
      </c>
      <c r="DU258" s="2" t="s">
        <v>89</v>
      </c>
      <c r="DV258" s="2" t="s">
        <v>89</v>
      </c>
      <c r="DW258" s="2" t="s">
        <v>167</v>
      </c>
      <c r="DX258" s="2">
        <v>1517</v>
      </c>
      <c r="DY258" s="12">
        <v>0</v>
      </c>
      <c r="DZ258" s="2" t="s">
        <v>89</v>
      </c>
      <c r="EA258" s="2" t="s">
        <v>89</v>
      </c>
      <c r="EB258" s="2" t="s">
        <v>89</v>
      </c>
      <c r="EC258" s="2" t="str">
        <f>HYPERLINK(".\links\gpi\AGAP013301-PB-gpi.txt","Y-NoSP")</f>
        <v>Y-NoSP</v>
      </c>
      <c r="ED258" s="2">
        <v>0.41</v>
      </c>
      <c r="EF258" s="2">
        <v>13</v>
      </c>
      <c r="EG258" s="2" t="str">
        <f>HYPERLINK(".\links\pep\AGAP013301-PB-sulf.txt","1")</f>
        <v>1</v>
      </c>
      <c r="EH258" s="2" t="s">
        <v>89</v>
      </c>
      <c r="EI258" s="2">
        <v>22.412656558997998</v>
      </c>
      <c r="EJ258" s="2">
        <v>10.0856954515491</v>
      </c>
      <c r="EK258" s="2">
        <v>9.0309822017139094</v>
      </c>
      <c r="EL258" s="2">
        <v>19.116677653263</v>
      </c>
      <c r="EM258" s="2">
        <v>6</v>
      </c>
      <c r="EN258" s="2">
        <v>4</v>
      </c>
      <c r="EO258" s="2">
        <v>5</v>
      </c>
      <c r="EP258" s="2" t="s">
        <v>89</v>
      </c>
      <c r="EQ258" s="2" t="s">
        <v>89</v>
      </c>
      <c r="ER258" s="2" t="s">
        <v>89</v>
      </c>
      <c r="ES258" s="2" t="s">
        <v>89</v>
      </c>
      <c r="ET258" s="2" t="str">
        <f>HYPERLINK(".\links\REFSEQ-INVERTEBRATE\AGAP013301-PB-REFSEQ-INVERTEBRATE.txt","AGAP013301-PA")</f>
        <v>AGAP013301-PA</v>
      </c>
      <c r="EU258" s="2" t="str">
        <f>HYPERLINK("http://www.ncbi.nlm.nih.gov/sutils/blink.cgi?pid=XP_003436327.1","0.0")</f>
        <v>0.0</v>
      </c>
      <c r="EV258" s="2" t="str">
        <f>HYPERLINK("http://www.ncbi.nlm.nih.gov/protein/XP_003436327.1","XP_003436327.1")</f>
        <v>XP_003436327.1</v>
      </c>
      <c r="EW258" s="2">
        <v>100</v>
      </c>
      <c r="EX258" s="2">
        <v>100</v>
      </c>
      <c r="EY258" s="2">
        <v>97</v>
      </c>
      <c r="EZ258" s="2" t="s">
        <v>95</v>
      </c>
    </row>
    <row r="259" spans="1:156" x14ac:dyDescent="0.25">
      <c r="A259" s="2" t="s">
        <v>875</v>
      </c>
      <c r="B259" s="2">
        <v>-1.36055613754913</v>
      </c>
      <c r="C259" s="2">
        <f t="shared" ref="C259:C278" si="4">2^B259</f>
        <v>0.38943214057541126</v>
      </c>
      <c r="D259" s="2">
        <v>4.5287297408661198</v>
      </c>
      <c r="E259" s="2">
        <v>26.971126760302798</v>
      </c>
      <c r="F259" s="2">
        <v>2.0651744794564E-7</v>
      </c>
      <c r="G259" s="2">
        <v>1.7655003523677201E-4</v>
      </c>
      <c r="H259" s="2" t="s">
        <v>86</v>
      </c>
      <c r="I259" s="2" t="s">
        <v>87</v>
      </c>
      <c r="J259" s="2" t="str">
        <f>HYPERLINK("https://vectorbase.org/vectorbase/app/record/gene/AGAP003557","AGAP003557-RA")</f>
        <v>AGAP003557-RA</v>
      </c>
      <c r="K259" s="2" t="str">
        <f>HYPERLINK(".\links\pep\AGAP003557-PA-pep.txt","AGAP003557-PA")</f>
        <v>AGAP003557-PA</v>
      </c>
      <c r="L259" s="12" t="s">
        <v>88</v>
      </c>
      <c r="M259" s="2">
        <v>108</v>
      </c>
      <c r="N259" s="2">
        <v>0</v>
      </c>
      <c r="O259" s="2">
        <v>1</v>
      </c>
      <c r="P259" s="2" t="s">
        <v>89</v>
      </c>
      <c r="Q259" s="9" t="s">
        <v>399</v>
      </c>
      <c r="R259" s="2" t="s">
        <v>400</v>
      </c>
      <c r="S259" s="2" t="str">
        <f>HYPERLINK(".\links\REFSEQ-INVERTEBRATE\AGAP003557-PA-REFSEQ-INVERTEBRATE.txt","REFSEQ-INVERTEBRATE")</f>
        <v>REFSEQ-INVERTEBRATE</v>
      </c>
      <c r="T259" s="2">
        <v>3.0000000000000002E-60</v>
      </c>
      <c r="V259" s="2" t="s">
        <v>876</v>
      </c>
      <c r="W259" s="10" t="s">
        <v>399</v>
      </c>
      <c r="X259" s="2" t="s">
        <v>400</v>
      </c>
      <c r="Y259" s="2" t="str">
        <f>HYPERLINK(".\links\REFSEQ-INVERTEBRATE\AGAP003557-PA-REFSEQ-INVERTEBRATE.txt","REFSEQ-INVERTEBRATE")</f>
        <v>REFSEQ-INVERTEBRATE</v>
      </c>
      <c r="Z259" s="13">
        <v>1.9999999999999999E-77</v>
      </c>
      <c r="AA259" s="2">
        <v>100</v>
      </c>
      <c r="AB259" s="14" t="s">
        <v>89</v>
      </c>
      <c r="AC259" s="14" t="str">
        <f>HYPERLINK(".\links\Sigp\AGAP003557-PA-SigP.txt","SIG")</f>
        <v>SIG</v>
      </c>
      <c r="AD259" s="2" t="s">
        <v>877</v>
      </c>
      <c r="AE259" s="2">
        <v>12.061</v>
      </c>
      <c r="AF259" s="2">
        <v>6.39</v>
      </c>
      <c r="AG259" s="2">
        <v>10.125999999999999</v>
      </c>
      <c r="AH259" s="2">
        <v>7.04</v>
      </c>
      <c r="AI259" s="2" t="s">
        <v>878</v>
      </c>
      <c r="AJ259" s="14" t="str">
        <f>HYPERLINK(".\links\tmhmm\AGAP003557-PA-tmhmm.txt","1")</f>
        <v>1</v>
      </c>
      <c r="AK259" s="2">
        <v>17.600000000000001</v>
      </c>
      <c r="AL259" s="2">
        <v>4.5999999999999996</v>
      </c>
      <c r="AM259" s="2">
        <v>77.8</v>
      </c>
      <c r="AN259" s="14" t="str">
        <f>HYPERLINK(".\links\gpi\AGAP003557-PA-gpi.txt","N")</f>
        <v>N</v>
      </c>
      <c r="AO259" s="15" t="str">
        <f>HYPERLINK(".\links\netoglyc\AGAP003557-PA-netoglyc.txt","2")</f>
        <v>2</v>
      </c>
      <c r="AP259" s="14">
        <v>13</v>
      </c>
      <c r="AQ259" s="2">
        <v>6.5</v>
      </c>
      <c r="AR259" s="2">
        <v>5.6</v>
      </c>
      <c r="AS259" s="2" t="s">
        <v>94</v>
      </c>
      <c r="AT259" s="9" t="str">
        <f>HYPERLINK(".\links\NR-LIGHT\AGAP003557-PA-NR-LIGHT.txt","AGAP003557-PA")</f>
        <v>AGAP003557-PA</v>
      </c>
      <c r="AU259" s="2" t="str">
        <f>HYPERLINK("http://www.ncbi.nlm.nih.gov/sutils/blink.cgi?pid=XP_313304.2","3E-060")</f>
        <v>3E-060</v>
      </c>
      <c r="AV259" s="2" t="str">
        <f>HYPERLINK("http://www.ncbi.nlm.nih.gov/protein/XP_313304.2","XP_313304.2")</f>
        <v>XP_313304.2</v>
      </c>
      <c r="AW259" s="2">
        <v>100</v>
      </c>
      <c r="AX259" s="2">
        <v>100</v>
      </c>
      <c r="AY259" s="2">
        <v>100</v>
      </c>
      <c r="AZ259" s="2" t="s">
        <v>95</v>
      </c>
      <c r="BA259" s="9" t="str">
        <f>HYPERLINK(".\links\REFSEQ-INVERTEBRATE\AGAP003557-PA-REFSEQ-INVERTEBRATE.txt","AGAP003557-PA")</f>
        <v>AGAP003557-PA</v>
      </c>
      <c r="BB259" s="2" t="str">
        <f>HYPERLINK("http://www.ncbi.nlm.nih.gov/sutils/blink.cgi?pid=XP_313304.2","3E-060")</f>
        <v>3E-060</v>
      </c>
      <c r="BC259" s="2" t="str">
        <f>HYPERLINK("http://www.ncbi.nlm.nih.gov/protein/XP_313304.2","XP_313304.2")</f>
        <v>XP_313304.2</v>
      </c>
      <c r="BD259" s="2">
        <v>100</v>
      </c>
      <c r="BE259" s="2">
        <v>100</v>
      </c>
      <c r="BF259" s="2">
        <v>100</v>
      </c>
      <c r="BG259" s="2" t="s">
        <v>95</v>
      </c>
      <c r="BH259" s="9" t="str">
        <f>HYPERLINK(".\links\REFSEQ-PROTOZOA\AGAP003557-PA-REFSEQ-PROTOZOA.txt","hypothetical protein")</f>
        <v>hypothetical protein</v>
      </c>
      <c r="BI259" s="2" t="str">
        <f>HYPERLINK("http://www.ncbi.nlm.nih.gov/sutils/blink.cgi?pid=XP_001298744.1","0.008")</f>
        <v>0.008</v>
      </c>
      <c r="BJ259" s="2" t="str">
        <f>HYPERLINK("http://www.ncbi.nlm.nih.gov/protein/XP_001298744.1","XP_001298744.1")</f>
        <v>XP_001298744.1</v>
      </c>
      <c r="BK259" s="2">
        <v>35</v>
      </c>
      <c r="BL259" s="2">
        <v>58</v>
      </c>
      <c r="BM259" s="2">
        <v>9</v>
      </c>
      <c r="BN259" s="2" t="s">
        <v>879</v>
      </c>
      <c r="BO259" s="9" t="str">
        <f>HYPERLINK(".\links\SWISSP\AGAP003557-PA-SWISSP.txt","Histone-lysine N-methyltransferase NSD3")</f>
        <v>Histone-lysine N-methyltransferase NSD3</v>
      </c>
      <c r="BP259" s="2" t="str">
        <f>HYPERLINK("http://www.uniprot.org/uniprot/Q6P2L6","0.022")</f>
        <v>0.022</v>
      </c>
      <c r="BQ259" s="2" t="str">
        <f>HYPERLINK("http://www.uniprot.org/uniprot/Q6P2L6#expression","Q6P2L6")</f>
        <v>Q6P2L6</v>
      </c>
      <c r="BR259" s="2">
        <v>34</v>
      </c>
      <c r="BS259" s="2">
        <v>47</v>
      </c>
      <c r="BT259" s="2">
        <v>5</v>
      </c>
      <c r="BU259" s="2" t="s">
        <v>566</v>
      </c>
      <c r="BV259" s="9" t="str">
        <f>HYPERLINK(".\links\FLYBASE\AGAP003557-PA-FLYBASE.txt","FBpp0071672")</f>
        <v>FBpp0071672</v>
      </c>
      <c r="BW259" s="2" t="str">
        <f>HYPERLINK("http://flybase.org/reports/FBgn0034694#alliance_summary_container","0.20")</f>
        <v>0.20</v>
      </c>
      <c r="BX259" s="2">
        <v>720</v>
      </c>
      <c r="BY259" s="2">
        <v>33</v>
      </c>
      <c r="BZ259" s="2">
        <v>56</v>
      </c>
      <c r="CA259" s="2">
        <v>7</v>
      </c>
      <c r="CB259" s="9" t="str">
        <f>HYPERLINK(".\links\CDD\AGAP003557-PA-CDD.txt","HRD1, HRD ubiquitin ligase complex, ER membrane component")</f>
        <v>HRD1, HRD ubiquitin ligase complex, ER membrane component</v>
      </c>
      <c r="CC259" s="13">
        <v>8.0000000000000004E-4</v>
      </c>
      <c r="CD259" s="2">
        <v>11.4</v>
      </c>
      <c r="CE259" s="2" t="s">
        <v>880</v>
      </c>
      <c r="CF259" s="2" t="s">
        <v>881</v>
      </c>
      <c r="CG259" s="9" t="str">
        <f>HYPERLINK(".\links\KOG\AGAP003557-PA-KOG.txt","Vacuolar sorting protein PEP3/VPS18")</f>
        <v>Vacuolar sorting protein PEP3/VPS18</v>
      </c>
      <c r="CH259" s="13">
        <v>0.01</v>
      </c>
      <c r="CI259" s="2">
        <v>4</v>
      </c>
      <c r="CJ259" s="2" t="s">
        <v>882</v>
      </c>
      <c r="CK259" s="2" t="s">
        <v>278</v>
      </c>
      <c r="CL259" s="9" t="str">
        <f>HYPERLINK(".\links\PFAM\AGAP003557-PA-PFAM.txt","zf-RING_9, Putative zinc-RING and/or ribbon")</f>
        <v>zf-RING_9, Putative zinc-RING and/or ribbon</v>
      </c>
      <c r="CM259" s="13">
        <v>4.2999999999999997E-2</v>
      </c>
      <c r="CN259" s="2">
        <v>22.9</v>
      </c>
      <c r="CO259" s="2" t="s">
        <v>883</v>
      </c>
      <c r="CP259" s="9" t="str">
        <f>HYPERLINK(".\links\SMART\AGAP003557-PA-SMART.txt","B561, Cytochrome b-561 / ferric reductase transmembrane domain")</f>
        <v>B561, Cytochrome b-561 / ferric reductase transmembrane domain</v>
      </c>
      <c r="CQ259" s="13">
        <v>0.15</v>
      </c>
      <c r="CR259" s="2">
        <v>17.8</v>
      </c>
      <c r="CS259" s="2" t="s">
        <v>813</v>
      </c>
      <c r="CT259" s="2" t="s">
        <v>876</v>
      </c>
      <c r="CU259" s="2" t="s">
        <v>876</v>
      </c>
      <c r="CV259" s="2" t="s">
        <v>876</v>
      </c>
      <c r="CW259" s="2" t="str">
        <f>HYPERLINK(".\links\pep\AGAP003557-PA-pep.txt","AGAP003557-PA")</f>
        <v>AGAP003557-PA</v>
      </c>
      <c r="CX259" s="2" t="s">
        <v>88</v>
      </c>
      <c r="CY259" s="2">
        <v>108</v>
      </c>
      <c r="CZ259" s="2" t="s">
        <v>103</v>
      </c>
      <c r="DA259" s="2" t="s">
        <v>884</v>
      </c>
      <c r="DB259" s="2">
        <v>0</v>
      </c>
      <c r="DC259" s="2">
        <v>1</v>
      </c>
      <c r="DD259" s="2" t="str">
        <f>HYPERLINK("https://www.kegg.jp/kegg-bin/search_pathway_text?map=aga&amp;keyword=AGAP003557&amp;mode=1&amp;viewImage=true","AGAP003557")</f>
        <v>AGAP003557</v>
      </c>
      <c r="DE259" s="2" t="s">
        <v>875</v>
      </c>
      <c r="DF259" s="2" t="s">
        <v>86</v>
      </c>
      <c r="DG259" s="2" t="s">
        <v>87</v>
      </c>
      <c r="DH259" s="2" t="str">
        <f>HYPERLINK("https://vectorbase.org/vectorbase/app/record/gene/AGAP003557","AGAP003557-RA")</f>
        <v>AGAP003557-RA</v>
      </c>
      <c r="DI259" s="2" t="s">
        <v>158</v>
      </c>
      <c r="DJ259" s="2">
        <v>697</v>
      </c>
      <c r="DK259" s="2" t="str">
        <f>HYPERLINK(".\links\netoglyc\AGAP003557-PA-netoglyc.txt","2")</f>
        <v>2</v>
      </c>
      <c r="DL259" s="2">
        <v>13</v>
      </c>
      <c r="DM259" s="2">
        <v>6.5</v>
      </c>
      <c r="DN259" s="2">
        <v>5.6</v>
      </c>
      <c r="DO259" s="2" t="s">
        <v>94</v>
      </c>
      <c r="DP259" s="2" t="s">
        <v>89</v>
      </c>
      <c r="DQ259" s="2" t="str">
        <f>HYPERLINK(".\links\Sigp\AGAP003557-PA-SigP.txt","SIG")</f>
        <v>SIG</v>
      </c>
      <c r="DR259" s="2" t="s">
        <v>877</v>
      </c>
      <c r="DS259" s="2">
        <v>12.061</v>
      </c>
      <c r="DT259" s="2">
        <v>6.39</v>
      </c>
      <c r="DU259" s="2">
        <v>10.125999999999999</v>
      </c>
      <c r="DV259" s="2">
        <v>7.04</v>
      </c>
      <c r="DW259" s="2" t="s">
        <v>878</v>
      </c>
      <c r="DX259" s="2">
        <v>108</v>
      </c>
      <c r="DY259" s="12" t="str">
        <f>HYPERLINK(".\links\tmhmm\AGAP003557-PA-tmhmm.txt","1")</f>
        <v>1</v>
      </c>
      <c r="DZ259" s="2">
        <v>17.600000000000001</v>
      </c>
      <c r="EA259" s="2">
        <v>4.5999999999999996</v>
      </c>
      <c r="EB259" s="2">
        <v>77.8</v>
      </c>
      <c r="EC259" s="2" t="str">
        <f>HYPERLINK(".\links\gpi\AGAP003557-PA-gpi.txt","N")</f>
        <v>N</v>
      </c>
      <c r="ED259" s="2">
        <v>0.31</v>
      </c>
      <c r="EE259" s="2" t="s">
        <v>885</v>
      </c>
      <c r="EF259" s="2">
        <v>7</v>
      </c>
      <c r="EG259" s="2" t="s">
        <v>89</v>
      </c>
      <c r="EH259" s="2" t="s">
        <v>89</v>
      </c>
      <c r="EI259" s="2">
        <v>12.962962962962999</v>
      </c>
      <c r="EJ259" s="2">
        <v>5.5555555555555598</v>
      </c>
      <c r="EK259" s="2">
        <v>6.4814814814814801</v>
      </c>
      <c r="EL259" s="2">
        <v>12.037037037037001</v>
      </c>
      <c r="EM259" s="2" t="s">
        <v>89</v>
      </c>
      <c r="EN259" s="2" t="s">
        <v>89</v>
      </c>
      <c r="EO259" s="2">
        <v>1</v>
      </c>
      <c r="EP259" s="2" t="s">
        <v>89</v>
      </c>
      <c r="EQ259" s="2" t="s">
        <v>89</v>
      </c>
      <c r="ER259" s="2" t="s">
        <v>89</v>
      </c>
      <c r="ES259" s="2" t="s">
        <v>89</v>
      </c>
      <c r="ET259" s="2" t="str">
        <f>HYPERLINK(".\links\REFSEQ-INVERTEBRATE\AGAP003557-PA-REFSEQ-INVERTEBRATE.txt","AGAP003557-PA")</f>
        <v>AGAP003557-PA</v>
      </c>
      <c r="EU259" s="2" t="str">
        <f>HYPERLINK("http://www.ncbi.nlm.nih.gov/sutils/blink.cgi?pid=XP_313304.2","3E-77")</f>
        <v>3E-77</v>
      </c>
      <c r="EV259" s="2" t="str">
        <f>HYPERLINK("http://www.ncbi.nlm.nih.gov/protein/XP_313304.2","XP_313304.2")</f>
        <v>XP_313304.2</v>
      </c>
      <c r="EW259" s="2">
        <v>100</v>
      </c>
      <c r="EX259" s="2">
        <v>100</v>
      </c>
      <c r="EY259" s="2">
        <v>100</v>
      </c>
      <c r="EZ259" s="2" t="s">
        <v>95</v>
      </c>
    </row>
    <row r="260" spans="1:156" x14ac:dyDescent="0.25">
      <c r="A260" s="2" t="s">
        <v>2008</v>
      </c>
      <c r="B260" s="2">
        <v>-1.3954981823325701</v>
      </c>
      <c r="C260" s="2">
        <f t="shared" si="4"/>
        <v>0.38011340728579712</v>
      </c>
      <c r="D260" s="2">
        <v>3.5804073717942302</v>
      </c>
      <c r="E260" s="2">
        <v>11.859953143838</v>
      </c>
      <c r="F260" s="2">
        <v>5.7353987303880203E-4</v>
      </c>
      <c r="G260" s="2">
        <v>2.8668915625559298E-2</v>
      </c>
      <c r="H260" s="2" t="s">
        <v>86</v>
      </c>
      <c r="I260" s="2" t="s">
        <v>87</v>
      </c>
      <c r="J260" s="2" t="str">
        <f>HYPERLINK("https://vectorbase.org/vectorbase/app/record/gene/AGAP007947","AGAP007947-RA")</f>
        <v>AGAP007947-RA</v>
      </c>
      <c r="K260" s="2" t="str">
        <f>HYPERLINK(".\links\pep\AGAP007947-PA-pep.txt","AGAP007947-PA")</f>
        <v>AGAP007947-PA</v>
      </c>
      <c r="L260" s="12" t="s">
        <v>88</v>
      </c>
      <c r="M260" s="2">
        <v>433</v>
      </c>
      <c r="N260" s="2">
        <v>0</v>
      </c>
      <c r="O260" s="2">
        <v>0</v>
      </c>
      <c r="P260" s="2" t="s">
        <v>89</v>
      </c>
      <c r="Q260" s="9" t="s">
        <v>2009</v>
      </c>
      <c r="R260" s="2" t="s">
        <v>164</v>
      </c>
      <c r="S260" s="2" t="str">
        <f>HYPERLINK(".\links\PFAM\AGAP007947-PA-PFAM.txt","PFAM")</f>
        <v>PFAM</v>
      </c>
      <c r="T260" s="2">
        <v>6.9999999999999999E-36</v>
      </c>
      <c r="U260" s="2">
        <v>84</v>
      </c>
      <c r="V260" s="2" t="s">
        <v>2010</v>
      </c>
      <c r="W260" s="10" t="s">
        <v>2011</v>
      </c>
      <c r="X260" s="2" t="s">
        <v>164</v>
      </c>
      <c r="Y260" s="2" t="str">
        <f>HYPERLINK(".\links\PFAM\AGAP007947-PA-PFAM.txt","PFAM")</f>
        <v>PFAM</v>
      </c>
      <c r="Z260" s="13">
        <v>9.0000000000000003E-27</v>
      </c>
      <c r="AA260" s="2">
        <v>86</v>
      </c>
      <c r="AB260" s="14" t="s">
        <v>89</v>
      </c>
      <c r="AC260" s="14" t="str">
        <f>HYPERLINK(".\links\Sigp\AGAP007947-PA-SigP.txt","CYT")</f>
        <v>CYT</v>
      </c>
      <c r="AD260" s="2" t="s">
        <v>89</v>
      </c>
      <c r="AE260" s="2">
        <v>49.957999999999998</v>
      </c>
      <c r="AF260" s="2">
        <v>5.55</v>
      </c>
      <c r="AG260" s="2" t="s">
        <v>89</v>
      </c>
      <c r="AH260" s="2" t="s">
        <v>89</v>
      </c>
      <c r="AI260" s="2" t="s">
        <v>93</v>
      </c>
      <c r="AJ260" s="14">
        <v>0</v>
      </c>
      <c r="AK260" s="2" t="s">
        <v>89</v>
      </c>
      <c r="AL260" s="2" t="s">
        <v>89</v>
      </c>
      <c r="AM260" s="2" t="s">
        <v>89</v>
      </c>
      <c r="AN260" s="14" t="str">
        <f>HYPERLINK(".\links\gpi\AGAP007947-PA-gpi.txt","N")</f>
        <v>N</v>
      </c>
      <c r="AO260" s="15" t="str">
        <f>HYPERLINK(".\links\netoglyc\AGAP007947-PA-netoglyc.txt","0")</f>
        <v>0</v>
      </c>
      <c r="AP260" s="14">
        <v>12.5</v>
      </c>
      <c r="AQ260" s="2">
        <v>3.5</v>
      </c>
      <c r="AR260" s="2">
        <v>4.5999999999999996</v>
      </c>
      <c r="AS260" s="2" t="s">
        <v>94</v>
      </c>
      <c r="AT260" s="9" t="str">
        <f>HYPERLINK(".\links\NR-LIGHT\AGAP007947-PA-NR-LIGHT.txt","AGAP007948-PA-like protein")</f>
        <v>AGAP007948-PA-like protein</v>
      </c>
      <c r="AU260" s="2" t="str">
        <f>HYPERLINK("http://www.ncbi.nlm.nih.gov/sutils/blink.cgi?pid=KFB39695.1","1E-116")</f>
        <v>1E-116</v>
      </c>
      <c r="AV260" s="2" t="str">
        <f>HYPERLINK("http://www.ncbi.nlm.nih.gov/protein/KFB39695.1","KFB39695.1")</f>
        <v>KFB39695.1</v>
      </c>
      <c r="AW260" s="2">
        <v>59</v>
      </c>
      <c r="AX260" s="2">
        <v>77</v>
      </c>
      <c r="AY260" s="2">
        <v>25</v>
      </c>
      <c r="AZ260" s="2" t="s">
        <v>1982</v>
      </c>
      <c r="BA260" s="9" t="str">
        <f>HYPERLINK(".\links\REFSEQ-INVERTEBRATE\AGAP007947-PA-REFSEQ-INVERTEBRATE.txt","uncharacterized protein LOC109429837")</f>
        <v>uncharacterized protein LOC109429837</v>
      </c>
      <c r="BB260" s="2" t="str">
        <f>HYPERLINK("http://www.ncbi.nlm.nih.gov/sutils/blink.cgi?pid=XP_019561368.1","1E-114")</f>
        <v>1E-114</v>
      </c>
      <c r="BC260" s="2" t="str">
        <f>HYPERLINK("http://www.ncbi.nlm.nih.gov/protein/XP_019561368.1","XP_019561368.1")</f>
        <v>XP_019561368.1</v>
      </c>
      <c r="BD260" s="2">
        <v>49</v>
      </c>
      <c r="BE260" s="2">
        <v>68</v>
      </c>
      <c r="BF260" s="2">
        <v>104</v>
      </c>
      <c r="BG260" s="2" t="s">
        <v>2012</v>
      </c>
      <c r="BH260" s="9" t="str">
        <f>HYPERLINK(".\links\REFSEQ-PROTOZOA\AGAP007947-PA-REFSEQ-PROTOZOA.txt","conserved hypothetical protein")</f>
        <v>conserved hypothetical protein</v>
      </c>
      <c r="BI260" s="2" t="str">
        <f>HYPERLINK("http://www.ncbi.nlm.nih.gov/sutils/blink.cgi?pid=XP_002779300.1","0.055")</f>
        <v>0.055</v>
      </c>
      <c r="BJ260" s="2" t="str">
        <f>HYPERLINK("http://www.ncbi.nlm.nih.gov/protein/XP_002779300.1","XP_002779300.1")</f>
        <v>XP_002779300.1</v>
      </c>
      <c r="BK260" s="2">
        <v>31</v>
      </c>
      <c r="BL260" s="2">
        <v>45</v>
      </c>
      <c r="BM260" s="2">
        <v>27</v>
      </c>
      <c r="BN260" s="2" t="s">
        <v>1190</v>
      </c>
      <c r="BO260" s="9" t="str">
        <f>HYPERLINK(".\links\SWISSP\AGAP007947-PA-SWISSP.txt","Uncharacterized kinase-like protein D1044.1")</f>
        <v>Uncharacterized kinase-like protein D1044.1</v>
      </c>
      <c r="BP260" s="2" t="str">
        <f>HYPERLINK("http://www.uniprot.org/uniprot/P41949","5E-004")</f>
        <v>5E-004</v>
      </c>
      <c r="BQ260" s="2" t="str">
        <f>HYPERLINK("http://www.uniprot.org/uniprot/P41949#expression","P41949")</f>
        <v>P41949</v>
      </c>
      <c r="BR260" s="2">
        <v>25</v>
      </c>
      <c r="BS260" s="2">
        <v>44</v>
      </c>
      <c r="BT260" s="2">
        <v>48</v>
      </c>
      <c r="BU260" s="2" t="s">
        <v>666</v>
      </c>
      <c r="BV260" s="9" t="str">
        <f>HYPERLINK(".\links\FLYBASE\AGAP007947-PA-FLYBASE.txt","FBpp0304346")</f>
        <v>FBpp0304346</v>
      </c>
      <c r="BW260" s="2" t="str">
        <f>HYPERLINK("http://flybase.org/reports/FBgn0032913#alliance_summary_container","3E-59")</f>
        <v>3E-59</v>
      </c>
      <c r="BX260" s="2">
        <v>422</v>
      </c>
      <c r="BY260" s="2">
        <v>32</v>
      </c>
      <c r="BZ260" s="2">
        <v>51</v>
      </c>
      <c r="CA260" s="2">
        <v>96</v>
      </c>
      <c r="CB260" s="9" t="str">
        <f>HYPERLINK(".\links\CDD\AGAP007947-PA-CDD.txt","EcKinase, Ecdysteroid kinase")</f>
        <v>EcKinase, Ecdysteroid kinase</v>
      </c>
      <c r="CC260" s="13">
        <v>2.9999999999999999E-35</v>
      </c>
      <c r="CD260" s="2">
        <v>84.3</v>
      </c>
      <c r="CE260" s="2" t="s">
        <v>2013</v>
      </c>
      <c r="CF260" s="2" t="s">
        <v>2014</v>
      </c>
      <c r="CG260" s="9" t="str">
        <f>HYPERLINK(".\links\KOG\AGAP007947-PA-KOG.txt","Serine/threonine protein kinase")</f>
        <v>Serine/threonine protein kinase</v>
      </c>
      <c r="CH260" s="13">
        <v>1.5</v>
      </c>
      <c r="CI260" s="2">
        <v>13.1</v>
      </c>
      <c r="CJ260" s="2" t="s">
        <v>2015</v>
      </c>
      <c r="CK260" s="2" t="s">
        <v>187</v>
      </c>
      <c r="CL260" s="9" t="str">
        <f>HYPERLINK(".\links\PFAM\AGAP007947-PA-PFAM.txt","EcKinase, Ecdysteroid kinase")</f>
        <v>EcKinase, Ecdysteroid kinase</v>
      </c>
      <c r="CM260" s="13">
        <v>6.9999999999999999E-36</v>
      </c>
      <c r="CN260" s="2">
        <v>84.3</v>
      </c>
      <c r="CO260" s="2" t="s">
        <v>2013</v>
      </c>
      <c r="CP260" s="9" t="str">
        <f>HYPERLINK(".\links\SMART\AGAP007947-PA-SMART.txt","CHK, ZnF_C4 abd HLH domain containing kinases domain")</f>
        <v>CHK, ZnF_C4 abd HLH domain containing kinases domain</v>
      </c>
      <c r="CQ260" s="13">
        <v>8.0000000000000004E-32</v>
      </c>
      <c r="CR260" s="2">
        <v>104.1</v>
      </c>
      <c r="CS260" s="2" t="s">
        <v>2016</v>
      </c>
      <c r="CT260" s="2" t="s">
        <v>2010</v>
      </c>
      <c r="CU260" s="2" t="s">
        <v>2010</v>
      </c>
      <c r="CV260" s="2" t="s">
        <v>2010</v>
      </c>
      <c r="CW260" s="2" t="str">
        <f>HYPERLINK(".\links\pep\AGAP007947-PA-pep.txt","AGAP007947-PA")</f>
        <v>AGAP007947-PA</v>
      </c>
      <c r="CX260" s="2" t="s">
        <v>88</v>
      </c>
      <c r="CY260" s="2">
        <v>433</v>
      </c>
      <c r="CZ260" s="2" t="s">
        <v>103</v>
      </c>
      <c r="DA260" s="2" t="s">
        <v>2017</v>
      </c>
      <c r="DB260" s="2">
        <v>0</v>
      </c>
      <c r="DC260" s="2">
        <v>0</v>
      </c>
      <c r="DD260" s="2" t="str">
        <f>HYPERLINK("https://www.kegg.jp/kegg-bin/search_pathway_text?map=aga&amp;keyword=AGAP007947&amp;mode=1&amp;viewImage=true","AGAP007947")</f>
        <v>AGAP007947</v>
      </c>
      <c r="DE260" s="2" t="s">
        <v>2008</v>
      </c>
      <c r="DF260" s="2" t="s">
        <v>86</v>
      </c>
      <c r="DG260" s="2" t="s">
        <v>87</v>
      </c>
      <c r="DH260" s="2" t="str">
        <f>HYPERLINK("https://vectorbase.org/vectorbase/app/record/gene/AGAP007947","AGAP007947-RA")</f>
        <v>AGAP007947-RA</v>
      </c>
      <c r="DI260" s="2" t="s">
        <v>140</v>
      </c>
      <c r="DJ260" s="2">
        <v>1458</v>
      </c>
      <c r="DK260" s="2" t="str">
        <f>HYPERLINK(".\links\netoglyc\AGAP007947-PA-netoglyc.txt","0")</f>
        <v>0</v>
      </c>
      <c r="DL260" s="2">
        <v>12.5</v>
      </c>
      <c r="DM260" s="2">
        <v>3.5</v>
      </c>
      <c r="DN260" s="2">
        <v>4.5999999999999996</v>
      </c>
      <c r="DO260" s="2" t="s">
        <v>94</v>
      </c>
      <c r="DP260" s="2" t="s">
        <v>89</v>
      </c>
      <c r="DQ260" s="2" t="str">
        <f>HYPERLINK(".\links\Sigp\AGAP007947-PA-SigP.txt","CYT")</f>
        <v>CYT</v>
      </c>
      <c r="DR260" s="2" t="s">
        <v>89</v>
      </c>
      <c r="DS260" s="2">
        <v>49.957999999999998</v>
      </c>
      <c r="DT260" s="2">
        <v>5.55</v>
      </c>
      <c r="DU260" s="2" t="s">
        <v>89</v>
      </c>
      <c r="DV260" s="2" t="s">
        <v>89</v>
      </c>
      <c r="DW260" s="2" t="s">
        <v>93</v>
      </c>
      <c r="DX260" s="2">
        <v>433</v>
      </c>
      <c r="DY260" s="12">
        <v>0</v>
      </c>
      <c r="DZ260" s="2" t="s">
        <v>89</v>
      </c>
      <c r="EA260" s="2" t="s">
        <v>89</v>
      </c>
      <c r="EB260" s="2" t="s">
        <v>89</v>
      </c>
      <c r="EC260" s="2" t="str">
        <f>HYPERLINK(".\links\gpi\AGAP007947-PA-gpi.txt","Y-NoSP")</f>
        <v>Y-NoSP</v>
      </c>
      <c r="ED260" s="2">
        <v>0.26</v>
      </c>
      <c r="EF260" s="2">
        <v>11</v>
      </c>
      <c r="EG260" s="2" t="s">
        <v>89</v>
      </c>
      <c r="EH260" s="2" t="s">
        <v>89</v>
      </c>
      <c r="EI260" s="2">
        <v>12.4711316397229</v>
      </c>
      <c r="EJ260" s="2">
        <v>4.6189376443418002</v>
      </c>
      <c r="EK260" s="2">
        <v>3.4642032332563502</v>
      </c>
      <c r="EL260" s="2">
        <v>8.0831408775981508</v>
      </c>
      <c r="EM260" s="2" t="s">
        <v>89</v>
      </c>
      <c r="EN260" s="2">
        <v>1</v>
      </c>
      <c r="EO260" s="2">
        <v>2</v>
      </c>
      <c r="EP260" s="2" t="s">
        <v>89</v>
      </c>
      <c r="EQ260" s="2" t="s">
        <v>89</v>
      </c>
      <c r="ER260" s="2" t="s">
        <v>89</v>
      </c>
      <c r="ES260" s="2" t="s">
        <v>89</v>
      </c>
      <c r="ET260" s="2" t="str">
        <f>HYPERLINK(".\links\REFSEQ-INVERTEBRATE\AGAP007947-PA-REFSEQ-INVERTEBRATE.txt","uncharacterized protein LOC118514046")</f>
        <v>uncharacterized protein LOC118514046</v>
      </c>
      <c r="EU260" s="2" t="str">
        <f>HYPERLINK("http://www.ncbi.nlm.nih.gov/sutils/blink.cgi?pid=XP_035916430.1","0.0")</f>
        <v>0.0</v>
      </c>
      <c r="EV260" s="2" t="str">
        <f>HYPERLINK("http://www.ncbi.nlm.nih.gov/protein/XP_035916430.1","XP_035916430.1")</f>
        <v>XP_035916430.1</v>
      </c>
      <c r="EW260" s="2">
        <v>61</v>
      </c>
      <c r="EX260" s="2">
        <v>77</v>
      </c>
      <c r="EY260" s="2">
        <v>99</v>
      </c>
      <c r="EZ260" s="2" t="s">
        <v>600</v>
      </c>
    </row>
    <row r="261" spans="1:156" x14ac:dyDescent="0.25">
      <c r="A261" s="2" t="s">
        <v>2755</v>
      </c>
      <c r="B261" s="2">
        <v>-1.4059232180554999</v>
      </c>
      <c r="C261" s="2">
        <f t="shared" si="4"/>
        <v>0.37737657602552166</v>
      </c>
      <c r="D261" s="2">
        <v>2.7707946419538199</v>
      </c>
      <c r="E261" s="2">
        <v>13.371374783376099</v>
      </c>
      <c r="F261" s="2">
        <v>2.5549400219590198E-4</v>
      </c>
      <c r="G261" s="2">
        <v>1.6791633588764E-2</v>
      </c>
      <c r="H261" s="2" t="s">
        <v>2756</v>
      </c>
      <c r="I261" s="2" t="s">
        <v>87</v>
      </c>
      <c r="J261" s="2" t="str">
        <f>HYPERLINK("https://vectorbase.org/vectorbase/app/record/gene/AGAP012000","AGAP012000-RA")</f>
        <v>AGAP012000-RA</v>
      </c>
      <c r="K261" s="2" t="str">
        <f>HYPERLINK(".\links\pep\AGAP012000-PA-pep.txt","AGAP012000-PA")</f>
        <v>AGAP012000-PA</v>
      </c>
      <c r="L261" s="12" t="s">
        <v>88</v>
      </c>
      <c r="M261" s="2">
        <v>322</v>
      </c>
      <c r="N261" s="2">
        <v>0</v>
      </c>
      <c r="O261" s="2">
        <v>1</v>
      </c>
      <c r="P261" s="2" t="s">
        <v>2757</v>
      </c>
      <c r="Q261" s="9" t="s">
        <v>2188</v>
      </c>
      <c r="R261" s="2" t="s">
        <v>2189</v>
      </c>
      <c r="S261" s="2" t="str">
        <f>HYPERLINK(".\links\KOG\AGAP012000-PA-KOG.txt","KOG")</f>
        <v>KOG</v>
      </c>
      <c r="T261" s="2">
        <v>1.0000000000000001E-68</v>
      </c>
      <c r="U261" s="2">
        <v>94</v>
      </c>
      <c r="V261" s="2" t="s">
        <v>2758</v>
      </c>
      <c r="W261" s="10" t="s">
        <v>2759</v>
      </c>
      <c r="X261" s="2" t="s">
        <v>1220</v>
      </c>
      <c r="Y261" s="2" t="str">
        <f>HYPERLINK(".\links\KOG\AGAP012000-PA-KOG.txt","KOG")</f>
        <v>KOG</v>
      </c>
      <c r="Z261" s="13">
        <v>7.9999999999999996E-57</v>
      </c>
      <c r="AA261" s="2">
        <v>60.3</v>
      </c>
      <c r="AB261" s="14" t="s">
        <v>89</v>
      </c>
      <c r="AC261" s="14" t="str">
        <f>HYPERLINK(".\links\Sigp\AGAP012000-PA-SigP.txt","SIG")</f>
        <v>SIG</v>
      </c>
      <c r="AD261" s="2" t="s">
        <v>877</v>
      </c>
      <c r="AE261" s="2">
        <v>37.542000000000002</v>
      </c>
      <c r="AF261" s="2">
        <v>5.76</v>
      </c>
      <c r="AG261" s="2">
        <v>35.569000000000003</v>
      </c>
      <c r="AH261" s="2">
        <v>5.76</v>
      </c>
      <c r="AI261" s="2" t="s">
        <v>2760</v>
      </c>
      <c r="AJ261" s="14">
        <v>0</v>
      </c>
      <c r="AK261" s="2" t="s">
        <v>89</v>
      </c>
      <c r="AL261" s="2" t="s">
        <v>89</v>
      </c>
      <c r="AM261" s="2" t="s">
        <v>89</v>
      </c>
      <c r="AN261" s="14" t="str">
        <f>HYPERLINK(".\links\gpi\AGAP012000-PA-gpi.txt","N")</f>
        <v>N</v>
      </c>
      <c r="AO261" s="15" t="str">
        <f>HYPERLINK(".\links\netoglyc\AGAP012000-PA-netoglyc.txt","0")</f>
        <v>0</v>
      </c>
      <c r="AP261" s="14">
        <v>12.1</v>
      </c>
      <c r="AQ261" s="2">
        <v>6.8</v>
      </c>
      <c r="AR261" s="2">
        <v>2.2000000000000002</v>
      </c>
      <c r="AS261" s="2" t="s">
        <v>94</v>
      </c>
      <c r="AT261" s="9" t="str">
        <f>HYPERLINK(".\links\NR-LIGHT\AGAP012000-PA-NR-LIGHT.txt","AGAP012000-PA")</f>
        <v>AGAP012000-PA</v>
      </c>
      <c r="AU261" s="2" t="str">
        <f>HYPERLINK("http://www.ncbi.nlm.nih.gov/sutils/blink.cgi?pid=XP_320534.4","0.0")</f>
        <v>0.0</v>
      </c>
      <c r="AV261" s="2" t="str">
        <f>HYPERLINK("http://www.ncbi.nlm.nih.gov/protein/XP_320534.4","XP_320534.4")</f>
        <v>XP_320534.4</v>
      </c>
      <c r="AW261" s="2">
        <v>100</v>
      </c>
      <c r="AX261" s="2">
        <v>100</v>
      </c>
      <c r="AY261" s="2">
        <v>100</v>
      </c>
      <c r="AZ261" s="2" t="s">
        <v>95</v>
      </c>
      <c r="BA261" s="9" t="str">
        <f>HYPERLINK(".\links\REFSEQ-INVERTEBRATE\AGAP012000-PA-REFSEQ-INVERTEBRATE.txt","AGAP012000-PA")</f>
        <v>AGAP012000-PA</v>
      </c>
      <c r="BB261" s="2" t="str">
        <f>HYPERLINK("http://www.ncbi.nlm.nih.gov/sutils/blink.cgi?pid=XP_320534.4","0.0")</f>
        <v>0.0</v>
      </c>
      <c r="BC261" s="2" t="str">
        <f>HYPERLINK("http://www.ncbi.nlm.nih.gov/protein/XP_320534.4","XP_320534.4")</f>
        <v>XP_320534.4</v>
      </c>
      <c r="BD261" s="2">
        <v>100</v>
      </c>
      <c r="BE261" s="2">
        <v>100</v>
      </c>
      <c r="BF261" s="2">
        <v>100</v>
      </c>
      <c r="BG261" s="2" t="s">
        <v>95</v>
      </c>
      <c r="BH261" s="9" t="str">
        <f>HYPERLINK(".\links\REFSEQ-PROTOZOA\AGAP012000-PA-REFSEQ-PROTOZOA.txt","protocadherin-like protein")</f>
        <v>protocadherin-like protein</v>
      </c>
      <c r="BI261" s="2" t="str">
        <f>HYPERLINK("http://www.ncbi.nlm.nih.gov/sutils/blink.cgi?pid=XP_002902518.1","4E-019")</f>
        <v>4E-019</v>
      </c>
      <c r="BJ261" s="2" t="str">
        <f>HYPERLINK("http://www.ncbi.nlm.nih.gov/protein/XP_002902518.1","XP_002902518.1")</f>
        <v>XP_002902518.1</v>
      </c>
      <c r="BK261" s="2">
        <v>35</v>
      </c>
      <c r="BL261" s="2">
        <v>50</v>
      </c>
      <c r="BM261" s="2">
        <v>7</v>
      </c>
      <c r="BN261" s="2" t="s">
        <v>1323</v>
      </c>
      <c r="BO261" s="9" t="str">
        <f>HYPERLINK(".\links\SWISSP\AGAP012000-PA-SWISSP.txt","Fibrinogen C domain-containing protein 1")</f>
        <v>Fibrinogen C domain-containing protein 1</v>
      </c>
      <c r="BP261" s="2" t="str">
        <f>HYPERLINK("http://www.uniprot.org/uniprot/A2AV25","6E-048")</f>
        <v>6E-048</v>
      </c>
      <c r="BQ261" s="2" t="str">
        <f>HYPERLINK("http://www.uniprot.org/uniprot/A2AV25#expression","A2AV25")</f>
        <v>A2AV25</v>
      </c>
      <c r="BR261" s="2">
        <v>46</v>
      </c>
      <c r="BS261" s="2">
        <v>61</v>
      </c>
      <c r="BT261" s="2">
        <v>46</v>
      </c>
      <c r="BU261" s="2" t="s">
        <v>566</v>
      </c>
      <c r="BV261" s="9" t="str">
        <f>HYPERLINK(".\links\FLYBASE\AGAP012000-PA-FLYBASE.txt","FBpp0302640")</f>
        <v>FBpp0302640</v>
      </c>
      <c r="BW261" s="2" t="str">
        <f>HYPERLINK("http://flybase.org/reports/FBgn0033312#alliance_summary_container","6E-54")</f>
        <v>6E-54</v>
      </c>
      <c r="BX261" s="2">
        <v>429</v>
      </c>
      <c r="BY261" s="2">
        <v>48</v>
      </c>
      <c r="BZ261" s="2">
        <v>66</v>
      </c>
      <c r="CA261" s="2">
        <v>41</v>
      </c>
      <c r="CB261" s="9" t="str">
        <f>HYPERLINK(".\links\CDD\AGAP012000-PA-CDD.txt","FReD, Fibrinogen-related domains (FReDs)")</f>
        <v>FReD, Fibrinogen-related domains (FReDs)</v>
      </c>
      <c r="CC261" s="13">
        <v>9.9999999999999996E-76</v>
      </c>
      <c r="CD261" s="2">
        <v>95.3</v>
      </c>
      <c r="CE261" s="2" t="s">
        <v>2194</v>
      </c>
      <c r="CF261" s="2" t="s">
        <v>2761</v>
      </c>
      <c r="CG261" s="9" t="str">
        <f>HYPERLINK(".\links\KOG\AGAP012000-PA-KOG.txt","Ficolin and related extracellular proteins")</f>
        <v>Ficolin and related extracellular proteins</v>
      </c>
      <c r="CH261" s="13">
        <v>1.0000000000000001E-68</v>
      </c>
      <c r="CI261" s="2">
        <v>94.1</v>
      </c>
      <c r="CJ261" s="2" t="s">
        <v>2196</v>
      </c>
      <c r="CK261" s="2" t="s">
        <v>187</v>
      </c>
      <c r="CL261" s="9" t="str">
        <f>HYPERLINK(".\links\PFAM\AGAP012000-PA-PFAM.txt","Fibrinogen_C, Fibrinogen beta and gamma chains, C-terminal globular domain")</f>
        <v>Fibrinogen_C, Fibrinogen beta and gamma chains, C-terminal globular domain</v>
      </c>
      <c r="CM261" s="13">
        <v>2E-55</v>
      </c>
      <c r="CN261" s="2">
        <v>95.9</v>
      </c>
      <c r="CO261" s="2" t="s">
        <v>2197</v>
      </c>
      <c r="CP261" s="9" t="str">
        <f>HYPERLINK(".\links\SMART\AGAP012000-PA-SMART.txt","FBG, Fibrinogen-related domains (FReDs)")</f>
        <v>FBG, Fibrinogen-related domains (FReDs)</v>
      </c>
      <c r="CQ261" s="13">
        <v>9.9999999999999997E-65</v>
      </c>
      <c r="CR261" s="2">
        <v>95.8</v>
      </c>
      <c r="CS261" s="2" t="s">
        <v>2198</v>
      </c>
      <c r="CT261" s="2" t="s">
        <v>2758</v>
      </c>
      <c r="CU261" s="2" t="s">
        <v>2758</v>
      </c>
      <c r="CV261" s="2" t="s">
        <v>2758</v>
      </c>
      <c r="CW261" s="2" t="str">
        <f>HYPERLINK(".\links\pep\AGAP012000-PA-pep.txt","AGAP012000-PA")</f>
        <v>AGAP012000-PA</v>
      </c>
      <c r="CX261" s="2" t="s">
        <v>88</v>
      </c>
      <c r="CY261" s="2">
        <v>322</v>
      </c>
      <c r="CZ261" s="2" t="s">
        <v>103</v>
      </c>
      <c r="DA261" s="2" t="s">
        <v>2762</v>
      </c>
      <c r="DB261" s="2">
        <v>0</v>
      </c>
      <c r="DC261" s="2">
        <v>1</v>
      </c>
      <c r="DD261" s="2" t="str">
        <f>HYPERLINK("https://www.kegg.jp/kegg-bin/search_pathway_text?map=aga&amp;keyword=AGAP012000&amp;mode=1&amp;viewImage=true","AGAP012000")</f>
        <v>AGAP012000</v>
      </c>
      <c r="DE261" s="2" t="s">
        <v>2755</v>
      </c>
      <c r="DF261" s="2" t="s">
        <v>2756</v>
      </c>
      <c r="DG261" s="2" t="s">
        <v>87</v>
      </c>
      <c r="DH261" s="2" t="str">
        <f>HYPERLINK("https://vectorbase.org/vectorbase/app/record/gene/AGAP012000","AGAP012000-RA")</f>
        <v>AGAP012000-RA</v>
      </c>
      <c r="DI261" s="2" t="s">
        <v>140</v>
      </c>
      <c r="DJ261" s="2">
        <v>993</v>
      </c>
      <c r="DK261" s="2" t="str">
        <f>HYPERLINK(".\links\netoglyc\AGAP012000-PA-netoglyc.txt","0")</f>
        <v>0</v>
      </c>
      <c r="DL261" s="2">
        <v>12.1</v>
      </c>
      <c r="DM261" s="2">
        <v>6.8</v>
      </c>
      <c r="DN261" s="2">
        <v>2.2000000000000002</v>
      </c>
      <c r="DO261" s="2" t="s">
        <v>94</v>
      </c>
      <c r="DP261" s="2" t="s">
        <v>89</v>
      </c>
      <c r="DQ261" s="2" t="str">
        <f>HYPERLINK(".\links\Sigp\AGAP012000-PA-SigP.txt","SIG")</f>
        <v>SIG</v>
      </c>
      <c r="DR261" s="2" t="s">
        <v>877</v>
      </c>
      <c r="DS261" s="2">
        <v>37.542000000000002</v>
      </c>
      <c r="DT261" s="2">
        <v>5.76</v>
      </c>
      <c r="DU261" s="2">
        <v>35.569000000000003</v>
      </c>
      <c r="DV261" s="2">
        <v>5.76</v>
      </c>
      <c r="DW261" s="2" t="s">
        <v>2760</v>
      </c>
      <c r="DX261" s="2">
        <v>322</v>
      </c>
      <c r="DY261" s="12">
        <v>0</v>
      </c>
      <c r="DZ261" s="2" t="s">
        <v>89</v>
      </c>
      <c r="EA261" s="2" t="s">
        <v>89</v>
      </c>
      <c r="EB261" s="2" t="s">
        <v>89</v>
      </c>
      <c r="EC261" s="2" t="str">
        <f>HYPERLINK(".\links\gpi\AGAP012000-PA-gpi.txt","N")</f>
        <v>N</v>
      </c>
      <c r="ED261" s="2">
        <v>0.23</v>
      </c>
      <c r="EF261" s="2">
        <v>3</v>
      </c>
      <c r="EG261" s="2" t="s">
        <v>89</v>
      </c>
      <c r="EH261" s="2" t="s">
        <v>89</v>
      </c>
      <c r="EI261" s="2">
        <v>12.111801242236</v>
      </c>
      <c r="EJ261" s="2">
        <v>2.1739130434782599</v>
      </c>
      <c r="EK261" s="2">
        <v>6.8322981366459601</v>
      </c>
      <c r="EL261" s="2">
        <v>9.00621118012422</v>
      </c>
      <c r="EM261" s="2" t="s">
        <v>89</v>
      </c>
      <c r="EN261" s="2" t="s">
        <v>89</v>
      </c>
      <c r="EO261" s="2" t="s">
        <v>89</v>
      </c>
      <c r="EP261" s="2" t="s">
        <v>89</v>
      </c>
      <c r="EQ261" s="2" t="s">
        <v>89</v>
      </c>
      <c r="ER261" s="2" t="s">
        <v>89</v>
      </c>
      <c r="ES261" s="2" t="s">
        <v>89</v>
      </c>
      <c r="ET261" s="2" t="str">
        <f>HYPERLINK(".\links\REFSEQ-INVERTEBRATE\AGAP012000-PA-REFSEQ-INVERTEBRATE.txt","AGAP012000-PA")</f>
        <v>AGAP012000-PA</v>
      </c>
      <c r="EU261" s="2" t="str">
        <f>HYPERLINK("http://www.ncbi.nlm.nih.gov/sutils/blink.cgi?pid=XP_320534.4","0.0")</f>
        <v>0.0</v>
      </c>
      <c r="EV261" s="2" t="str">
        <f>HYPERLINK("http://www.ncbi.nlm.nih.gov/protein/XP_320534.4","XP_320534.4")</f>
        <v>XP_320534.4</v>
      </c>
      <c r="EW261" s="2">
        <v>100</v>
      </c>
      <c r="EX261" s="2">
        <v>100</v>
      </c>
      <c r="EY261" s="2">
        <v>100</v>
      </c>
      <c r="EZ261" s="2" t="s">
        <v>95</v>
      </c>
    </row>
    <row r="262" spans="1:156" x14ac:dyDescent="0.25">
      <c r="A262" s="2" t="s">
        <v>368</v>
      </c>
      <c r="B262" s="2">
        <v>-1.41631753432125</v>
      </c>
      <c r="C262" s="2">
        <f t="shared" si="4"/>
        <v>0.37466742780435508</v>
      </c>
      <c r="D262" s="2">
        <v>2.027802498607</v>
      </c>
      <c r="E262" s="2">
        <v>11.988742118282101</v>
      </c>
      <c r="F262" s="2">
        <v>5.3522905287364505E-4</v>
      </c>
      <c r="G262" s="2">
        <v>2.7797969394857101E-2</v>
      </c>
      <c r="H262" s="2" t="s">
        <v>86</v>
      </c>
      <c r="I262" s="2" t="s">
        <v>87</v>
      </c>
      <c r="J262" s="2" t="str">
        <f>HYPERLINK("https://vectorbase.org/vectorbase/app/record/gene/AGAP001083","AGAP001083-RC")</f>
        <v>AGAP001083-RC</v>
      </c>
      <c r="K262" s="2" t="str">
        <f>HYPERLINK(".\links\pep\AGAP001083-PC-pep.txt","AGAP001083-PC")</f>
        <v>AGAP001083-PC</v>
      </c>
      <c r="L262" s="12" t="s">
        <v>88</v>
      </c>
      <c r="M262" s="2">
        <v>453</v>
      </c>
      <c r="N262" s="2">
        <v>0</v>
      </c>
      <c r="O262" s="2">
        <v>2</v>
      </c>
      <c r="P262" s="2" t="s">
        <v>89</v>
      </c>
      <c r="Q262" s="9" t="s">
        <v>369</v>
      </c>
      <c r="R262" s="2" t="s">
        <v>195</v>
      </c>
      <c r="S262" s="2" t="str">
        <f>HYPERLINK(".\links\SWISSP\AGAP001083-PC-SWISSP.txt","SWISSP")</f>
        <v>SWISSP</v>
      </c>
      <c r="T262" s="2">
        <v>7.0000000000000001E-15</v>
      </c>
      <c r="U262" s="2">
        <v>61.7</v>
      </c>
      <c r="V262" s="2" t="s">
        <v>370</v>
      </c>
      <c r="W262" s="10" t="s">
        <v>371</v>
      </c>
      <c r="X262" s="2" t="s">
        <v>372</v>
      </c>
      <c r="Y262" s="2" t="str">
        <f>HYPERLINK(".\links\REFSEQVERTEBRATE95\AGAP001083-PC-REFSEQVERTEBRATE95.txt","REFSEQVERTEBRATE95")</f>
        <v>REFSEQVERTEBRATE95</v>
      </c>
      <c r="Z262" s="13">
        <v>1E-13</v>
      </c>
      <c r="AA262" s="2">
        <v>49.8</v>
      </c>
      <c r="AB262" s="14" t="s">
        <v>89</v>
      </c>
      <c r="AC262" s="14" t="str">
        <f>HYPERLINK(".\links\Sigp\AGAP001083-PC-SigP.txt","CYT")</f>
        <v>CYT</v>
      </c>
      <c r="AD262" s="2" t="s">
        <v>89</v>
      </c>
      <c r="AE262" s="2">
        <v>48.893000000000001</v>
      </c>
      <c r="AF262" s="2">
        <v>9.2100000000000009</v>
      </c>
      <c r="AG262" s="2" t="s">
        <v>89</v>
      </c>
      <c r="AH262" s="2" t="s">
        <v>89</v>
      </c>
      <c r="AI262" s="2" t="s">
        <v>373</v>
      </c>
      <c r="AJ262" s="14">
        <v>0</v>
      </c>
      <c r="AK262" s="2" t="s">
        <v>89</v>
      </c>
      <c r="AL262" s="2" t="s">
        <v>89</v>
      </c>
      <c r="AM262" s="2" t="s">
        <v>89</v>
      </c>
      <c r="AN262" s="14" t="str">
        <f>HYPERLINK(".\links\gpi\AGAP001083-PC-gpi.txt","N")</f>
        <v>N</v>
      </c>
      <c r="AO262" s="15" t="str">
        <f>HYPERLINK(".\links\netoglyc\AGAP001083-PC-netoglyc.txt","25")</f>
        <v>25</v>
      </c>
      <c r="AP262" s="14">
        <v>19.899999999999999</v>
      </c>
      <c r="AQ262" s="2">
        <v>6.4</v>
      </c>
      <c r="AR262" s="2">
        <v>5.7</v>
      </c>
      <c r="AS262" s="2" t="s">
        <v>94</v>
      </c>
      <c r="AT262" s="9" t="str">
        <f>HYPERLINK(".\links\NR-LIGHT\AGAP001083-PC-NR-LIGHT.txt","AGAP001083-PB")</f>
        <v>AGAP001083-PB</v>
      </c>
      <c r="AU262" s="2" t="str">
        <f>HYPERLINK("http://www.ncbi.nlm.nih.gov/sutils/blink.cgi?pid=XP_001689070.2","0.0")</f>
        <v>0.0</v>
      </c>
      <c r="AV262" s="2" t="str">
        <f>HYPERLINK("http://www.ncbi.nlm.nih.gov/protein/XP_001689070.2","XP_001689070.2")</f>
        <v>XP_001689070.2</v>
      </c>
      <c r="AW262" s="2">
        <v>100</v>
      </c>
      <c r="AX262" s="2">
        <v>100</v>
      </c>
      <c r="AY262" s="2">
        <v>100</v>
      </c>
      <c r="AZ262" s="2" t="s">
        <v>95</v>
      </c>
      <c r="BA262" s="9" t="str">
        <f>HYPERLINK(".\links\REFSEQ-INVERTEBRATE\AGAP001083-PC-REFSEQ-INVERTEBRATE.txt","AGAP001083-PC")</f>
        <v>AGAP001083-PC</v>
      </c>
      <c r="BB262" s="2" t="str">
        <f>HYPERLINK("http://www.ncbi.nlm.nih.gov/sutils/blink.cgi?pid=XP_003437210.1","0.0")</f>
        <v>0.0</v>
      </c>
      <c r="BC262" s="2" t="str">
        <f>HYPERLINK("http://www.ncbi.nlm.nih.gov/protein/XP_003437210.1","XP_003437210.1")</f>
        <v>XP_003437210.1</v>
      </c>
      <c r="BD262" s="2">
        <v>100</v>
      </c>
      <c r="BE262" s="2">
        <v>100</v>
      </c>
      <c r="BF262" s="2">
        <v>100</v>
      </c>
      <c r="BG262" s="2" t="s">
        <v>95</v>
      </c>
      <c r="BH262" s="9" t="str">
        <f>HYPERLINK(".\links\REFSEQ-PROTOZOA\AGAP001083-PC-REFSEQ-PROTOZOA.txt","zinc finger protein")</f>
        <v>zinc finger protein</v>
      </c>
      <c r="BI262" s="2" t="str">
        <f>HYPERLINK("http://www.ncbi.nlm.nih.gov/sutils/blink.cgi?pid=XP_004990193.1","4E-015")</f>
        <v>4E-015</v>
      </c>
      <c r="BJ262" s="2" t="str">
        <f>HYPERLINK("http://www.ncbi.nlm.nih.gov/protein/XP_004990193.1","XP_004990193.1")</f>
        <v>XP_004990193.1</v>
      </c>
      <c r="BK262" s="2">
        <v>22</v>
      </c>
      <c r="BL262" s="2">
        <v>35</v>
      </c>
      <c r="BM262" s="2">
        <v>31</v>
      </c>
      <c r="BN262" s="2" t="s">
        <v>182</v>
      </c>
      <c r="BO262" s="9" t="str">
        <f>HYPERLINK(".\links\SWISSP\AGAP001083-PC-SWISSP.txt","Chorion transcription factor Cf2")</f>
        <v>Chorion transcription factor Cf2</v>
      </c>
      <c r="BP262" s="2" t="str">
        <f>HYPERLINK("http://www.uniprot.org/uniprot/P20385","7E-015")</f>
        <v>7E-015</v>
      </c>
      <c r="BQ262" s="2" t="str">
        <f>HYPERLINK("http://www.uniprot.org/uniprot/P20385#expression","P20385")</f>
        <v>P20385</v>
      </c>
      <c r="BR262" s="2">
        <v>24</v>
      </c>
      <c r="BS262" s="2">
        <v>38</v>
      </c>
      <c r="BT262" s="2">
        <v>62</v>
      </c>
      <c r="BU262" s="2" t="s">
        <v>151</v>
      </c>
      <c r="BV262" s="9" t="str">
        <f>HYPERLINK(".\links\FLYBASE\AGAP001083-PC-FLYBASE.txt","FBpp0312355")</f>
        <v>FBpp0312355</v>
      </c>
      <c r="BW262" s="2" t="str">
        <f>HYPERLINK("http://flybase.org/reports/FBgn0039808#alliance_summary_container","3E-96")</f>
        <v>3E-96</v>
      </c>
      <c r="BX262" s="2">
        <v>338</v>
      </c>
      <c r="BY262" s="2">
        <v>53</v>
      </c>
      <c r="BZ262" s="2">
        <v>62</v>
      </c>
      <c r="CA262" s="2">
        <v>87</v>
      </c>
      <c r="CB262" s="9" t="str">
        <f>HYPERLINK(".\links\CDD\AGAP001083-PC-CDD.txt","ZF_C2H2, Zinc finger, C2H2 type")</f>
        <v>ZF_C2H2, Zinc finger, C2H2 type</v>
      </c>
      <c r="CC262" s="13">
        <v>1.0000000000000001E-15</v>
      </c>
      <c r="CD262" s="2">
        <v>65.400000000000006</v>
      </c>
      <c r="CE262" s="2" t="s">
        <v>374</v>
      </c>
      <c r="CF262" s="2" t="s">
        <v>375</v>
      </c>
      <c r="CG262" s="9" t="str">
        <f>HYPERLINK(".\links\KOG\AGAP001083-PC-KOG.txt","C2H2-type Zn-finger protein")</f>
        <v>C2H2-type Zn-finger protein</v>
      </c>
      <c r="CH262" s="13">
        <v>2.0000000000000001E-9</v>
      </c>
      <c r="CI262" s="2">
        <v>17.2</v>
      </c>
      <c r="CJ262" s="2" t="s">
        <v>376</v>
      </c>
      <c r="CK262" s="2" t="s">
        <v>377</v>
      </c>
      <c r="CL262" s="9" t="str">
        <f>HYPERLINK(".\links\PFAM\AGAP001083-PC-PFAM.txt","zf-H2C2_2, Zinc-finger double domain")</f>
        <v>zf-H2C2_2, Zinc-finger double domain</v>
      </c>
      <c r="CM262" s="13">
        <v>3.0000000000000001E-5</v>
      </c>
      <c r="CN262" s="2">
        <v>96.2</v>
      </c>
      <c r="CO262" s="2" t="s">
        <v>378</v>
      </c>
      <c r="CP262" s="9" t="str">
        <f>HYPERLINK(".\links\SMART\AGAP001083-PC-SMART.txt","ZnF_C2H2, zinc finger")</f>
        <v>ZnF_C2H2, zinc finger</v>
      </c>
      <c r="CQ262" s="13">
        <v>5.0000000000000001E-3</v>
      </c>
      <c r="CR262" s="2">
        <v>100</v>
      </c>
      <c r="CS262" s="2" t="s">
        <v>379</v>
      </c>
      <c r="CT262" s="2" t="s">
        <v>370</v>
      </c>
      <c r="CU262" s="2" t="s">
        <v>370</v>
      </c>
      <c r="CV262" s="2" t="s">
        <v>370</v>
      </c>
      <c r="CW262" s="2" t="str">
        <f>HYPERLINK(".\links\pep\AGAP001083-PC-pep.txt","AGAP001083-PC")</f>
        <v>AGAP001083-PC</v>
      </c>
      <c r="CX262" s="2" t="s">
        <v>88</v>
      </c>
      <c r="CY262" s="2">
        <v>453</v>
      </c>
      <c r="CZ262" s="2" t="s">
        <v>103</v>
      </c>
      <c r="DA262" s="2" t="s">
        <v>380</v>
      </c>
      <c r="DB262" s="2">
        <v>0</v>
      </c>
      <c r="DC262" s="2">
        <v>2</v>
      </c>
      <c r="DD262" s="2" t="str">
        <f>HYPERLINK("https://www.kegg.jp/kegg-bin/search_pathway_text?map=aga&amp;keyword=AGAP001083&amp;mode=1&amp;viewImage=true","AGAP001083")</f>
        <v>AGAP001083</v>
      </c>
      <c r="DE262" s="2" t="s">
        <v>368</v>
      </c>
      <c r="DF262" s="2" t="s">
        <v>86</v>
      </c>
      <c r="DG262" s="2" t="s">
        <v>87</v>
      </c>
      <c r="DH262" s="2" t="str">
        <f>HYPERLINK("https://vectorbase.org/vectorbase/app/record/gene/AGAP001083","AGAP001083-RC")</f>
        <v>AGAP001083-RC</v>
      </c>
      <c r="DI262" s="2" t="s">
        <v>105</v>
      </c>
      <c r="DJ262" s="2">
        <v>1557</v>
      </c>
      <c r="DK262" s="2" t="str">
        <f>HYPERLINK(".\links\netoglyc\AGAP001083-PC-netoglyc.txt","25")</f>
        <v>25</v>
      </c>
      <c r="DL262" s="2">
        <v>19.899999999999999</v>
      </c>
      <c r="DM262" s="2">
        <v>6.4</v>
      </c>
      <c r="DN262" s="2">
        <v>5.7</v>
      </c>
      <c r="DO262" s="2" t="s">
        <v>94</v>
      </c>
      <c r="DP262" s="2" t="s">
        <v>381</v>
      </c>
      <c r="DQ262" s="2" t="str">
        <f>HYPERLINK(".\links\Sigp\AGAP001083-PC-SigP.txt","CYT")</f>
        <v>CYT</v>
      </c>
      <c r="DR262" s="2" t="s">
        <v>89</v>
      </c>
      <c r="DS262" s="2">
        <v>48.893000000000001</v>
      </c>
      <c r="DT262" s="2">
        <v>9.2100000000000009</v>
      </c>
      <c r="DU262" s="2" t="s">
        <v>89</v>
      </c>
      <c r="DV262" s="2" t="s">
        <v>89</v>
      </c>
      <c r="DW262" s="2" t="s">
        <v>373</v>
      </c>
      <c r="DX262" s="2">
        <v>453</v>
      </c>
      <c r="DY262" s="12">
        <v>0</v>
      </c>
      <c r="DZ262" s="2" t="s">
        <v>89</v>
      </c>
      <c r="EA262" s="2" t="s">
        <v>89</v>
      </c>
      <c r="EB262" s="2" t="s">
        <v>89</v>
      </c>
      <c r="EC262" s="2" t="str">
        <f>HYPERLINK(".\links\gpi\AGAP001083-PC-gpi.txt","N")</f>
        <v>N</v>
      </c>
      <c r="ED262" s="2">
        <v>0.33</v>
      </c>
      <c r="EF262" s="2">
        <v>7</v>
      </c>
      <c r="EG262" s="2" t="s">
        <v>89</v>
      </c>
      <c r="EH262" s="2" t="s">
        <v>89</v>
      </c>
      <c r="EI262" s="2">
        <v>19.867549668874201</v>
      </c>
      <c r="EJ262" s="2">
        <v>5.7395143487858702</v>
      </c>
      <c r="EK262" s="2">
        <v>6.40176600441501</v>
      </c>
      <c r="EL262" s="2">
        <v>12.1412803532009</v>
      </c>
      <c r="EM262" s="2" t="s">
        <v>89</v>
      </c>
      <c r="EN262" s="2">
        <v>2</v>
      </c>
      <c r="EO262" s="2">
        <v>2</v>
      </c>
      <c r="EP262" s="2" t="s">
        <v>89</v>
      </c>
      <c r="EQ262" s="2" t="s">
        <v>89</v>
      </c>
      <c r="ER262" s="2" t="s">
        <v>89</v>
      </c>
      <c r="ES262" s="2" t="s">
        <v>89</v>
      </c>
      <c r="ET262" s="2" t="str">
        <f>HYPERLINK(".\links\REFSEQ-INVERTEBRATE\AGAP001083-PC-REFSEQ-INVERTEBRATE.txt","AGAP001083-PC")</f>
        <v>AGAP001083-PC</v>
      </c>
      <c r="EU262" s="2" t="str">
        <f>HYPERLINK("http://www.ncbi.nlm.nih.gov/sutils/blink.cgi?pid=XP_003437210.1","0.0")</f>
        <v>0.0</v>
      </c>
      <c r="EV262" s="2" t="str">
        <f>HYPERLINK("http://www.ncbi.nlm.nih.gov/protein/XP_003437210.1","XP_003437210.1")</f>
        <v>XP_003437210.1</v>
      </c>
      <c r="EW262" s="2">
        <v>100</v>
      </c>
      <c r="EX262" s="2">
        <v>100</v>
      </c>
      <c r="EY262" s="2">
        <v>100</v>
      </c>
      <c r="EZ262" s="2" t="s">
        <v>95</v>
      </c>
    </row>
    <row r="263" spans="1:156" x14ac:dyDescent="0.25">
      <c r="A263" s="2" t="s">
        <v>1213</v>
      </c>
      <c r="B263" s="2">
        <v>-1.42386003802135</v>
      </c>
      <c r="C263" s="2">
        <f t="shared" si="4"/>
        <v>0.37271375349142993</v>
      </c>
      <c r="D263" s="2">
        <v>1.24529145943359</v>
      </c>
      <c r="E263" s="2">
        <v>13.3074236093675</v>
      </c>
      <c r="F263" s="2">
        <v>2.6435736054994602E-4</v>
      </c>
      <c r="G263" s="2">
        <v>1.7162273279117599E-2</v>
      </c>
      <c r="H263" s="2" t="s">
        <v>1214</v>
      </c>
      <c r="I263" s="2" t="s">
        <v>89</v>
      </c>
      <c r="J263" s="2" t="str">
        <f>HYPERLINK("https://vectorbase.org/vectorbase/app/record/gene/AGAP004632","AGAP004632-RA")</f>
        <v>AGAP004632-RA</v>
      </c>
      <c r="K263" s="2" t="str">
        <f>HYPERLINK(".\links\pep\AGAP004632-PA-pep.txt","AGAP004632-PA")</f>
        <v>AGAP004632-PA</v>
      </c>
      <c r="L263" s="12" t="s">
        <v>88</v>
      </c>
      <c r="M263" s="2">
        <v>93</v>
      </c>
      <c r="N263" s="2">
        <v>0</v>
      </c>
      <c r="O263" s="2">
        <v>0</v>
      </c>
      <c r="P263" s="2" t="s">
        <v>1215</v>
      </c>
      <c r="Q263" s="9" t="s">
        <v>1216</v>
      </c>
      <c r="R263" s="2" t="s">
        <v>1217</v>
      </c>
      <c r="S263" s="2" t="str">
        <f>HYPERLINK(".\links\NR-LIGHT\AGAP004632-PA-NR-LIGHT.txt","NR-LIGHT")</f>
        <v>NR-LIGHT</v>
      </c>
      <c r="T263" s="2">
        <v>1.9999999999999999E-39</v>
      </c>
      <c r="U263" s="2">
        <v>100</v>
      </c>
      <c r="V263" s="2" t="s">
        <v>1218</v>
      </c>
      <c r="W263" s="10" t="s">
        <v>1219</v>
      </c>
      <c r="X263" s="2" t="s">
        <v>1220</v>
      </c>
      <c r="Y263" s="2" t="str">
        <f>HYPERLINK(".\links\ARTHORPODA\AGAP004632-PA-ARTHORPODA.txt","ARTHORPODA")</f>
        <v>ARTHORPODA</v>
      </c>
      <c r="Z263" s="13">
        <v>1E-51</v>
      </c>
      <c r="AA263" s="2">
        <v>100</v>
      </c>
      <c r="AB263" s="14" t="s">
        <v>89</v>
      </c>
      <c r="AC263" s="14" t="str">
        <f>HYPERLINK(".\links\Sigp\AGAP004632-PA-SigP.txt","SIG")</f>
        <v>SIG</v>
      </c>
      <c r="AD263" s="2" t="s">
        <v>131</v>
      </c>
      <c r="AE263" s="2">
        <v>9.9920000000000009</v>
      </c>
      <c r="AF263" s="2">
        <v>8.4</v>
      </c>
      <c r="AG263" s="2">
        <v>6.5739999999999998</v>
      </c>
      <c r="AH263" s="2">
        <v>8.25</v>
      </c>
      <c r="AI263" s="2" t="s">
        <v>1221</v>
      </c>
      <c r="AJ263" s="14" t="str">
        <f>HYPERLINK(".\links\tmhmm\AGAP004632-PA-tmhmm.txt","1")</f>
        <v>1</v>
      </c>
      <c r="AK263" s="2">
        <v>23.7</v>
      </c>
      <c r="AL263" s="2">
        <v>10.8</v>
      </c>
      <c r="AM263" s="2">
        <v>65.599999999999994</v>
      </c>
      <c r="AN263" s="14" t="str">
        <f>HYPERLINK(".\links\gpi\AGAP004632-PA-gpi.txt","N")</f>
        <v>N</v>
      </c>
      <c r="AO263" s="15" t="str">
        <f>HYPERLINK(".\links\netoglyc\AGAP004632-PA-netoglyc.txt","0")</f>
        <v>0</v>
      </c>
      <c r="AP263" s="14">
        <v>16.100000000000001</v>
      </c>
      <c r="AQ263" s="2">
        <v>5.4</v>
      </c>
      <c r="AR263" s="2">
        <v>2.2000000000000002</v>
      </c>
      <c r="AS263" s="2">
        <v>3.2</v>
      </c>
      <c r="AT263" s="9" t="str">
        <f>HYPERLINK(".\links\NR-LIGHT\AGAP004632-PA-NR-LIGHT.txt","AGAP004632-PA")</f>
        <v>AGAP004632-PA</v>
      </c>
      <c r="AU263" s="2" t="str">
        <f>HYPERLINK("http://www.ncbi.nlm.nih.gov/sutils/blink.cgi?pid=XP_557449.3","1E-047")</f>
        <v>1E-047</v>
      </c>
      <c r="AV263" s="2" t="str">
        <f>HYPERLINK("http://www.ncbi.nlm.nih.gov/protein/XP_557449.3","XP_557449.3")</f>
        <v>XP_557449.3</v>
      </c>
      <c r="AW263" s="2">
        <v>100</v>
      </c>
      <c r="AX263" s="2">
        <v>100</v>
      </c>
      <c r="AY263" s="2">
        <v>100</v>
      </c>
      <c r="AZ263" s="2" t="s">
        <v>95</v>
      </c>
      <c r="BA263" s="9" t="str">
        <f>HYPERLINK(".\links\REFSEQ-INVERTEBRATE\AGAP004632-PA-REFSEQ-INVERTEBRATE.txt","AGAP004632-PA")</f>
        <v>AGAP004632-PA</v>
      </c>
      <c r="BB263" s="2" t="str">
        <f>HYPERLINK("http://www.ncbi.nlm.nih.gov/sutils/blink.cgi?pid=XP_557449.3","1E-047")</f>
        <v>1E-047</v>
      </c>
      <c r="BC263" s="2" t="str">
        <f>HYPERLINK("http://www.ncbi.nlm.nih.gov/protein/XP_557449.3","XP_557449.3")</f>
        <v>XP_557449.3</v>
      </c>
      <c r="BD263" s="2">
        <v>100</v>
      </c>
      <c r="BE263" s="2">
        <v>100</v>
      </c>
      <c r="BF263" s="2">
        <v>100</v>
      </c>
      <c r="BG263" s="2" t="s">
        <v>95</v>
      </c>
      <c r="BH263" s="9" t="str">
        <f>HYPERLINK(".\links\REFSEQ-PROTOZOA\AGAP004632-PA-REFSEQ-PROTOZOA.txt","hypothetical protein AMSG_07310")</f>
        <v>hypothetical protein AMSG_07310</v>
      </c>
      <c r="BI263" s="2" t="str">
        <f>HYPERLINK("http://www.ncbi.nlm.nih.gov/sutils/blink.cgi?pid=XP_013756221.1","1.7")</f>
        <v>1.7</v>
      </c>
      <c r="BJ263" s="2" t="str">
        <f>HYPERLINK("http://www.ncbi.nlm.nih.gov/protein/XP_013756221.1","XP_013756221.1")</f>
        <v>XP_013756221.1</v>
      </c>
      <c r="BK263" s="2">
        <v>29</v>
      </c>
      <c r="BL263" s="2">
        <v>40</v>
      </c>
      <c r="BM263" s="2">
        <v>23</v>
      </c>
      <c r="BN263" s="2" t="s">
        <v>858</v>
      </c>
      <c r="BO263" s="9" t="str">
        <f>HYPERLINK(".\links\SWISSP\AGAP004632-PA-SWISSP.txt","Defensin")</f>
        <v>Defensin</v>
      </c>
      <c r="BP263" s="2" t="str">
        <f>HYPERLINK("http://www.uniprot.org/uniprot/Q5BU36","1E-005")</f>
        <v>1E-005</v>
      </c>
      <c r="BQ263" s="2" t="str">
        <f>HYPERLINK("http://www.uniprot.org/uniprot/Q5BU36#expression","Q5BU36")</f>
        <v>Q5BU36</v>
      </c>
      <c r="BR263" s="2">
        <v>44</v>
      </c>
      <c r="BS263" s="2">
        <v>62</v>
      </c>
      <c r="BT263" s="2">
        <v>45</v>
      </c>
      <c r="BU263" s="2" t="s">
        <v>1222</v>
      </c>
      <c r="BV263" s="9" t="str">
        <f>HYPERLINK(".\links\FLYBASE\AGAP004632-PA-FLYBASE.txt","FBpp0087518")</f>
        <v>FBpp0087518</v>
      </c>
      <c r="BW263" s="2" t="str">
        <f>HYPERLINK("http://flybase.org/reports/FBgn0010385#alliance_summary_container","2E-05")</f>
        <v>2E-05</v>
      </c>
      <c r="BX263" s="2">
        <v>92</v>
      </c>
      <c r="BY263" s="2">
        <v>37</v>
      </c>
      <c r="BZ263" s="2">
        <v>57</v>
      </c>
      <c r="CA263" s="2">
        <v>43</v>
      </c>
      <c r="CB263" s="9" t="str">
        <f>HYPERLINK(".\links\CDD\AGAP004632-PA-CDD.txt","JCAD, Junctional protein associated with coronary artery disease")</f>
        <v>JCAD, Junctional protein associated with coronary artery disease</v>
      </c>
      <c r="CC263" s="13">
        <v>2.9000000000000001E-2</v>
      </c>
      <c r="CD263" s="2">
        <v>2.2000000000000002</v>
      </c>
      <c r="CE263" s="2" t="s">
        <v>1223</v>
      </c>
      <c r="CF263" s="2" t="s">
        <v>1224</v>
      </c>
      <c r="CG263" s="9" t="str">
        <f>HYPERLINK(".\links\KOG\AGAP004632-PA-KOG.txt","Membrane protein Patched/PTCH")</f>
        <v>Membrane protein Patched/PTCH</v>
      </c>
      <c r="CH263" s="13">
        <v>1.5</v>
      </c>
      <c r="CI263" s="2">
        <v>5.8</v>
      </c>
      <c r="CJ263" s="2" t="s">
        <v>1225</v>
      </c>
      <c r="CK263" s="2" t="s">
        <v>410</v>
      </c>
      <c r="CL263" s="9" t="str">
        <f>HYPERLINK(".\links\PFAM\AGAP004632-PA-PFAM.txt","JCAD, Junctional protein associated with coronary artery disease")</f>
        <v>JCAD, Junctional protein associated with coronary artery disease</v>
      </c>
      <c r="CM263" s="13">
        <v>7.0000000000000001E-3</v>
      </c>
      <c r="CN263" s="2">
        <v>2.2000000000000002</v>
      </c>
      <c r="CO263" s="2" t="s">
        <v>1223</v>
      </c>
      <c r="CP263" s="9" t="str">
        <f>HYPERLINK(".\links\SMART\AGAP004632-PA-SMART.txt","Knot1, Knottins")</f>
        <v>Knot1, Knottins</v>
      </c>
      <c r="CQ263" s="13">
        <v>0.93</v>
      </c>
      <c r="CR263" s="2">
        <v>68.900000000000006</v>
      </c>
      <c r="CS263" s="2" t="s">
        <v>1226</v>
      </c>
      <c r="CT263" s="2" t="s">
        <v>1218</v>
      </c>
      <c r="CU263" s="2" t="s">
        <v>1218</v>
      </c>
      <c r="CV263" s="2" t="s">
        <v>1218</v>
      </c>
      <c r="CW263" s="2" t="str">
        <f>HYPERLINK(".\links\pep\AGAP004632-PA-pep.txt","AGAP004632-PA")</f>
        <v>AGAP004632-PA</v>
      </c>
      <c r="CX263" s="2" t="s">
        <v>88</v>
      </c>
      <c r="CY263" s="2">
        <v>80</v>
      </c>
      <c r="CZ263" s="2" t="s">
        <v>103</v>
      </c>
      <c r="DA263" s="2">
        <v>0</v>
      </c>
      <c r="DB263" s="2">
        <v>0</v>
      </c>
      <c r="DD263" s="2" t="str">
        <f>HYPERLINK("https://www.kegg.jp/kegg-bin/search_pathway_text?map=aga&amp;keyword=AGAP004632&amp;mode=1&amp;viewImage=true","AGAP004632")</f>
        <v>AGAP004632</v>
      </c>
      <c r="DE263" s="2" t="s">
        <v>1213</v>
      </c>
      <c r="DF263" s="2" t="s">
        <v>1214</v>
      </c>
      <c r="DG263" s="2" t="s">
        <v>89</v>
      </c>
      <c r="DH263" s="2" t="str">
        <f>HYPERLINK("https://vectorbase.org/vectorbase/app/record/gene/AGAP004632","AGAP004632-RA")</f>
        <v>AGAP004632-RA</v>
      </c>
      <c r="DI263" s="2" t="s">
        <v>140</v>
      </c>
      <c r="DJ263" s="2">
        <v>467</v>
      </c>
      <c r="DK263" s="2" t="str">
        <f>HYPERLINK(".\links\netoglyc\AGAP004632-PA-netoglyc.txt","0")</f>
        <v>0</v>
      </c>
      <c r="DL263" s="2">
        <v>17.5</v>
      </c>
      <c r="DM263" s="2">
        <v>6.3</v>
      </c>
      <c r="DN263" s="2">
        <v>1.3</v>
      </c>
      <c r="DO263" s="2">
        <v>3.8</v>
      </c>
      <c r="DP263" s="2" t="s">
        <v>89</v>
      </c>
      <c r="DQ263" s="2" t="str">
        <f>HYPERLINK(".\links\Sigp\AGAP004632-PA-SigP.txt","SIG")</f>
        <v>SIG</v>
      </c>
      <c r="DR263" s="2" t="s">
        <v>1227</v>
      </c>
      <c r="DS263" s="2">
        <v>8.5190000000000001</v>
      </c>
      <c r="DT263" s="2">
        <v>8.52</v>
      </c>
      <c r="DU263" s="2">
        <v>6.5720000000000001</v>
      </c>
      <c r="DV263" s="2">
        <v>8.25</v>
      </c>
      <c r="DW263" s="2" t="s">
        <v>1228</v>
      </c>
      <c r="DX263" s="2">
        <v>80</v>
      </c>
      <c r="DY263" s="12" t="str">
        <f>HYPERLINK(".\links\tmhmm\AGAP004632-PA-tmhmm.txt","1")</f>
        <v>1</v>
      </c>
      <c r="DZ263" s="2">
        <v>23.8</v>
      </c>
      <c r="EA263" s="2">
        <v>5</v>
      </c>
      <c r="EB263" s="2">
        <v>71.3</v>
      </c>
      <c r="EC263" s="2" t="str">
        <f>HYPERLINK(".\links\gpi\AGAP004632-PA-gpi.txt","N")</f>
        <v>N</v>
      </c>
      <c r="ED263" s="2">
        <v>0.47</v>
      </c>
      <c r="EE263" s="2" t="s">
        <v>1229</v>
      </c>
      <c r="EF263" s="2">
        <v>7</v>
      </c>
      <c r="EG263" s="2" t="s">
        <v>89</v>
      </c>
      <c r="EH263" s="2" t="s">
        <v>89</v>
      </c>
      <c r="EI263" s="2">
        <v>17.5</v>
      </c>
      <c r="EJ263" s="2">
        <v>1.25</v>
      </c>
      <c r="EK263" s="2">
        <v>6.25</v>
      </c>
      <c r="EL263" s="2">
        <v>7.5</v>
      </c>
      <c r="EM263" s="2" t="s">
        <v>89</v>
      </c>
      <c r="EN263" s="2">
        <v>1</v>
      </c>
      <c r="EO263" s="2">
        <v>1</v>
      </c>
      <c r="EP263" s="2" t="s">
        <v>89</v>
      </c>
      <c r="EQ263" s="2" t="s">
        <v>89</v>
      </c>
      <c r="ER263" s="2" t="s">
        <v>89</v>
      </c>
      <c r="ES263" s="2" t="s">
        <v>89</v>
      </c>
      <c r="ET263" s="2" t="str">
        <f>HYPERLINK(".\links\REFSEQ-INVERTEBRATE\AGAP004632-PA-REFSEQ-INVERTEBRATE.txt","AGAP004632-PA")</f>
        <v>AGAP004632-PA</v>
      </c>
      <c r="EU263" s="2" t="str">
        <f>HYPERLINK("http://www.ncbi.nlm.nih.gov/sutils/blink.cgi?pid=XP_557449.3","3E-51")</f>
        <v>3E-51</v>
      </c>
      <c r="EV263" s="2" t="str">
        <f>HYPERLINK("http://www.ncbi.nlm.nih.gov/protein/XP_557449.3","XP_557449.3")</f>
        <v>XP_557449.3</v>
      </c>
      <c r="EW263" s="2">
        <v>100</v>
      </c>
      <c r="EX263" s="2">
        <v>100</v>
      </c>
      <c r="EY263" s="2">
        <v>86</v>
      </c>
      <c r="EZ263" s="2" t="s">
        <v>95</v>
      </c>
    </row>
    <row r="264" spans="1:156" x14ac:dyDescent="0.25">
      <c r="A264" s="2" t="s">
        <v>1698</v>
      </c>
      <c r="B264" s="2">
        <v>-1.42723200058931</v>
      </c>
      <c r="C264" s="2">
        <f t="shared" si="4"/>
        <v>0.37184363941863063</v>
      </c>
      <c r="D264" s="2">
        <v>3.6953384768414499</v>
      </c>
      <c r="E264" s="2">
        <v>18.622074427706501</v>
      </c>
      <c r="F264" s="2">
        <v>1.5936453547542501E-5</v>
      </c>
      <c r="G264" s="2">
        <v>2.34370168316275E-3</v>
      </c>
      <c r="H264" s="2" t="s">
        <v>86</v>
      </c>
      <c r="I264" s="2" t="s">
        <v>87</v>
      </c>
      <c r="J264" s="2" t="str">
        <f>HYPERLINK("https://vectorbase.org/vectorbase/app/record/gene/AGAP006683","AGAP006683-RB")</f>
        <v>AGAP006683-RB</v>
      </c>
      <c r="K264" s="2" t="str">
        <f>HYPERLINK(".\links\pep\AGAP006683-PB-pep.txt","AGAP006683-PB")</f>
        <v>AGAP006683-PB</v>
      </c>
      <c r="L264" s="12" t="s">
        <v>88</v>
      </c>
      <c r="M264" s="2">
        <v>108</v>
      </c>
      <c r="N264" s="2">
        <v>0</v>
      </c>
      <c r="O264" s="2">
        <v>1</v>
      </c>
      <c r="P264" s="2" t="s">
        <v>89</v>
      </c>
      <c r="Q264" s="9" t="s">
        <v>1699</v>
      </c>
      <c r="R264" s="2" t="s">
        <v>91</v>
      </c>
      <c r="S264" s="2" t="str">
        <f>HYPERLINK(".\links\REFSEQ-INVERTEBRATE\AGAP006683-PB-REFSEQ-INVERTEBRATE.txt","REFSEQ-INVERTEBRATE")</f>
        <v>REFSEQ-INVERTEBRATE</v>
      </c>
      <c r="T264" s="2">
        <v>8E-55</v>
      </c>
      <c r="U264" s="2">
        <v>100</v>
      </c>
      <c r="V264" s="2" t="s">
        <v>1700</v>
      </c>
      <c r="W264" s="10" t="s">
        <v>1701</v>
      </c>
      <c r="X264" s="2" t="s">
        <v>902</v>
      </c>
      <c r="Y264" s="2" t="str">
        <f>HYPERLINK(".\links\ARTHORPODA\AGAP006683-PB-ARTHORPODA.txt","ARTHORPODA")</f>
        <v>ARTHORPODA</v>
      </c>
      <c r="Z264" s="13">
        <v>3.0000000000000001E-74</v>
      </c>
      <c r="AA264" s="2">
        <v>100</v>
      </c>
      <c r="AB264" s="14" t="s">
        <v>89</v>
      </c>
      <c r="AC264" s="14" t="str">
        <f>HYPERLINK(".\links\Sigp\AGAP006683-PB-SigP.txt","CYT")</f>
        <v>CYT</v>
      </c>
      <c r="AD264" s="2" t="s">
        <v>89</v>
      </c>
      <c r="AE264" s="2">
        <v>11.782</v>
      </c>
      <c r="AF264" s="2">
        <v>5.44</v>
      </c>
      <c r="AG264" s="2" t="s">
        <v>89</v>
      </c>
      <c r="AH264" s="2" t="s">
        <v>89</v>
      </c>
      <c r="AI264" s="2" t="s">
        <v>373</v>
      </c>
      <c r="AJ264" s="14">
        <v>0</v>
      </c>
      <c r="AK264" s="2" t="s">
        <v>89</v>
      </c>
      <c r="AL264" s="2" t="s">
        <v>89</v>
      </c>
      <c r="AM264" s="2" t="s">
        <v>89</v>
      </c>
      <c r="AN264" s="14" t="str">
        <f>HYPERLINK(".\links\gpi\AGAP006683-PB-gpi.txt","N")</f>
        <v>N</v>
      </c>
      <c r="AO264" s="15" t="str">
        <f>HYPERLINK(".\links\netoglyc\AGAP006683-PB-netoglyc.txt","2")</f>
        <v>2</v>
      </c>
      <c r="AP264" s="14">
        <v>17.600000000000001</v>
      </c>
      <c r="AQ264" s="2">
        <v>5.6</v>
      </c>
      <c r="AR264" s="2">
        <v>3.7</v>
      </c>
      <c r="AS264" s="2" t="s">
        <v>94</v>
      </c>
      <c r="AT264" s="9" t="str">
        <f>HYPERLINK(".\links\NR-LIGHT\AGAP006683-PB-NR-LIGHT.txt","AGAP006683-PA")</f>
        <v>AGAP006683-PA</v>
      </c>
      <c r="AU264" s="2" t="str">
        <f>HYPERLINK("http://www.ncbi.nlm.nih.gov/sutils/blink.cgi?pid=XP_316722.3","9E-055")</f>
        <v>9E-055</v>
      </c>
      <c r="AV264" s="2" t="str">
        <f>HYPERLINK("http://www.ncbi.nlm.nih.gov/protein/XP_316722.3","XP_316722.3")</f>
        <v>XP_316722.3</v>
      </c>
      <c r="AW264" s="2">
        <v>100</v>
      </c>
      <c r="AX264" s="2">
        <v>100</v>
      </c>
      <c r="AY264" s="2">
        <v>100</v>
      </c>
      <c r="AZ264" s="2" t="s">
        <v>95</v>
      </c>
      <c r="BA264" s="9" t="str">
        <f>HYPERLINK(".\links\REFSEQ-INVERTEBRATE\AGAP006683-PB-REFSEQ-INVERTEBRATE.txt","AGAP006683-PC")</f>
        <v>AGAP006683-PC</v>
      </c>
      <c r="BB264" s="2" t="str">
        <f>HYPERLINK("http://www.ncbi.nlm.nih.gov/sutils/blink.cgi?pid=XP_001688955.1","8E-055")</f>
        <v>8E-055</v>
      </c>
      <c r="BC264" s="2" t="str">
        <f>HYPERLINK("http://www.ncbi.nlm.nih.gov/protein/XP_001688955.1","XP_001688955.1")</f>
        <v>XP_001688955.1</v>
      </c>
      <c r="BD264" s="2">
        <v>100</v>
      </c>
      <c r="BE264" s="2">
        <v>100</v>
      </c>
      <c r="BF264" s="2">
        <v>100</v>
      </c>
      <c r="BG264" s="2" t="s">
        <v>95</v>
      </c>
      <c r="BH264" s="9" t="str">
        <f>HYPERLINK(".\links\REFSEQ-PROTOZOA\AGAP006683-PB-REFSEQ-PROTOZOA.txt","hypothetical protein CAOG_07834")</f>
        <v>hypothetical protein CAOG_07834</v>
      </c>
      <c r="BI264" s="2" t="str">
        <f>HYPERLINK("http://www.ncbi.nlm.nih.gov/sutils/blink.cgi?pid=XP_004342907.1","0.003")</f>
        <v>0.003</v>
      </c>
      <c r="BJ264" s="2" t="str">
        <f>HYPERLINK("http://www.ncbi.nlm.nih.gov/protein/XP_004342907.1","XP_004342907.1")</f>
        <v>XP_004342907.1</v>
      </c>
      <c r="BK264" s="2">
        <v>31</v>
      </c>
      <c r="BL264" s="2">
        <v>54</v>
      </c>
      <c r="BM264" s="2">
        <v>71</v>
      </c>
      <c r="BN264" s="2" t="s">
        <v>150</v>
      </c>
      <c r="BO264" s="9" t="str">
        <f>HYPERLINK(".\links\SWISSP\AGAP006683-PB-SWISSP.txt","Ragulator complex protein LAMTOR4 homolog")</f>
        <v>Ragulator complex protein LAMTOR4 homolog</v>
      </c>
      <c r="BP264" s="2" t="str">
        <f>HYPERLINK("http://www.uniprot.org/uniprot/Q9VZL6","7E-023")</f>
        <v>7E-023</v>
      </c>
      <c r="BQ264" s="2" t="str">
        <f>HYPERLINK("http://www.uniprot.org/uniprot/Q9VZL6#expression","Q9VZL6")</f>
        <v>Q9VZL6</v>
      </c>
      <c r="BR264" s="2">
        <v>46</v>
      </c>
      <c r="BS264" s="2">
        <v>68</v>
      </c>
      <c r="BT264" s="2">
        <v>90</v>
      </c>
      <c r="BU264" s="2" t="s">
        <v>151</v>
      </c>
      <c r="BV264" s="9" t="str">
        <f>HYPERLINK(".\links\FLYBASE\AGAP006683-PB-FLYBASE.txt","FBpp0073016")</f>
        <v>FBpp0073016</v>
      </c>
      <c r="BW264" s="2" t="str">
        <f>HYPERLINK("http://flybase.org/reports/FBgn0035469#alliance_summary_container","1E-30")</f>
        <v>1E-30</v>
      </c>
      <c r="BX264" s="2">
        <v>120</v>
      </c>
      <c r="BY264" s="2">
        <v>52</v>
      </c>
      <c r="BZ264" s="2">
        <v>76</v>
      </c>
      <c r="CA264" s="2">
        <v>73</v>
      </c>
      <c r="CB264" s="9" t="str">
        <f>HYPERLINK(".\links\CDD\AGAP006683-PB-CDD.txt","MurF, UDP-N-acetylmuramyl pentapeptide synthase")</f>
        <v>MurF, UDP-N-acetylmuramyl pentapeptide synthase</v>
      </c>
      <c r="CC264" s="13">
        <v>1.7</v>
      </c>
      <c r="CD264" s="2">
        <v>8.9</v>
      </c>
      <c r="CE264" s="2" t="s">
        <v>1702</v>
      </c>
      <c r="CF264" s="2" t="s">
        <v>1703</v>
      </c>
      <c r="CG264" s="9" t="str">
        <f>HYPERLINK(".\links\KOG\AGAP006683-PB-KOG.txt","Leucyl-tRNA synthetase")</f>
        <v>Leucyl-tRNA synthetase</v>
      </c>
      <c r="CH264" s="13">
        <v>0.55000000000000004</v>
      </c>
      <c r="CI264" s="2">
        <v>4.4000000000000004</v>
      </c>
      <c r="CJ264" s="2" t="s">
        <v>1704</v>
      </c>
      <c r="CK264" s="2" t="s">
        <v>252</v>
      </c>
      <c r="CL264" s="9" t="str">
        <f>HYPERLINK(".\links\PFAM\AGAP006683-PB-PFAM.txt","DUF4298, Domain of unknown function (DUF4298)")</f>
        <v>DUF4298, Domain of unknown function (DUF4298)</v>
      </c>
      <c r="CM264" s="13">
        <v>2.2000000000000002</v>
      </c>
      <c r="CN264" s="2">
        <v>29.8</v>
      </c>
      <c r="CO264" s="2" t="s">
        <v>1705</v>
      </c>
      <c r="CP264" s="9" t="str">
        <f>HYPERLINK(".\links\SMART\AGAP006683-PB-SMART.txt","TOP1Ac, Bacterial DNA topoisomerase I DNA-binding domain")</f>
        <v>TOP1Ac, Bacterial DNA topoisomerase I DNA-binding domain</v>
      </c>
      <c r="CQ264" s="13">
        <v>0.98</v>
      </c>
      <c r="CR264" s="2">
        <v>8.5</v>
      </c>
      <c r="CS264" s="2" t="s">
        <v>1683</v>
      </c>
      <c r="CT264" s="2" t="s">
        <v>1700</v>
      </c>
      <c r="CU264" s="2" t="s">
        <v>1700</v>
      </c>
      <c r="CV264" s="2" t="s">
        <v>1700</v>
      </c>
      <c r="CW264" s="2" t="str">
        <f>HYPERLINK(".\links\pep\AGAP006683-PB-pep.txt","AGAP006683-PB")</f>
        <v>AGAP006683-PB</v>
      </c>
      <c r="CX264" s="2" t="s">
        <v>88</v>
      </c>
      <c r="CY264" s="2">
        <v>108</v>
      </c>
      <c r="CZ264" s="2" t="s">
        <v>103</v>
      </c>
      <c r="DA264" s="2" t="s">
        <v>1706</v>
      </c>
      <c r="DB264" s="2">
        <v>0</v>
      </c>
      <c r="DC264" s="2">
        <v>1</v>
      </c>
      <c r="DD264" s="2" t="str">
        <f>HYPERLINK("https://www.kegg.jp/kegg-bin/search_pathway_text?map=aga&amp;keyword=AGAP006683&amp;mode=1&amp;viewImage=true","AGAP006683")</f>
        <v>AGAP006683</v>
      </c>
      <c r="DE264" s="2" t="s">
        <v>1698</v>
      </c>
      <c r="DF264" s="2" t="s">
        <v>86</v>
      </c>
      <c r="DG264" s="2" t="s">
        <v>87</v>
      </c>
      <c r="DH264" s="2" t="str">
        <f>HYPERLINK("https://vectorbase.org/vectorbase/app/record/gene/AGAP006683","AGAP006683-RB")</f>
        <v>AGAP006683-RB</v>
      </c>
      <c r="DI264" s="2" t="s">
        <v>122</v>
      </c>
      <c r="DJ264" s="2">
        <v>933</v>
      </c>
      <c r="DK264" s="2" t="str">
        <f>HYPERLINK(".\links\netoglyc\AGAP006683-PB-netoglyc.txt","2")</f>
        <v>2</v>
      </c>
      <c r="DL264" s="2">
        <v>17.600000000000001</v>
      </c>
      <c r="DM264" s="2">
        <v>5.6</v>
      </c>
      <c r="DN264" s="2">
        <v>3.7</v>
      </c>
      <c r="DO264" s="2" t="s">
        <v>94</v>
      </c>
      <c r="DP264" s="2" t="s">
        <v>1707</v>
      </c>
      <c r="DQ264" s="2" t="str">
        <f>HYPERLINK(".\links\Sigp\AGAP006683-PB-SigP.txt","CYT")</f>
        <v>CYT</v>
      </c>
      <c r="DR264" s="2" t="s">
        <v>89</v>
      </c>
      <c r="DS264" s="2">
        <v>11.782</v>
      </c>
      <c r="DT264" s="2">
        <v>5.44</v>
      </c>
      <c r="DU264" s="2" t="s">
        <v>89</v>
      </c>
      <c r="DV264" s="2" t="s">
        <v>89</v>
      </c>
      <c r="DW264" s="2" t="s">
        <v>373</v>
      </c>
      <c r="DX264" s="2">
        <v>108</v>
      </c>
      <c r="DY264" s="12">
        <v>0</v>
      </c>
      <c r="DZ264" s="2" t="s">
        <v>89</v>
      </c>
      <c r="EA264" s="2" t="s">
        <v>89</v>
      </c>
      <c r="EB264" s="2" t="s">
        <v>89</v>
      </c>
      <c r="EC264" s="2" t="str">
        <f>HYPERLINK(".\links\gpi\AGAP006683-PB-gpi.txt","Y-NoSP")</f>
        <v>Y-NoSP</v>
      </c>
      <c r="ED264" s="2">
        <v>0.3</v>
      </c>
      <c r="EF264" s="2">
        <v>2</v>
      </c>
      <c r="EG264" s="2" t="s">
        <v>89</v>
      </c>
      <c r="EH264" s="2" t="s">
        <v>89</v>
      </c>
      <c r="EI264" s="2">
        <v>17.592592592592599</v>
      </c>
      <c r="EJ264" s="2">
        <v>3.7037037037037002</v>
      </c>
      <c r="EK264" s="2">
        <v>5.5555555555555598</v>
      </c>
      <c r="EL264" s="2">
        <v>9.2592592592592595</v>
      </c>
      <c r="EM264" s="2" t="s">
        <v>89</v>
      </c>
      <c r="EN264" s="2" t="s">
        <v>89</v>
      </c>
      <c r="EO264" s="2" t="s">
        <v>89</v>
      </c>
      <c r="EP264" s="2" t="s">
        <v>89</v>
      </c>
      <c r="EQ264" s="2" t="s">
        <v>89</v>
      </c>
      <c r="ER264" s="2" t="s">
        <v>89</v>
      </c>
      <c r="ES264" s="2" t="s">
        <v>89</v>
      </c>
      <c r="ET264" s="2" t="str">
        <f>HYPERLINK(".\links\REFSEQ-INVERTEBRATE\AGAP006683-PB-REFSEQ-INVERTEBRATE.txt","AGAP006683-PC")</f>
        <v>AGAP006683-PC</v>
      </c>
      <c r="EU264" s="2" t="str">
        <f>HYPERLINK("http://www.ncbi.nlm.nih.gov/sutils/blink.cgi?pid=XP_001688955.1","4E-74")</f>
        <v>4E-74</v>
      </c>
      <c r="EV264" s="2" t="str">
        <f>HYPERLINK("http://www.ncbi.nlm.nih.gov/protein/XP_001688955.1","XP_001688955.1")</f>
        <v>XP_001688955.1</v>
      </c>
      <c r="EW264" s="2">
        <v>100</v>
      </c>
      <c r="EX264" s="2">
        <v>100</v>
      </c>
      <c r="EY264" s="2">
        <v>100</v>
      </c>
      <c r="EZ264" s="2" t="s">
        <v>95</v>
      </c>
    </row>
    <row r="265" spans="1:156" x14ac:dyDescent="0.25">
      <c r="A265" s="2" t="s">
        <v>816</v>
      </c>
      <c r="B265" s="2">
        <v>-1.4715110082155201</v>
      </c>
      <c r="C265" s="2">
        <f t="shared" si="4"/>
        <v>0.36060442159807893</v>
      </c>
      <c r="D265" s="2">
        <v>13.317042319639199</v>
      </c>
      <c r="E265" s="2">
        <v>19.7885316307922</v>
      </c>
      <c r="F265" s="2">
        <v>8.6500131513587508E-6</v>
      </c>
      <c r="G265" s="2">
        <v>1.5797182609774299E-3</v>
      </c>
      <c r="H265" s="2" t="s">
        <v>86</v>
      </c>
      <c r="I265" s="2" t="s">
        <v>87</v>
      </c>
      <c r="J265" s="2" t="str">
        <f>HYPERLINK("https://vectorbase.org/vectorbase/app/record/gene/AGAP003474","AGAP003474-RA")</f>
        <v>AGAP003474-RA</v>
      </c>
      <c r="K265" s="2" t="str">
        <f>HYPERLINK(".\links\pep\AGAP003474-PA-pep.txt","AGAP003474-PA")</f>
        <v>AGAP003474-PA</v>
      </c>
      <c r="L265" s="12" t="s">
        <v>88</v>
      </c>
      <c r="M265" s="2">
        <v>56</v>
      </c>
      <c r="N265" s="2">
        <v>0</v>
      </c>
      <c r="O265" s="2">
        <v>0</v>
      </c>
      <c r="P265" s="2" t="s">
        <v>89</v>
      </c>
      <c r="Q265" s="9" t="s">
        <v>399</v>
      </c>
      <c r="R265" s="2" t="s">
        <v>400</v>
      </c>
      <c r="S265" s="2" t="str">
        <f>HYPERLINK(".\links\REFSEQ-INVERTEBRATE\AGAP003474-PA-REFSEQ-INVERTEBRATE.txt","REFSEQ-INVERTEBRATE")</f>
        <v>REFSEQ-INVERTEBRATE</v>
      </c>
      <c r="T265" s="2">
        <v>1.9999999999999999E-23</v>
      </c>
      <c r="V265" s="2" t="s">
        <v>817</v>
      </c>
      <c r="W265" s="10" t="s">
        <v>399</v>
      </c>
      <c r="X265" s="2" t="s">
        <v>400</v>
      </c>
      <c r="Y265" s="2" t="str">
        <f>HYPERLINK(".\links\REFSEQ-INVERTEBRATE\AGAP003474-PA-REFSEQ-INVERTEBRATE.txt","REFSEQ-INVERTEBRATE")</f>
        <v>REFSEQ-INVERTEBRATE</v>
      </c>
      <c r="Z265" s="13">
        <v>2.0000000000000001E-32</v>
      </c>
      <c r="AA265" s="2">
        <v>100</v>
      </c>
      <c r="AB265" s="14" t="s">
        <v>89</v>
      </c>
      <c r="AC265" s="14" t="str">
        <f>HYPERLINK(".\links\Sigp\AGAP003474-PA-SigP.txt","SIG")</f>
        <v>SIG</v>
      </c>
      <c r="AD265" s="2" t="s">
        <v>804</v>
      </c>
      <c r="AE265" s="2">
        <v>6.1870000000000003</v>
      </c>
      <c r="AF265" s="2">
        <v>5.45</v>
      </c>
      <c r="AG265" s="2">
        <v>3.81</v>
      </c>
      <c r="AH265" s="2">
        <v>4.75</v>
      </c>
      <c r="AI265" s="2" t="s">
        <v>818</v>
      </c>
      <c r="AJ265" s="14" t="str">
        <f>HYPERLINK(".\links\tmhmm\AGAP003474-PA-tmhmm.txt","1")</f>
        <v>1</v>
      </c>
      <c r="AK265" s="2">
        <v>39.299999999999997</v>
      </c>
      <c r="AL265" s="2">
        <v>7.1</v>
      </c>
      <c r="AM265" s="2">
        <v>53.6</v>
      </c>
      <c r="AN265" s="14" t="str">
        <f>HYPERLINK(".\links\gpi\AGAP003474-PA-gpi.txt","N")</f>
        <v>N</v>
      </c>
      <c r="AO265" s="15" t="str">
        <f>HYPERLINK(".\links\netoglyc\AGAP003474-PA-netoglyc.txt","0")</f>
        <v>0</v>
      </c>
      <c r="AP265" s="14">
        <v>10.7</v>
      </c>
      <c r="AQ265" s="2">
        <v>3.6</v>
      </c>
      <c r="AR265" s="2">
        <v>1.8</v>
      </c>
      <c r="AS265" s="2" t="s">
        <v>94</v>
      </c>
      <c r="AT265" s="9" t="str">
        <f>HYPERLINK(".\links\NR-LIGHT\AGAP003474-PA-NR-LIGHT.txt","AGAP003474-PA")</f>
        <v>AGAP003474-PA</v>
      </c>
      <c r="AU265" s="2" t="str">
        <f>HYPERLINK("http://www.ncbi.nlm.nih.gov/sutils/blink.cgi?pid=XP_311762.2","2E-023")</f>
        <v>2E-023</v>
      </c>
      <c r="AV265" s="2" t="str">
        <f>HYPERLINK("http://www.ncbi.nlm.nih.gov/protein/XP_311762.2","XP_311762.2")</f>
        <v>XP_311762.2</v>
      </c>
      <c r="AW265" s="2">
        <v>100</v>
      </c>
      <c r="AX265" s="2">
        <v>100</v>
      </c>
      <c r="AY265" s="2">
        <v>100</v>
      </c>
      <c r="AZ265" s="2" t="s">
        <v>95</v>
      </c>
      <c r="BA265" s="9" t="str">
        <f>HYPERLINK(".\links\REFSEQ-INVERTEBRATE\AGAP003474-PA-REFSEQ-INVERTEBRATE.txt","AGAP003474-PA")</f>
        <v>AGAP003474-PA</v>
      </c>
      <c r="BB265" s="2" t="str">
        <f>HYPERLINK("http://www.ncbi.nlm.nih.gov/sutils/blink.cgi?pid=XP_311762.2","2E-023")</f>
        <v>2E-023</v>
      </c>
      <c r="BC265" s="2" t="str">
        <f>HYPERLINK("http://www.ncbi.nlm.nih.gov/protein/XP_311762.2","XP_311762.2")</f>
        <v>XP_311762.2</v>
      </c>
      <c r="BD265" s="2">
        <v>100</v>
      </c>
      <c r="BE265" s="2">
        <v>100</v>
      </c>
      <c r="BF265" s="2">
        <v>100</v>
      </c>
      <c r="BG265" s="2" t="s">
        <v>95</v>
      </c>
      <c r="BH265" s="9" t="str">
        <f>HYPERLINK(".\links\REFSEQ-PROTOZOA\AGAP003474-PA-REFSEQ-PROTOZOA.txt","hypothetical protein GUITHDRAFT_106529")</f>
        <v>hypothetical protein GUITHDRAFT_106529</v>
      </c>
      <c r="BI265" s="2" t="str">
        <f>HYPERLINK("http://www.ncbi.nlm.nih.gov/sutils/blink.cgi?pid=XP_005834522.1","1.7")</f>
        <v>1.7</v>
      </c>
      <c r="BJ265" s="2" t="str">
        <f>HYPERLINK("http://www.ncbi.nlm.nih.gov/protein/XP_005834522.1","XP_005834522.1")</f>
        <v>XP_005834522.1</v>
      </c>
      <c r="BK265" s="2">
        <v>36</v>
      </c>
      <c r="BL265" s="2">
        <v>57</v>
      </c>
      <c r="BM265" s="2">
        <v>8</v>
      </c>
      <c r="BN265" s="2" t="s">
        <v>406</v>
      </c>
      <c r="BO265" s="9" t="str">
        <f>HYPERLINK(".\links\SWISSP\AGAP003474-PA-SWISSP.txt","Ribonuclease P protein component")</f>
        <v>Ribonuclease P protein component</v>
      </c>
      <c r="BP265" s="2" t="str">
        <f>HYPERLINK("http://www.uniprot.org/uniprot/Q17ZA3","10")</f>
        <v>10</v>
      </c>
      <c r="BQ265" s="2" t="str">
        <f>HYPERLINK("http://www.uniprot.org/uniprot/Q17ZA3#expression","Q17ZA3")</f>
        <v>Q17ZA3</v>
      </c>
      <c r="BR265" s="2">
        <v>35</v>
      </c>
      <c r="BS265" s="2">
        <v>56</v>
      </c>
      <c r="BT265" s="2">
        <v>31</v>
      </c>
      <c r="BU265" s="2" t="s">
        <v>819</v>
      </c>
      <c r="BV265" s="9" t="str">
        <f>HYPERLINK(".\links\FLYBASE\AGAP003474-PA-FLYBASE.txt","FBpp0306702")</f>
        <v>FBpp0306702</v>
      </c>
      <c r="BW265" s="2" t="str">
        <f>HYPERLINK("http://flybase.org/reports/FBgn0038816#alliance_summary_container","19")</f>
        <v>19</v>
      </c>
      <c r="BX265" s="2">
        <v>2422</v>
      </c>
      <c r="BY265" s="2">
        <v>28</v>
      </c>
      <c r="BZ265" s="2">
        <v>52</v>
      </c>
      <c r="CA265" s="2">
        <v>2</v>
      </c>
      <c r="CB265" s="9" t="str">
        <f>HYPERLINK(".\links\CDD\AGAP003474-PA-CDD.txt","Glyco_hydro_100, Alkaline and neutral invertase")</f>
        <v>Glyco_hydro_100, Alkaline and neutral invertase</v>
      </c>
      <c r="CC265" s="13">
        <v>6.9</v>
      </c>
      <c r="CD265" s="2">
        <v>10.5</v>
      </c>
      <c r="CE265" s="2" t="s">
        <v>820</v>
      </c>
      <c r="CF265" s="2" t="s">
        <v>821</v>
      </c>
      <c r="CG265" s="9" t="str">
        <f>HYPERLINK(".\links\KOG\AGAP003474-PA-KOG.txt","subunit SRm300")</f>
        <v>subunit SRm300</v>
      </c>
      <c r="CH265" s="13">
        <v>1.5</v>
      </c>
      <c r="CI265" s="2">
        <v>8.5</v>
      </c>
      <c r="CJ265" s="2" t="s">
        <v>822</v>
      </c>
      <c r="CK265" s="2" t="s">
        <v>692</v>
      </c>
      <c r="CL265" s="9" t="str">
        <f>HYPERLINK(".\links\PFAM\AGAP003474-PA-PFAM.txt","Glyco_hydro_100, Alkaline and neutral invertase")</f>
        <v>Glyco_hydro_100, Alkaline and neutral invertase</v>
      </c>
      <c r="CM265" s="13">
        <v>1.6</v>
      </c>
      <c r="CN265" s="2">
        <v>10.5</v>
      </c>
      <c r="CO265" s="2" t="s">
        <v>820</v>
      </c>
      <c r="CP265" s="9" t="str">
        <f>HYPERLINK(".\links\SMART\AGAP003474-PA-SMART.txt","H2A, Histone 2A")</f>
        <v>H2A, Histone 2A</v>
      </c>
      <c r="CQ265" s="13">
        <v>7.7</v>
      </c>
      <c r="CR265" s="2">
        <v>38.700000000000003</v>
      </c>
      <c r="CS265" s="2" t="s">
        <v>823</v>
      </c>
      <c r="CT265" s="2" t="s">
        <v>817</v>
      </c>
      <c r="CU265" s="2" t="s">
        <v>817</v>
      </c>
      <c r="CV265" s="2" t="s">
        <v>817</v>
      </c>
      <c r="CW265" s="2" t="str">
        <f>HYPERLINK(".\links\pep\AGAP003474-PA-pep.txt","AGAP003474-PA")</f>
        <v>AGAP003474-PA</v>
      </c>
      <c r="CX265" s="2" t="s">
        <v>88</v>
      </c>
      <c r="CY265" s="2">
        <v>56</v>
      </c>
      <c r="CZ265" s="2" t="s">
        <v>103</v>
      </c>
      <c r="DA265" s="2" t="s">
        <v>824</v>
      </c>
      <c r="DB265" s="2">
        <v>0</v>
      </c>
      <c r="DC265" s="2">
        <v>0</v>
      </c>
      <c r="DD265" s="2" t="str">
        <f>HYPERLINK("https://www.kegg.jp/kegg-bin/search_pathway_text?map=aga&amp;keyword=AGAP003474&amp;mode=1&amp;viewImage=true","AGAP003474")</f>
        <v>AGAP003474</v>
      </c>
      <c r="DE265" s="2" t="s">
        <v>816</v>
      </c>
      <c r="DF265" s="2" t="s">
        <v>86</v>
      </c>
      <c r="DG265" s="2" t="s">
        <v>87</v>
      </c>
      <c r="DH265" s="2" t="str">
        <f>HYPERLINK("https://vectorbase.org/vectorbase/app/record/gene/AGAP003474","AGAP003474-RA")</f>
        <v>AGAP003474-RA</v>
      </c>
      <c r="DI265" s="2" t="s">
        <v>140</v>
      </c>
      <c r="DJ265" s="2">
        <v>788</v>
      </c>
      <c r="DK265" s="2" t="str">
        <f>HYPERLINK(".\links\netoglyc\AGAP003474-PA-netoglyc.txt","0")</f>
        <v>0</v>
      </c>
      <c r="DL265" s="2">
        <v>10.7</v>
      </c>
      <c r="DM265" s="2">
        <v>3.6</v>
      </c>
      <c r="DN265" s="2">
        <v>1.8</v>
      </c>
      <c r="DO265" s="2" t="s">
        <v>94</v>
      </c>
      <c r="DP265" s="2" t="s">
        <v>89</v>
      </c>
      <c r="DQ265" s="2" t="str">
        <f>HYPERLINK(".\links\Sigp\AGAP003474-PA-SigP.txt","SIG")</f>
        <v>SIG</v>
      </c>
      <c r="DR265" s="2" t="s">
        <v>804</v>
      </c>
      <c r="DS265" s="2">
        <v>6.1870000000000003</v>
      </c>
      <c r="DT265" s="2">
        <v>5.45</v>
      </c>
      <c r="DU265" s="2">
        <v>3.81</v>
      </c>
      <c r="DV265" s="2">
        <v>4.75</v>
      </c>
      <c r="DW265" s="2" t="s">
        <v>818</v>
      </c>
      <c r="DX265" s="2">
        <v>56</v>
      </c>
      <c r="DY265" s="12" t="str">
        <f>HYPERLINK(".\links\tmhmm\AGAP003474-PA-tmhmm.txt","1")</f>
        <v>1</v>
      </c>
      <c r="DZ265" s="2">
        <v>39.299999999999997</v>
      </c>
      <c r="EA265" s="2">
        <v>7.1</v>
      </c>
      <c r="EB265" s="2">
        <v>53.6</v>
      </c>
      <c r="EC265" s="2" t="str">
        <f>HYPERLINK(".\links\gpi\AGAP003474-PA-gpi.txt","N")</f>
        <v>N</v>
      </c>
      <c r="ED265" s="2">
        <v>0.61</v>
      </c>
      <c r="EF265" s="2">
        <v>2</v>
      </c>
      <c r="EG265" s="2" t="s">
        <v>89</v>
      </c>
      <c r="EH265" s="2" t="s">
        <v>89</v>
      </c>
      <c r="EI265" s="2">
        <v>10.714285714285699</v>
      </c>
      <c r="EJ265" s="2">
        <v>1.78571428571429</v>
      </c>
      <c r="EK265" s="2">
        <v>3.5714285714285698</v>
      </c>
      <c r="EL265" s="2">
        <v>5.3571428571428603</v>
      </c>
      <c r="EM265" s="2" t="s">
        <v>89</v>
      </c>
      <c r="EN265" s="2" t="s">
        <v>89</v>
      </c>
      <c r="EO265" s="2" t="s">
        <v>89</v>
      </c>
      <c r="EP265" s="2" t="s">
        <v>89</v>
      </c>
      <c r="EQ265" s="2" t="s">
        <v>89</v>
      </c>
      <c r="ER265" s="2" t="s">
        <v>89</v>
      </c>
      <c r="ES265" s="2" t="s">
        <v>89</v>
      </c>
      <c r="ET265" s="2" t="str">
        <f>HYPERLINK(".\links\REFSEQ-INVERTEBRATE\AGAP003474-PA-REFSEQ-INVERTEBRATE.txt","AGAP003474-PA")</f>
        <v>AGAP003474-PA</v>
      </c>
      <c r="EU265" s="2" t="str">
        <f>HYPERLINK("http://www.ncbi.nlm.nih.gov/sutils/blink.cgi?pid=XP_311762.2","3E-32")</f>
        <v>3E-32</v>
      </c>
      <c r="EV265" s="2" t="str">
        <f>HYPERLINK("http://www.ncbi.nlm.nih.gov/protein/XP_311762.2","XP_311762.2")</f>
        <v>XP_311762.2</v>
      </c>
      <c r="EW265" s="2">
        <v>100</v>
      </c>
      <c r="EX265" s="2">
        <v>100</v>
      </c>
      <c r="EY265" s="2">
        <v>100</v>
      </c>
      <c r="EZ265" s="2" t="s">
        <v>95</v>
      </c>
    </row>
    <row r="266" spans="1:156" x14ac:dyDescent="0.25">
      <c r="A266" s="2" t="s">
        <v>802</v>
      </c>
      <c r="B266" s="2">
        <v>-1.5211853712277099</v>
      </c>
      <c r="C266" s="2">
        <f t="shared" si="4"/>
        <v>0.34839954109767096</v>
      </c>
      <c r="D266" s="2">
        <v>9.5668915414091007</v>
      </c>
      <c r="E266" s="2">
        <v>19.401212498009802</v>
      </c>
      <c r="F266" s="2">
        <v>1.05939778412832E-5</v>
      </c>
      <c r="G266" s="2">
        <v>1.76240753243972E-3</v>
      </c>
      <c r="H266" s="2" t="s">
        <v>86</v>
      </c>
      <c r="I266" s="2" t="s">
        <v>87</v>
      </c>
      <c r="J266" s="2" t="str">
        <f>HYPERLINK("https://vectorbase.org/vectorbase/app/record/gene/AGAP003473","AGAP003473-RA")</f>
        <v>AGAP003473-RA</v>
      </c>
      <c r="K266" s="2" t="str">
        <f>HYPERLINK(".\links\pep\AGAP003473-PA-pep.txt","AGAP003473-PA")</f>
        <v>AGAP003473-PA</v>
      </c>
      <c r="L266" s="12" t="s">
        <v>88</v>
      </c>
      <c r="M266" s="2">
        <v>62</v>
      </c>
      <c r="N266" s="2">
        <v>0</v>
      </c>
      <c r="O266" s="2">
        <v>0</v>
      </c>
      <c r="P266" s="2" t="s">
        <v>89</v>
      </c>
      <c r="Q266" s="9" t="s">
        <v>399</v>
      </c>
      <c r="R266" s="2" t="s">
        <v>400</v>
      </c>
      <c r="S266" s="2" t="str">
        <f>HYPERLINK(".\links\REFSEQ-INVERTEBRATE\AGAP003473-PA-REFSEQ-INVERTEBRATE.txt","REFSEQ-INVERTEBRATE")</f>
        <v>REFSEQ-INVERTEBRATE</v>
      </c>
      <c r="T266" s="2">
        <v>2.0000000000000001E-26</v>
      </c>
      <c r="V266" s="2" t="s">
        <v>803</v>
      </c>
      <c r="W266" s="10" t="s">
        <v>399</v>
      </c>
      <c r="X266" s="2" t="s">
        <v>400</v>
      </c>
      <c r="Y266" s="2" t="str">
        <f>HYPERLINK(".\links\REFSEQ-INVERTEBRATE\AGAP003473-PA-REFSEQ-INVERTEBRATE.txt","REFSEQ-INVERTEBRATE")</f>
        <v>REFSEQ-INVERTEBRATE</v>
      </c>
      <c r="Z266" s="13">
        <v>9.9999999999999996E-39</v>
      </c>
      <c r="AA266" s="2">
        <v>100</v>
      </c>
      <c r="AB266" s="14" t="s">
        <v>89</v>
      </c>
      <c r="AC266" s="14" t="str">
        <f>HYPERLINK(".\links\Sigp\AGAP003473-PA-SigP.txt","SIG")</f>
        <v>SIG</v>
      </c>
      <c r="AD266" s="2" t="s">
        <v>804</v>
      </c>
      <c r="AE266" s="2">
        <v>6.7469999999999999</v>
      </c>
      <c r="AF266" s="2">
        <v>5.01</v>
      </c>
      <c r="AG266" s="2">
        <v>4.3959999999999999</v>
      </c>
      <c r="AH266" s="2">
        <v>4.6900000000000004</v>
      </c>
      <c r="AI266" s="2" t="s">
        <v>805</v>
      </c>
      <c r="AJ266" s="14" t="str">
        <f>HYPERLINK(".\links\tmhmm\AGAP003473-PA-tmhmm.txt","1")</f>
        <v>1</v>
      </c>
      <c r="AK266" s="2">
        <v>35.5</v>
      </c>
      <c r="AL266" s="2">
        <v>56.5</v>
      </c>
      <c r="AM266" s="2">
        <v>8.1</v>
      </c>
      <c r="AN266" s="14" t="str">
        <f>HYPERLINK(".\links\gpi\AGAP003473-PA-gpi.txt","N")</f>
        <v>N</v>
      </c>
      <c r="AO266" s="15" t="str">
        <f>HYPERLINK(".\links\netoglyc\AGAP003473-PA-netoglyc.txt","1")</f>
        <v>1</v>
      </c>
      <c r="AP266" s="14">
        <v>17.7</v>
      </c>
      <c r="AQ266" s="2">
        <v>3.2</v>
      </c>
      <c r="AR266" s="2">
        <v>4.8</v>
      </c>
      <c r="AS266" s="2" t="s">
        <v>94</v>
      </c>
      <c r="AT266" s="9" t="str">
        <f>HYPERLINK(".\links\NR-LIGHT\AGAP003473-PA-NR-LIGHT.txt","AGAP003473-PA")</f>
        <v>AGAP003473-PA</v>
      </c>
      <c r="AU266" s="2" t="str">
        <f>HYPERLINK("http://www.ncbi.nlm.nih.gov/sutils/blink.cgi?pid=XP_311761.2","2E-026")</f>
        <v>2E-026</v>
      </c>
      <c r="AV266" s="2" t="str">
        <f>HYPERLINK("http://www.ncbi.nlm.nih.gov/protein/XP_311761.2","XP_311761.2")</f>
        <v>XP_311761.2</v>
      </c>
      <c r="AW266" s="2">
        <v>100</v>
      </c>
      <c r="AX266" s="2">
        <v>100</v>
      </c>
      <c r="AY266" s="2">
        <v>100</v>
      </c>
      <c r="AZ266" s="2" t="s">
        <v>95</v>
      </c>
      <c r="BA266" s="9" t="str">
        <f>HYPERLINK(".\links\REFSEQ-INVERTEBRATE\AGAP003473-PA-REFSEQ-INVERTEBRATE.txt","AGAP003473-PA")</f>
        <v>AGAP003473-PA</v>
      </c>
      <c r="BB266" s="2" t="str">
        <f>HYPERLINK("http://www.ncbi.nlm.nih.gov/sutils/blink.cgi?pid=XP_311761.2","2E-026")</f>
        <v>2E-026</v>
      </c>
      <c r="BC266" s="2" t="str">
        <f>HYPERLINK("http://www.ncbi.nlm.nih.gov/protein/XP_311761.2","XP_311761.2")</f>
        <v>XP_311761.2</v>
      </c>
      <c r="BD266" s="2">
        <v>100</v>
      </c>
      <c r="BE266" s="2">
        <v>100</v>
      </c>
      <c r="BF266" s="2">
        <v>100</v>
      </c>
      <c r="BG266" s="2" t="s">
        <v>95</v>
      </c>
      <c r="BH266" s="9" t="str">
        <f>HYPERLINK(".\links\REFSEQ-PROTOZOA\AGAP003473-PA-REFSEQ-PROTOZOA.txt","photosystem II protein Z (plastid)")</f>
        <v>photosystem II protein Z (plastid)</v>
      </c>
      <c r="BI266" s="2" t="str">
        <f>HYPERLINK("http://www.ncbi.nlm.nih.gov/sutils/blink.cgi?pid=YP_009297518.1","6.4")</f>
        <v>6.4</v>
      </c>
      <c r="BJ266" s="2" t="str">
        <f>HYPERLINK("http://www.ncbi.nlm.nih.gov/protein/YP_009297518.1","YP_009297518.1")</f>
        <v>YP_009297518.1</v>
      </c>
      <c r="BK266" s="2">
        <v>38</v>
      </c>
      <c r="BL266" s="2">
        <v>70</v>
      </c>
      <c r="BM266" s="2">
        <v>50</v>
      </c>
      <c r="BN266" s="2" t="s">
        <v>806</v>
      </c>
      <c r="BO266" s="9" t="str">
        <f>HYPERLINK(".\links\SWISSP\AGAP003473-PA-SWISSP.txt","Methylenetetrahydrofolate--tRNA-(uracil-5-)-methyltransferase TrmFO")</f>
        <v>Methylenetetrahydrofolate--tRNA-(uracil-5-)-methyltransferase TrmFO</v>
      </c>
      <c r="BP266" s="2" t="str">
        <f>HYPERLINK("http://www.uniprot.org/uniprot/Q3AX63","7.9")</f>
        <v>7.9</v>
      </c>
      <c r="BQ266" s="2" t="str">
        <f>HYPERLINK("http://www.uniprot.org/uniprot/Q3AX63#expression","Q3AX63")</f>
        <v>Q3AX63</v>
      </c>
      <c r="BR266" s="2">
        <v>34</v>
      </c>
      <c r="BS266" s="2">
        <v>55</v>
      </c>
      <c r="BT266" s="2">
        <v>9</v>
      </c>
      <c r="BU266" s="2" t="s">
        <v>807</v>
      </c>
      <c r="BV266" s="9" t="str">
        <f>HYPERLINK(".\links\FLYBASE\AGAP003473-PA-FLYBASE.txt","FBpp0301076")</f>
        <v>FBpp0301076</v>
      </c>
      <c r="BW266" s="2" t="str">
        <f>HYPERLINK("http://flybase.org/reports/FBgn0010388#alliance_summary_container","2.0")</f>
        <v>2.0</v>
      </c>
      <c r="BX266" s="2">
        <v>64</v>
      </c>
      <c r="BY266" s="2">
        <v>41</v>
      </c>
      <c r="BZ266" s="2">
        <v>50</v>
      </c>
      <c r="CA266" s="2">
        <v>72</v>
      </c>
      <c r="CB266" s="9" t="str">
        <f>HYPERLINK(".\links\CDD\AGAP003473-PA-CDD.txt","PHA03290, envelope glycoprotein I")</f>
        <v>PHA03290, envelope glycoprotein I</v>
      </c>
      <c r="CC266" s="13">
        <v>0.92</v>
      </c>
      <c r="CD266" s="2">
        <v>14.8</v>
      </c>
      <c r="CE266" s="2" t="s">
        <v>808</v>
      </c>
      <c r="CF266" s="2" t="s">
        <v>809</v>
      </c>
      <c r="CG266" s="9" t="str">
        <f>HYPERLINK(".\links\KOG\AGAP003473-PA-KOG.txt","Aminopeptidases of the M20 family")</f>
        <v>Aminopeptidases of the M20 family</v>
      </c>
      <c r="CH266" s="13">
        <v>2.9</v>
      </c>
      <c r="CI266" s="2">
        <v>5.2</v>
      </c>
      <c r="CJ266" s="2" t="s">
        <v>810</v>
      </c>
      <c r="CK266" s="2" t="s">
        <v>811</v>
      </c>
      <c r="CL266" s="9" t="str">
        <f>HYPERLINK(".\links\PFAM\AGAP003473-PA-PFAM.txt","DUF2031, Protein of unknown function (DUF2031)")</f>
        <v>DUF2031, Protein of unknown function (DUF2031)</v>
      </c>
      <c r="CM266" s="13">
        <v>0.83</v>
      </c>
      <c r="CN266" s="2">
        <v>11.9</v>
      </c>
      <c r="CO266" s="2" t="s">
        <v>812</v>
      </c>
      <c r="CP266" s="9" t="str">
        <f>HYPERLINK(".\links\SMART\AGAP003473-PA-SMART.txt","B561, Cytochrome b-561 / ferric reductase transmembrane domain")</f>
        <v>B561, Cytochrome b-561 / ferric reductase transmembrane domain</v>
      </c>
      <c r="CQ266" s="13">
        <v>1.7</v>
      </c>
      <c r="CR266" s="2">
        <v>14.7</v>
      </c>
      <c r="CS266" s="2" t="s">
        <v>813</v>
      </c>
      <c r="CT266" s="2" t="s">
        <v>803</v>
      </c>
      <c r="CU266" s="2" t="s">
        <v>803</v>
      </c>
      <c r="CV266" s="2" t="s">
        <v>803</v>
      </c>
      <c r="CW266" s="2" t="str">
        <f>HYPERLINK(".\links\pep\AGAP003473-PA-pep.txt","AGAP003473-PA")</f>
        <v>AGAP003473-PA</v>
      </c>
      <c r="CX266" s="2" t="s">
        <v>88</v>
      </c>
      <c r="CY266" s="2">
        <v>62</v>
      </c>
      <c r="CZ266" s="2" t="s">
        <v>103</v>
      </c>
      <c r="DA266" s="2" t="s">
        <v>814</v>
      </c>
      <c r="DB266" s="2">
        <v>0</v>
      </c>
      <c r="DC266" s="2">
        <v>0</v>
      </c>
      <c r="DD266" s="2" t="str">
        <f>HYPERLINK("https://www.kegg.jp/kegg-bin/search_pathway_text?map=aga&amp;keyword=AGAP003473&amp;mode=1&amp;viewImage=true","AGAP003473")</f>
        <v>AGAP003473</v>
      </c>
      <c r="DE266" s="2" t="s">
        <v>802</v>
      </c>
      <c r="DF266" s="2" t="s">
        <v>86</v>
      </c>
      <c r="DG266" s="2" t="s">
        <v>87</v>
      </c>
      <c r="DH266" s="2" t="str">
        <f>HYPERLINK("https://vectorbase.org/vectorbase/app/record/gene/AGAP003473","AGAP003473-RA")</f>
        <v>AGAP003473-RA</v>
      </c>
      <c r="DI266" s="2" t="s">
        <v>105</v>
      </c>
      <c r="DJ266" s="2">
        <v>328</v>
      </c>
      <c r="DK266" s="2" t="str">
        <f>HYPERLINK(".\links\netoglyc\AGAP003473-PA-netoglyc.txt","1")</f>
        <v>1</v>
      </c>
      <c r="DL266" s="2">
        <v>17.7</v>
      </c>
      <c r="DM266" s="2">
        <v>3.2</v>
      </c>
      <c r="DN266" s="2">
        <v>4.8</v>
      </c>
      <c r="DO266" s="2" t="s">
        <v>94</v>
      </c>
      <c r="DP266" s="2" t="s">
        <v>815</v>
      </c>
      <c r="DQ266" s="2" t="str">
        <f>HYPERLINK(".\links\Sigp\AGAP003473-PA-SigP.txt","SIG")</f>
        <v>SIG</v>
      </c>
      <c r="DR266" s="2" t="s">
        <v>804</v>
      </c>
      <c r="DS266" s="2">
        <v>6.7469999999999999</v>
      </c>
      <c r="DT266" s="2">
        <v>5.01</v>
      </c>
      <c r="DU266" s="2">
        <v>4.3959999999999999</v>
      </c>
      <c r="DV266" s="2">
        <v>4.6900000000000004</v>
      </c>
      <c r="DW266" s="2" t="s">
        <v>805</v>
      </c>
      <c r="DX266" s="2">
        <v>62</v>
      </c>
      <c r="DY266" s="12" t="str">
        <f>HYPERLINK(".\links\tmhmm\AGAP003473-PA-tmhmm.txt","1")</f>
        <v>1</v>
      </c>
      <c r="DZ266" s="2">
        <v>35.5</v>
      </c>
      <c r="EA266" s="2">
        <v>56.5</v>
      </c>
      <c r="EB266" s="2">
        <v>8.1</v>
      </c>
      <c r="EC266" s="2" t="str">
        <f>HYPERLINK(".\links\gpi\AGAP003473-PA-gpi.txt","N")</f>
        <v>N</v>
      </c>
      <c r="ED266" s="2">
        <v>0.35</v>
      </c>
      <c r="EF266" s="2">
        <v>0</v>
      </c>
      <c r="EG266" s="2" t="s">
        <v>89</v>
      </c>
      <c r="EH266" s="2" t="s">
        <v>89</v>
      </c>
      <c r="EI266" s="2">
        <v>17.741935483871</v>
      </c>
      <c r="EJ266" s="2">
        <v>4.8387096774193603</v>
      </c>
      <c r="EK266" s="2">
        <v>3.2258064516128999</v>
      </c>
      <c r="EL266" s="2">
        <v>8.0645161290322598</v>
      </c>
      <c r="EM266" s="2" t="s">
        <v>89</v>
      </c>
      <c r="EN266" s="2" t="s">
        <v>89</v>
      </c>
      <c r="EO266" s="2" t="s">
        <v>89</v>
      </c>
      <c r="EP266" s="2" t="s">
        <v>89</v>
      </c>
      <c r="EQ266" s="2" t="s">
        <v>89</v>
      </c>
      <c r="ER266" s="2" t="s">
        <v>89</v>
      </c>
      <c r="ES266" s="2" t="s">
        <v>89</v>
      </c>
      <c r="ET266" s="2" t="str">
        <f>HYPERLINK(".\links\REFSEQ-INVERTEBRATE\AGAP003473-PA-REFSEQ-INVERTEBRATE.txt","AGAP003473-PA")</f>
        <v>AGAP003473-PA</v>
      </c>
      <c r="EU266" s="2" t="str">
        <f>HYPERLINK("http://www.ncbi.nlm.nih.gov/sutils/blink.cgi?pid=XP_311761.2","2E-38")</f>
        <v>2E-38</v>
      </c>
      <c r="EV266" s="2" t="str">
        <f>HYPERLINK("http://www.ncbi.nlm.nih.gov/protein/XP_311761.2","XP_311761.2")</f>
        <v>XP_311761.2</v>
      </c>
      <c r="EW266" s="2">
        <v>100</v>
      </c>
      <c r="EX266" s="2">
        <v>100</v>
      </c>
      <c r="EY266" s="2">
        <v>100</v>
      </c>
      <c r="EZ266" s="2" t="s">
        <v>95</v>
      </c>
    </row>
    <row r="267" spans="1:156" x14ac:dyDescent="0.25">
      <c r="A267" s="2" t="s">
        <v>2914</v>
      </c>
      <c r="B267" s="2">
        <v>-1.52717923862725</v>
      </c>
      <c r="C267" s="2">
        <f t="shared" si="4"/>
        <v>0.34695507181199031</v>
      </c>
      <c r="D267" s="2">
        <v>3.0147160862230402</v>
      </c>
      <c r="E267" s="2">
        <v>14.3652287704799</v>
      </c>
      <c r="F267" s="2">
        <v>1.50556998690294E-4</v>
      </c>
      <c r="G267" s="2">
        <v>1.1615799746779501E-2</v>
      </c>
      <c r="H267" s="2" t="s">
        <v>2915</v>
      </c>
      <c r="I267" s="2" t="s">
        <v>87</v>
      </c>
      <c r="J267" s="2" t="str">
        <f>HYPERLINK("https://vectorbase.org/vectorbase/app/record/gene/AGAP012851","AGAP012851-RA")</f>
        <v>AGAP012851-RA</v>
      </c>
      <c r="K267" s="2" t="str">
        <f>HYPERLINK(".\links\pep\AGAP012851-PA-pep.txt","AGAP012851-PA")</f>
        <v>AGAP012851-PA</v>
      </c>
      <c r="L267" s="12" t="s">
        <v>2916</v>
      </c>
      <c r="M267" s="2">
        <v>232</v>
      </c>
      <c r="N267" s="2">
        <v>0</v>
      </c>
      <c r="O267" s="2">
        <v>0</v>
      </c>
      <c r="P267" s="2" t="s">
        <v>2917</v>
      </c>
      <c r="Q267" s="9" t="s">
        <v>2918</v>
      </c>
      <c r="R267" s="2" t="s">
        <v>91</v>
      </c>
      <c r="S267" s="2" t="str">
        <f>HYPERLINK(".\links\REFSEQ-INVERTEBRATE\AGAP012851-PA-REFSEQ-INVERTEBRATE.txt","REFSEQ-INVERTEBRATE")</f>
        <v>REFSEQ-INVERTEBRATE</v>
      </c>
      <c r="T267" s="2">
        <v>0</v>
      </c>
      <c r="U267" s="2">
        <v>100</v>
      </c>
      <c r="V267" s="2" t="s">
        <v>2919</v>
      </c>
      <c r="W267" s="10" t="s">
        <v>2920</v>
      </c>
      <c r="X267" s="2" t="s">
        <v>91</v>
      </c>
      <c r="Y267" s="2" t="str">
        <f>HYPERLINK(".\links\ARTHORPODA\AGAP012851-PA-ARTHORPODA.txt","ARTHORPODA")</f>
        <v>ARTHORPODA</v>
      </c>
      <c r="Z267" s="13">
        <v>0</v>
      </c>
      <c r="AA267" s="2">
        <v>0.7</v>
      </c>
      <c r="AB267" s="14" t="s">
        <v>89</v>
      </c>
      <c r="AC267" s="14" t="str">
        <f>HYPERLINK(".\links\Sigp\AGAP012851-PA-SigP.txt","CYT")</f>
        <v>CYT</v>
      </c>
      <c r="AD267" s="2" t="s">
        <v>89</v>
      </c>
      <c r="AE267" s="2">
        <v>26.053000000000001</v>
      </c>
      <c r="AF267" s="2">
        <v>5.58</v>
      </c>
      <c r="AG267" s="2" t="s">
        <v>89</v>
      </c>
      <c r="AH267" s="2" t="s">
        <v>89</v>
      </c>
      <c r="AI267" s="2" t="s">
        <v>1322</v>
      </c>
      <c r="AJ267" s="14">
        <v>0</v>
      </c>
      <c r="AK267" s="2" t="s">
        <v>89</v>
      </c>
      <c r="AL267" s="2" t="s">
        <v>89</v>
      </c>
      <c r="AM267" s="2" t="s">
        <v>89</v>
      </c>
      <c r="AN267" s="14" t="str">
        <f>HYPERLINK(".\links\gpi\AGAP012851-PA-gpi.txt","N")</f>
        <v>N</v>
      </c>
      <c r="AO267" s="15" t="str">
        <f>HYPERLINK(".\links\netoglyc\AGAP012851-PA-netoglyc.txt","1")</f>
        <v>1</v>
      </c>
      <c r="AP267" s="14">
        <v>12.9</v>
      </c>
      <c r="AQ267" s="2">
        <v>5.2</v>
      </c>
      <c r="AR267" s="2">
        <v>6</v>
      </c>
      <c r="AS267" s="2" t="s">
        <v>94</v>
      </c>
      <c r="AT267" s="9" t="str">
        <f>HYPERLINK(".\links\NR-LIGHT\AGAP012851-PA-NR-LIGHT.txt","AGAP012851-PA, partial")</f>
        <v>AGAP012851-PA, partial</v>
      </c>
      <c r="AU267" s="2" t="str">
        <f>HYPERLINK("http://www.ncbi.nlm.nih.gov/sutils/blink.cgi?pid=XP_001230354.2","1E-130")</f>
        <v>1E-130</v>
      </c>
      <c r="AV267" s="2" t="str">
        <f>HYPERLINK("http://www.ncbi.nlm.nih.gov/protein/XP_001230354.2","XP_001230354.2")</f>
        <v>XP_001230354.2</v>
      </c>
      <c r="AW267" s="2">
        <v>100</v>
      </c>
      <c r="AX267" s="2">
        <v>100</v>
      </c>
      <c r="AY267" s="2">
        <v>100</v>
      </c>
      <c r="AZ267" s="2" t="s">
        <v>95</v>
      </c>
      <c r="BA267" s="9" t="str">
        <f>HYPERLINK(".\links\REFSEQ-INVERTEBRATE\AGAP012851-PA-REFSEQ-INVERTEBRATE.txt","AGAP012851-PA, partial")</f>
        <v>AGAP012851-PA, partial</v>
      </c>
      <c r="BB267" s="2" t="str">
        <f>HYPERLINK("http://www.ncbi.nlm.nih.gov/sutils/blink.cgi?pid=XP_001230354.2","1E-130")</f>
        <v>1E-130</v>
      </c>
      <c r="BC267" s="2" t="str">
        <f>HYPERLINK("http://www.ncbi.nlm.nih.gov/protein/XP_001230354.2","XP_001230354.2")</f>
        <v>XP_001230354.2</v>
      </c>
      <c r="BD267" s="2">
        <v>100</v>
      </c>
      <c r="BE267" s="2">
        <v>100</v>
      </c>
      <c r="BF267" s="2">
        <v>100</v>
      </c>
      <c r="BG267" s="2" t="s">
        <v>95</v>
      </c>
      <c r="BH267" s="9" t="str">
        <f>HYPERLINK(".\links\REFSEQ-PROTOZOA\AGAP012851-PA-REFSEQ-PROTOZOA.txt","hypothetical protein")</f>
        <v>hypothetical protein</v>
      </c>
      <c r="BI267" s="2" t="str">
        <f>HYPERLINK("http://www.ncbi.nlm.nih.gov/sutils/blink.cgi?pid=XP_001746813.1","6E-048")</f>
        <v>6E-048</v>
      </c>
      <c r="BJ267" s="2" t="str">
        <f>HYPERLINK("http://www.ncbi.nlm.nih.gov/protein/XP_001746813.1","XP_001746813.1")</f>
        <v>XP_001746813.1</v>
      </c>
      <c r="BK267" s="2">
        <v>41</v>
      </c>
      <c r="BL267" s="2">
        <v>57</v>
      </c>
      <c r="BM267" s="2">
        <v>76</v>
      </c>
      <c r="BN267" s="2" t="s">
        <v>389</v>
      </c>
      <c r="BO267" s="9" t="str">
        <f>HYPERLINK(".\links\SWISSP\AGAP012851-PA-SWISSP.txt","Prostaglandin F synthase 2")</f>
        <v>Prostaglandin F synthase 2</v>
      </c>
      <c r="BP267" s="2" t="str">
        <f>HYPERLINK("http://www.uniprot.org/uniprot/P52897","2E-048")</f>
        <v>2E-048</v>
      </c>
      <c r="BQ267" s="2" t="str">
        <f>HYPERLINK("http://www.uniprot.org/uniprot/P52897#expression","P52897")</f>
        <v>P52897</v>
      </c>
      <c r="BR267" s="2">
        <v>42</v>
      </c>
      <c r="BS267" s="2">
        <v>60</v>
      </c>
      <c r="BT267" s="2">
        <v>75</v>
      </c>
      <c r="BU267" s="2" t="s">
        <v>183</v>
      </c>
      <c r="BV267" s="9" t="str">
        <f>HYPERLINK(".\links\FLYBASE\AGAP012851-PA-FLYBASE.txt","FBpp0089012")</f>
        <v>FBpp0089012</v>
      </c>
      <c r="BW267" s="2" t="str">
        <f>HYPERLINK("http://flybase.org/reports/FBgn0036290#alliance_summary_container","1E-74")</f>
        <v>1E-74</v>
      </c>
      <c r="BX267" s="2">
        <v>310</v>
      </c>
      <c r="BY267" s="2">
        <v>47</v>
      </c>
      <c r="BZ267" s="2">
        <v>63</v>
      </c>
      <c r="CA267" s="2">
        <v>76</v>
      </c>
      <c r="CB267" s="9" t="str">
        <f>HYPERLINK(".\links\CDD\AGAP012851-PA-CDD.txt","ARA1, Aldo/keto reductases, related to diketogulonate reductase")</f>
        <v>ARA1, Aldo/keto reductases, related to diketogulonate reductase</v>
      </c>
      <c r="CC267" s="13">
        <v>6.0000000000000002E-62</v>
      </c>
      <c r="CD267" s="2">
        <v>77.5</v>
      </c>
      <c r="CE267" s="2" t="s">
        <v>2657</v>
      </c>
      <c r="CF267" s="2" t="s">
        <v>2921</v>
      </c>
      <c r="CG267" s="9" t="str">
        <f>HYPERLINK(".\links\KOG\AGAP012851-PA-KOG.txt","Aldo/keto reductase family proteins")</f>
        <v>Aldo/keto reductase family proteins</v>
      </c>
      <c r="CH267" s="13">
        <v>9.9999999999999996E-75</v>
      </c>
      <c r="CI267" s="2">
        <v>78</v>
      </c>
      <c r="CJ267" s="2" t="s">
        <v>2659</v>
      </c>
      <c r="CK267" s="2" t="s">
        <v>187</v>
      </c>
      <c r="CL267" s="9" t="str">
        <f>HYPERLINK(".\links\PFAM\AGAP012851-PA-PFAM.txt","Aldo_ket_red, Aldo/keto reductase family")</f>
        <v>Aldo_ket_red, Aldo/keto reductase family</v>
      </c>
      <c r="CM267" s="13">
        <v>1.9999999999999999E-39</v>
      </c>
      <c r="CN267" s="2">
        <v>77.900000000000006</v>
      </c>
      <c r="CO267" s="2" t="s">
        <v>2660</v>
      </c>
      <c r="CP267" s="9" t="str">
        <f>HYPERLINK(".\links\SMART\AGAP012851-PA-SMART.txt","TR_FER, Transferrin")</f>
        <v>TR_FER, Transferrin</v>
      </c>
      <c r="CQ267" s="13">
        <v>0.28000000000000003</v>
      </c>
      <c r="CR267" s="2">
        <v>8.4</v>
      </c>
      <c r="CS267" s="2" t="s">
        <v>2922</v>
      </c>
      <c r="CT267" s="2" t="s">
        <v>2919</v>
      </c>
      <c r="CU267" s="2" t="s">
        <v>2919</v>
      </c>
      <c r="CV267" s="2" t="s">
        <v>2919</v>
      </c>
      <c r="CW267" s="2" t="str">
        <f>HYPERLINK(".\links\pep\AGAP012851-PA-pep.txt","AGAP012851-PA")</f>
        <v>AGAP012851-PA</v>
      </c>
      <c r="CX267" s="2" t="s">
        <v>2916</v>
      </c>
      <c r="CY267" s="2">
        <v>232</v>
      </c>
      <c r="CZ267" s="2" t="s">
        <v>103</v>
      </c>
      <c r="DA267" s="2" t="s">
        <v>2923</v>
      </c>
      <c r="DB267" s="2">
        <v>0</v>
      </c>
      <c r="DC267" s="2">
        <v>0</v>
      </c>
      <c r="DD267" s="2" t="str">
        <f>HYPERLINK("https://www.kegg.jp/kegg-bin/search_pathway_text?map=aga&amp;keyword=AGAP012851&amp;mode=1&amp;viewImage=true","AGAP012851")</f>
        <v>AGAP012851</v>
      </c>
      <c r="DE267" s="2" t="s">
        <v>2914</v>
      </c>
      <c r="DF267" s="2" t="s">
        <v>2915</v>
      </c>
      <c r="DG267" s="2" t="s">
        <v>87</v>
      </c>
      <c r="DH267" s="2" t="str">
        <f>HYPERLINK("https://vectorbase.org/vectorbase/app/record/gene/AGAP012851","AGAP012851-RA")</f>
        <v>AGAP012851-RA</v>
      </c>
      <c r="DI267" s="2" t="s">
        <v>158</v>
      </c>
      <c r="DJ267" s="2">
        <v>699</v>
      </c>
      <c r="DK267" s="2" t="str">
        <f>HYPERLINK(".\links\netoglyc\AGAP012851-PA-netoglyc.txt","1")</f>
        <v>1</v>
      </c>
      <c r="DL267" s="2">
        <v>12.9</v>
      </c>
      <c r="DM267" s="2">
        <v>5.2</v>
      </c>
      <c r="DN267" s="2">
        <v>6</v>
      </c>
      <c r="DO267" s="2" t="s">
        <v>94</v>
      </c>
      <c r="DP267" s="2" t="s">
        <v>89</v>
      </c>
      <c r="DQ267" s="2" t="str">
        <f>HYPERLINK(".\links\Sigp\AGAP012851-PA-SigP.txt","CYT")</f>
        <v>CYT</v>
      </c>
      <c r="DR267" s="2" t="s">
        <v>89</v>
      </c>
      <c r="DS267" s="2">
        <v>26.053000000000001</v>
      </c>
      <c r="DT267" s="2">
        <v>5.58</v>
      </c>
      <c r="DU267" s="2" t="s">
        <v>89</v>
      </c>
      <c r="DV267" s="2" t="s">
        <v>89</v>
      </c>
      <c r="DW267" s="2" t="s">
        <v>1322</v>
      </c>
      <c r="DX267" s="2">
        <v>232</v>
      </c>
      <c r="DY267" s="12">
        <v>0</v>
      </c>
      <c r="DZ267" s="2" t="s">
        <v>89</v>
      </c>
      <c r="EA267" s="2" t="s">
        <v>89</v>
      </c>
      <c r="EB267" s="2" t="s">
        <v>89</v>
      </c>
      <c r="EC267" s="2" t="str">
        <f>HYPERLINK(".\links\gpi\AGAP012851-PA-gpi.txt","Y-NoSP")</f>
        <v>Y-NoSP</v>
      </c>
      <c r="ED267" s="2">
        <v>0.2</v>
      </c>
      <c r="EF267" s="2">
        <v>2</v>
      </c>
      <c r="EG267" s="2" t="s">
        <v>89</v>
      </c>
      <c r="EH267" s="2" t="s">
        <v>89</v>
      </c>
      <c r="EI267" s="2">
        <v>12.9310344827586</v>
      </c>
      <c r="EJ267" s="2">
        <v>6.0344827586206904</v>
      </c>
      <c r="EK267" s="2">
        <v>5.1724137931034502</v>
      </c>
      <c r="EL267" s="2">
        <v>11.2068965517241</v>
      </c>
      <c r="EM267" s="2" t="s">
        <v>89</v>
      </c>
      <c r="EN267" s="2" t="s">
        <v>89</v>
      </c>
      <c r="EO267" s="2">
        <v>1</v>
      </c>
      <c r="EP267" s="2" t="s">
        <v>89</v>
      </c>
      <c r="EQ267" s="2" t="s">
        <v>89</v>
      </c>
      <c r="ER267" s="2" t="s">
        <v>89</v>
      </c>
      <c r="ES267" s="2" t="s">
        <v>89</v>
      </c>
      <c r="ET267" s="2" t="str">
        <f>HYPERLINK(".\links\REFSEQ-INVERTEBRATE\AGAP012851-PA-REFSEQ-INVERTEBRATE.txt","AGAP012851-PA, partial")</f>
        <v>AGAP012851-PA, partial</v>
      </c>
      <c r="EU267" s="2" t="str">
        <f>HYPERLINK("http://www.ncbi.nlm.nih.gov/sutils/blink.cgi?pid=XP_001230354.2","1E-173")</f>
        <v>1E-173</v>
      </c>
      <c r="EV267" s="2" t="str">
        <f>HYPERLINK("http://www.ncbi.nlm.nih.gov/protein/XP_001230354.2","XP_001230354.2")</f>
        <v>XP_001230354.2</v>
      </c>
      <c r="EW267" s="2">
        <v>100</v>
      </c>
      <c r="EX267" s="2">
        <v>100</v>
      </c>
      <c r="EY267" s="2">
        <v>100</v>
      </c>
      <c r="EZ267" s="2" t="s">
        <v>95</v>
      </c>
    </row>
    <row r="268" spans="1:156" x14ac:dyDescent="0.25">
      <c r="A268" s="2" t="s">
        <v>2178</v>
      </c>
      <c r="B268" s="2">
        <v>-1.5278081525627201</v>
      </c>
      <c r="C268" s="2">
        <f t="shared" si="4"/>
        <v>0.34680385667687591</v>
      </c>
      <c r="D268" s="2">
        <v>6.4108240731841404</v>
      </c>
      <c r="E268" s="2">
        <v>39.9120575943099</v>
      </c>
      <c r="F268" s="2">
        <v>2.6565819323485201E-10</v>
      </c>
      <c r="G268" s="2">
        <v>1.4142313916857299E-6</v>
      </c>
      <c r="H268" s="2" t="s">
        <v>2179</v>
      </c>
      <c r="I268" s="2" t="s">
        <v>87</v>
      </c>
      <c r="J268" s="2" t="str">
        <f>HYPERLINK("https://vectorbase.org/vectorbase/app/record/gene/AGAP009159","AGAP009159-RA")</f>
        <v>AGAP009159-RA</v>
      </c>
      <c r="K268" s="2" t="str">
        <f>HYPERLINK(".\links\pep\AGAP009159-PA-pep.txt","AGAP009159-PA")</f>
        <v>AGAP009159-PA</v>
      </c>
      <c r="L268" s="12" t="s">
        <v>88</v>
      </c>
      <c r="M268" s="2">
        <v>537</v>
      </c>
      <c r="N268" s="2">
        <v>0</v>
      </c>
      <c r="O268" s="2">
        <v>1</v>
      </c>
      <c r="P268" s="2" t="s">
        <v>2180</v>
      </c>
      <c r="Q268" s="2" t="s">
        <v>2181</v>
      </c>
      <c r="R268" s="2" t="s">
        <v>164</v>
      </c>
      <c r="S268" s="2" t="str">
        <f>HYPERLINK(".\links\CDD\AGAP009159-PA-CDD.txt","CDD")</f>
        <v>CDD</v>
      </c>
      <c r="T268" s="2">
        <v>3.0000000000000001E-83</v>
      </c>
      <c r="U268" s="2">
        <v>101.8</v>
      </c>
      <c r="V268" s="2" t="s">
        <v>2182</v>
      </c>
      <c r="W268" s="10" t="s">
        <v>564</v>
      </c>
      <c r="X268" s="2" t="s">
        <v>179</v>
      </c>
      <c r="Y268" s="2" t="str">
        <f>HYPERLINK(".\links\COG\AGAP009159-PA-COG.txt","COG")</f>
        <v>COG</v>
      </c>
      <c r="Z268" s="13">
        <v>4.9999999999999998E-39</v>
      </c>
      <c r="AA268" s="2">
        <v>97</v>
      </c>
      <c r="AB268" s="12" t="str">
        <f>HYPERLINK(".\links\pep\AGAP009159-PA-sulf.txt","1")</f>
        <v>1</v>
      </c>
      <c r="AC268" s="12" t="str">
        <f>HYPERLINK(".\links\Sigp\AGAP009159-PA-SigP.txt","CYT")</f>
        <v>CYT</v>
      </c>
      <c r="AD268" s="2" t="s">
        <v>89</v>
      </c>
      <c r="AE268" s="2">
        <v>58.835999999999999</v>
      </c>
      <c r="AF268" s="2">
        <v>6.18</v>
      </c>
      <c r="AG268" s="2" t="s">
        <v>89</v>
      </c>
      <c r="AH268" s="2" t="s">
        <v>89</v>
      </c>
      <c r="AI268" s="2" t="s">
        <v>2183</v>
      </c>
      <c r="AJ268" s="12">
        <v>0</v>
      </c>
      <c r="AK268" s="2" t="s">
        <v>89</v>
      </c>
      <c r="AL268" s="2" t="s">
        <v>89</v>
      </c>
      <c r="AM268" s="2" t="s">
        <v>89</v>
      </c>
      <c r="AN268" s="12" t="str">
        <f>HYPERLINK(".\links\gpi\AGAP009159-PA-gpi.txt","N")</f>
        <v>N</v>
      </c>
      <c r="AO268" s="12" t="str">
        <f>HYPERLINK(".\links\netoglyc\AGAP009159-PA-netoglyc.txt","0")</f>
        <v>0</v>
      </c>
      <c r="AP268" s="12">
        <v>11.5</v>
      </c>
      <c r="AQ268" s="2">
        <v>9.6999999999999993</v>
      </c>
      <c r="AR268" s="2">
        <v>5.8</v>
      </c>
      <c r="AS268" s="2" t="s">
        <v>94</v>
      </c>
      <c r="AT268" s="2" t="str">
        <f>HYPERLINK(".\links\NR-LIGHT\AGAP009159-PA-NR-LIGHT.txt","AGAP009159-PA")</f>
        <v>AGAP009159-PA</v>
      </c>
      <c r="AU268" s="2" t="str">
        <f>HYPERLINK("http://www.ncbi.nlm.nih.gov/sutils/blink.cgi?pid=XP_319920.4","0.0")</f>
        <v>0.0</v>
      </c>
      <c r="AV268" s="2" t="str">
        <f>HYPERLINK("http://www.ncbi.nlm.nih.gov/protein/XP_319920.4","XP_319920.4")</f>
        <v>XP_319920.4</v>
      </c>
      <c r="AW268" s="2">
        <v>97</v>
      </c>
      <c r="AX268" s="2">
        <v>98</v>
      </c>
      <c r="AY268" s="2">
        <v>95</v>
      </c>
      <c r="AZ268" s="2" t="s">
        <v>95</v>
      </c>
      <c r="BA268" s="2" t="str">
        <f>HYPERLINK(".\links\REFSEQ-INVERTEBRATE\AGAP009159-PA-REFSEQ-INVERTEBRATE.txt","AGAP009159-PA")</f>
        <v>AGAP009159-PA</v>
      </c>
      <c r="BB268" s="2" t="str">
        <f>HYPERLINK("http://www.ncbi.nlm.nih.gov/sutils/blink.cgi?pid=XP_319920.4","0.0")</f>
        <v>0.0</v>
      </c>
      <c r="BC268" s="2" t="str">
        <f>HYPERLINK("http://www.ncbi.nlm.nih.gov/protein/XP_319920.4","XP_319920.4")</f>
        <v>XP_319920.4</v>
      </c>
      <c r="BD268" s="2">
        <v>97</v>
      </c>
      <c r="BE268" s="2">
        <v>98</v>
      </c>
      <c r="BF268" s="2">
        <v>95</v>
      </c>
      <c r="BG268" s="2" t="s">
        <v>95</v>
      </c>
      <c r="BH268" s="2" t="str">
        <f>HYPERLINK(".\links\REFSEQ-PROTOZOA\AGAP009159-PA-REFSEQ-PROTOZOA.txt","hypothetical protein PPTG_00993")</f>
        <v>hypothetical protein PPTG_00993</v>
      </c>
      <c r="BI268" s="2" t="str">
        <f>HYPERLINK("http://www.ncbi.nlm.nih.gov/sutils/blink.cgi?pid=XP_008890833.1","1E-052")</f>
        <v>1E-052</v>
      </c>
      <c r="BJ268" s="2" t="str">
        <f>HYPERLINK("http://www.ncbi.nlm.nih.gov/protein/XP_008890833.1","XP_008890833.1")</f>
        <v>XP_008890833.1</v>
      </c>
      <c r="BK268" s="2">
        <v>30</v>
      </c>
      <c r="BL268" s="2">
        <v>49</v>
      </c>
      <c r="BM268" s="2">
        <v>92</v>
      </c>
      <c r="BN268" s="2" t="s">
        <v>1281</v>
      </c>
      <c r="BO268" s="2" t="str">
        <f>HYPERLINK(".\links\SWISSP\AGAP009159-PA-SWISSP.txt","Probable 4-coumarate--CoA ligase 3")</f>
        <v>Probable 4-coumarate--CoA ligase 3</v>
      </c>
      <c r="BP268" s="2" t="str">
        <f>HYPERLINK("http://www.uniprot.org/uniprot/Q54P79","2E-050")</f>
        <v>2E-050</v>
      </c>
      <c r="BQ268" s="2" t="str">
        <f>HYPERLINK("http://www.uniprot.org/uniprot/Q54P79#expression","Q54P79")</f>
        <v>Q54P79</v>
      </c>
      <c r="BR268" s="2">
        <v>25</v>
      </c>
      <c r="BS268" s="2">
        <v>48</v>
      </c>
      <c r="BT268" s="2">
        <v>101</v>
      </c>
      <c r="BU268" s="2" t="s">
        <v>636</v>
      </c>
      <c r="BV268" s="2" t="str">
        <f>HYPERLINK(".\links\FLYBASE\AGAP009159-PA-FLYBASE.txt","FBpp0071489")</f>
        <v>FBpp0071489</v>
      </c>
      <c r="BW268" s="2" t="str">
        <f>HYPERLINK("http://flybase.org/reports/FBgn0034552#alliance_summary_container","1E-92")</f>
        <v>1E-92</v>
      </c>
      <c r="BX268" s="2">
        <v>545</v>
      </c>
      <c r="BY268" s="2">
        <v>32</v>
      </c>
      <c r="BZ268" s="2">
        <v>54</v>
      </c>
      <c r="CA268" s="2">
        <v>99</v>
      </c>
      <c r="CB268" s="2" t="str">
        <f>HYPERLINK(".\links\CDD\AGAP009159-PA-CDD.txt","Firefly_Luc_like, Firefly luciferase of light emitting insects and 4-Coumarate-CoA Ligase (4CL)")</f>
        <v>Firefly_Luc_like, Firefly luciferase of light emitting insects and 4-Coumarate-CoA Ligase (4CL)</v>
      </c>
      <c r="CC268" s="13">
        <v>9.9999999999999993E-130</v>
      </c>
      <c r="CD268" s="2">
        <v>101.8</v>
      </c>
      <c r="CE268" s="2" t="s">
        <v>831</v>
      </c>
      <c r="CF268" s="2" t="s">
        <v>2184</v>
      </c>
      <c r="CG268" s="2" t="str">
        <f>HYPERLINK(".\links\KOG\AGAP009159-PA-KOG.txt","Acyl-CoA synthetase")</f>
        <v>Acyl-CoA synthetase</v>
      </c>
      <c r="CH268" s="13">
        <v>1E-108</v>
      </c>
      <c r="CI268" s="2">
        <v>101.3</v>
      </c>
      <c r="CJ268" s="2" t="s">
        <v>833</v>
      </c>
      <c r="CK268" s="2" t="s">
        <v>172</v>
      </c>
      <c r="CL268" s="2" t="str">
        <f>HYPERLINK(".\links\PFAM\AGAP009159-PA-PFAM.txt","AMP-binding, AMP-binding enzyme")</f>
        <v>AMP-binding, AMP-binding enzyme</v>
      </c>
      <c r="CM268" s="13">
        <v>1.0000000000000001E-63</v>
      </c>
      <c r="CN268" s="2">
        <v>100.2</v>
      </c>
      <c r="CO268" s="2" t="s">
        <v>834</v>
      </c>
      <c r="CP268" s="2" t="str">
        <f>HYPERLINK(".\links\SMART\AGAP009159-PA-SMART.txt","PUA, Putative RNA-binding Domain in PseudoUridine synthase and Archaeosine transglycosylase")</f>
        <v>PUA, Putative RNA-binding Domain in PseudoUridine synthase and Archaeosine transglycosylase</v>
      </c>
      <c r="CQ268" s="13">
        <v>0.26</v>
      </c>
      <c r="CR268" s="2">
        <v>51.3</v>
      </c>
      <c r="CS268" s="2" t="s">
        <v>2185</v>
      </c>
      <c r="CT268" s="2" t="s">
        <v>2182</v>
      </c>
      <c r="CU268" s="2" t="s">
        <v>2182</v>
      </c>
      <c r="CV268" s="2" t="s">
        <v>2182</v>
      </c>
      <c r="CW268" s="2" t="str">
        <f>HYPERLINK(".\links\pep\AGAP009159-PA-pep.txt","AGAP009159-PA")</f>
        <v>AGAP009159-PA</v>
      </c>
      <c r="CX268" s="2" t="s">
        <v>88</v>
      </c>
      <c r="CY268" s="2">
        <v>537</v>
      </c>
      <c r="CZ268" s="2" t="s">
        <v>103</v>
      </c>
      <c r="DA268" s="2" t="s">
        <v>2186</v>
      </c>
      <c r="DB268" s="2">
        <v>0</v>
      </c>
      <c r="DC268" s="2">
        <v>1</v>
      </c>
      <c r="DD268" s="2" t="str">
        <f>HYPERLINK("https://www.kegg.jp/kegg-bin/search_pathway_text?map=aga&amp;keyword=AGAP009159&amp;mode=1&amp;viewImage=true","AGAP009159")</f>
        <v>AGAP009159</v>
      </c>
      <c r="DE268" s="2" t="s">
        <v>2178</v>
      </c>
      <c r="DF268" s="2" t="s">
        <v>2179</v>
      </c>
      <c r="DG268" s="2" t="s">
        <v>87</v>
      </c>
      <c r="DH268" s="2" t="str">
        <f>HYPERLINK("https://vectorbase.org/vectorbase/app/record/gene/AGAP009159","AGAP009159-RA")</f>
        <v>AGAP009159-RA</v>
      </c>
      <c r="DI268" s="2" t="s">
        <v>158</v>
      </c>
      <c r="DJ268" s="2">
        <v>1864</v>
      </c>
      <c r="DK268" s="2" t="str">
        <f>HYPERLINK(".\links\netoglyc\AGAP009159-PA-netoglyc.txt","0")</f>
        <v>0</v>
      </c>
      <c r="DL268" s="2">
        <v>11.5</v>
      </c>
      <c r="DM268" s="2">
        <v>9.6999999999999993</v>
      </c>
      <c r="DN268" s="2">
        <v>5.8</v>
      </c>
      <c r="DO268" s="2" t="s">
        <v>94</v>
      </c>
      <c r="DP268" s="2" t="s">
        <v>89</v>
      </c>
      <c r="DQ268" s="2" t="str">
        <f>HYPERLINK(".\links\Sigp\AGAP009159-PA-SigP.txt","CYT")</f>
        <v>CYT</v>
      </c>
      <c r="DR268" s="2" t="s">
        <v>89</v>
      </c>
      <c r="DS268" s="2">
        <v>58.835000000000001</v>
      </c>
      <c r="DT268" s="2">
        <v>6.18</v>
      </c>
      <c r="DU268" s="2" t="s">
        <v>89</v>
      </c>
      <c r="DV268" s="2" t="s">
        <v>89</v>
      </c>
      <c r="DW268" s="2" t="s">
        <v>2183</v>
      </c>
      <c r="DX268" s="2">
        <v>537</v>
      </c>
      <c r="DY268" s="12">
        <v>0</v>
      </c>
      <c r="DZ268" s="2" t="s">
        <v>89</v>
      </c>
      <c r="EA268" s="2" t="s">
        <v>89</v>
      </c>
      <c r="EB268" s="2" t="s">
        <v>89</v>
      </c>
      <c r="EC268" s="2" t="str">
        <f>HYPERLINK(".\links\gpi\AGAP009159-PA-gpi.txt","N")</f>
        <v>N</v>
      </c>
      <c r="ED268" s="2">
        <v>0.22</v>
      </c>
      <c r="EF268" s="2">
        <v>10</v>
      </c>
      <c r="EG268" s="2" t="str">
        <f>HYPERLINK(".\links\pep\AGAP009159-PA-sulf.txt","1")</f>
        <v>1</v>
      </c>
      <c r="EH268" s="2" t="s">
        <v>89</v>
      </c>
      <c r="EI268" s="2">
        <v>11.5456238361266</v>
      </c>
      <c r="EJ268" s="2">
        <v>5.7728119180633204</v>
      </c>
      <c r="EK268" s="2">
        <v>9.6834264432029808</v>
      </c>
      <c r="EL268" s="2">
        <v>15.456238361266299</v>
      </c>
      <c r="EM268" s="2" t="s">
        <v>89</v>
      </c>
      <c r="EN268" s="2">
        <v>1</v>
      </c>
      <c r="EO268" s="2">
        <v>2</v>
      </c>
      <c r="EP268" s="2" t="s">
        <v>89</v>
      </c>
      <c r="EQ268" s="2" t="s">
        <v>89</v>
      </c>
      <c r="ER268" s="2" t="s">
        <v>89</v>
      </c>
      <c r="ES268" s="2" t="s">
        <v>89</v>
      </c>
      <c r="ET268" s="2" t="str">
        <f>HYPERLINK(".\links\REFSEQ-INVERTEBRATE\AGAP009159-PA-REFSEQ-INVERTEBRATE.txt","AGAP009159-PA")</f>
        <v>AGAP009159-PA</v>
      </c>
      <c r="EU268" s="2" t="str">
        <f>HYPERLINK("http://www.ncbi.nlm.nih.gov/sutils/blink.cgi?pid=XP_319920.4","0.0")</f>
        <v>0.0</v>
      </c>
      <c r="EV268" s="2" t="str">
        <f>HYPERLINK("http://www.ncbi.nlm.nih.gov/protein/XP_319920.4","XP_319920.4")</f>
        <v>XP_319920.4</v>
      </c>
      <c r="EW268" s="2">
        <v>97</v>
      </c>
      <c r="EX268" s="2">
        <v>98</v>
      </c>
      <c r="EY268" s="2">
        <v>95</v>
      </c>
      <c r="EZ268" s="2" t="s">
        <v>95</v>
      </c>
    </row>
    <row r="269" spans="1:156" x14ac:dyDescent="0.25">
      <c r="A269" s="2" t="s">
        <v>3219</v>
      </c>
      <c r="B269" s="2">
        <v>-1.5900953685621799</v>
      </c>
      <c r="C269" s="2">
        <f t="shared" si="4"/>
        <v>0.33214949623863571</v>
      </c>
      <c r="D269" s="2">
        <v>3.7603030627107699</v>
      </c>
      <c r="E269" s="2">
        <v>16.034315587359</v>
      </c>
      <c r="F269" s="2">
        <v>6.2204769390668895E-5</v>
      </c>
      <c r="G269" s="2">
        <v>6.2480582990797296E-3</v>
      </c>
      <c r="H269" s="2" t="s">
        <v>86</v>
      </c>
      <c r="I269" s="2" t="s">
        <v>87</v>
      </c>
      <c r="J269" s="2" t="str">
        <f>HYPERLINK("https://vectorbase.org/vectorbase/app/record/gene/AGAP029732","AGAP029732-RA")</f>
        <v>AGAP029732-RA</v>
      </c>
      <c r="K269" s="2" t="str">
        <f>HYPERLINK(".\links\pep\AGAP029732-PA-pep.txt","AGAP029732-PA")</f>
        <v>AGAP029732-PA</v>
      </c>
      <c r="L269" s="12" t="s">
        <v>88</v>
      </c>
      <c r="M269" s="2">
        <v>285</v>
      </c>
      <c r="N269" s="2">
        <v>0</v>
      </c>
      <c r="O269" s="2">
        <v>0</v>
      </c>
      <c r="P269" s="2" t="s">
        <v>89</v>
      </c>
      <c r="Q269" s="2" t="s">
        <v>2652</v>
      </c>
      <c r="R269" s="2" t="s">
        <v>145</v>
      </c>
      <c r="S269" s="2" t="str">
        <f>HYPERLINK(".\links\KOG\AGAP029732-PA-KOG.txt","KOG")</f>
        <v>KOG</v>
      </c>
      <c r="T269" s="2">
        <v>1.0000000000000001E-31</v>
      </c>
      <c r="U269" s="2">
        <v>93.7</v>
      </c>
      <c r="V269" s="2" t="s">
        <v>3220</v>
      </c>
      <c r="W269" s="10" t="s">
        <v>3221</v>
      </c>
      <c r="X269" s="2" t="s">
        <v>164</v>
      </c>
      <c r="Y269" s="2" t="str">
        <f>HYPERLINK(".\links\CDD\AGAP029732-PA-CDD.txt","CDD")</f>
        <v>CDD</v>
      </c>
      <c r="Z269" s="13">
        <v>2.0000000000000001E-89</v>
      </c>
      <c r="AA269" s="2">
        <v>94</v>
      </c>
      <c r="AB269" s="12" t="s">
        <v>89</v>
      </c>
      <c r="AC269" s="12" t="str">
        <f>HYPERLINK(".\links\Sigp\AGAP029732-PA-SigP.txt","CYT")</f>
        <v>CYT</v>
      </c>
      <c r="AD269" s="2" t="s">
        <v>89</v>
      </c>
      <c r="AE269" s="2">
        <v>31.68</v>
      </c>
      <c r="AF269" s="2">
        <v>6.54</v>
      </c>
      <c r="AG269" s="2" t="s">
        <v>89</v>
      </c>
      <c r="AH269" s="2" t="s">
        <v>89</v>
      </c>
      <c r="AI269" s="2" t="s">
        <v>93</v>
      </c>
      <c r="AJ269" s="12">
        <v>0</v>
      </c>
      <c r="AK269" s="2" t="s">
        <v>89</v>
      </c>
      <c r="AL269" s="2" t="s">
        <v>89</v>
      </c>
      <c r="AM269" s="2" t="s">
        <v>89</v>
      </c>
      <c r="AN269" s="2" t="str">
        <f>HYPERLINK(".\links\gpi\AGAP029732-PA-gpi.txt","N")</f>
        <v>N</v>
      </c>
      <c r="AO269" s="12" t="str">
        <f>HYPERLINK(".\links\netoglyc\AGAP029732-PA-netoglyc.txt","1")</f>
        <v>1</v>
      </c>
      <c r="AP269" s="12">
        <v>13.3</v>
      </c>
      <c r="AQ269" s="2">
        <v>6</v>
      </c>
      <c r="AR269" s="2">
        <v>4.5999999999999996</v>
      </c>
      <c r="AS269" s="2" t="s">
        <v>94</v>
      </c>
      <c r="AT269" s="2" t="str">
        <f>HYPERLINK(".\links\NR-LIGHT\AGAP029732-PA-NR-LIGHT.txt","aldo-keto reductase")</f>
        <v>aldo-keto reductase</v>
      </c>
      <c r="AU269" s="2" t="str">
        <f>HYPERLINK("http://www.ncbi.nlm.nih.gov/sutils/blink.cgi?pid=ETN61453.1","1E-121")</f>
        <v>1E-121</v>
      </c>
      <c r="AV269" s="2" t="str">
        <f>HYPERLINK("http://www.ncbi.nlm.nih.gov/protein/ETN61453.1","ETN61453.1")</f>
        <v>ETN61453.1</v>
      </c>
      <c r="AW269" s="2">
        <v>75</v>
      </c>
      <c r="AX269" s="2">
        <v>85</v>
      </c>
      <c r="AY269" s="2">
        <v>91</v>
      </c>
      <c r="AZ269" s="2" t="s">
        <v>2245</v>
      </c>
      <c r="BA269" s="2" t="str">
        <f>HYPERLINK(".\links\REFSEQ-INVERTEBRATE\AGAP029732-PA-REFSEQ-INVERTEBRATE.txt","AGAP012851-PA, partial")</f>
        <v>AGAP012851-PA, partial</v>
      </c>
      <c r="BB269" s="2" t="str">
        <f>HYPERLINK("http://www.ncbi.nlm.nih.gov/sutils/blink.cgi?pid=XP_001230354.2","1E-112")</f>
        <v>1E-112</v>
      </c>
      <c r="BC269" s="2" t="str">
        <f>HYPERLINK("http://www.ncbi.nlm.nih.gov/protein/XP_001230354.2","XP_001230354.2")</f>
        <v>XP_001230354.2</v>
      </c>
      <c r="BD269" s="2">
        <v>100</v>
      </c>
      <c r="BE269" s="2">
        <v>100</v>
      </c>
      <c r="BF269" s="2">
        <v>88</v>
      </c>
      <c r="BG269" s="2" t="s">
        <v>95</v>
      </c>
      <c r="BH269" s="2" t="str">
        <f>HYPERLINK(".\links\REFSEQ-PROTOZOA\AGAP029732-PA-REFSEQ-PROTOZOA.txt","hypothetical protein")</f>
        <v>hypothetical protein</v>
      </c>
      <c r="BI269" s="2" t="str">
        <f>HYPERLINK("http://www.ncbi.nlm.nih.gov/sutils/blink.cgi?pid=XP_001746813.1","1E-065")</f>
        <v>1E-065</v>
      </c>
      <c r="BJ269" s="2" t="str">
        <f>HYPERLINK("http://www.ncbi.nlm.nih.gov/protein/XP_001746813.1","XP_001746813.1")</f>
        <v>XP_001746813.1</v>
      </c>
      <c r="BK269" s="2">
        <v>45</v>
      </c>
      <c r="BL269" s="2">
        <v>63</v>
      </c>
      <c r="BM269" s="2">
        <v>86</v>
      </c>
      <c r="BN269" s="2" t="s">
        <v>389</v>
      </c>
      <c r="BO269" s="2" t="str">
        <f>HYPERLINK(".\links\SWISSP\AGAP029732-PA-SWISSP.txt","Aldose reductase")</f>
        <v>Aldose reductase</v>
      </c>
      <c r="BP269" s="2" t="str">
        <f>HYPERLINK("http://www.uniprot.org/uniprot/P45376","7E-069")</f>
        <v>7E-069</v>
      </c>
      <c r="BQ269" s="2" t="str">
        <f>HYPERLINK("http://www.uniprot.org/uniprot/P45376#expression","P45376")</f>
        <v>P45376</v>
      </c>
      <c r="BR269" s="2">
        <v>46</v>
      </c>
      <c r="BS269" s="2">
        <v>64</v>
      </c>
      <c r="BT269" s="2">
        <v>92</v>
      </c>
      <c r="BU269" s="2" t="s">
        <v>566</v>
      </c>
      <c r="BV269" s="2" t="str">
        <f>HYPERLINK(".\links\FLYBASE\AGAP029732-PA-FLYBASE.txt","FBpp0311505")</f>
        <v>FBpp0311505</v>
      </c>
      <c r="BW269" s="2" t="str">
        <f>HYPERLINK("http://flybase.org/reports/FBgn0036290#alliance_summary_container","1E-102")</f>
        <v>1E-102</v>
      </c>
      <c r="BX269" s="2">
        <v>317</v>
      </c>
      <c r="BY269" s="2">
        <v>53</v>
      </c>
      <c r="BZ269" s="2">
        <v>66</v>
      </c>
      <c r="CA269" s="2">
        <v>91</v>
      </c>
      <c r="CB269" s="2" t="str">
        <f>HYPERLINK(".\links\CDD\AGAP029732-PA-CDD.txt","ARA1, Aldo/keto reductases, related to diketogulonate reductase")</f>
        <v>ARA1, Aldo/keto reductases, related to diketogulonate reductase</v>
      </c>
      <c r="CC269" s="13">
        <v>2E-92</v>
      </c>
      <c r="CD269" s="2">
        <v>99.6</v>
      </c>
      <c r="CE269" s="2" t="s">
        <v>2657</v>
      </c>
      <c r="CF269" s="2" t="s">
        <v>3222</v>
      </c>
      <c r="CG269" s="2" t="str">
        <f>HYPERLINK(".\links\KOG\AGAP029732-PA-KOG.txt","Aldo/keto reductase family proteins")</f>
        <v>Aldo/keto reductase family proteins</v>
      </c>
      <c r="CH269" s="13">
        <v>9.9999999999999995E-113</v>
      </c>
      <c r="CI269" s="2">
        <v>95.7</v>
      </c>
      <c r="CJ269" s="2" t="s">
        <v>2659</v>
      </c>
      <c r="CK269" s="2" t="s">
        <v>187</v>
      </c>
      <c r="CL269" s="2" t="str">
        <f>HYPERLINK(".\links\PFAM\AGAP029732-PA-PFAM.txt","Aldo_ket_red, Aldo/keto reductase family")</f>
        <v>Aldo_ket_red, Aldo/keto reductase family</v>
      </c>
      <c r="CM269" s="13">
        <v>6.9999999999999999E-53</v>
      </c>
      <c r="CN269" s="2">
        <v>103.1</v>
      </c>
      <c r="CO269" s="2" t="s">
        <v>2660</v>
      </c>
      <c r="CP269" s="2" t="str">
        <f>HYPERLINK(".\links\SMART\AGAP029732-PA-SMART.txt","TR_FER, Transferrin")</f>
        <v>TR_FER, Transferrin</v>
      </c>
      <c r="CQ269" s="13">
        <v>0.38</v>
      </c>
      <c r="CR269" s="2">
        <v>8.4</v>
      </c>
      <c r="CS269" s="2" t="s">
        <v>2922</v>
      </c>
      <c r="CT269" s="2" t="s">
        <v>3220</v>
      </c>
      <c r="CU269" s="2" t="s">
        <v>3220</v>
      </c>
      <c r="CV269" s="2" t="s">
        <v>3220</v>
      </c>
      <c r="CW269" s="2" t="str">
        <f>HYPERLINK(".\links\pep\AGAP029732-PA-pep.txt","AGAP029732-PA")</f>
        <v>AGAP029732-PA</v>
      </c>
      <c r="CX269" s="2" t="s">
        <v>88</v>
      </c>
      <c r="CY269" s="2">
        <v>285</v>
      </c>
      <c r="CZ269" s="2" t="s">
        <v>103</v>
      </c>
      <c r="DA269" s="2" t="s">
        <v>3223</v>
      </c>
      <c r="DB269" s="2">
        <v>0</v>
      </c>
      <c r="DC269" s="2">
        <v>0</v>
      </c>
      <c r="DD269" s="2" t="str">
        <f>HYPERLINK("https://www.kegg.jp/kegg-bin/search_pathway_text?map=aga&amp;keyword=AGAP029732&amp;mode=1&amp;viewImage=true","AGAP029732")</f>
        <v>AGAP029732</v>
      </c>
      <c r="DE269" s="2" t="s">
        <v>3219</v>
      </c>
      <c r="DF269" s="2" t="s">
        <v>86</v>
      </c>
      <c r="DG269" s="2" t="s">
        <v>87</v>
      </c>
      <c r="DH269" s="2" t="str">
        <f>HYPERLINK("https://vectorbase.org/vectorbase/app/record/gene/AGAP029732","AGAP029732-RA")</f>
        <v>AGAP029732-RA</v>
      </c>
      <c r="DI269" s="2" t="s">
        <v>140</v>
      </c>
      <c r="DJ269" s="2">
        <v>1025</v>
      </c>
      <c r="DK269" s="2" t="str">
        <f>HYPERLINK(".\links\netoglyc\AGAP029732-PA-netoglyc.txt","1")</f>
        <v>1</v>
      </c>
      <c r="DL269" s="2">
        <v>13.3</v>
      </c>
      <c r="DM269" s="2">
        <v>6</v>
      </c>
      <c r="DN269" s="2">
        <v>4.5999999999999996</v>
      </c>
      <c r="DO269" s="2" t="s">
        <v>94</v>
      </c>
      <c r="DP269" s="2" t="s">
        <v>89</v>
      </c>
      <c r="DQ269" s="2" t="str">
        <f>HYPERLINK(".\links\Sigp\AGAP029732-PA-SigP.txt","CYT")</f>
        <v>CYT</v>
      </c>
      <c r="DR269" s="2" t="s">
        <v>89</v>
      </c>
      <c r="DS269" s="2">
        <v>31.68</v>
      </c>
      <c r="DT269" s="2">
        <v>6.54</v>
      </c>
      <c r="DU269" s="2" t="s">
        <v>89</v>
      </c>
      <c r="DV269" s="2" t="s">
        <v>89</v>
      </c>
      <c r="DW269" s="2" t="s">
        <v>93</v>
      </c>
      <c r="DX269" s="2">
        <v>285</v>
      </c>
      <c r="DY269" s="12">
        <v>0</v>
      </c>
      <c r="DZ269" s="2" t="s">
        <v>89</v>
      </c>
      <c r="EA269" s="2" t="s">
        <v>89</v>
      </c>
      <c r="EB269" s="2" t="s">
        <v>89</v>
      </c>
      <c r="EC269" s="2" t="str">
        <f>HYPERLINK(".\links\gpi\AGAP029732-PA-gpi.txt","N")</f>
        <v>N</v>
      </c>
      <c r="ED269" s="2">
        <v>0.22</v>
      </c>
      <c r="EF269" s="2">
        <v>3</v>
      </c>
      <c r="EG269" s="2" t="s">
        <v>89</v>
      </c>
      <c r="EH269" s="2" t="s">
        <v>89</v>
      </c>
      <c r="EI269" s="2">
        <v>13.3333333333333</v>
      </c>
      <c r="EJ269" s="2">
        <v>4.5614035087719298</v>
      </c>
      <c r="EK269" s="2">
        <v>5.9649122807017498</v>
      </c>
      <c r="EL269" s="2">
        <v>10.526315789473699</v>
      </c>
      <c r="EM269" s="2" t="s">
        <v>89</v>
      </c>
      <c r="EN269" s="2" t="s">
        <v>89</v>
      </c>
      <c r="EO269" s="2">
        <v>1</v>
      </c>
      <c r="EP269" s="2" t="s">
        <v>89</v>
      </c>
      <c r="EQ269" s="2" t="s">
        <v>89</v>
      </c>
      <c r="ER269" s="2" t="s">
        <v>89</v>
      </c>
      <c r="ES269" s="2" t="s">
        <v>89</v>
      </c>
      <c r="ET269" s="2" t="str">
        <f>HYPERLINK(".\links\REFSEQ-INVERTEBRATE\AGAP029732-PA-REFSEQ-INVERTEBRATE.txt","aldo-keto reductase family 1 member B1-like")</f>
        <v>aldo-keto reductase family 1 member B1-like</v>
      </c>
      <c r="EU269" s="2" t="str">
        <f>HYPERLINK("http://www.ncbi.nlm.nih.gov/sutils/blink.cgi?pid=XP_035893334.1","1E-173")</f>
        <v>1E-173</v>
      </c>
      <c r="EV269" s="2" t="str">
        <f>HYPERLINK("http://www.ncbi.nlm.nih.gov/protein/XP_035893334.1","XP_035893334.1")</f>
        <v>XP_035893334.1</v>
      </c>
      <c r="EW269" s="2">
        <v>80</v>
      </c>
      <c r="EX269" s="2">
        <v>89</v>
      </c>
      <c r="EY269" s="2">
        <v>90</v>
      </c>
      <c r="EZ269" s="2" t="s">
        <v>600</v>
      </c>
    </row>
    <row r="270" spans="1:156" x14ac:dyDescent="0.25">
      <c r="A270" s="2" t="s">
        <v>3161</v>
      </c>
      <c r="B270" s="2">
        <v>-1.6153157814091099</v>
      </c>
      <c r="C270" s="2">
        <f t="shared" si="4"/>
        <v>0.32639349696729936</v>
      </c>
      <c r="D270" s="2">
        <v>1.5654568571559</v>
      </c>
      <c r="E270" s="2">
        <v>12.237233947204</v>
      </c>
      <c r="F270" s="2">
        <v>4.68452232721082E-4</v>
      </c>
      <c r="G270" s="2">
        <v>2.54604392585813E-2</v>
      </c>
      <c r="H270" s="2" t="s">
        <v>86</v>
      </c>
      <c r="I270" s="2" t="s">
        <v>87</v>
      </c>
      <c r="J270" s="2" t="str">
        <f>HYPERLINK("https://vectorbase.org/vectorbase/app/record/gene/AGAP029343","AGAP029343-RA")</f>
        <v>AGAP029343-RA</v>
      </c>
      <c r="K270" s="2" t="str">
        <f>HYPERLINK(".\links\pep\AGAP029343-PA-pep.txt","AGAP029343-PA")</f>
        <v>AGAP029343-PA</v>
      </c>
      <c r="L270" s="12" t="s">
        <v>88</v>
      </c>
      <c r="M270" s="2">
        <v>105</v>
      </c>
      <c r="N270" s="2">
        <v>0</v>
      </c>
      <c r="O270" s="2">
        <v>0</v>
      </c>
      <c r="P270" s="2" t="s">
        <v>89</v>
      </c>
      <c r="Q270" s="2" t="s">
        <v>399</v>
      </c>
      <c r="R270" s="2" t="s">
        <v>400</v>
      </c>
      <c r="S270" s="2" t="str">
        <f>HYPERLINK(".\links\REFSEQ-INVERTEBRATE\AGAP029343-PA-REFSEQ-INVERTEBRATE.txt","REFSEQ-INVERTEBRATE")</f>
        <v>REFSEQ-INVERTEBRATE</v>
      </c>
      <c r="T270" s="2">
        <v>9.9999999999999992E-25</v>
      </c>
      <c r="V270" s="2" t="s">
        <v>3162</v>
      </c>
      <c r="W270" s="10" t="s">
        <v>399</v>
      </c>
      <c r="X270" s="2" t="s">
        <v>400</v>
      </c>
      <c r="Y270" s="2" t="str">
        <f>HYPERLINK(".\links\REFSEQ-INVERTEBRATE\AGAP029343-PA-REFSEQ-INVERTEBRATE.txt","REFSEQ-INVERTEBRATE")</f>
        <v>REFSEQ-INVERTEBRATE</v>
      </c>
      <c r="Z270" s="13">
        <v>1E-73</v>
      </c>
      <c r="AA270" s="2">
        <v>100</v>
      </c>
      <c r="AB270" s="12" t="s">
        <v>89</v>
      </c>
      <c r="AC270" s="12" t="str">
        <f>HYPERLINK(".\links\Sigp\AGAP029343-PA-SigP.txt","SIG")</f>
        <v>SIG</v>
      </c>
      <c r="AD270" s="2" t="s">
        <v>1656</v>
      </c>
      <c r="AE270" s="2">
        <v>11.760999999999999</v>
      </c>
      <c r="AF270" s="2">
        <v>8.49</v>
      </c>
      <c r="AG270" s="2">
        <v>8.3870000000000005</v>
      </c>
      <c r="AH270" s="2">
        <v>8.82</v>
      </c>
      <c r="AI270" s="2" t="s">
        <v>3163</v>
      </c>
      <c r="AJ270" s="12" t="str">
        <f>HYPERLINK(".\links\tmhmm\AGAP029343-PA-tmhmm.txt","1")</f>
        <v>1</v>
      </c>
      <c r="AK270" s="2">
        <v>21</v>
      </c>
      <c r="AL270" s="2">
        <v>3.8</v>
      </c>
      <c r="AM270" s="2">
        <v>75.2</v>
      </c>
      <c r="AN270" s="2" t="str">
        <f>HYPERLINK(".\links\gpi\AGAP029343-PA-gpi.txt","N")</f>
        <v>N</v>
      </c>
      <c r="AO270" s="12" t="str">
        <f>HYPERLINK(".\links\netoglyc\AGAP029343-PA-netoglyc.txt","1")</f>
        <v>1</v>
      </c>
      <c r="AP270" s="12">
        <v>11.4</v>
      </c>
      <c r="AQ270" s="2">
        <v>6.7</v>
      </c>
      <c r="AR270" s="2">
        <v>6.7</v>
      </c>
      <c r="AS270" s="2" t="s">
        <v>94</v>
      </c>
      <c r="AT270" s="2" t="str">
        <f>HYPERLINK(".\links\NR-LIGHT\AGAP029343-PA-NR-LIGHT.txt","hypothetical protein AND_004934")</f>
        <v>hypothetical protein AND_004934</v>
      </c>
      <c r="AU270" s="2" t="str">
        <f>HYPERLINK("http://www.ncbi.nlm.nih.gov/sutils/blink.cgi?pid=ETN63367.1","1E-024")</f>
        <v>1E-024</v>
      </c>
      <c r="AV270" s="2" t="str">
        <f>HYPERLINK("http://www.ncbi.nlm.nih.gov/protein/ETN63367.1","ETN63367.1")</f>
        <v>ETN63367.1</v>
      </c>
      <c r="AW270" s="2">
        <v>51</v>
      </c>
      <c r="AX270" s="2">
        <v>63</v>
      </c>
      <c r="AY270" s="2">
        <v>99</v>
      </c>
      <c r="AZ270" s="2" t="s">
        <v>2245</v>
      </c>
      <c r="BA270" s="2" t="str">
        <f>HYPERLINK(".\links\REFSEQ-INVERTEBRATE\AGAP029343-PA-REFSEQ-INVERTEBRATE.txt","uncharacterized protein LOC110676605")</f>
        <v>uncharacterized protein LOC110676605</v>
      </c>
      <c r="BB270" s="2" t="str">
        <f>HYPERLINK("http://www.ncbi.nlm.nih.gov/sutils/blink.cgi?pid=XP_021700842.1","0.036")</f>
        <v>0.036</v>
      </c>
      <c r="BC270" s="2" t="str">
        <f>HYPERLINK("http://www.ncbi.nlm.nih.gov/protein/XP_021700842.1","XP_021700842.1")</f>
        <v>XP_021700842.1</v>
      </c>
      <c r="BD270" s="2">
        <v>31</v>
      </c>
      <c r="BE270" s="2">
        <v>45</v>
      </c>
      <c r="BF270" s="2">
        <v>85</v>
      </c>
      <c r="BG270" s="2" t="s">
        <v>233</v>
      </c>
      <c r="BH270" s="2" t="str">
        <f>HYPERLINK(".\links\REFSEQ-PROTOZOA\AGAP029343-PA-REFSEQ-PROTOZOA.txt","hypothetical protein")</f>
        <v>hypothetical protein</v>
      </c>
      <c r="BI270" s="2" t="str">
        <f>HYPERLINK("http://www.ncbi.nlm.nih.gov/sutils/blink.cgi?pid=XP_001307684.1","2.1")</f>
        <v>2.1</v>
      </c>
      <c r="BJ270" s="2" t="str">
        <f>HYPERLINK("http://www.ncbi.nlm.nih.gov/protein/XP_001307684.1","XP_001307684.1")</f>
        <v>XP_001307684.1</v>
      </c>
      <c r="BK270" s="2">
        <v>30</v>
      </c>
      <c r="BL270" s="2">
        <v>52</v>
      </c>
      <c r="BM270" s="2">
        <v>8</v>
      </c>
      <c r="BN270" s="2" t="s">
        <v>879</v>
      </c>
      <c r="BO270" s="2" t="str">
        <f>HYPERLINK(".\links\SWISSP\AGAP029343-PA-SWISSP.txt","Leucine--tRNA ligase 2")</f>
        <v>Leucine--tRNA ligase 2</v>
      </c>
      <c r="BP270" s="2" t="str">
        <f>HYPERLINK("http://www.uniprot.org/uniprot/Q1MA25","0.41")</f>
        <v>0.41</v>
      </c>
      <c r="BQ270" s="2" t="str">
        <f>HYPERLINK("http://www.uniprot.org/uniprot/Q1MA25#expression","Q1MA25")</f>
        <v>Q1MA25</v>
      </c>
      <c r="BR270" s="2">
        <v>32</v>
      </c>
      <c r="BS270" s="2">
        <v>47</v>
      </c>
      <c r="BT270" s="2">
        <v>8</v>
      </c>
      <c r="BU270" s="2" t="s">
        <v>3164</v>
      </c>
      <c r="BV270" s="2" t="str">
        <f>HYPERLINK(".\links\FLYBASE\AGAP029343-PA-FLYBASE.txt","FBpp0271810")</f>
        <v>FBpp0271810</v>
      </c>
      <c r="BW270" s="2" t="str">
        <f>HYPERLINK("http://flybase.org/reports/FBgn0034023#alliance_summary_container","12")</f>
        <v>12</v>
      </c>
      <c r="BX270" s="2">
        <v>599</v>
      </c>
      <c r="BY270" s="2">
        <v>32</v>
      </c>
      <c r="BZ270" s="2">
        <v>60</v>
      </c>
      <c r="CA270" s="2">
        <v>5</v>
      </c>
      <c r="CB270" s="2" t="str">
        <f>HYPERLINK(".\links\CDD\AGAP029343-PA-CDD.txt","7tmA_HCAR1-3, hydroxycarboxylic acid receptors, member of the class A family of seven-transmembrane G protein-coupled receptors")</f>
        <v>7tmA_HCAR1-3, hydroxycarboxylic acid receptors, member of the class A family of seven-transmembrane G protein-coupled receptors</v>
      </c>
      <c r="CC270" s="13">
        <v>0.46</v>
      </c>
      <c r="CD270" s="2">
        <v>12.1</v>
      </c>
      <c r="CE270" s="2" t="s">
        <v>3165</v>
      </c>
      <c r="CF270" s="2" t="s">
        <v>3166</v>
      </c>
      <c r="CG270" s="2" t="str">
        <f>HYPERLINK(".\links\KOG\AGAP029343-PA-KOG.txt","Glutaminyl-tRNA synthetase")</f>
        <v>Glutaminyl-tRNA synthetase</v>
      </c>
      <c r="CH270" s="13">
        <v>1.7000000000000001E-2</v>
      </c>
      <c r="CI270" s="2">
        <v>6.4</v>
      </c>
      <c r="CJ270" s="2" t="s">
        <v>3167</v>
      </c>
      <c r="CK270" s="2" t="s">
        <v>252</v>
      </c>
      <c r="CL270" s="2" t="str">
        <f>HYPERLINK(".\links\PFAM\AGAP029343-PA-PFAM.txt","DHHW, DHHW protein")</f>
        <v>DHHW, DHHW protein</v>
      </c>
      <c r="CM270" s="13">
        <v>2.6</v>
      </c>
      <c r="CN270" s="2">
        <v>12.1</v>
      </c>
      <c r="CO270" s="2" t="s">
        <v>3168</v>
      </c>
      <c r="CP270" s="2" t="str">
        <f>HYPERLINK(".\links\SMART\AGAP029343-PA-SMART.txt","POX, domain associated with HOX domains")</f>
        <v>POX, domain associated with HOX domains</v>
      </c>
      <c r="CQ270" s="13">
        <v>2</v>
      </c>
      <c r="CR270" s="2">
        <v>15</v>
      </c>
      <c r="CS270" s="2" t="s">
        <v>3169</v>
      </c>
      <c r="CT270" s="2" t="s">
        <v>3162</v>
      </c>
      <c r="CU270" s="2" t="s">
        <v>3162</v>
      </c>
      <c r="CV270" s="2" t="s">
        <v>3162</v>
      </c>
      <c r="CW270" s="2" t="str">
        <f>HYPERLINK(".\links\pep\AGAP029343-PA-pep.txt","AGAP029343-PA")</f>
        <v>AGAP029343-PA</v>
      </c>
      <c r="CX270" s="2" t="s">
        <v>88</v>
      </c>
      <c r="CY270" s="2">
        <v>105</v>
      </c>
      <c r="CZ270" s="2" t="s">
        <v>103</v>
      </c>
      <c r="DA270" s="2" t="s">
        <v>3170</v>
      </c>
      <c r="DB270" s="2">
        <v>0</v>
      </c>
      <c r="DC270" s="2">
        <v>0</v>
      </c>
      <c r="DD270" s="2" t="str">
        <f>HYPERLINK("https://www.kegg.jp/kegg-bin/search_pathway_text?map=aga&amp;keyword=AGAP029343&amp;mode=1&amp;viewImage=true","AGAP029343")</f>
        <v>AGAP029343</v>
      </c>
      <c r="DE270" s="2" t="s">
        <v>3161</v>
      </c>
      <c r="DF270" s="2" t="s">
        <v>86</v>
      </c>
      <c r="DG270" s="2" t="s">
        <v>87</v>
      </c>
      <c r="DH270" s="2" t="str">
        <f>HYPERLINK("https://vectorbase.org/vectorbase/app/record/gene/AGAP029343","AGAP029343-RA")</f>
        <v>AGAP029343-RA</v>
      </c>
      <c r="DI270" s="2" t="s">
        <v>158</v>
      </c>
      <c r="DJ270" s="2">
        <v>514</v>
      </c>
      <c r="DK270" s="2" t="str">
        <f>HYPERLINK(".\links\netoglyc\AGAP029343-PA-netoglyc.txt","1")</f>
        <v>1</v>
      </c>
      <c r="DL270" s="2">
        <v>11.4</v>
      </c>
      <c r="DM270" s="2">
        <v>6.7</v>
      </c>
      <c r="DN270" s="2">
        <v>6.7</v>
      </c>
      <c r="DO270" s="2" t="s">
        <v>94</v>
      </c>
      <c r="DP270" s="2" t="s">
        <v>89</v>
      </c>
      <c r="DQ270" s="2" t="str">
        <f>HYPERLINK(".\links\Sigp\AGAP029343-PA-SigP.txt","SIG")</f>
        <v>SIG</v>
      </c>
      <c r="DR270" s="2" t="s">
        <v>1656</v>
      </c>
      <c r="DS270" s="2">
        <v>11.760999999999999</v>
      </c>
      <c r="DT270" s="2">
        <v>8.49</v>
      </c>
      <c r="DU270" s="2">
        <v>8.3870000000000005</v>
      </c>
      <c r="DV270" s="2">
        <v>8.82</v>
      </c>
      <c r="DW270" s="2" t="s">
        <v>3163</v>
      </c>
      <c r="DX270" s="2">
        <v>105</v>
      </c>
      <c r="DY270" s="12" t="str">
        <f>HYPERLINK(".\links\tmhmm\AGAP029343-PA-tmhmm.txt","1")</f>
        <v>1</v>
      </c>
      <c r="DZ270" s="2">
        <v>21</v>
      </c>
      <c r="EA270" s="2">
        <v>3.8</v>
      </c>
      <c r="EB270" s="2">
        <v>75.2</v>
      </c>
      <c r="EC270" s="2" t="str">
        <f>HYPERLINK(".\links\gpi\AGAP029343-PA-gpi.txt","Y-NoSP")</f>
        <v>Y-NoSP</v>
      </c>
      <c r="ED270" s="2">
        <v>0.38</v>
      </c>
      <c r="EE270" s="2" t="s">
        <v>3171</v>
      </c>
      <c r="EF270" s="2">
        <v>3</v>
      </c>
      <c r="EG270" s="2" t="s">
        <v>89</v>
      </c>
      <c r="EH270" s="2" t="s">
        <v>89</v>
      </c>
      <c r="EI270" s="2">
        <v>11.4285714285714</v>
      </c>
      <c r="EJ270" s="2">
        <v>6.6666666666666696</v>
      </c>
      <c r="EK270" s="2">
        <v>6.6666666666666696</v>
      </c>
      <c r="EL270" s="2">
        <v>13.3333333333333</v>
      </c>
      <c r="EM270" s="2" t="s">
        <v>89</v>
      </c>
      <c r="EN270" s="2">
        <v>1</v>
      </c>
      <c r="EO270" s="2">
        <v>1</v>
      </c>
      <c r="EP270" s="2" t="s">
        <v>89</v>
      </c>
      <c r="EQ270" s="2" t="s">
        <v>89</v>
      </c>
      <c r="ER270" s="2" t="s">
        <v>89</v>
      </c>
      <c r="ES270" s="2" t="s">
        <v>89</v>
      </c>
      <c r="ET270" s="2" t="str">
        <f>HYPERLINK(".\links\REFSEQ-INVERTEBRATE\AGAP029343-PA-REFSEQ-INVERTEBRATE.txt","uncharacterized protein LOC119770150")</f>
        <v>uncharacterized protein LOC119770150</v>
      </c>
      <c r="EU270" s="2" t="str">
        <f>HYPERLINK("http://www.ncbi.nlm.nih.gov/sutils/blink.cgi?pid=XP_038120452.1","0.001")</f>
        <v>0.001</v>
      </c>
      <c r="EV270" s="2" t="str">
        <f>HYPERLINK("http://www.ncbi.nlm.nih.gov/protein/XP_038120452.1","XP_038120452.1")</f>
        <v>XP_038120452.1</v>
      </c>
      <c r="EW270" s="2">
        <v>32</v>
      </c>
      <c r="EX270" s="2">
        <v>45</v>
      </c>
      <c r="EY270" s="2">
        <v>88</v>
      </c>
      <c r="EZ270" s="2" t="s">
        <v>487</v>
      </c>
    </row>
    <row r="271" spans="1:156" x14ac:dyDescent="0.25">
      <c r="A271" s="2" t="s">
        <v>1721</v>
      </c>
      <c r="B271" s="2">
        <v>-1.6166582307508699</v>
      </c>
      <c r="C271" s="2">
        <f t="shared" si="4"/>
        <v>0.32608992419162042</v>
      </c>
      <c r="D271" s="2">
        <v>5.2489412868115197</v>
      </c>
      <c r="E271" s="2">
        <v>13.117254960201199</v>
      </c>
      <c r="F271" s="2">
        <v>2.9258842610367501E-4</v>
      </c>
      <c r="G271" s="2">
        <v>1.84330708445315E-2</v>
      </c>
      <c r="H271" s="2" t="s">
        <v>86</v>
      </c>
      <c r="I271" s="2" t="s">
        <v>87</v>
      </c>
      <c r="J271" s="2" t="str">
        <f>HYPERLINK("https://vectorbase.org/vectorbase/app/record/gene/AGAP006788","AGAP006788-RA")</f>
        <v>AGAP006788-RA</v>
      </c>
      <c r="K271" s="2" t="str">
        <f>HYPERLINK(".\links\pep\AGAP006788-PA-pep.txt","AGAP006788-PA")</f>
        <v>AGAP006788-PA</v>
      </c>
      <c r="L271" s="12" t="s">
        <v>88</v>
      </c>
      <c r="M271" s="2">
        <v>222</v>
      </c>
      <c r="N271" s="2">
        <v>0</v>
      </c>
      <c r="O271" s="2">
        <v>0</v>
      </c>
      <c r="P271" s="2" t="s">
        <v>89</v>
      </c>
      <c r="Q271" s="2" t="s">
        <v>1722</v>
      </c>
      <c r="R271" s="2" t="s">
        <v>91</v>
      </c>
      <c r="S271" s="2" t="str">
        <f>HYPERLINK(".\links\REFSEQ-INVERTEBRATE\AGAP006788-PA-REFSEQ-INVERTEBRATE.txt","REFSEQ-INVERTEBRATE")</f>
        <v>REFSEQ-INVERTEBRATE</v>
      </c>
      <c r="T271" s="2">
        <v>0</v>
      </c>
      <c r="U271" s="2">
        <v>100</v>
      </c>
      <c r="V271" s="2" t="s">
        <v>1722</v>
      </c>
      <c r="W271" s="10" t="s">
        <v>1723</v>
      </c>
      <c r="X271" s="2" t="s">
        <v>91</v>
      </c>
      <c r="Y271" s="2" t="str">
        <f>HYPERLINK(".\links\ARTHORPODA\AGAP006788-PA-ARTHORPODA.txt","ARTHORPODA")</f>
        <v>ARTHORPODA</v>
      </c>
      <c r="Z271" s="2">
        <v>0</v>
      </c>
      <c r="AA271" s="2">
        <v>100</v>
      </c>
      <c r="AB271" s="12" t="s">
        <v>89</v>
      </c>
      <c r="AC271" s="12" t="str">
        <f>HYPERLINK(".\links\Sigp\AGAP006788-PA-SigP.txt","CYT")</f>
        <v>CYT</v>
      </c>
      <c r="AD271" s="2" t="s">
        <v>89</v>
      </c>
      <c r="AE271" s="2">
        <v>25.111999999999998</v>
      </c>
      <c r="AF271" s="2">
        <v>8.9</v>
      </c>
      <c r="AG271" s="2" t="s">
        <v>89</v>
      </c>
      <c r="AH271" s="2" t="s">
        <v>89</v>
      </c>
      <c r="AI271" s="2" t="s">
        <v>93</v>
      </c>
      <c r="AJ271" s="12">
        <v>0</v>
      </c>
      <c r="AK271" s="2" t="s">
        <v>89</v>
      </c>
      <c r="AL271" s="2" t="s">
        <v>89</v>
      </c>
      <c r="AM271" s="2" t="s">
        <v>89</v>
      </c>
      <c r="AN271" s="12" t="str">
        <f>HYPERLINK(".\links\gpi\AGAP006788-PA-gpi.txt","N")</f>
        <v>N</v>
      </c>
      <c r="AO271" s="12" t="str">
        <f>HYPERLINK(".\links\netoglyc\AGAP006788-PA-netoglyc.txt","0")</f>
        <v>0</v>
      </c>
      <c r="AP271" s="12">
        <v>9.9</v>
      </c>
      <c r="AQ271" s="2">
        <v>6.3</v>
      </c>
      <c r="AR271" s="2">
        <v>4.0999999999999996</v>
      </c>
      <c r="AS271" s="2" t="s">
        <v>94</v>
      </c>
      <c r="AT271" s="2" t="str">
        <f>HYPERLINK(".\links\NR-LIGHT\AGAP006788-PA-NR-LIGHT.txt","AGAP006788-PA")</f>
        <v>AGAP006788-PA</v>
      </c>
      <c r="AU271" s="2" t="str">
        <f>HYPERLINK("http://www.ncbi.nlm.nih.gov/sutils/blink.cgi?pid=XP_001237158.1","1E-125")</f>
        <v>1E-125</v>
      </c>
      <c r="AV271" s="2" t="str">
        <f>HYPERLINK("http://www.ncbi.nlm.nih.gov/protein/XP_001237158.1","XP_001237158.1")</f>
        <v>XP_001237158.1</v>
      </c>
      <c r="AW271" s="2">
        <v>100</v>
      </c>
      <c r="AX271" s="2">
        <v>100</v>
      </c>
      <c r="AY271" s="2">
        <v>100</v>
      </c>
      <c r="AZ271" s="2" t="s">
        <v>95</v>
      </c>
      <c r="BA271" s="2" t="str">
        <f>HYPERLINK(".\links\REFSEQ-INVERTEBRATE\AGAP006788-PA-REFSEQ-INVERTEBRATE.txt","AGAP006788-PA")</f>
        <v>AGAP006788-PA</v>
      </c>
      <c r="BB271" s="2" t="str">
        <f>HYPERLINK("http://www.ncbi.nlm.nih.gov/sutils/blink.cgi?pid=XP_001237158.1","1E-125")</f>
        <v>1E-125</v>
      </c>
      <c r="BC271" s="2" t="str">
        <f>HYPERLINK("http://www.ncbi.nlm.nih.gov/protein/XP_001237158.1","XP_001237158.1")</f>
        <v>XP_001237158.1</v>
      </c>
      <c r="BD271" s="2">
        <v>100</v>
      </c>
      <c r="BE271" s="2">
        <v>100</v>
      </c>
      <c r="BF271" s="2">
        <v>100</v>
      </c>
      <c r="BG271" s="2" t="s">
        <v>95</v>
      </c>
      <c r="BH271" s="2" t="str">
        <f>HYPERLINK(".\links\REFSEQ-PROTOZOA\AGAP006788-PA-REFSEQ-PROTOZOA.txt","hypothetical protein PTSG_03815")</f>
        <v>hypothetical protein PTSG_03815</v>
      </c>
      <c r="BI271" s="2" t="str">
        <f>HYPERLINK("http://www.ncbi.nlm.nih.gov/sutils/blink.cgi?pid=XP_004995548.1","1.8")</f>
        <v>1.8</v>
      </c>
      <c r="BJ271" s="2" t="str">
        <f>HYPERLINK("http://www.ncbi.nlm.nih.gov/protein/XP_004995548.1","XP_004995548.1")</f>
        <v>XP_004995548.1</v>
      </c>
      <c r="BK271" s="2">
        <v>26</v>
      </c>
      <c r="BL271" s="2">
        <v>41</v>
      </c>
      <c r="BM271" s="2">
        <v>11</v>
      </c>
      <c r="BN271" s="2" t="s">
        <v>182</v>
      </c>
      <c r="BO271" s="2" t="str">
        <f>HYPERLINK(".\links\SWISSP\AGAP006788-PA-SWISSP.txt","Arrestin domain-containing protein 1")</f>
        <v>Arrestin domain-containing protein 1</v>
      </c>
      <c r="BP271" s="2" t="str">
        <f>HYPERLINK("http://www.uniprot.org/uniprot/B0BNL6","3.6")</f>
        <v>3.6</v>
      </c>
      <c r="BQ271" s="2" t="str">
        <f>HYPERLINK("http://www.uniprot.org/uniprot/B0BNL6#expression","B0BNL6")</f>
        <v>B0BNL6</v>
      </c>
      <c r="BR271" s="2">
        <v>25</v>
      </c>
      <c r="BS271" s="2">
        <v>37</v>
      </c>
      <c r="BT271" s="2">
        <v>30</v>
      </c>
      <c r="BU271" s="2" t="s">
        <v>198</v>
      </c>
      <c r="BV271" s="2" t="str">
        <f>HYPERLINK(".\links\FLYBASE\AGAP006788-PA-FLYBASE.txt","FBpp0070797")</f>
        <v>FBpp0070797</v>
      </c>
      <c r="BW271" s="2" t="str">
        <f>HYPERLINK("http://flybase.org/reports/FBgn0029813#alliance_summary_container","4E-17")</f>
        <v>4E-17</v>
      </c>
      <c r="BX271" s="2">
        <v>216</v>
      </c>
      <c r="BY271" s="2">
        <v>26</v>
      </c>
      <c r="BZ271" s="2">
        <v>43</v>
      </c>
      <c r="CA271" s="2">
        <v>100</v>
      </c>
      <c r="CB271" s="2" t="str">
        <f>HYPERLINK(".\links\CDD\AGAP006788-PA-CDD.txt","RimI, Acetyltransferases")</f>
        <v>RimI, Acetyltransferases</v>
      </c>
      <c r="CC271" s="13">
        <v>2E-3</v>
      </c>
      <c r="CD271" s="2">
        <v>31.1</v>
      </c>
      <c r="CE271" s="2" t="s">
        <v>1724</v>
      </c>
      <c r="CF271" s="2" t="s">
        <v>1725</v>
      </c>
      <c r="CG271" s="2" t="str">
        <f>HYPERLINK(".\links\KOG\AGAP006788-PA-KOG.txt","Subunit of the major N alpha-acetyltransferase")</f>
        <v>Subunit of the major N alpha-acetyltransferase</v>
      </c>
      <c r="CH271" s="13">
        <v>0.3</v>
      </c>
      <c r="CI271" s="2">
        <v>11.4</v>
      </c>
      <c r="CJ271" s="2" t="s">
        <v>1726</v>
      </c>
      <c r="CK271" s="2" t="s">
        <v>187</v>
      </c>
      <c r="CL271" s="2" t="str">
        <f>HYPERLINK(".\links\PFAM\AGAP006788-PA-PFAM.txt","Acetyltransf_7, Acetyltransferase (GNAT) domain")</f>
        <v>Acetyltransf_7, Acetyltransferase (GNAT) domain</v>
      </c>
      <c r="CM271" s="13">
        <v>0.02</v>
      </c>
      <c r="CN271" s="2">
        <v>59.8</v>
      </c>
      <c r="CO271" s="2" t="s">
        <v>1727</v>
      </c>
      <c r="CP271" s="2" t="str">
        <f>HYPERLINK(".\links\SMART\AGAP006788-PA-SMART.txt","FMN_bind, This conserved region includes the FMN-binding site of the NqrC protein as well as the NosR and NirI regulatory proteins")</f>
        <v>FMN_bind, This conserved region includes the FMN-binding site of the NqrC protein as well as the NosR and NirI regulatory proteins</v>
      </c>
      <c r="CQ271" s="13">
        <v>0.28000000000000003</v>
      </c>
      <c r="CR271" s="2">
        <v>18.600000000000001</v>
      </c>
      <c r="CS271" s="2" t="s">
        <v>1728</v>
      </c>
      <c r="CT271" s="2" t="s">
        <v>1722</v>
      </c>
      <c r="CU271" s="2" t="s">
        <v>1722</v>
      </c>
      <c r="CV271" s="2" t="s">
        <v>1722</v>
      </c>
      <c r="CW271" s="2" t="str">
        <f>HYPERLINK(".\links\pep\AGAP006788-PA-pep.txt","AGAP006788-PA")</f>
        <v>AGAP006788-PA</v>
      </c>
      <c r="CX271" s="2" t="s">
        <v>88</v>
      </c>
      <c r="CY271" s="2">
        <v>222</v>
      </c>
      <c r="CZ271" s="2" t="s">
        <v>103</v>
      </c>
      <c r="DA271" s="2" t="s">
        <v>1729</v>
      </c>
      <c r="DB271" s="2">
        <v>0</v>
      </c>
      <c r="DC271" s="2">
        <v>0</v>
      </c>
      <c r="DD271" s="2" t="str">
        <f>HYPERLINK("https://www.kegg.jp/kegg-bin/search_pathway_text?map=aga&amp;keyword=AGAP006788&amp;mode=1&amp;viewImage=true","AGAP006788")</f>
        <v>AGAP006788</v>
      </c>
      <c r="DE271" s="2" t="s">
        <v>1721</v>
      </c>
      <c r="DF271" s="2" t="s">
        <v>86</v>
      </c>
      <c r="DG271" s="2" t="s">
        <v>87</v>
      </c>
      <c r="DH271" s="2" t="str">
        <f>HYPERLINK("https://vectorbase.org/vectorbase/app/record/gene/AGAP006788","AGAP006788-RA")</f>
        <v>AGAP006788-RA</v>
      </c>
      <c r="DI271" s="2" t="s">
        <v>140</v>
      </c>
      <c r="DJ271" s="2">
        <v>669</v>
      </c>
      <c r="DK271" s="2" t="str">
        <f>HYPERLINK(".\links\netoglyc\AGAP006788-PA-netoglyc.txt","0")</f>
        <v>0</v>
      </c>
      <c r="DL271" s="2">
        <v>9.9</v>
      </c>
      <c r="DM271" s="2">
        <v>6.3</v>
      </c>
      <c r="DN271" s="2">
        <v>4.0999999999999996</v>
      </c>
      <c r="DO271" s="2" t="s">
        <v>94</v>
      </c>
      <c r="DP271" s="2" t="s">
        <v>1730</v>
      </c>
      <c r="DQ271" s="2" t="str">
        <f>HYPERLINK(".\links\Sigp\AGAP006788-PA-SigP.txt","CYT")</f>
        <v>CYT</v>
      </c>
      <c r="DR271" s="2" t="s">
        <v>89</v>
      </c>
      <c r="DS271" s="2">
        <v>25.15</v>
      </c>
      <c r="DT271" s="2">
        <v>8.9</v>
      </c>
      <c r="DU271" s="2" t="s">
        <v>89</v>
      </c>
      <c r="DV271" s="2" t="s">
        <v>89</v>
      </c>
      <c r="DW271" s="2" t="s">
        <v>93</v>
      </c>
      <c r="DX271" s="2">
        <v>222</v>
      </c>
      <c r="DY271" s="12">
        <v>0</v>
      </c>
      <c r="DZ271" s="2" t="s">
        <v>89</v>
      </c>
      <c r="EA271" s="2" t="s">
        <v>89</v>
      </c>
      <c r="EB271" s="2" t="s">
        <v>89</v>
      </c>
      <c r="EC271" s="2" t="str">
        <f>HYPERLINK(".\links\gpi\AGAP006788-PA-gpi.txt","N")</f>
        <v>N</v>
      </c>
      <c r="ED271" s="2">
        <v>0.32</v>
      </c>
      <c r="EF271" s="2">
        <v>7</v>
      </c>
      <c r="EG271" s="2" t="s">
        <v>89</v>
      </c>
      <c r="EH271" s="2" t="s">
        <v>89</v>
      </c>
      <c r="EI271" s="2">
        <v>9.9099099099099099</v>
      </c>
      <c r="EJ271" s="2">
        <v>4.0540540540540499</v>
      </c>
      <c r="EK271" s="2">
        <v>6.3063063063063103</v>
      </c>
      <c r="EL271" s="2">
        <v>10.360360360360399</v>
      </c>
      <c r="EM271" s="2" t="s">
        <v>89</v>
      </c>
      <c r="EN271" s="2" t="s">
        <v>89</v>
      </c>
      <c r="EO271" s="2">
        <v>1</v>
      </c>
      <c r="EP271" s="2" t="s">
        <v>89</v>
      </c>
      <c r="EQ271" s="2" t="s">
        <v>89</v>
      </c>
      <c r="ER271" s="2" t="s">
        <v>89</v>
      </c>
      <c r="ES271" s="2" t="s">
        <v>89</v>
      </c>
      <c r="ET271" s="2" t="str">
        <f>HYPERLINK(".\links\REFSEQ-INVERTEBRATE\AGAP006788-PA-REFSEQ-INVERTEBRATE.txt","AGAP006788-PA")</f>
        <v>AGAP006788-PA</v>
      </c>
      <c r="EU271" s="2" t="str">
        <f>HYPERLINK("http://www.ncbi.nlm.nih.gov/sutils/blink.cgi?pid=XP_001237158.1","1E-166")</f>
        <v>1E-166</v>
      </c>
      <c r="EV271" s="2" t="str">
        <f>HYPERLINK("http://www.ncbi.nlm.nih.gov/protein/XP_001237158.1","XP_001237158.1")</f>
        <v>XP_001237158.1</v>
      </c>
      <c r="EW271" s="2">
        <v>100</v>
      </c>
      <c r="EX271" s="2">
        <v>100</v>
      </c>
      <c r="EY271" s="2">
        <v>100</v>
      </c>
      <c r="EZ271" s="2" t="s">
        <v>95</v>
      </c>
    </row>
    <row r="272" spans="1:156" x14ac:dyDescent="0.25">
      <c r="A272" s="2" t="s">
        <v>2395</v>
      </c>
      <c r="B272" s="2">
        <v>-1.6402249522168699</v>
      </c>
      <c r="C272" s="2">
        <f t="shared" si="4"/>
        <v>0.32080644874682368</v>
      </c>
      <c r="D272" s="2">
        <v>7.3799289037303604</v>
      </c>
      <c r="E272" s="2">
        <v>10.9027195484292</v>
      </c>
      <c r="F272" s="2">
        <v>9.6023179774139896E-4</v>
      </c>
      <c r="G272" s="2">
        <v>4.0230092277628499E-2</v>
      </c>
      <c r="H272" s="2" t="s">
        <v>86</v>
      </c>
      <c r="I272" s="2" t="s">
        <v>87</v>
      </c>
      <c r="J272" s="2" t="str">
        <f>HYPERLINK("https://vectorbase.org/vectorbase/app/record/gene/AGAP010047","AGAP010047-RA")</f>
        <v>AGAP010047-RA</v>
      </c>
      <c r="K272" s="2" t="str">
        <f>HYPERLINK(".\links\pep\AGAP010047-PA-pep.txt","AGAP010047-PA")</f>
        <v>AGAP010047-PA</v>
      </c>
      <c r="L272" s="12" t="s">
        <v>88</v>
      </c>
      <c r="M272" s="2">
        <v>116</v>
      </c>
      <c r="N272" s="2">
        <v>0</v>
      </c>
      <c r="O272" s="2">
        <v>0</v>
      </c>
      <c r="P272" s="2" t="s">
        <v>89</v>
      </c>
      <c r="Q272" s="2" t="s">
        <v>2383</v>
      </c>
      <c r="R272" s="2" t="s">
        <v>1045</v>
      </c>
      <c r="S272" s="2" t="str">
        <f>HYPERLINK(".\links\PFAM\AGAP010047-PA-PFAM.txt","PFAM")</f>
        <v>PFAM</v>
      </c>
      <c r="T272" s="2">
        <v>1E-13</v>
      </c>
      <c r="U272" s="2">
        <v>100</v>
      </c>
      <c r="V272" s="2" t="s">
        <v>2396</v>
      </c>
      <c r="W272" s="10" t="s">
        <v>2385</v>
      </c>
      <c r="X272" s="2" t="s">
        <v>1045</v>
      </c>
      <c r="Y272" s="2" t="str">
        <f>HYPERLINK(".\links\PFAM\AGAP010047-PA-PFAM.txt","PFAM")</f>
        <v>PFAM</v>
      </c>
      <c r="Z272" s="2">
        <v>6.9999999999999998E-9</v>
      </c>
      <c r="AA272" s="2">
        <v>95.4</v>
      </c>
      <c r="AB272" s="12" t="str">
        <f>HYPERLINK(".\links\pep\AGAP010047-PA-sulf.txt","1")</f>
        <v>1</v>
      </c>
      <c r="AC272" s="12" t="str">
        <f>HYPERLINK(".\links\Sigp\AGAP010047-PA-SigP.txt","SIG")</f>
        <v>SIG</v>
      </c>
      <c r="AD272" s="2" t="s">
        <v>420</v>
      </c>
      <c r="AE272" s="2">
        <v>12.648999999999999</v>
      </c>
      <c r="AF272" s="2">
        <v>5.53</v>
      </c>
      <c r="AG272" s="2">
        <v>9.6110000000000007</v>
      </c>
      <c r="AH272" s="2">
        <v>4.8499999999999996</v>
      </c>
      <c r="AI272" s="2" t="s">
        <v>2397</v>
      </c>
      <c r="AJ272" s="12" t="str">
        <f>HYPERLINK(".\links\tmhmm\AGAP010047-PA-tmhmm.txt","1")</f>
        <v>1</v>
      </c>
      <c r="AK272" s="2">
        <v>19</v>
      </c>
      <c r="AL272" s="2">
        <v>8.6</v>
      </c>
      <c r="AM272" s="2">
        <v>72.400000000000006</v>
      </c>
      <c r="AN272" s="12" t="str">
        <f>HYPERLINK(".\links\gpi\AGAP010047-PA-gpi.txt","N")</f>
        <v>N</v>
      </c>
      <c r="AO272" s="12" t="str">
        <f>HYPERLINK(".\links\netoglyc\AGAP010047-PA-netoglyc.txt","2")</f>
        <v>2</v>
      </c>
      <c r="AP272" s="12">
        <v>15.5</v>
      </c>
      <c r="AQ272" s="2">
        <v>5.2</v>
      </c>
      <c r="AR272" s="2">
        <v>8.6</v>
      </c>
      <c r="AS272" s="2" t="s">
        <v>94</v>
      </c>
      <c r="AT272" s="2" t="str">
        <f>HYPERLINK(".\links\NR-LIGHT\AGAP010047-PA-NR-LIGHT.txt","AGAP010047-PA")</f>
        <v>AGAP010047-PA</v>
      </c>
      <c r="AU272" s="2" t="str">
        <f>HYPERLINK("http://www.ncbi.nlm.nih.gov/sutils/blink.cgi?pid=XP_001238104.1","7E-063")</f>
        <v>7E-063</v>
      </c>
      <c r="AV272" s="2" t="str">
        <f>HYPERLINK("http://www.ncbi.nlm.nih.gov/protein/XP_001238104.1","XP_001238104.1")</f>
        <v>XP_001238104.1</v>
      </c>
      <c r="AW272" s="2">
        <v>100</v>
      </c>
      <c r="AX272" s="2">
        <v>100</v>
      </c>
      <c r="AY272" s="2">
        <v>100</v>
      </c>
      <c r="AZ272" s="2" t="s">
        <v>95</v>
      </c>
      <c r="BA272" s="2" t="str">
        <f>HYPERLINK(".\links\REFSEQ-INVERTEBRATE\AGAP010047-PA-REFSEQ-INVERTEBRATE.txt","AGAP010047-PA")</f>
        <v>AGAP010047-PA</v>
      </c>
      <c r="BB272" s="2" t="str">
        <f>HYPERLINK("http://www.ncbi.nlm.nih.gov/sutils/blink.cgi?pid=XP_001238104.1","6E-063")</f>
        <v>6E-063</v>
      </c>
      <c r="BC272" s="2" t="str">
        <f>HYPERLINK("http://www.ncbi.nlm.nih.gov/protein/XP_001238104.1","XP_001238104.1")</f>
        <v>XP_001238104.1</v>
      </c>
      <c r="BD272" s="2">
        <v>100</v>
      </c>
      <c r="BE272" s="2">
        <v>100</v>
      </c>
      <c r="BF272" s="2">
        <v>100</v>
      </c>
      <c r="BG272" s="2" t="s">
        <v>95</v>
      </c>
      <c r="BH272" s="2" t="str">
        <f>HYPERLINK(".\links\REFSEQ-PROTOZOA\AGAP010047-PA-REFSEQ-PROTOZOA.txt","hypothetical protein PPL_00587")</f>
        <v>hypothetical protein PPL_00587</v>
      </c>
      <c r="BI272" s="2" t="str">
        <f>HYPERLINK("http://www.ncbi.nlm.nih.gov/sutils/blink.cgi?pid=XP_020438886.1","0.74")</f>
        <v>0.74</v>
      </c>
      <c r="BJ272" s="2" t="str">
        <f>HYPERLINK("http://www.ncbi.nlm.nih.gov/protein/XP_020438886.1","XP_020438886.1")</f>
        <v>XP_020438886.1</v>
      </c>
      <c r="BK272" s="2">
        <v>30</v>
      </c>
      <c r="BL272" s="2">
        <v>48</v>
      </c>
      <c r="BM272" s="2">
        <v>7</v>
      </c>
      <c r="BN272" s="2" t="s">
        <v>2387</v>
      </c>
      <c r="BO272" s="2" t="str">
        <f>HYPERLINK(".\links\SWISSP\AGAP010047-PA-SWISSP.txt","La1-like protein 13")</f>
        <v>La1-like protein 13</v>
      </c>
      <c r="BP272" s="2" t="str">
        <f>HYPERLINK("http://www.uniprot.org/uniprot/L0GCJ1","0.048")</f>
        <v>0.048</v>
      </c>
      <c r="BQ272" s="2" t="str">
        <f>HYPERLINK("http://www.uniprot.org/uniprot/L0GCJ1#expression","L0GCJ1")</f>
        <v>L0GCJ1</v>
      </c>
      <c r="BR272" s="2">
        <v>28</v>
      </c>
      <c r="BS272" s="2">
        <v>49</v>
      </c>
      <c r="BT272" s="2">
        <v>58</v>
      </c>
      <c r="BU272" s="2" t="s">
        <v>2398</v>
      </c>
      <c r="BV272" s="2" t="str">
        <f>HYPERLINK(".\links\FLYBASE\AGAP010047-PA-FLYBASE.txt","FBpp0298018")</f>
        <v>FBpp0298018</v>
      </c>
      <c r="BW272" s="2" t="str">
        <f>HYPERLINK("http://flybase.org/reports/FBgn0030270#alliance_summary_container","5E-06")</f>
        <v>5E-06</v>
      </c>
      <c r="BX272" s="2">
        <v>116</v>
      </c>
      <c r="BY272" s="2">
        <v>33</v>
      </c>
      <c r="BZ272" s="2">
        <v>47</v>
      </c>
      <c r="CA272" s="2">
        <v>64</v>
      </c>
      <c r="CB272" s="2" t="str">
        <f>HYPERLINK(".\links\CDD\AGAP010047-PA-CDD.txt","SVWC, Single domain von Willebrand factor type C")</f>
        <v>SVWC, Single domain von Willebrand factor type C</v>
      </c>
      <c r="CC272" s="13">
        <v>4.0000000000000001E-13</v>
      </c>
      <c r="CD272" s="2">
        <v>100</v>
      </c>
      <c r="CE272" s="2" t="s">
        <v>2389</v>
      </c>
      <c r="CF272" s="2" t="s">
        <v>2399</v>
      </c>
      <c r="CG272" s="2" t="str">
        <f>HYPERLINK(".\links\KOG\AGAP010047-PA-KOG.txt","Biotin synthase")</f>
        <v>Biotin synthase</v>
      </c>
      <c r="CH272" s="13">
        <v>3</v>
      </c>
      <c r="CI272" s="2">
        <v>11.8</v>
      </c>
      <c r="CJ272" s="2" t="s">
        <v>2400</v>
      </c>
      <c r="CK272" s="2" t="s">
        <v>219</v>
      </c>
      <c r="CL272" s="2" t="str">
        <f>HYPERLINK(".\links\PFAM\AGAP010047-PA-PFAM.txt","SVWC, Single domain von Willebrand factor type C")</f>
        <v>SVWC, Single domain von Willebrand factor type C</v>
      </c>
      <c r="CM272" s="13">
        <v>1E-13</v>
      </c>
      <c r="CN272" s="2">
        <v>100</v>
      </c>
      <c r="CO272" s="2" t="s">
        <v>2389</v>
      </c>
      <c r="CP272" s="2" t="str">
        <f>HYPERLINK(".\links\SMART\AGAP010047-PA-SMART.txt","Endonuclease_NS, DNA/RNA non-specific endonuclease")</f>
        <v>Endonuclease_NS, DNA/RNA non-specific endonuclease</v>
      </c>
      <c r="CQ272" s="13">
        <v>0.28000000000000003</v>
      </c>
      <c r="CR272" s="2">
        <v>17.2</v>
      </c>
      <c r="CS272" s="2" t="s">
        <v>2401</v>
      </c>
      <c r="CT272" s="2" t="s">
        <v>2396</v>
      </c>
      <c r="CU272" s="2" t="s">
        <v>2396</v>
      </c>
      <c r="CV272" s="2" t="s">
        <v>2396</v>
      </c>
      <c r="CW272" s="2" t="str">
        <f>HYPERLINK(".\links\pep\AGAP010047-PA-pep.txt","AGAP010047-PA")</f>
        <v>AGAP010047-PA</v>
      </c>
      <c r="CX272" s="2" t="s">
        <v>88</v>
      </c>
      <c r="CY272" s="2">
        <v>116</v>
      </c>
      <c r="CZ272" s="2" t="s">
        <v>103</v>
      </c>
      <c r="DA272" s="2" t="s">
        <v>2402</v>
      </c>
      <c r="DB272" s="2">
        <v>0</v>
      </c>
      <c r="DC272" s="2">
        <v>0</v>
      </c>
      <c r="DD272" s="2" t="str">
        <f>HYPERLINK("https://www.kegg.jp/kegg-bin/search_pathway_text?map=aga&amp;keyword=AGAP010047&amp;mode=1&amp;viewImage=true","AGAP010047")</f>
        <v>AGAP010047</v>
      </c>
      <c r="DE272" s="2" t="s">
        <v>2395</v>
      </c>
      <c r="DF272" s="2" t="s">
        <v>86</v>
      </c>
      <c r="DG272" s="2" t="s">
        <v>87</v>
      </c>
      <c r="DH272" s="2" t="str">
        <f>HYPERLINK("https://vectorbase.org/vectorbase/app/record/gene/AGAP010047","AGAP010047-RA")</f>
        <v>AGAP010047-RA</v>
      </c>
      <c r="DI272" s="2" t="s">
        <v>105</v>
      </c>
      <c r="DJ272" s="2">
        <v>712</v>
      </c>
      <c r="DK272" s="2" t="str">
        <f>HYPERLINK(".\links\netoglyc\AGAP010047-PA-netoglyc.txt","2")</f>
        <v>2</v>
      </c>
      <c r="DL272" s="2">
        <v>15.5</v>
      </c>
      <c r="DM272" s="2">
        <v>5.2</v>
      </c>
      <c r="DN272" s="2">
        <v>8.6</v>
      </c>
      <c r="DO272" s="2" t="s">
        <v>94</v>
      </c>
      <c r="DP272" s="2" t="s">
        <v>89</v>
      </c>
      <c r="DQ272" s="2" t="str">
        <f>HYPERLINK(".\links\Sigp\AGAP010047-PA-SigP.txt","SIG")</f>
        <v>SIG</v>
      </c>
      <c r="DR272" s="2" t="s">
        <v>420</v>
      </c>
      <c r="DS272" s="2">
        <v>12.648999999999999</v>
      </c>
      <c r="DT272" s="2">
        <v>5.53</v>
      </c>
      <c r="DU272" s="2">
        <v>9.6110000000000007</v>
      </c>
      <c r="DV272" s="2">
        <v>4.8499999999999996</v>
      </c>
      <c r="DW272" s="2" t="s">
        <v>2397</v>
      </c>
      <c r="DX272" s="2">
        <v>116</v>
      </c>
      <c r="DY272" s="12" t="str">
        <f>HYPERLINK(".\links\tmhmm\AGAP010047-PA-tmhmm.txt","1")</f>
        <v>1</v>
      </c>
      <c r="DZ272" s="2">
        <v>19</v>
      </c>
      <c r="EA272" s="2">
        <v>8.6</v>
      </c>
      <c r="EB272" s="2">
        <v>72.400000000000006</v>
      </c>
      <c r="EC272" s="2" t="str">
        <f>HYPERLINK(".\links\gpi\AGAP010047-PA-gpi.txt","Y-NoSP")</f>
        <v>Y-NoSP</v>
      </c>
      <c r="ED272" s="2">
        <v>0.33</v>
      </c>
      <c r="EF272" s="2">
        <v>6</v>
      </c>
      <c r="EG272" s="2" t="str">
        <f>HYPERLINK(".\links\pep\AGAP010047-PA-sulf.txt","1")</f>
        <v>1</v>
      </c>
      <c r="EH272" s="2" t="s">
        <v>89</v>
      </c>
      <c r="EI272" s="2">
        <v>15.517241379310301</v>
      </c>
      <c r="EJ272" s="2">
        <v>8.6206896551724093</v>
      </c>
      <c r="EK272" s="2">
        <v>5.1724137931034502</v>
      </c>
      <c r="EL272" s="2">
        <v>13.7931034482759</v>
      </c>
      <c r="EM272" s="2">
        <v>1</v>
      </c>
      <c r="EN272" s="2" t="s">
        <v>89</v>
      </c>
      <c r="EO272" s="2">
        <v>1</v>
      </c>
      <c r="EP272" s="2" t="s">
        <v>89</v>
      </c>
      <c r="EQ272" s="2" t="s">
        <v>89</v>
      </c>
      <c r="ER272" s="2" t="s">
        <v>89</v>
      </c>
      <c r="ES272" s="2" t="s">
        <v>89</v>
      </c>
      <c r="ET272" s="2" t="str">
        <f>HYPERLINK(".\links\REFSEQ-INVERTEBRATE\AGAP010047-PA-REFSEQ-INVERTEBRATE.txt","AGAP010047-PA")</f>
        <v>AGAP010047-PA</v>
      </c>
      <c r="EU272" s="2" t="str">
        <f>HYPERLINK("http://www.ncbi.nlm.nih.gov/sutils/blink.cgi?pid=XP_001238104.1","5E-82")</f>
        <v>5E-82</v>
      </c>
      <c r="EV272" s="2" t="str">
        <f>HYPERLINK("http://www.ncbi.nlm.nih.gov/protein/XP_001238104.1","XP_001238104.1")</f>
        <v>XP_001238104.1</v>
      </c>
      <c r="EW272" s="2">
        <v>100</v>
      </c>
      <c r="EX272" s="2">
        <v>100</v>
      </c>
      <c r="EY272" s="2">
        <v>100</v>
      </c>
      <c r="EZ272" s="2" t="s">
        <v>95</v>
      </c>
    </row>
    <row r="273" spans="1:156" x14ac:dyDescent="0.25">
      <c r="A273" s="2" t="s">
        <v>2382</v>
      </c>
      <c r="B273" s="2">
        <v>-1.7036043198547499</v>
      </c>
      <c r="C273" s="2">
        <f t="shared" si="4"/>
        <v>0.30701811362579762</v>
      </c>
      <c r="D273" s="2">
        <v>6.3143696818861601</v>
      </c>
      <c r="E273" s="2">
        <v>10.867385099322901</v>
      </c>
      <c r="F273" s="2">
        <v>9.7872622469113795E-4</v>
      </c>
      <c r="G273" s="2">
        <v>4.03895275747541E-2</v>
      </c>
      <c r="H273" s="2" t="s">
        <v>86</v>
      </c>
      <c r="I273" s="2" t="s">
        <v>87</v>
      </c>
      <c r="J273" s="2" t="str">
        <f>HYPERLINK("https://vectorbase.org/vectorbase/app/record/gene/AGAP010046","AGAP010046-RA")</f>
        <v>AGAP010046-RA</v>
      </c>
      <c r="K273" s="2" t="str">
        <f>HYPERLINK(".\links\pep\AGAP010046-PA-pep.txt","AGAP010046-PA")</f>
        <v>AGAP010046-PA</v>
      </c>
      <c r="L273" s="12" t="s">
        <v>88</v>
      </c>
      <c r="M273" s="2">
        <v>118</v>
      </c>
      <c r="N273" s="2">
        <v>0</v>
      </c>
      <c r="O273" s="2">
        <v>0</v>
      </c>
      <c r="P273" s="2" t="s">
        <v>89</v>
      </c>
      <c r="Q273" s="2" t="s">
        <v>2383</v>
      </c>
      <c r="R273" s="2" t="s">
        <v>1045</v>
      </c>
      <c r="S273" s="2" t="str">
        <f>HYPERLINK(".\links\PFAM\AGAP010046-PA-PFAM.txt","PFAM")</f>
        <v>PFAM</v>
      </c>
      <c r="T273" s="2">
        <v>2.0000000000000001E-13</v>
      </c>
      <c r="U273" s="2">
        <v>98.4</v>
      </c>
      <c r="V273" s="2" t="s">
        <v>2384</v>
      </c>
      <c r="W273" s="10" t="s">
        <v>2385</v>
      </c>
      <c r="X273" s="2" t="s">
        <v>1045</v>
      </c>
      <c r="Y273" s="2" t="str">
        <f>HYPERLINK(".\links\PFAM\AGAP010046-PA-PFAM.txt","PFAM")</f>
        <v>PFAM</v>
      </c>
      <c r="Z273" s="2">
        <v>3E-10</v>
      </c>
      <c r="AA273" s="2">
        <v>95.4</v>
      </c>
      <c r="AB273" s="12" t="str">
        <f>HYPERLINK(".\links\pep\AGAP010046-PA-sulf.txt","1")</f>
        <v>1</v>
      </c>
      <c r="AC273" s="12" t="str">
        <f>HYPERLINK(".\links\Sigp\AGAP010046-PA-SigP.txt","SIG")</f>
        <v>SIG</v>
      </c>
      <c r="AD273" s="2" t="s">
        <v>1656</v>
      </c>
      <c r="AE273" s="2">
        <v>13.430999999999999</v>
      </c>
      <c r="AF273" s="2">
        <v>6.07</v>
      </c>
      <c r="AG273" s="2">
        <v>10.214</v>
      </c>
      <c r="AH273" s="2">
        <v>4.99</v>
      </c>
      <c r="AI273" s="2" t="s">
        <v>2386</v>
      </c>
      <c r="AJ273" s="12" t="str">
        <f>HYPERLINK(".\links\tmhmm\AGAP010046-PA-tmhmm.txt","1")</f>
        <v>1</v>
      </c>
      <c r="AK273" s="2">
        <v>18.600000000000001</v>
      </c>
      <c r="AL273" s="2">
        <v>8.5</v>
      </c>
      <c r="AM273" s="2">
        <v>72.900000000000006</v>
      </c>
      <c r="AN273" s="12" t="str">
        <f>HYPERLINK(".\links\gpi\AGAP010046-PA-gpi.txt","N")</f>
        <v>N</v>
      </c>
      <c r="AO273" s="12" t="str">
        <f>HYPERLINK(".\links\netoglyc\AGAP010046-PA-netoglyc.txt","0")</f>
        <v>0</v>
      </c>
      <c r="AP273" s="12">
        <v>14.4</v>
      </c>
      <c r="AQ273" s="2">
        <v>5.0999999999999996</v>
      </c>
      <c r="AR273" s="2">
        <v>5.0999999999999996</v>
      </c>
      <c r="AS273" s="2" t="s">
        <v>94</v>
      </c>
      <c r="AT273" s="2" t="str">
        <f>HYPERLINK(".\links\NR-LIGHT\AGAP010046-PA-NR-LIGHT.txt","AGAP010046-PA")</f>
        <v>AGAP010046-PA</v>
      </c>
      <c r="AU273" s="2" t="str">
        <f>HYPERLINK("http://www.ncbi.nlm.nih.gov/sutils/blink.cgi?pid=XP_001238101.1","5E-064")</f>
        <v>5E-064</v>
      </c>
      <c r="AV273" s="2" t="str">
        <f>HYPERLINK("http://www.ncbi.nlm.nih.gov/protein/XP_001238101.1","XP_001238101.1")</f>
        <v>XP_001238101.1</v>
      </c>
      <c r="AW273" s="2">
        <v>100</v>
      </c>
      <c r="AX273" s="2">
        <v>100</v>
      </c>
      <c r="AY273" s="2">
        <v>100</v>
      </c>
      <c r="AZ273" s="2" t="s">
        <v>95</v>
      </c>
      <c r="BA273" s="2" t="str">
        <f>HYPERLINK(".\links\REFSEQ-INVERTEBRATE\AGAP010046-PA-REFSEQ-INVERTEBRATE.txt","AGAP010046-PA")</f>
        <v>AGAP010046-PA</v>
      </c>
      <c r="BB273" s="2" t="str">
        <f>HYPERLINK("http://www.ncbi.nlm.nih.gov/sutils/blink.cgi?pid=XP_001238101.1","4E-064")</f>
        <v>4E-064</v>
      </c>
      <c r="BC273" s="2" t="str">
        <f>HYPERLINK("http://www.ncbi.nlm.nih.gov/protein/XP_001238101.1","XP_001238101.1")</f>
        <v>XP_001238101.1</v>
      </c>
      <c r="BD273" s="2">
        <v>100</v>
      </c>
      <c r="BE273" s="2">
        <v>100</v>
      </c>
      <c r="BF273" s="2">
        <v>100</v>
      </c>
      <c r="BG273" s="2" t="s">
        <v>95</v>
      </c>
      <c r="BH273" s="2" t="str">
        <f>HYPERLINK(".\links\REFSEQ-PROTOZOA\AGAP010046-PA-REFSEQ-PROTOZOA.txt","hypothetical protein PPL_00587")</f>
        <v>hypothetical protein PPL_00587</v>
      </c>
      <c r="BI273" s="2" t="str">
        <f>HYPERLINK("http://www.ncbi.nlm.nih.gov/sutils/blink.cgi?pid=XP_020438886.1","0.19")</f>
        <v>0.19</v>
      </c>
      <c r="BJ273" s="2" t="str">
        <f>HYPERLINK("http://www.ncbi.nlm.nih.gov/protein/XP_020438886.1","XP_020438886.1")</f>
        <v>XP_020438886.1</v>
      </c>
      <c r="BK273" s="2">
        <v>31</v>
      </c>
      <c r="BL273" s="2">
        <v>53</v>
      </c>
      <c r="BM273" s="2">
        <v>6</v>
      </c>
      <c r="BN273" s="2" t="s">
        <v>2387</v>
      </c>
      <c r="BO273" s="2" t="str">
        <f>HYPERLINK(".\links\SWISSP\AGAP010046-PA-SWISSP.txt","Venom peptide HsVx1")</f>
        <v>Venom peptide HsVx1</v>
      </c>
      <c r="BP273" s="2" t="str">
        <f>HYPERLINK("http://www.uniprot.org/uniprot/K7WMX6","0.42")</f>
        <v>0.42</v>
      </c>
      <c r="BQ273" s="2" t="str">
        <f>HYPERLINK("http://www.uniprot.org/uniprot/K7WMX6#expression","K7WMX6")</f>
        <v>K7WMX6</v>
      </c>
      <c r="BR273" s="2">
        <v>31</v>
      </c>
      <c r="BS273" s="2">
        <v>44</v>
      </c>
      <c r="BT273" s="2">
        <v>76</v>
      </c>
      <c r="BU273" s="2" t="s">
        <v>2388</v>
      </c>
      <c r="BV273" s="2" t="str">
        <f>HYPERLINK(".\links\FLYBASE\AGAP010046-PA-FLYBASE.txt","FBpp0298016")</f>
        <v>FBpp0298016</v>
      </c>
      <c r="BW273" s="2" t="str">
        <f>HYPERLINK("http://flybase.org/reports/FBgn0030271#alliance_summary_container","1E-04")</f>
        <v>1E-04</v>
      </c>
      <c r="BX273" s="2">
        <v>115</v>
      </c>
      <c r="BY273" s="2">
        <v>32</v>
      </c>
      <c r="BZ273" s="2">
        <v>44</v>
      </c>
      <c r="CA273" s="2">
        <v>68</v>
      </c>
      <c r="CB273" s="2" t="str">
        <f>HYPERLINK(".\links\CDD\AGAP010046-PA-CDD.txt","SVWC, Single domain von Willebrand factor type C")</f>
        <v>SVWC, Single domain von Willebrand factor type C</v>
      </c>
      <c r="CC273" s="13">
        <v>8.0000000000000002E-13</v>
      </c>
      <c r="CD273" s="2">
        <v>98.5</v>
      </c>
      <c r="CE273" s="2" t="s">
        <v>2389</v>
      </c>
      <c r="CF273" s="2" t="s">
        <v>2390</v>
      </c>
      <c r="CG273" s="2" t="str">
        <f>HYPERLINK(".\links\KOG\AGAP010046-PA-KOG.txt","Heparan sulfate-glucuronic acid C5-epimerase")</f>
        <v>Heparan sulfate-glucuronic acid C5-epimerase</v>
      </c>
      <c r="CH273" s="13">
        <v>1.6</v>
      </c>
      <c r="CI273" s="2">
        <v>8.1</v>
      </c>
      <c r="CJ273" s="2" t="s">
        <v>2391</v>
      </c>
      <c r="CK273" s="2" t="s">
        <v>1206</v>
      </c>
      <c r="CL273" s="2" t="str">
        <f>HYPERLINK(".\links\PFAM\AGAP010046-PA-PFAM.txt","SVWC, Single domain von Willebrand factor type C")</f>
        <v>SVWC, Single domain von Willebrand factor type C</v>
      </c>
      <c r="CM273" s="13">
        <v>2.0000000000000001E-13</v>
      </c>
      <c r="CN273" s="2">
        <v>98.5</v>
      </c>
      <c r="CO273" s="2" t="s">
        <v>2389</v>
      </c>
      <c r="CP273" s="2" t="s">
        <v>2392</v>
      </c>
      <c r="CQ273" s="13">
        <v>0.71</v>
      </c>
      <c r="CR273" s="2">
        <v>12.8</v>
      </c>
      <c r="CS273" s="2" t="s">
        <v>2393</v>
      </c>
      <c r="CT273" s="2" t="s">
        <v>2384</v>
      </c>
      <c r="CU273" s="2" t="s">
        <v>2384</v>
      </c>
      <c r="CV273" s="2" t="s">
        <v>2384</v>
      </c>
      <c r="CW273" s="2" t="str">
        <f>HYPERLINK(".\links\pep\AGAP010046-PA-pep.txt","AGAP010046-PA")</f>
        <v>AGAP010046-PA</v>
      </c>
      <c r="CX273" s="2" t="s">
        <v>88</v>
      </c>
      <c r="CY273" s="2">
        <v>118</v>
      </c>
      <c r="CZ273" s="2" t="s">
        <v>103</v>
      </c>
      <c r="DA273" s="2" t="s">
        <v>2394</v>
      </c>
      <c r="DB273" s="2">
        <v>0</v>
      </c>
      <c r="DC273" s="2">
        <v>0</v>
      </c>
      <c r="DD273" s="2" t="str">
        <f>HYPERLINK("https://www.kegg.jp/kegg-bin/search_pathway_text?map=aga&amp;keyword=AGAP010046&amp;mode=1&amp;viewImage=true","AGAP010046")</f>
        <v>AGAP010046</v>
      </c>
      <c r="DE273" s="2" t="s">
        <v>2382</v>
      </c>
      <c r="DF273" s="2" t="s">
        <v>86</v>
      </c>
      <c r="DG273" s="2" t="s">
        <v>87</v>
      </c>
      <c r="DH273" s="2" t="str">
        <f>HYPERLINK("https://vectorbase.org/vectorbase/app/record/gene/AGAP010046","AGAP010046-RA")</f>
        <v>AGAP010046-RA</v>
      </c>
      <c r="DI273" s="2" t="s">
        <v>140</v>
      </c>
      <c r="DJ273" s="2">
        <v>570</v>
      </c>
      <c r="DK273" s="2" t="str">
        <f>HYPERLINK(".\links\netoglyc\AGAP010046-PA-netoglyc.txt","0")</f>
        <v>0</v>
      </c>
      <c r="DL273" s="2">
        <v>14.4</v>
      </c>
      <c r="DM273" s="2">
        <v>5.0999999999999996</v>
      </c>
      <c r="DN273" s="2">
        <v>5.0999999999999996</v>
      </c>
      <c r="DO273" s="2" t="s">
        <v>94</v>
      </c>
      <c r="DP273" s="2" t="s">
        <v>89</v>
      </c>
      <c r="DQ273" s="2" t="str">
        <f>HYPERLINK(".\links\Sigp\AGAP010046-PA-SigP.txt","SIG")</f>
        <v>SIG</v>
      </c>
      <c r="DR273" s="2" t="s">
        <v>1656</v>
      </c>
      <c r="DS273" s="2">
        <v>13.430999999999999</v>
      </c>
      <c r="DT273" s="2">
        <v>6.07</v>
      </c>
      <c r="DU273" s="2">
        <v>10.214</v>
      </c>
      <c r="DV273" s="2">
        <v>4.99</v>
      </c>
      <c r="DW273" s="2" t="s">
        <v>2386</v>
      </c>
      <c r="DX273" s="2">
        <v>118</v>
      </c>
      <c r="DY273" s="12" t="str">
        <f>HYPERLINK(".\links\tmhmm\AGAP010046-PA-tmhmm.txt","1")</f>
        <v>1</v>
      </c>
      <c r="DZ273" s="2">
        <v>18.600000000000001</v>
      </c>
      <c r="EA273" s="2">
        <v>8.5</v>
      </c>
      <c r="EB273" s="2">
        <v>72.900000000000006</v>
      </c>
      <c r="EC273" s="2" t="str">
        <f>HYPERLINK(".\links\gpi\AGAP010046-PA-gpi.txt","N")</f>
        <v>N</v>
      </c>
      <c r="ED273" s="2">
        <v>0.27</v>
      </c>
      <c r="EF273" s="2">
        <v>6</v>
      </c>
      <c r="EG273" s="2" t="str">
        <f>HYPERLINK(".\links\pep\AGAP010046-PA-sulf.txt","1")</f>
        <v>1</v>
      </c>
      <c r="EH273" s="2" t="s">
        <v>89</v>
      </c>
      <c r="EI273" s="2">
        <v>14.4067796610169</v>
      </c>
      <c r="EJ273" s="2">
        <v>5.0847457627118597</v>
      </c>
      <c r="EK273" s="2">
        <v>5.0847457627118597</v>
      </c>
      <c r="EL273" s="2">
        <v>10.1694915254237</v>
      </c>
      <c r="EM273" s="2">
        <v>1</v>
      </c>
      <c r="EN273" s="2" t="s">
        <v>89</v>
      </c>
      <c r="EO273" s="2">
        <v>2</v>
      </c>
      <c r="EP273" s="2" t="s">
        <v>89</v>
      </c>
      <c r="EQ273" s="2" t="s">
        <v>89</v>
      </c>
      <c r="ER273" s="2" t="s">
        <v>89</v>
      </c>
      <c r="ES273" s="2" t="s">
        <v>89</v>
      </c>
      <c r="ET273" s="2" t="str">
        <f>HYPERLINK(".\links\REFSEQ-INVERTEBRATE\AGAP010046-PA-REFSEQ-INVERTEBRATE.txt","AGAP010046-PA")</f>
        <v>AGAP010046-PA</v>
      </c>
      <c r="EU273" s="2" t="str">
        <f>HYPERLINK("http://www.ncbi.nlm.nih.gov/sutils/blink.cgi?pid=XP_001238101.1","1E-84")</f>
        <v>1E-84</v>
      </c>
      <c r="EV273" s="2" t="str">
        <f>HYPERLINK("http://www.ncbi.nlm.nih.gov/protein/XP_001238101.1","XP_001238101.1")</f>
        <v>XP_001238101.1</v>
      </c>
      <c r="EW273" s="2">
        <v>100</v>
      </c>
      <c r="EX273" s="2">
        <v>100</v>
      </c>
      <c r="EY273" s="2">
        <v>100</v>
      </c>
      <c r="EZ273" s="2" t="s">
        <v>95</v>
      </c>
    </row>
    <row r="274" spans="1:156" x14ac:dyDescent="0.25">
      <c r="A274" s="2" t="s">
        <v>3155</v>
      </c>
      <c r="B274" s="2">
        <v>-1.82071180747987</v>
      </c>
      <c r="C274" s="2">
        <f t="shared" si="4"/>
        <v>0.2830812681467984</v>
      </c>
      <c r="D274" s="2">
        <v>1.82382228857433</v>
      </c>
      <c r="E274" s="2">
        <v>21.3935029596291</v>
      </c>
      <c r="F274" s="2">
        <v>3.7403652471459201E-6</v>
      </c>
      <c r="G274" s="2">
        <v>9.4818259015148996E-4</v>
      </c>
      <c r="H274" s="2" t="s">
        <v>86</v>
      </c>
      <c r="I274" s="2" t="s">
        <v>87</v>
      </c>
      <c r="J274" s="2" t="str">
        <f>HYPERLINK("https://vectorbase.org/vectorbase/app/record/gene/AGAP029325","AGAP029325-RA")</f>
        <v>AGAP029325-RA</v>
      </c>
      <c r="K274" s="2" t="str">
        <f>HYPERLINK(".\links\pep\AGAP029325-PA-pep.txt","AGAP029325-PA")</f>
        <v>AGAP029325-PA</v>
      </c>
      <c r="L274" s="12" t="s">
        <v>88</v>
      </c>
      <c r="M274" s="2">
        <v>328</v>
      </c>
      <c r="N274" s="2">
        <v>0</v>
      </c>
      <c r="O274" s="2">
        <v>0</v>
      </c>
      <c r="P274" s="2" t="s">
        <v>89</v>
      </c>
      <c r="Q274" s="2" t="s">
        <v>2188</v>
      </c>
      <c r="R274" s="2" t="s">
        <v>2189</v>
      </c>
      <c r="S274" s="2" t="str">
        <f>HYPERLINK(".\links\KOG\AGAP029325-PA-KOG.txt","KOG")</f>
        <v>KOG</v>
      </c>
      <c r="T274" s="2">
        <v>9.9999999999999997E-49</v>
      </c>
      <c r="U274" s="2">
        <v>92</v>
      </c>
      <c r="V274" s="2" t="s">
        <v>3156</v>
      </c>
      <c r="W274" s="10" t="s">
        <v>2759</v>
      </c>
      <c r="X274" s="2" t="s">
        <v>1220</v>
      </c>
      <c r="Y274" s="2" t="str">
        <f>HYPERLINK(".\links\KOG\AGAP029325-PA-KOG.txt","KOG")</f>
        <v>KOG</v>
      </c>
      <c r="Z274" s="13">
        <v>4.9999999999999996E-41</v>
      </c>
      <c r="AA274" s="2">
        <v>56.2</v>
      </c>
      <c r="AB274" s="12" t="str">
        <f>HYPERLINK(".\links\pep\AGAP029325-PA-sulf.txt","1")</f>
        <v>1</v>
      </c>
      <c r="AC274" s="12" t="str">
        <f>HYPERLINK(".\links\Sigp\AGAP029325-PA-SigP.txt","SIG")</f>
        <v>SIG</v>
      </c>
      <c r="AD274" s="2" t="s">
        <v>804</v>
      </c>
      <c r="AE274" s="2">
        <v>37.601999999999997</v>
      </c>
      <c r="AF274" s="2">
        <v>8.65</v>
      </c>
      <c r="AG274" s="2">
        <v>35.011000000000003</v>
      </c>
      <c r="AH274" s="2">
        <v>7.65</v>
      </c>
      <c r="AI274" s="2" t="s">
        <v>3157</v>
      </c>
      <c r="AJ274" s="12">
        <v>0</v>
      </c>
      <c r="AK274" s="2" t="s">
        <v>89</v>
      </c>
      <c r="AL274" s="2" t="s">
        <v>89</v>
      </c>
      <c r="AM274" s="2" t="s">
        <v>89</v>
      </c>
      <c r="AN274" s="2" t="str">
        <f>HYPERLINK(".\links\gpi\AGAP029325-PA-gpi.txt","N")</f>
        <v>N</v>
      </c>
      <c r="AO274" s="12" t="str">
        <f>HYPERLINK(".\links\netoglyc\AGAP029325-PA-netoglyc.txt","0")</f>
        <v>0</v>
      </c>
      <c r="AP274" s="12">
        <v>13.1</v>
      </c>
      <c r="AQ274" s="2">
        <v>6.7</v>
      </c>
      <c r="AR274" s="2">
        <v>0.9</v>
      </c>
      <c r="AS274" s="2" t="s">
        <v>94</v>
      </c>
      <c r="AT274" s="2" t="str">
        <f>HYPERLINK(".\links\NR-LIGHT\AGAP029325-PA-NR-LIGHT.txt","AGAP011225-PA")</f>
        <v>AGAP011225-PA</v>
      </c>
      <c r="AU274" s="2" t="str">
        <f>HYPERLINK("http://www.ncbi.nlm.nih.gov/sutils/blink.cgi?pid=XP_309419.5","2E-064")</f>
        <v>2E-064</v>
      </c>
      <c r="AV274" s="2" t="str">
        <f>HYPERLINK("http://www.ncbi.nlm.nih.gov/protein/XP_309419.5","XP_309419.5")</f>
        <v>XP_309419.5</v>
      </c>
      <c r="AW274" s="2">
        <v>42</v>
      </c>
      <c r="AX274" s="2">
        <v>60</v>
      </c>
      <c r="AY274" s="2">
        <v>111</v>
      </c>
      <c r="AZ274" s="2" t="s">
        <v>95</v>
      </c>
      <c r="BA274" s="2" t="str">
        <f>HYPERLINK(".\links\REFSEQ-INVERTEBRATE\AGAP029325-PA-REFSEQ-INVERTEBRATE.txt","AGAP011225-PA")</f>
        <v>AGAP011225-PA</v>
      </c>
      <c r="BB274" s="2" t="str">
        <f>HYPERLINK("http://www.ncbi.nlm.nih.gov/sutils/blink.cgi?pid=XP_309419.5","2E-064")</f>
        <v>2E-064</v>
      </c>
      <c r="BC274" s="2" t="str">
        <f>HYPERLINK("http://www.ncbi.nlm.nih.gov/protein/XP_309419.5","XP_309419.5")</f>
        <v>XP_309419.5</v>
      </c>
      <c r="BD274" s="2">
        <v>42</v>
      </c>
      <c r="BE274" s="2">
        <v>60</v>
      </c>
      <c r="BF274" s="2">
        <v>111</v>
      </c>
      <c r="BG274" s="2" t="s">
        <v>95</v>
      </c>
      <c r="BH274" s="2" t="str">
        <f>HYPERLINK(".\links\REFSEQ-PROTOZOA\AGAP029325-PA-REFSEQ-PROTOZOA.txt","protocadherin-like protein")</f>
        <v>protocadherin-like protein</v>
      </c>
      <c r="BI274" s="2" t="str">
        <f>HYPERLINK("http://www.ncbi.nlm.nih.gov/sutils/blink.cgi?pid=XP_002902518.1","3E-010")</f>
        <v>3E-010</v>
      </c>
      <c r="BJ274" s="2" t="str">
        <f>HYPERLINK("http://www.ncbi.nlm.nih.gov/protein/XP_002902518.1","XP_002902518.1")</f>
        <v>XP_002902518.1</v>
      </c>
      <c r="BK274" s="2">
        <v>30</v>
      </c>
      <c r="BL274" s="2">
        <v>46</v>
      </c>
      <c r="BM274" s="2">
        <v>7</v>
      </c>
      <c r="BN274" s="2" t="s">
        <v>1323</v>
      </c>
      <c r="BO274" s="2" t="str">
        <f>HYPERLINK(".\links\SWISSP\AGAP029325-PA-SWISSP.txt","Angiopoietin-related protein 1")</f>
        <v>Angiopoietin-related protein 1</v>
      </c>
      <c r="BP274" s="2" t="str">
        <f>HYPERLINK("http://www.uniprot.org/uniprot/O95841","2E-030")</f>
        <v>2E-030</v>
      </c>
      <c r="BQ274" s="2" t="str">
        <f>HYPERLINK("http://www.uniprot.org/uniprot/O95841#expression","O95841")</f>
        <v>O95841</v>
      </c>
      <c r="BR274" s="2">
        <v>39</v>
      </c>
      <c r="BS274" s="2">
        <v>56</v>
      </c>
      <c r="BT274" s="2">
        <v>36</v>
      </c>
      <c r="BU274" s="2" t="s">
        <v>115</v>
      </c>
      <c r="BV274" s="2" t="str">
        <f>HYPERLINK(".\links\FLYBASE\AGAP029325-PA-FLYBASE.txt","FBpp0423061")</f>
        <v>FBpp0423061</v>
      </c>
      <c r="BW274" s="2" t="str">
        <f>HYPERLINK("http://flybase.org/reports/FBgn0050280#alliance_summary_container","5E-38")</f>
        <v>5E-38</v>
      </c>
      <c r="BX274" s="2">
        <v>288</v>
      </c>
      <c r="BY274" s="2">
        <v>37</v>
      </c>
      <c r="BZ274" s="2">
        <v>57</v>
      </c>
      <c r="CA274" s="2">
        <v>71</v>
      </c>
      <c r="CB274" s="2" t="str">
        <f>HYPERLINK(".\links\CDD\AGAP029325-PA-CDD.txt","FReD, Fibrinogen-related domains (FReDs)")</f>
        <v>FReD, Fibrinogen-related domains (FReDs)</v>
      </c>
      <c r="CC274" s="13">
        <v>3E-52</v>
      </c>
      <c r="CD274" s="2">
        <v>101.9</v>
      </c>
      <c r="CE274" s="2" t="s">
        <v>2194</v>
      </c>
      <c r="CF274" s="2" t="s">
        <v>3158</v>
      </c>
      <c r="CG274" s="2" t="str">
        <f>HYPERLINK(".\links\KOG\AGAP029325-PA-KOG.txt","Ficolin and related extracellular proteins")</f>
        <v>Ficolin and related extracellular proteins</v>
      </c>
      <c r="CH274" s="13">
        <v>9.9999999999999997E-49</v>
      </c>
      <c r="CI274" s="2">
        <v>92</v>
      </c>
      <c r="CJ274" s="2" t="s">
        <v>2196</v>
      </c>
      <c r="CK274" s="2" t="s">
        <v>187</v>
      </c>
      <c r="CL274" s="2" t="str">
        <f>HYPERLINK(".\links\PFAM\AGAP029325-PA-PFAM.txt","Fibrinogen_C, Fibrinogen beta and gamma chains, C-terminal globular domain")</f>
        <v>Fibrinogen_C, Fibrinogen beta and gamma chains, C-terminal globular domain</v>
      </c>
      <c r="CM274" s="13">
        <v>7.0000000000000003E-37</v>
      </c>
      <c r="CN274" s="2">
        <v>97.3</v>
      </c>
      <c r="CO274" s="2" t="s">
        <v>2197</v>
      </c>
      <c r="CP274" s="2" t="str">
        <f>HYPERLINK(".\links\SMART\AGAP029325-PA-SMART.txt","FBG, Fibrinogen-related domains (FReDs)")</f>
        <v>FBG, Fibrinogen-related domains (FReDs)</v>
      </c>
      <c r="CQ274" s="13">
        <v>4.9999999999999999E-48</v>
      </c>
      <c r="CR274" s="2">
        <v>103.3</v>
      </c>
      <c r="CS274" s="2" t="s">
        <v>2198</v>
      </c>
      <c r="CT274" s="2" t="s">
        <v>3156</v>
      </c>
      <c r="CU274" s="2" t="s">
        <v>3156</v>
      </c>
      <c r="CV274" s="2" t="s">
        <v>3156</v>
      </c>
      <c r="CW274" s="2" t="str">
        <f>HYPERLINK(".\links\pep\AGAP029325-PA-pep.txt","AGAP029325-PA")</f>
        <v>AGAP029325-PA</v>
      </c>
      <c r="CX274" s="2" t="s">
        <v>88</v>
      </c>
      <c r="CY274" s="2">
        <v>328</v>
      </c>
      <c r="CZ274" s="2" t="s">
        <v>103</v>
      </c>
      <c r="DA274" s="2" t="s">
        <v>3159</v>
      </c>
      <c r="DB274" s="2">
        <v>0</v>
      </c>
      <c r="DC274" s="2">
        <v>0</v>
      </c>
      <c r="DD274" s="2" t="str">
        <f>HYPERLINK("https://www.kegg.jp/kegg-bin/search_pathway_text?map=aga&amp;keyword=AGAP029325&amp;mode=1&amp;viewImage=true","AGAP029325")</f>
        <v>AGAP029325</v>
      </c>
      <c r="DE274" s="2" t="s">
        <v>3155</v>
      </c>
      <c r="DF274" s="2" t="s">
        <v>86</v>
      </c>
      <c r="DG274" s="2" t="s">
        <v>87</v>
      </c>
      <c r="DH274" s="2" t="str">
        <f>HYPERLINK("https://vectorbase.org/vectorbase/app/record/gene/AGAP029325","AGAP029325-RA")</f>
        <v>AGAP029325-RA</v>
      </c>
      <c r="DI274" s="2" t="s">
        <v>140</v>
      </c>
      <c r="DJ274" s="2">
        <v>987</v>
      </c>
      <c r="DK274" s="2" t="str">
        <f>HYPERLINK(".\links\netoglyc\AGAP029325-PA-netoglyc.txt","0")</f>
        <v>0</v>
      </c>
      <c r="DL274" s="2">
        <v>13.1</v>
      </c>
      <c r="DM274" s="2">
        <v>6.7</v>
      </c>
      <c r="DN274" s="2">
        <v>0.9</v>
      </c>
      <c r="DO274" s="2" t="s">
        <v>94</v>
      </c>
      <c r="DP274" s="2" t="s">
        <v>3160</v>
      </c>
      <c r="DQ274" s="2" t="str">
        <f>HYPERLINK(".\links\Sigp\AGAP029325-PA-SigP.txt","SIG")</f>
        <v>SIG</v>
      </c>
      <c r="DR274" s="2" t="s">
        <v>804</v>
      </c>
      <c r="DS274" s="2">
        <v>37.601999999999997</v>
      </c>
      <c r="DT274" s="2">
        <v>8.65</v>
      </c>
      <c r="DU274" s="2">
        <v>35.011000000000003</v>
      </c>
      <c r="DV274" s="2">
        <v>7.65</v>
      </c>
      <c r="DW274" s="2" t="s">
        <v>3157</v>
      </c>
      <c r="DX274" s="2">
        <v>328</v>
      </c>
      <c r="DY274" s="12">
        <v>0</v>
      </c>
      <c r="DZ274" s="2" t="s">
        <v>89</v>
      </c>
      <c r="EA274" s="2" t="s">
        <v>89</v>
      </c>
      <c r="EB274" s="2" t="s">
        <v>89</v>
      </c>
      <c r="EC274" s="2" t="str">
        <f>HYPERLINK(".\links\gpi\AGAP029325-PA-gpi.txt","N")</f>
        <v>N</v>
      </c>
      <c r="ED274" s="2">
        <v>0.21</v>
      </c>
      <c r="EF274" s="2">
        <v>5</v>
      </c>
      <c r="EG274" s="2" t="str">
        <f>HYPERLINK(".\links\pep\AGAP029325-PA-sulf.txt","1")</f>
        <v>1</v>
      </c>
      <c r="EH274" s="2" t="s">
        <v>89</v>
      </c>
      <c r="EI274" s="2">
        <v>13.109756097561</v>
      </c>
      <c r="EJ274" s="2">
        <v>0.91463414634146301</v>
      </c>
      <c r="EK274" s="2">
        <v>6.7073170731707297</v>
      </c>
      <c r="EL274" s="2">
        <v>7.6219512195121997</v>
      </c>
      <c r="EM274" s="2" t="s">
        <v>89</v>
      </c>
      <c r="EN274" s="2" t="s">
        <v>89</v>
      </c>
      <c r="EO274" s="2" t="s">
        <v>89</v>
      </c>
      <c r="EP274" s="2" t="s">
        <v>89</v>
      </c>
      <c r="EQ274" s="2" t="s">
        <v>89</v>
      </c>
      <c r="ER274" s="2" t="s">
        <v>89</v>
      </c>
      <c r="ES274" s="2" t="s">
        <v>89</v>
      </c>
      <c r="ET274" s="2" t="str">
        <f>HYPERLINK(".\links\REFSEQ-INVERTEBRATE\AGAP029325-PA-REFSEQ-INVERTEBRATE.txt","microfibril-associated glycoprotein 4-like")</f>
        <v>microfibril-associated glycoprotein 4-like</v>
      </c>
      <c r="EU274" s="2" t="str">
        <f>HYPERLINK("http://www.ncbi.nlm.nih.gov/sutils/blink.cgi?pid=XP_035903637.1","2E-83")</f>
        <v>2E-83</v>
      </c>
      <c r="EV274" s="2" t="str">
        <f>HYPERLINK("http://www.ncbi.nlm.nih.gov/protein/XP_035903637.1","XP_035903637.1")</f>
        <v>XP_035903637.1</v>
      </c>
      <c r="EW274" s="2">
        <v>42</v>
      </c>
      <c r="EX274" s="2">
        <v>59</v>
      </c>
      <c r="EY274" s="2">
        <v>102</v>
      </c>
      <c r="EZ274" s="2" t="s">
        <v>600</v>
      </c>
    </row>
    <row r="275" spans="1:156" x14ac:dyDescent="0.25">
      <c r="A275" s="2" t="s">
        <v>3208</v>
      </c>
      <c r="B275" s="2">
        <v>-2.0463979423988201</v>
      </c>
      <c r="C275" s="2">
        <f t="shared" si="4"/>
        <v>0.24208776238688998</v>
      </c>
      <c r="D275" s="2">
        <v>0.45102328001773501</v>
      </c>
      <c r="E275" s="2">
        <v>12.5098477883367</v>
      </c>
      <c r="F275" s="2">
        <v>4.04812582721279E-4</v>
      </c>
      <c r="G275" s="2">
        <v>2.2925742384220502E-2</v>
      </c>
      <c r="H275" s="2" t="s">
        <v>86</v>
      </c>
      <c r="I275" s="2" t="s">
        <v>87</v>
      </c>
      <c r="J275" s="2" t="str">
        <f>HYPERLINK("https://vectorbase.org/vectorbase/app/record/gene/AGAP029725","AGAP029725-RA")</f>
        <v>AGAP029725-RA</v>
      </c>
      <c r="K275" s="2" t="str">
        <f>HYPERLINK(".\links\pep\AGAP029725-PA-pep.txt","AGAP029725-PA")</f>
        <v>AGAP029725-PA</v>
      </c>
      <c r="L275" s="12" t="s">
        <v>3209</v>
      </c>
      <c r="M275" s="2">
        <v>158</v>
      </c>
      <c r="N275" s="2">
        <v>0</v>
      </c>
      <c r="O275" s="2">
        <v>0</v>
      </c>
      <c r="P275" s="2" t="s">
        <v>89</v>
      </c>
      <c r="Q275" s="2" t="s">
        <v>3210</v>
      </c>
      <c r="R275" s="2" t="s">
        <v>195</v>
      </c>
      <c r="S275" s="2" t="str">
        <f>HYPERLINK(".\links\KOG\AGAP029725-PA-KOG.txt","KOG")</f>
        <v>KOG</v>
      </c>
      <c r="T275" s="2">
        <v>1.9999999999999999E-77</v>
      </c>
      <c r="U275" s="2">
        <v>79</v>
      </c>
      <c r="V275" s="2" t="s">
        <v>3211</v>
      </c>
      <c r="W275" s="10" t="s">
        <v>564</v>
      </c>
      <c r="X275" s="2" t="s">
        <v>195</v>
      </c>
      <c r="Y275" s="2" t="str">
        <f>HYPERLINK(".\links\COG\AGAP029725-PA-COG.txt","COG")</f>
        <v>COG</v>
      </c>
      <c r="Z275" s="13">
        <v>5.0000000000000003E-38</v>
      </c>
      <c r="AA275" s="2">
        <v>84.8</v>
      </c>
      <c r="AB275" s="12" t="str">
        <f>HYPERLINK(".\links\pep\AGAP029725-PA-sulf.txt","1")</f>
        <v>1</v>
      </c>
      <c r="AC275" s="12" t="str">
        <f>HYPERLINK(".\links\Sigp\AGAP029725-PA-SigP.txt","CYT")</f>
        <v>CYT</v>
      </c>
      <c r="AD275" s="2" t="s">
        <v>89</v>
      </c>
      <c r="AE275" s="2">
        <v>18.222999999999999</v>
      </c>
      <c r="AF275" s="2">
        <v>10.199999999999999</v>
      </c>
      <c r="AG275" s="2" t="s">
        <v>89</v>
      </c>
      <c r="AH275" s="2" t="s">
        <v>89</v>
      </c>
      <c r="AI275" s="2" t="s">
        <v>3212</v>
      </c>
      <c r="AJ275" s="12">
        <v>0</v>
      </c>
      <c r="AK275" s="2" t="s">
        <v>89</v>
      </c>
      <c r="AL275" s="2" t="s">
        <v>89</v>
      </c>
      <c r="AM275" s="2" t="s">
        <v>89</v>
      </c>
      <c r="AN275" s="2" t="str">
        <f>HYPERLINK(".\links\gpi\AGAP029725-PA-gpi.txt","N")</f>
        <v>N</v>
      </c>
      <c r="AO275" s="12" t="str">
        <f>HYPERLINK(".\links\netoglyc\AGAP029725-PA-netoglyc.txt","0")</f>
        <v>0</v>
      </c>
      <c r="AP275" s="12">
        <v>9.5</v>
      </c>
      <c r="AQ275" s="2">
        <v>5.7</v>
      </c>
      <c r="AR275" s="2">
        <v>4.4000000000000004</v>
      </c>
      <c r="AS275" s="2" t="s">
        <v>94</v>
      </c>
      <c r="AT275" s="2" t="str">
        <f>HYPERLINK(".\links\NR-LIGHT\AGAP029725-PA-NR-LIGHT.txt","AGAP010958-PA")</f>
        <v>AGAP010958-PA</v>
      </c>
      <c r="AU275" s="2" t="str">
        <f>HYPERLINK("http://www.ncbi.nlm.nih.gov/sutils/blink.cgi?pid=XP_309748.2","7E-084")</f>
        <v>7E-084</v>
      </c>
      <c r="AV275" s="2" t="str">
        <f>HYPERLINK("http://www.ncbi.nlm.nih.gov/protein/XP_309748.2","XP_309748.2")</f>
        <v>XP_309748.2</v>
      </c>
      <c r="AW275" s="2">
        <v>100</v>
      </c>
      <c r="AX275" s="2">
        <v>100</v>
      </c>
      <c r="AY275" s="2">
        <v>49</v>
      </c>
      <c r="AZ275" s="2" t="s">
        <v>95</v>
      </c>
      <c r="BA275" s="2" t="str">
        <f>HYPERLINK(".\links\REFSEQ-INVERTEBRATE\AGAP029725-PA-REFSEQ-INVERTEBRATE.txt","AGAP010958-PA")</f>
        <v>AGAP010958-PA</v>
      </c>
      <c r="BB275" s="2" t="str">
        <f>HYPERLINK("http://www.ncbi.nlm.nih.gov/sutils/blink.cgi?pid=XP_309748.2","7E-084")</f>
        <v>7E-084</v>
      </c>
      <c r="BC275" s="2" t="str">
        <f>HYPERLINK("http://www.ncbi.nlm.nih.gov/protein/XP_309748.2","XP_309748.2")</f>
        <v>XP_309748.2</v>
      </c>
      <c r="BD275" s="2">
        <v>100</v>
      </c>
      <c r="BE275" s="2">
        <v>100</v>
      </c>
      <c r="BF275" s="2">
        <v>49</v>
      </c>
      <c r="BG275" s="2" t="s">
        <v>95</v>
      </c>
      <c r="BH275" s="2" t="str">
        <f>HYPERLINK(".\links\REFSEQ-PROTOZOA\AGAP029725-PA-REFSEQ-PROTOZOA.txt","TATAbox-binding protein")</f>
        <v>TATAbox-binding protein</v>
      </c>
      <c r="BI275" s="2" t="str">
        <f>HYPERLINK("http://www.ncbi.nlm.nih.gov/sutils/blink.cgi?pid=XP_004338454.1","6E-073")</f>
        <v>6E-073</v>
      </c>
      <c r="BJ275" s="2" t="str">
        <f>HYPERLINK("http://www.ncbi.nlm.nih.gov/protein/XP_004338454.1","XP_004338454.1")</f>
        <v>XP_004338454.1</v>
      </c>
      <c r="BK275" s="2">
        <v>84</v>
      </c>
      <c r="BL275" s="2">
        <v>92</v>
      </c>
      <c r="BM275" s="2">
        <v>61</v>
      </c>
      <c r="BN275" s="2" t="s">
        <v>114</v>
      </c>
      <c r="BO275" s="2" t="str">
        <f>HYPERLINK(".\links\SWISSP\AGAP029725-PA-SWISSP.txt","TATA-box-binding protein")</f>
        <v>TATA-box-binding protein</v>
      </c>
      <c r="BP275" s="2" t="str">
        <f>HYPERLINK("http://www.uniprot.org/uniprot/P53361","3E-082")</f>
        <v>3E-082</v>
      </c>
      <c r="BQ275" s="2" t="str">
        <f>HYPERLINK("http://www.uniprot.org/uniprot/P53361#expression","P53361")</f>
        <v>P53361</v>
      </c>
      <c r="BR275" s="2">
        <v>95</v>
      </c>
      <c r="BS275" s="2">
        <v>100</v>
      </c>
      <c r="BT275" s="2">
        <v>51</v>
      </c>
      <c r="BU275" s="2" t="s">
        <v>978</v>
      </c>
      <c r="BV275" s="2" t="str">
        <f>HYPERLINK(".\links\FLYBASE\AGAP029725-PA-FLYBASE.txt","FBpp0071596")</f>
        <v>FBpp0071596</v>
      </c>
      <c r="BW275" s="2" t="str">
        <f>HYPERLINK("http://flybase.org/reports/FBgn0003687#alliance_summary_container","1E-106")</f>
        <v>1E-106</v>
      </c>
      <c r="BX275" s="2">
        <v>353</v>
      </c>
      <c r="BY275" s="2">
        <v>93</v>
      </c>
      <c r="BZ275" s="2">
        <v>96</v>
      </c>
      <c r="CA275" s="2">
        <v>45</v>
      </c>
      <c r="CB275" s="2" t="str">
        <f>HYPERLINK(".\links\CDD\AGAP029725-PA-CDD.txt","TBP_eukaryotes, eukaryotic TATA box binding protein (TBP): Present in archaea and eukaryotes, TBPs are transcription factors that recognize promoters and initiate transcription")</f>
        <v>TBP_eukaryotes, eukaryotic TATA box binding protein (TBP): Present in archaea and eukaryotes, TBPs are transcription factors that recognize promoters and initiate transcription</v>
      </c>
      <c r="CC275" s="13">
        <v>9.9999999999999993E-89</v>
      </c>
      <c r="CD275" s="2">
        <v>89.1</v>
      </c>
      <c r="CE275" s="2" t="s">
        <v>3213</v>
      </c>
      <c r="CF275" s="2" t="s">
        <v>3214</v>
      </c>
      <c r="CG275" s="2" t="str">
        <f>HYPERLINK(".\links\KOG\AGAP029725-PA-KOG.txt","component of TFIID and TFIIIB")</f>
        <v>component of TFIID and TFIIIB</v>
      </c>
      <c r="CH275" s="13">
        <v>1.9999999999999999E-77</v>
      </c>
      <c r="CI275" s="2">
        <v>79</v>
      </c>
      <c r="CJ275" s="2" t="s">
        <v>3215</v>
      </c>
      <c r="CK275" s="2" t="s">
        <v>377</v>
      </c>
      <c r="CL275" s="2" t="str">
        <f>HYPERLINK(".\links\PFAM\AGAP029725-PA-PFAM.txt","TBP, Transcription factor TFIID (or TATA-binding protein, TBP)")</f>
        <v>TBP, Transcription factor TFIID (or TATA-binding protein, TBP)</v>
      </c>
      <c r="CM275" s="13">
        <v>2.0000000000000001E-33</v>
      </c>
      <c r="CN275" s="2">
        <v>98.8</v>
      </c>
      <c r="CO275" s="2" t="s">
        <v>3216</v>
      </c>
      <c r="CP275" s="2" t="str">
        <f>HYPERLINK(".\links\SMART\AGAP029725-PA-SMART.txt","Alpha-L-AF_C, Alpha-L-arabinofuranosidase C-terminus")</f>
        <v>Alpha-L-AF_C, Alpha-L-arabinofuranosidase C-terminus</v>
      </c>
      <c r="CQ275" s="13">
        <v>4.2</v>
      </c>
      <c r="CR275" s="2">
        <v>20.100000000000001</v>
      </c>
      <c r="CS275" s="2" t="s">
        <v>3217</v>
      </c>
      <c r="CT275" s="2" t="s">
        <v>3211</v>
      </c>
      <c r="CU275" s="2" t="s">
        <v>3211</v>
      </c>
      <c r="CV275" s="2" t="s">
        <v>3211</v>
      </c>
      <c r="CW275" s="2" t="str">
        <f>HYPERLINK(".\links\pep\AGAP029725-PA-pep.txt","AGAP029725-PA")</f>
        <v>AGAP029725-PA</v>
      </c>
      <c r="CX275" s="2" t="s">
        <v>3209</v>
      </c>
      <c r="CY275" s="2">
        <v>158</v>
      </c>
      <c r="CZ275" s="2" t="s">
        <v>103</v>
      </c>
      <c r="DA275" s="2" t="s">
        <v>3218</v>
      </c>
      <c r="DB275" s="2">
        <v>0</v>
      </c>
      <c r="DC275" s="2">
        <v>0</v>
      </c>
      <c r="DD275" s="2" t="str">
        <f>HYPERLINK("https://www.kegg.jp/kegg-bin/search_pathway_text?map=aga&amp;keyword=AGAP029725&amp;mode=1&amp;viewImage=true","AGAP029725")</f>
        <v>AGAP029725</v>
      </c>
      <c r="DE275" s="2" t="s">
        <v>3208</v>
      </c>
      <c r="DF275" s="2" t="s">
        <v>86</v>
      </c>
      <c r="DG275" s="2" t="s">
        <v>87</v>
      </c>
      <c r="DH275" s="2" t="str">
        <f>HYPERLINK("https://vectorbase.org/vectorbase/app/record/gene/AGAP029725","AGAP029725-RA")</f>
        <v>AGAP029725-RA</v>
      </c>
      <c r="DI275" s="2" t="s">
        <v>140</v>
      </c>
      <c r="DJ275" s="2">
        <v>481</v>
      </c>
      <c r="DK275" s="2" t="str">
        <f>HYPERLINK(".\links\netoglyc\AGAP029725-PA-netoglyc.txt","0")</f>
        <v>0</v>
      </c>
      <c r="DL275" s="2">
        <v>9.5</v>
      </c>
      <c r="DM275" s="2">
        <v>5.7</v>
      </c>
      <c r="DN275" s="2">
        <v>4.4000000000000004</v>
      </c>
      <c r="DO275" s="2" t="s">
        <v>94</v>
      </c>
      <c r="DP275" s="2" t="s">
        <v>89</v>
      </c>
      <c r="DQ275" s="2" t="str">
        <f>HYPERLINK(".\links\Sigp\AGAP029725-PA-SigP.txt","CYT")</f>
        <v>CYT</v>
      </c>
      <c r="DR275" s="2" t="s">
        <v>89</v>
      </c>
      <c r="DS275" s="2">
        <v>18.222999999999999</v>
      </c>
      <c r="DT275" s="2">
        <v>10.199999999999999</v>
      </c>
      <c r="DU275" s="2" t="s">
        <v>89</v>
      </c>
      <c r="DV275" s="2" t="s">
        <v>89</v>
      </c>
      <c r="DW275" s="2" t="s">
        <v>3212</v>
      </c>
      <c r="DX275" s="2">
        <v>158</v>
      </c>
      <c r="DY275" s="12">
        <v>0</v>
      </c>
      <c r="DZ275" s="2" t="s">
        <v>89</v>
      </c>
      <c r="EA275" s="2" t="s">
        <v>89</v>
      </c>
      <c r="EB275" s="2" t="s">
        <v>89</v>
      </c>
      <c r="EC275" s="2" t="str">
        <f>HYPERLINK(".\links\gpi\AGAP029725-PA-gpi.txt","N")</f>
        <v>N</v>
      </c>
      <c r="ED275" s="2">
        <v>0.35</v>
      </c>
      <c r="EF275" s="2">
        <v>2</v>
      </c>
      <c r="EG275" s="2" t="str">
        <f>HYPERLINK(".\links\pep\AGAP029725-PA-sulf.txt","1")</f>
        <v>1</v>
      </c>
      <c r="EH275" s="2" t="s">
        <v>89</v>
      </c>
      <c r="EI275" s="2">
        <v>9.4936708860759502</v>
      </c>
      <c r="EJ275" s="2">
        <v>4.43037974683544</v>
      </c>
      <c r="EK275" s="2">
        <v>5.6962025316455698</v>
      </c>
      <c r="EL275" s="2">
        <v>10.126582278480999</v>
      </c>
      <c r="EM275" s="2" t="s">
        <v>89</v>
      </c>
      <c r="EN275" s="2" t="s">
        <v>89</v>
      </c>
      <c r="EO275" s="2">
        <v>1</v>
      </c>
      <c r="EP275" s="2" t="s">
        <v>89</v>
      </c>
      <c r="EQ275" s="2" t="s">
        <v>89</v>
      </c>
      <c r="ER275" s="2" t="s">
        <v>89</v>
      </c>
      <c r="ES275" s="2" t="s">
        <v>89</v>
      </c>
      <c r="ET275" s="2" t="str">
        <f>HYPERLINK(".\links\REFSEQ-INVERTEBRATE\AGAP029725-PA-REFSEQ-INVERTEBRATE.txt","TATA-box-binding protein 2")</f>
        <v>TATA-box-binding protein 2</v>
      </c>
      <c r="EU275" s="2" t="str">
        <f>HYPERLINK("http://www.ncbi.nlm.nih.gov/sutils/blink.cgi?pid=XP_035901156.1","1E-113")</f>
        <v>1E-113</v>
      </c>
      <c r="EV275" s="2" t="str">
        <f>HYPERLINK("http://www.ncbi.nlm.nih.gov/protein/XP_035901156.1","XP_035901156.1")</f>
        <v>XP_035901156.1</v>
      </c>
      <c r="EW275" s="2">
        <v>100</v>
      </c>
      <c r="EX275" s="2">
        <v>100</v>
      </c>
      <c r="EY275" s="2">
        <v>49</v>
      </c>
      <c r="EZ275" s="2" t="s">
        <v>600</v>
      </c>
    </row>
    <row r="276" spans="1:156" x14ac:dyDescent="0.25">
      <c r="A276" s="2" t="s">
        <v>2237</v>
      </c>
      <c r="B276" s="2">
        <v>-2.4102506817232499</v>
      </c>
      <c r="C276" s="2">
        <f t="shared" si="4"/>
        <v>0.1881231524334174</v>
      </c>
      <c r="D276" s="2">
        <v>3.8795005410363701</v>
      </c>
      <c r="E276" s="2">
        <v>16.601963385410201</v>
      </c>
      <c r="F276" s="2">
        <v>4.6103269420085202E-5</v>
      </c>
      <c r="G276" s="2">
        <v>5.1131407241213197E-3</v>
      </c>
      <c r="H276" s="2" t="s">
        <v>2238</v>
      </c>
      <c r="I276" s="2" t="s">
        <v>87</v>
      </c>
      <c r="J276" s="2" t="str">
        <f>HYPERLINK("https://vectorbase.org/vectorbase/app/record/gene/AGAP009466","AGAP009466-RF")</f>
        <v>AGAP009466-RF</v>
      </c>
      <c r="K276" s="2" t="str">
        <f>HYPERLINK(".\links\pep\AGAP009466-PF-pep.txt","AGAP009466-PF")</f>
        <v>AGAP009466-PF</v>
      </c>
      <c r="L276" s="12" t="s">
        <v>88</v>
      </c>
      <c r="M276" s="2">
        <v>707</v>
      </c>
      <c r="N276" s="2">
        <v>0</v>
      </c>
      <c r="O276" s="2">
        <v>1</v>
      </c>
      <c r="P276" s="2" t="s">
        <v>2239</v>
      </c>
      <c r="Q276" s="2" t="s">
        <v>2240</v>
      </c>
      <c r="R276" s="2" t="s">
        <v>128</v>
      </c>
      <c r="S276" s="2" t="str">
        <f>HYPERLINK(".\links\CDD\AGAP009466-PF-CDD.txt","CDD")</f>
        <v>CDD</v>
      </c>
      <c r="T276" s="2">
        <v>0</v>
      </c>
      <c r="U276" s="2">
        <v>104.3</v>
      </c>
      <c r="V276" s="2" t="s">
        <v>2241</v>
      </c>
      <c r="W276" s="10" t="s">
        <v>2242</v>
      </c>
      <c r="X276" s="2" t="s">
        <v>128</v>
      </c>
      <c r="Y276" s="2" t="str">
        <f>HYPERLINK(".\links\REFSEQ-VIRUS\AGAP009466-PF-REFSEQ-VIRUS.txt","REFSEQ-VIRUS")</f>
        <v>REFSEQ-VIRUS</v>
      </c>
      <c r="Z276" s="13">
        <v>4.0000000000000002E-62</v>
      </c>
      <c r="AA276" s="2">
        <v>98.1</v>
      </c>
      <c r="AB276" s="12" t="s">
        <v>89</v>
      </c>
      <c r="AC276" s="12" t="str">
        <f>HYPERLINK(".\links\Sigp\AGAP009466-PF-SigP.txt","BL")</f>
        <v>BL</v>
      </c>
      <c r="AD276" s="2" t="s">
        <v>2243</v>
      </c>
      <c r="AE276" s="2">
        <v>79.314999999999998</v>
      </c>
      <c r="AF276" s="2">
        <v>8.1300000000000008</v>
      </c>
      <c r="AG276" s="2">
        <v>23.253</v>
      </c>
      <c r="AH276" s="2">
        <v>7.15</v>
      </c>
      <c r="AI276" s="2" t="s">
        <v>2244</v>
      </c>
      <c r="AJ276" s="12" t="str">
        <f>HYPERLINK(".\links\tmhmm\AGAP009466-PF-tmhmm.txt","7")</f>
        <v>7</v>
      </c>
      <c r="AK276" s="2">
        <v>21.4</v>
      </c>
      <c r="AL276" s="2">
        <v>72.8</v>
      </c>
      <c r="AM276" s="2">
        <v>5.8</v>
      </c>
      <c r="AN276" s="12" t="str">
        <f>HYPERLINK(".\links\gpi\AGAP009466-PF-gpi.txt","N")</f>
        <v>N</v>
      </c>
      <c r="AO276" s="12" t="str">
        <f>HYPERLINK(".\links\netoglyc\AGAP009466-PF-netoglyc.txt","0")</f>
        <v>0</v>
      </c>
      <c r="AP276" s="12">
        <v>11.2</v>
      </c>
      <c r="AQ276" s="2">
        <v>6.5</v>
      </c>
      <c r="AR276" s="2">
        <v>5.9</v>
      </c>
      <c r="AS276" s="2" t="s">
        <v>94</v>
      </c>
      <c r="AT276" s="2" t="str">
        <f>HYPERLINK(".\links\NR-LIGHT\AGAP009466-PF-NR-LIGHT.txt","abc transporter")</f>
        <v>abc transporter</v>
      </c>
      <c r="AU276" s="2" t="str">
        <f>HYPERLINK("http://www.ncbi.nlm.nih.gov/sutils/blink.cgi?pid=ETN58463.1","0.0")</f>
        <v>0.0</v>
      </c>
      <c r="AV276" s="2" t="str">
        <f>HYPERLINK("http://www.ncbi.nlm.nih.gov/protein/ETN58463.1","ETN58463.1")</f>
        <v>ETN58463.1</v>
      </c>
      <c r="AW276" s="2">
        <v>83</v>
      </c>
      <c r="AX276" s="2">
        <v>90</v>
      </c>
      <c r="AY276" s="2">
        <v>52</v>
      </c>
      <c r="AZ276" s="2" t="s">
        <v>2245</v>
      </c>
      <c r="BA276" s="2" t="str">
        <f>HYPERLINK(".\links\REFSEQ-INVERTEBRATE\AGAP009466-PF-REFSEQ-INVERTEBRATE.txt","ATP-binding cassette sub-family G member 4")</f>
        <v>ATP-binding cassette sub-family G member 4</v>
      </c>
      <c r="BB276" s="2" t="str">
        <f>HYPERLINK("http://www.ncbi.nlm.nih.gov/sutils/blink.cgi?pid=XP_021703791.1","0.0")</f>
        <v>0.0</v>
      </c>
      <c r="BC276" s="2" t="str">
        <f>HYPERLINK("http://www.ncbi.nlm.nih.gov/protein/XP_021703791.1","XP_021703791.1")</f>
        <v>XP_021703791.1</v>
      </c>
      <c r="BD276" s="2">
        <v>78</v>
      </c>
      <c r="BE276" s="2">
        <v>86</v>
      </c>
      <c r="BF276" s="2">
        <v>94</v>
      </c>
      <c r="BG276" s="2" t="s">
        <v>233</v>
      </c>
      <c r="BH276" s="2" t="str">
        <f>HYPERLINK(".\links\REFSEQ-PROTOZOA\AGAP009466-PF-REFSEQ-PROTOZOA.txt","hypothetical protein")</f>
        <v>hypothetical protein</v>
      </c>
      <c r="BI276" s="2" t="str">
        <f>HYPERLINK("http://www.ncbi.nlm.nih.gov/sutils/blink.cgi?pid=XP_001743803.1","3E-090")</f>
        <v>3E-090</v>
      </c>
      <c r="BJ276" s="2" t="str">
        <f>HYPERLINK("http://www.ncbi.nlm.nih.gov/protein/XP_001743803.1","XP_001743803.1")</f>
        <v>XP_001743803.1</v>
      </c>
      <c r="BK276" s="2">
        <v>34</v>
      </c>
      <c r="BL276" s="2">
        <v>54</v>
      </c>
      <c r="BM276" s="2">
        <v>105</v>
      </c>
      <c r="BN276" s="2" t="s">
        <v>389</v>
      </c>
      <c r="BO276" s="2" t="str">
        <f>HYPERLINK(".\links\SWISSP\AGAP009466-PF-SWISSP.txt","ATP-binding cassette sub-family G member 4")</f>
        <v>ATP-binding cassette sub-family G member 4</v>
      </c>
      <c r="BP276" s="2" t="str">
        <f>HYPERLINK("http://www.uniprot.org/uniprot/Q9H172","1E-143")</f>
        <v>1E-143</v>
      </c>
      <c r="BQ276" s="2" t="str">
        <f>HYPERLINK("http://www.uniprot.org/uniprot/Q9H172#expression","Q9H172")</f>
        <v>Q9H172</v>
      </c>
      <c r="BR276" s="2">
        <v>43</v>
      </c>
      <c r="BS276" s="2">
        <v>59</v>
      </c>
      <c r="BT276" s="2">
        <v>98</v>
      </c>
      <c r="BU276" s="2" t="s">
        <v>115</v>
      </c>
      <c r="BV276" s="2" t="str">
        <f>HYPERLINK(".\links\FLYBASE\AGAP009466-PF-FLYBASE.txt","FBpp0077291")</f>
        <v>FBpp0077291</v>
      </c>
      <c r="BW276" s="2" t="str">
        <f>HYPERLINK("http://flybase.org/reports/FBgn0031516#alliance_summary_container","0.0")</f>
        <v>0.0</v>
      </c>
      <c r="BX276" s="2">
        <v>808</v>
      </c>
      <c r="BY276" s="2">
        <v>48</v>
      </c>
      <c r="BZ276" s="2">
        <v>66</v>
      </c>
      <c r="CA276" s="2">
        <v>83</v>
      </c>
      <c r="CB276" s="2" t="str">
        <f>HYPERLINK(".\links\CDD\AGAP009466-PF-CDD.txt","Protein_white, The Eye Pigment Precursor Transporter (EPP) Family protein")</f>
        <v>Protein_white, The Eye Pigment Precursor Transporter (EPP) Family protein</v>
      </c>
      <c r="CC276" s="13">
        <v>9.9999999999999993E-130</v>
      </c>
      <c r="CD276" s="2">
        <v>104.4</v>
      </c>
      <c r="CE276" s="2" t="s">
        <v>2233</v>
      </c>
      <c r="CF276" s="2" t="s">
        <v>2246</v>
      </c>
      <c r="CG276" s="2" t="str">
        <f>HYPERLINK(".\links\KOG\AGAP009466-PF-KOG.txt","ABC superfamily (Breast cancer resistance protein)")</f>
        <v>ABC superfamily (Breast cancer resistance protein)</v>
      </c>
      <c r="CH276" s="13">
        <v>9.9999999999999998E-141</v>
      </c>
      <c r="CI276" s="2">
        <v>111.4</v>
      </c>
      <c r="CJ276" s="2" t="s">
        <v>2235</v>
      </c>
      <c r="CK276" s="2" t="s">
        <v>2060</v>
      </c>
      <c r="CL276" s="2" t="str">
        <f>HYPERLINK(".\links\PFAM\AGAP009466-PF-PFAM.txt","ABC2_membrane, ABC-2 type transporter")</f>
        <v>ABC2_membrane, ABC-2 type transporter</v>
      </c>
      <c r="CM276" s="13">
        <v>9.9999999999999993E-40</v>
      </c>
      <c r="CN276" s="2">
        <v>98.5</v>
      </c>
      <c r="CO276" s="2" t="s">
        <v>2247</v>
      </c>
      <c r="CP276" s="2" t="str">
        <f>HYPERLINK(".\links\SMART\AGAP009466-PF-SMART.txt","AAA, ATPases associated with a variety of cellular activities")</f>
        <v>AAA, ATPases associated with a variety of cellular activities</v>
      </c>
      <c r="CQ276" s="13">
        <v>2.9999999999999997E-8</v>
      </c>
      <c r="CR276" s="2">
        <v>127</v>
      </c>
      <c r="CS276" s="2" t="s">
        <v>642</v>
      </c>
      <c r="CT276" s="2" t="s">
        <v>2241</v>
      </c>
      <c r="CU276" s="2" t="s">
        <v>2241</v>
      </c>
      <c r="CV276" s="2" t="s">
        <v>2241</v>
      </c>
      <c r="CW276" s="2" t="str">
        <f>HYPERLINK(".\links\pep\AGAP009466-PF-pep.txt","AGAP009466-PF")</f>
        <v>AGAP009466-PF</v>
      </c>
      <c r="CX276" s="2" t="s">
        <v>88</v>
      </c>
      <c r="CY276" s="2">
        <v>707</v>
      </c>
      <c r="CZ276" s="2" t="s">
        <v>103</v>
      </c>
      <c r="DA276" s="2" t="s">
        <v>2248</v>
      </c>
      <c r="DB276" s="2">
        <v>0</v>
      </c>
      <c r="DC276" s="2">
        <v>1</v>
      </c>
      <c r="DD276" s="2" t="str">
        <f>HYPERLINK("https://www.kegg.jp/kegg-bin/search_pathway_text?map=aga&amp;keyword=AGAP009466&amp;mode=1&amp;viewImage=true","AGAP009466")</f>
        <v>AGAP009466</v>
      </c>
      <c r="DE276" s="2" t="s">
        <v>2237</v>
      </c>
      <c r="DF276" s="2" t="s">
        <v>2238</v>
      </c>
      <c r="DG276" s="2" t="s">
        <v>87</v>
      </c>
      <c r="DH276" s="2" t="str">
        <f>HYPERLINK("https://vectorbase.org/vectorbase/app/record/gene/AGAP009466","AGAP009466-RF")</f>
        <v>AGAP009466-RF</v>
      </c>
      <c r="DI276" s="2" t="s">
        <v>140</v>
      </c>
      <c r="DJ276" s="2">
        <v>2685</v>
      </c>
      <c r="DK276" s="2" t="str">
        <f>HYPERLINK(".\links\netoglyc\AGAP009466-PF-netoglyc.txt","0")</f>
        <v>0</v>
      </c>
      <c r="DL276" s="2">
        <v>11.2</v>
      </c>
      <c r="DM276" s="2">
        <v>6.5</v>
      </c>
      <c r="DN276" s="2">
        <v>5.9</v>
      </c>
      <c r="DO276" s="2" t="s">
        <v>94</v>
      </c>
      <c r="DP276" s="2" t="s">
        <v>2249</v>
      </c>
      <c r="DQ276" s="2" t="str">
        <f>HYPERLINK(".\links\Sigp\AGAP009466-PF-SigP.txt","BL")</f>
        <v>BL</v>
      </c>
      <c r="DR276" s="2" t="s">
        <v>2243</v>
      </c>
      <c r="DS276" s="2">
        <v>79.314999999999998</v>
      </c>
      <c r="DT276" s="2">
        <v>8.1300000000000008</v>
      </c>
      <c r="DU276" s="2">
        <v>23.253</v>
      </c>
      <c r="DV276" s="2">
        <v>7.15</v>
      </c>
      <c r="DW276" s="2" t="s">
        <v>2244</v>
      </c>
      <c r="DX276" s="2">
        <v>707</v>
      </c>
      <c r="DY276" s="12" t="str">
        <f>HYPERLINK(".\links\tmhmm\AGAP009466-PF-tmhmm.txt","7")</f>
        <v>7</v>
      </c>
      <c r="DZ276" s="2">
        <v>21.4</v>
      </c>
      <c r="EA276" s="2">
        <v>72.8</v>
      </c>
      <c r="EB276" s="2">
        <v>5.8</v>
      </c>
      <c r="EC276" s="2" t="str">
        <f>HYPERLINK(".\links\gpi\AGAP009466-PF-gpi.txt","N")</f>
        <v>N</v>
      </c>
      <c r="ED276" s="2">
        <v>0.23</v>
      </c>
      <c r="EF276" s="2">
        <v>12</v>
      </c>
      <c r="EG276" s="2" t="s">
        <v>89</v>
      </c>
      <c r="EH276" s="2" t="s">
        <v>89</v>
      </c>
      <c r="EI276" s="2">
        <v>11.1739745403112</v>
      </c>
      <c r="EJ276" s="2">
        <v>5.9405940594059397</v>
      </c>
      <c r="EK276" s="2">
        <v>6.5063649222065099</v>
      </c>
      <c r="EL276" s="2">
        <v>12.446958981612401</v>
      </c>
      <c r="EM276" s="2" t="s">
        <v>89</v>
      </c>
      <c r="EN276" s="2">
        <v>1</v>
      </c>
      <c r="EO276" s="2">
        <v>1</v>
      </c>
      <c r="EP276" s="2" t="s">
        <v>89</v>
      </c>
      <c r="EQ276" s="2" t="s">
        <v>89</v>
      </c>
      <c r="ER276" s="2" t="s">
        <v>89</v>
      </c>
      <c r="ES276" s="2" t="s">
        <v>89</v>
      </c>
      <c r="ET276" s="2" t="str">
        <f>HYPERLINK(".\links\REFSEQ-INVERTEBRATE\AGAP009466-PF-REFSEQ-INVERTEBRATE.txt","ABC transporter G family member 6-like")</f>
        <v>ABC transporter G family member 6-like</v>
      </c>
      <c r="EU276" s="2" t="str">
        <f>HYPERLINK("http://www.ncbi.nlm.nih.gov/sutils/blink.cgi?pid=XP_035907324.1","0.0")</f>
        <v>0.0</v>
      </c>
      <c r="EV276" s="2" t="str">
        <f>HYPERLINK("http://www.ncbi.nlm.nih.gov/protein/XP_035907324.1","XP_035907324.1")</f>
        <v>XP_035907324.1</v>
      </c>
      <c r="EW276" s="2">
        <v>91</v>
      </c>
      <c r="EX276" s="2">
        <v>95</v>
      </c>
      <c r="EY276" s="2">
        <v>49</v>
      </c>
      <c r="EZ276" s="2" t="s">
        <v>600</v>
      </c>
    </row>
    <row r="277" spans="1:156" x14ac:dyDescent="0.25">
      <c r="A277" s="2" t="s">
        <v>1868</v>
      </c>
      <c r="B277" s="2">
        <v>-3.77228649831408</v>
      </c>
      <c r="C277" s="2">
        <f t="shared" si="4"/>
        <v>7.3186101184591984E-2</v>
      </c>
      <c r="D277" s="2">
        <v>-0.53539046604292095</v>
      </c>
      <c r="E277" s="2">
        <v>24.909415262941099</v>
      </c>
      <c r="F277" s="2">
        <v>6.0088244219574305E-7</v>
      </c>
      <c r="G277" s="2">
        <v>2.9079978918445802E-4</v>
      </c>
      <c r="H277" s="2" t="s">
        <v>1869</v>
      </c>
      <c r="I277" s="2" t="s">
        <v>87</v>
      </c>
      <c r="J277" s="2" t="str">
        <f>HYPERLINK("https://vectorbase.org/vectorbase/app/record/gene/AGAP007460","AGAP007460-RA")</f>
        <v>AGAP007460-RA</v>
      </c>
      <c r="K277" s="2" t="str">
        <f>HYPERLINK(".\links\pep\AGAP007460-PA-pep.txt","AGAP007460-PA")</f>
        <v>AGAP007460-PA</v>
      </c>
      <c r="L277" s="12" t="s">
        <v>88</v>
      </c>
      <c r="M277" s="2">
        <v>85</v>
      </c>
      <c r="N277" s="2">
        <v>0</v>
      </c>
      <c r="O277" s="2">
        <v>0</v>
      </c>
      <c r="P277" s="2" t="s">
        <v>1870</v>
      </c>
      <c r="Q277" s="2" t="s">
        <v>1871</v>
      </c>
      <c r="R277" s="2" t="s">
        <v>164</v>
      </c>
      <c r="S277" s="2" t="str">
        <f>HYPERLINK(".\links\REFSEQ-INVERTEBRATE\AGAP007460-PA-REFSEQ-INVERTEBRATE.txt","REFSEQ-INVERTEBRATE")</f>
        <v>REFSEQ-INVERTEBRATE</v>
      </c>
      <c r="T277" s="2">
        <v>6.9999999999999999E-35</v>
      </c>
      <c r="U277" s="2">
        <v>97</v>
      </c>
      <c r="V277" s="2" t="s">
        <v>1872</v>
      </c>
      <c r="W277" s="10" t="s">
        <v>1873</v>
      </c>
      <c r="X277" s="2" t="s">
        <v>164</v>
      </c>
      <c r="Y277" s="2" t="str">
        <f>HYPERLINK(".\links\REFSEQ-INVERTEBRATE\AGAP007460-PA-REFSEQ-INVERTEBRATE.txt","REFSEQ-INVERTEBRATE")</f>
        <v>REFSEQ-INVERTEBRATE</v>
      </c>
      <c r="Z277" s="13">
        <v>1E-52</v>
      </c>
      <c r="AA277" s="2">
        <v>100</v>
      </c>
      <c r="AB277" s="12" t="s">
        <v>89</v>
      </c>
      <c r="AC277" s="12" t="str">
        <f>HYPERLINK(".\links\Sigp\AGAP007460-PA-SigP.txt","CYT")</f>
        <v>CYT</v>
      </c>
      <c r="AD277" s="2" t="s">
        <v>89</v>
      </c>
      <c r="AE277" s="2">
        <v>9.7650000000000006</v>
      </c>
      <c r="AF277" s="2">
        <v>6.31</v>
      </c>
      <c r="AG277" s="2" t="s">
        <v>89</v>
      </c>
      <c r="AH277" s="2" t="s">
        <v>89</v>
      </c>
      <c r="AI277" s="2" t="s">
        <v>93</v>
      </c>
      <c r="AJ277" s="12">
        <v>0</v>
      </c>
      <c r="AK277" s="2" t="s">
        <v>89</v>
      </c>
      <c r="AL277" s="2" t="s">
        <v>89</v>
      </c>
      <c r="AM277" s="2" t="s">
        <v>89</v>
      </c>
      <c r="AN277" s="12" t="str">
        <f>HYPERLINK(".\links\gpi\AGAP007460-PA-gpi.txt","N")</f>
        <v>N</v>
      </c>
      <c r="AO277" s="12" t="str">
        <f>HYPERLINK(".\links\netoglyc\AGAP007460-PA-netoglyc.txt","0")</f>
        <v>0</v>
      </c>
      <c r="AP277" s="12">
        <v>10.6</v>
      </c>
      <c r="AQ277" s="2">
        <v>4.7</v>
      </c>
      <c r="AR277" s="2">
        <v>2.4</v>
      </c>
      <c r="AS277" s="2" t="s">
        <v>94</v>
      </c>
      <c r="AT277" s="2" t="str">
        <f>HYPERLINK(".\links\NR-LIGHT\AGAP007460-PA-NR-LIGHT.txt","AGAP007460-PB")</f>
        <v>AGAP007460-PB</v>
      </c>
      <c r="AU277" s="2" t="str">
        <f>HYPERLINK("http://www.ncbi.nlm.nih.gov/sutils/blink.cgi?pid=XP_308405.3","1E-041")</f>
        <v>1E-041</v>
      </c>
      <c r="AV277" s="2" t="str">
        <f>HYPERLINK("http://www.ncbi.nlm.nih.gov/protein/XP_308405.3","XP_308405.3")</f>
        <v>XP_308405.3</v>
      </c>
      <c r="AW277" s="2">
        <v>100</v>
      </c>
      <c r="AX277" s="2">
        <v>100</v>
      </c>
      <c r="AY277" s="2">
        <v>100</v>
      </c>
      <c r="AZ277" s="2" t="s">
        <v>95</v>
      </c>
      <c r="BA277" s="2" t="str">
        <f>HYPERLINK(".\links\REFSEQ-INVERTEBRATE\AGAP007460-PA-REFSEQ-INVERTEBRATE.txt","AGAP007460-PA")</f>
        <v>AGAP007460-PA</v>
      </c>
      <c r="BB277" s="2" t="str">
        <f>HYPERLINK("http://www.ncbi.nlm.nih.gov/sutils/blink.cgi?pid=XP_001687920.1","1E-041")</f>
        <v>1E-041</v>
      </c>
      <c r="BC277" s="2" t="str">
        <f>HYPERLINK("http://www.ncbi.nlm.nih.gov/protein/XP_001687920.1","XP_001687920.1")</f>
        <v>XP_001687920.1</v>
      </c>
      <c r="BD277" s="2">
        <v>100</v>
      </c>
      <c r="BE277" s="2">
        <v>100</v>
      </c>
      <c r="BF277" s="2">
        <v>100</v>
      </c>
      <c r="BG277" s="2" t="s">
        <v>95</v>
      </c>
      <c r="BH277" s="2" t="str">
        <f>HYPERLINK(".\links\REFSEQ-PROTOZOA\AGAP007460-PA-REFSEQ-PROTOZOA.txt","hypothetical protein PHYSODRAFT_354824")</f>
        <v>hypothetical protein PHYSODRAFT_354824</v>
      </c>
      <c r="BI277" s="2" t="str">
        <f>HYPERLINK("http://www.ncbi.nlm.nih.gov/sutils/blink.cgi?pid=XP_009529536.1","1E-020")</f>
        <v>1E-020</v>
      </c>
      <c r="BJ277" s="2" t="str">
        <f>HYPERLINK("http://www.ncbi.nlm.nih.gov/protein/XP_009529536.1","XP_009529536.1")</f>
        <v>XP_009529536.1</v>
      </c>
      <c r="BK277" s="2">
        <v>58</v>
      </c>
      <c r="BL277" s="2">
        <v>70</v>
      </c>
      <c r="BM277" s="2">
        <v>95</v>
      </c>
      <c r="BN277" s="2" t="s">
        <v>1201</v>
      </c>
      <c r="BO277" s="2" t="str">
        <f>HYPERLINK(".\links\SWISSP\AGAP007460-PA-SWISSP.txt","Acyl-CoA-binding protein homolog")</f>
        <v>Acyl-CoA-binding protein homolog</v>
      </c>
      <c r="BP277" s="2" t="str">
        <f>HYPERLINK("http://www.uniprot.org/uniprot/P42281","1E-026")</f>
        <v>1E-026</v>
      </c>
      <c r="BQ277" s="2" t="str">
        <f>HYPERLINK("http://www.uniprot.org/uniprot/P42281#expression","P42281")</f>
        <v>P42281</v>
      </c>
      <c r="BR277" s="2">
        <v>66</v>
      </c>
      <c r="BS277" s="2">
        <v>79</v>
      </c>
      <c r="BT277" s="2">
        <v>98</v>
      </c>
      <c r="BU277" s="2" t="s">
        <v>151</v>
      </c>
      <c r="BV277" s="2" t="str">
        <f>HYPERLINK(".\links\FLYBASE\AGAP007460-PA-FLYBASE.txt","FBpp0076624")</f>
        <v>FBpp0076624</v>
      </c>
      <c r="BW277" s="2" t="str">
        <f>HYPERLINK("http://flybase.org/reports/FBgn0010387#alliance_summary_container","3E-36")</f>
        <v>3E-36</v>
      </c>
      <c r="BX277" s="2">
        <v>86</v>
      </c>
      <c r="BY277" s="2">
        <v>66</v>
      </c>
      <c r="BZ277" s="2">
        <v>79</v>
      </c>
      <c r="CA277" s="2">
        <v>98</v>
      </c>
      <c r="CB277" s="2" t="str">
        <f>HYPERLINK(".\links\CDD\AGAP007460-PA-CDD.txt","ACBP, Acyl CoA binding protein")</f>
        <v>ACBP, Acyl CoA binding protein</v>
      </c>
      <c r="CC277" s="13">
        <v>3.9999999999999997E-24</v>
      </c>
      <c r="CD277" s="2">
        <v>97.5</v>
      </c>
      <c r="CE277" s="2" t="s">
        <v>1874</v>
      </c>
      <c r="CF277" s="2" t="s">
        <v>1875</v>
      </c>
      <c r="CG277" s="2" t="str">
        <f>HYPERLINK(".\links\KOG\AGAP007460-PA-KOG.txt","Acyl-CoA-binding protein")</f>
        <v>Acyl-CoA-binding protein</v>
      </c>
      <c r="CH277" s="13">
        <v>8.9999999999999995E-23</v>
      </c>
      <c r="CI277" s="2">
        <v>59.2</v>
      </c>
      <c r="CJ277" s="2" t="s">
        <v>1876</v>
      </c>
      <c r="CK277" s="2" t="s">
        <v>172</v>
      </c>
      <c r="CL277" s="2" t="str">
        <f>HYPERLINK(".\links\PFAM\AGAP007460-PA-PFAM.txt","ACBP, Acyl CoA binding protein")</f>
        <v>ACBP, Acyl CoA binding protein</v>
      </c>
      <c r="CM277" s="13">
        <v>9.9999999999999992E-25</v>
      </c>
      <c r="CN277" s="2">
        <v>97.5</v>
      </c>
      <c r="CO277" s="2" t="s">
        <v>1874</v>
      </c>
      <c r="CP277" s="2" t="str">
        <f>HYPERLINK(".\links\SMART\AGAP007460-PA-SMART.txt","B41, Band 4")</f>
        <v>B41, Band 4</v>
      </c>
      <c r="CQ277" s="13">
        <v>1.9</v>
      </c>
      <c r="CR277" s="2">
        <v>40.299999999999997</v>
      </c>
      <c r="CS277" s="2" t="s">
        <v>1877</v>
      </c>
      <c r="CT277" s="2" t="s">
        <v>1872</v>
      </c>
      <c r="CU277" s="2" t="s">
        <v>1872</v>
      </c>
      <c r="CV277" s="2" t="s">
        <v>1872</v>
      </c>
      <c r="CW277" s="2" t="str">
        <f>HYPERLINK(".\links\pep\AGAP007460-PA-pep.txt","AGAP007460-PA")</f>
        <v>AGAP007460-PA</v>
      </c>
      <c r="CX277" s="2" t="s">
        <v>88</v>
      </c>
      <c r="CY277" s="2">
        <v>85</v>
      </c>
      <c r="CZ277" s="2" t="s">
        <v>103</v>
      </c>
      <c r="DA277" s="2" t="s">
        <v>1878</v>
      </c>
      <c r="DB277" s="2">
        <v>0</v>
      </c>
      <c r="DC277" s="2">
        <v>0</v>
      </c>
      <c r="DD277" s="2" t="str">
        <f>HYPERLINK("https://www.kegg.jp/kegg-bin/search_pathway_text?map=aga&amp;keyword=AGAP007460&amp;mode=1&amp;viewImage=true","AGAP007460")</f>
        <v>AGAP007460</v>
      </c>
      <c r="DE277" s="2" t="s">
        <v>1868</v>
      </c>
      <c r="DF277" s="2" t="s">
        <v>1869</v>
      </c>
      <c r="DG277" s="2" t="s">
        <v>87</v>
      </c>
      <c r="DH277" s="2" t="str">
        <f>HYPERLINK("https://vectorbase.org/vectorbase/app/record/gene/AGAP007460","AGAP007460-RA")</f>
        <v>AGAP007460-RA</v>
      </c>
      <c r="DI277" s="2" t="s">
        <v>158</v>
      </c>
      <c r="DJ277" s="2">
        <v>803</v>
      </c>
      <c r="DK277" s="2" t="str">
        <f>HYPERLINK(".\links\netoglyc\AGAP007460-PA-netoglyc.txt","0")</f>
        <v>0</v>
      </c>
      <c r="DL277" s="2">
        <v>10.6</v>
      </c>
      <c r="DM277" s="2">
        <v>4.7</v>
      </c>
      <c r="DN277" s="2">
        <v>2.4</v>
      </c>
      <c r="DO277" s="2" t="s">
        <v>94</v>
      </c>
      <c r="DP277" s="2" t="s">
        <v>89</v>
      </c>
      <c r="DQ277" s="2" t="str">
        <f>HYPERLINK(".\links\Sigp\AGAP007460-PA-SigP.txt","CYT")</f>
        <v>CYT</v>
      </c>
      <c r="DR277" s="2" t="s">
        <v>89</v>
      </c>
      <c r="DS277" s="2">
        <v>9.7650000000000006</v>
      </c>
      <c r="DT277" s="2">
        <v>6.31</v>
      </c>
      <c r="DU277" s="2" t="s">
        <v>89</v>
      </c>
      <c r="DV277" s="2" t="s">
        <v>89</v>
      </c>
      <c r="DW277" s="2" t="s">
        <v>93</v>
      </c>
      <c r="DX277" s="2">
        <v>85</v>
      </c>
      <c r="DY277" s="12">
        <v>0</v>
      </c>
      <c r="DZ277" s="2" t="s">
        <v>89</v>
      </c>
      <c r="EA277" s="2" t="s">
        <v>89</v>
      </c>
      <c r="EB277" s="2" t="s">
        <v>89</v>
      </c>
      <c r="EC277" s="2" t="str">
        <f>HYPERLINK(".\links\gpi\AGAP007460-PA-gpi.txt","N")</f>
        <v>N</v>
      </c>
      <c r="ED277" s="2">
        <v>0.55000000000000004</v>
      </c>
      <c r="EF277" s="2">
        <v>0</v>
      </c>
      <c r="EG277" s="2" t="s">
        <v>89</v>
      </c>
      <c r="EH277" s="2" t="s">
        <v>89</v>
      </c>
      <c r="EI277" s="2">
        <v>10.588235294117601</v>
      </c>
      <c r="EJ277" s="2">
        <v>2.3529411764705901</v>
      </c>
      <c r="EK277" s="2">
        <v>4.7058823529411802</v>
      </c>
      <c r="EL277" s="2">
        <v>7.0588235294117601</v>
      </c>
      <c r="EM277" s="2" t="s">
        <v>89</v>
      </c>
      <c r="EN277" s="2">
        <v>2</v>
      </c>
      <c r="EO277" s="2">
        <v>2</v>
      </c>
      <c r="EP277" s="2" t="s">
        <v>89</v>
      </c>
      <c r="EQ277" s="2" t="s">
        <v>89</v>
      </c>
      <c r="ER277" s="2" t="s">
        <v>89</v>
      </c>
      <c r="ES277" s="2" t="s">
        <v>89</v>
      </c>
      <c r="ET277" s="2" t="str">
        <f>HYPERLINK(".\links\REFSEQ-INVERTEBRATE\AGAP007460-PA-REFSEQ-INVERTEBRATE.txt","AGAP007460-PA")</f>
        <v>AGAP007460-PA</v>
      </c>
      <c r="EU277" s="2" t="str">
        <f>HYPERLINK("http://www.ncbi.nlm.nih.gov/sutils/blink.cgi?pid=XP_001687920.1","2E-55")</f>
        <v>2E-55</v>
      </c>
      <c r="EV277" s="2" t="str">
        <f>HYPERLINK("http://www.ncbi.nlm.nih.gov/protein/XP_001687920.1","XP_001687920.1")</f>
        <v>XP_001687920.1</v>
      </c>
      <c r="EW277" s="2">
        <v>100</v>
      </c>
      <c r="EX277" s="2">
        <v>100</v>
      </c>
      <c r="EY277" s="2">
        <v>100</v>
      </c>
      <c r="EZ277" s="2" t="s">
        <v>95</v>
      </c>
    </row>
    <row r="278" spans="1:156" x14ac:dyDescent="0.25">
      <c r="A278" s="2" t="s">
        <v>223</v>
      </c>
      <c r="B278" s="2">
        <v>-5.1806501161955101</v>
      </c>
      <c r="C278" s="2">
        <f t="shared" si="4"/>
        <v>2.7572041149869296E-2</v>
      </c>
      <c r="D278" s="2">
        <v>3.0560097465696301</v>
      </c>
      <c r="E278" s="2">
        <v>16.655473815972101</v>
      </c>
      <c r="F278" s="2">
        <v>4.4820781135474603E-5</v>
      </c>
      <c r="G278" s="2">
        <v>5.0766686888233901E-3</v>
      </c>
      <c r="H278" s="2" t="s">
        <v>224</v>
      </c>
      <c r="I278" s="2" t="s">
        <v>87</v>
      </c>
      <c r="J278" s="2" t="str">
        <f>HYPERLINK("https://vectorbase.org/vectorbase/app/record/gene/AGAP000641","AGAP000641-RA")</f>
        <v>AGAP000641-RA</v>
      </c>
      <c r="K278" s="2" t="str">
        <f>HYPERLINK(".\links\pep\AGAP000641-PA-pep.txt","AGAP000641-PA")</f>
        <v>AGAP000641-PA</v>
      </c>
      <c r="L278" s="12" t="s">
        <v>88</v>
      </c>
      <c r="M278" s="2">
        <v>311</v>
      </c>
      <c r="N278" s="2">
        <v>0</v>
      </c>
      <c r="O278" s="2">
        <v>0</v>
      </c>
      <c r="P278" s="2" t="s">
        <v>225</v>
      </c>
      <c r="Q278" s="2" t="s">
        <v>226</v>
      </c>
      <c r="R278" s="2" t="s">
        <v>227</v>
      </c>
      <c r="S278" s="2" t="str">
        <f>HYPERLINK(".\links\NR-LIGHT\AGAP000641-PA-NR-LIGHT.txt","NR-LIGHT")</f>
        <v>NR-LIGHT</v>
      </c>
      <c r="T278" s="2">
        <v>0</v>
      </c>
      <c r="U278" s="2">
        <v>98.6</v>
      </c>
      <c r="V278" s="2" t="s">
        <v>228</v>
      </c>
      <c r="W278" s="10" t="s">
        <v>229</v>
      </c>
      <c r="X278" s="2" t="s">
        <v>227</v>
      </c>
      <c r="Y278" s="2" t="str">
        <f>HYPERLINK(".\links\REFSEQ-INVERTEBRATE\AGAP000641-PA-REFSEQ-INVERTEBRATE.txt","REFSEQ-INVERTEBRATE")</f>
        <v>REFSEQ-INVERTEBRATE</v>
      </c>
      <c r="Z278" s="2">
        <v>0</v>
      </c>
      <c r="AA278" s="2">
        <v>100</v>
      </c>
      <c r="AB278" s="12" t="str">
        <f>HYPERLINK(".\links\pep\AGAP000641-PA-sulf.txt","2")</f>
        <v>2</v>
      </c>
      <c r="AC278" s="12" t="str">
        <f>HYPERLINK(".\links\Sigp\AGAP000641-PA-SigP.txt","BL")</f>
        <v>BL</v>
      </c>
      <c r="AD278" s="2" t="s">
        <v>230</v>
      </c>
      <c r="AE278" s="2">
        <v>35.326999999999998</v>
      </c>
      <c r="AF278" s="2">
        <v>5.29</v>
      </c>
      <c r="AG278" s="2">
        <v>31.655999999999999</v>
      </c>
      <c r="AH278" s="2">
        <v>5.18</v>
      </c>
      <c r="AI278" s="2" t="s">
        <v>231</v>
      </c>
      <c r="AJ278" s="12" t="str">
        <f>HYPERLINK(".\links\tmhmm\AGAP000641-PA-tmhmm.txt","1")</f>
        <v>1</v>
      </c>
      <c r="AK278" s="2">
        <v>7.1</v>
      </c>
      <c r="AL278" s="2">
        <v>86.5</v>
      </c>
      <c r="AM278" s="2">
        <v>6.4</v>
      </c>
      <c r="AN278" s="12" t="str">
        <f>HYPERLINK(".\links\gpi\AGAP000641-PA-gpi.txt","N")</f>
        <v>N</v>
      </c>
      <c r="AO278" s="12" t="str">
        <f>HYPERLINK(".\links\netoglyc\AGAP000641-PA-netoglyc.txt","0")</f>
        <v>0</v>
      </c>
      <c r="AP278" s="12">
        <v>10.3</v>
      </c>
      <c r="AQ278" s="2">
        <v>5.0999999999999996</v>
      </c>
      <c r="AR278" s="2">
        <v>2.6</v>
      </c>
      <c r="AS278" s="2" t="s">
        <v>94</v>
      </c>
      <c r="AT278" s="2" t="str">
        <f>HYPERLINK(".\links\NR-LIGHT\AGAP000641-PA-NR-LIGHT.txt","AGAP000641-PA")</f>
        <v>AGAP000641-PA</v>
      </c>
      <c r="AU278" s="2" t="str">
        <f>HYPERLINK("http://www.ncbi.nlm.nih.gov/sutils/blink.cgi?pid=XP_311168.1","0.0")</f>
        <v>0.0</v>
      </c>
      <c r="AV278" s="2" t="str">
        <f>HYPERLINK("http://www.ncbi.nlm.nih.gov/protein/XP_311168.1","XP_311168.1")</f>
        <v>XP_311168.1</v>
      </c>
      <c r="AW278" s="2">
        <v>100</v>
      </c>
      <c r="AX278" s="2">
        <v>100</v>
      </c>
      <c r="AY278" s="2">
        <v>100</v>
      </c>
      <c r="AZ278" s="2" t="s">
        <v>95</v>
      </c>
      <c r="BA278" s="2" t="str">
        <f>HYPERLINK(".\links\REFSEQ-INVERTEBRATE\AGAP000641-PA-REFSEQ-INVERTEBRATE.txt","AGAP000644-PA")</f>
        <v>AGAP000644-PA</v>
      </c>
      <c r="BB278" s="2" t="str">
        <f>HYPERLINK("http://www.ncbi.nlm.nih.gov/sutils/blink.cgi?pid=XP_559276.2","0.0")</f>
        <v>0.0</v>
      </c>
      <c r="BC278" s="2" t="str">
        <f>HYPERLINK("http://www.ncbi.nlm.nih.gov/protein/XP_559276.2","XP_559276.2")</f>
        <v>XP_559276.2</v>
      </c>
      <c r="BD278" s="2">
        <v>100</v>
      </c>
      <c r="BE278" s="2">
        <v>100</v>
      </c>
      <c r="BF278" s="2">
        <v>100</v>
      </c>
      <c r="BG278" s="2" t="s">
        <v>95</v>
      </c>
      <c r="BH278" s="2" t="str">
        <f>HYPERLINK(".\links\REFSEQ-PROTOZOA\AGAP000641-PA-REFSEQ-PROTOZOA.txt","protein serine/threonine kinase, putative")</f>
        <v>protein serine/threonine kinase, putative</v>
      </c>
      <c r="BI278" s="2" t="str">
        <f>HYPERLINK("http://www.ncbi.nlm.nih.gov/sutils/blink.cgi?pid=XP_004256697.1","0.099")</f>
        <v>0.099</v>
      </c>
      <c r="BJ278" s="2" t="str">
        <f>HYPERLINK("http://www.ncbi.nlm.nih.gov/protein/XP_004256697.1","XP_004256697.1")</f>
        <v>XP_004256697.1</v>
      </c>
      <c r="BK278" s="2">
        <v>21</v>
      </c>
      <c r="BL278" s="2">
        <v>31</v>
      </c>
      <c r="BM278" s="2">
        <v>12</v>
      </c>
      <c r="BN278" s="2" t="s">
        <v>232</v>
      </c>
      <c r="BO278" s="2" t="str">
        <f>HYPERLINK(".\links\SWISSP\AGAP000641-PA-SWISSP.txt","General odorant-binding protein 45")</f>
        <v>General odorant-binding protein 45</v>
      </c>
      <c r="BP278" s="2" t="str">
        <f>HYPERLINK("http://www.uniprot.org/uniprot/Q16S34","3E-017")</f>
        <v>3E-017</v>
      </c>
      <c r="BQ278" s="2" t="str">
        <f>HYPERLINK("http://www.uniprot.org/uniprot/Q16S34#expression","Q16S34")</f>
        <v>Q16S34</v>
      </c>
      <c r="BR278" s="2">
        <v>27</v>
      </c>
      <c r="BS278" s="2">
        <v>41</v>
      </c>
      <c r="BT278" s="2">
        <v>92</v>
      </c>
      <c r="BU278" s="2" t="s">
        <v>233</v>
      </c>
      <c r="BV278" s="2" t="str">
        <f>HYPERLINK(".\links\FLYBASE\AGAP000641-PA-FLYBASE.txt","FBpp0078266")</f>
        <v>FBpp0078266</v>
      </c>
      <c r="BW278" s="2" t="str">
        <f>HYPERLINK("http://flybase.org/reports/FBgn0046875#alliance_summary_container","7E-04")</f>
        <v>7E-04</v>
      </c>
      <c r="BX278" s="2">
        <v>146</v>
      </c>
      <c r="BY278" s="2">
        <v>23</v>
      </c>
      <c r="BZ278" s="2">
        <v>42</v>
      </c>
      <c r="CA278" s="2">
        <v>92</v>
      </c>
      <c r="CB278" s="2" t="str">
        <f>HYPERLINK(".\links\CDD\AGAP000641-PA-CDD.txt","PBP_GOBP, PBP/GOBP family")</f>
        <v>PBP_GOBP, PBP/GOBP family</v>
      </c>
      <c r="CC278" s="13">
        <v>1E-14</v>
      </c>
      <c r="CD278" s="2">
        <v>95.5</v>
      </c>
      <c r="CE278" s="2" t="s">
        <v>234</v>
      </c>
      <c r="CF278" s="2" t="s">
        <v>235</v>
      </c>
      <c r="CG278" s="2" t="str">
        <f>HYPERLINK(".\links\KOG\AGAP000641-PA-KOG.txt","Dihydroorotase")</f>
        <v>Dihydroorotase</v>
      </c>
      <c r="CH278" s="13">
        <v>1.7999999999999999E-2</v>
      </c>
      <c r="CI278" s="2">
        <v>37.799999999999997</v>
      </c>
      <c r="CJ278" s="2" t="s">
        <v>236</v>
      </c>
      <c r="CK278" s="2" t="s">
        <v>237</v>
      </c>
      <c r="CL278" s="2" t="str">
        <f>HYPERLINK(".\links\PFAM\AGAP000641-PA-PFAM.txt","PBP_GOBP, PBP/GOBP family")</f>
        <v>PBP_GOBP, PBP/GOBP family</v>
      </c>
      <c r="CM278" s="13">
        <v>2.0000000000000002E-15</v>
      </c>
      <c r="CN278" s="2">
        <v>95.5</v>
      </c>
      <c r="CO278" s="2" t="s">
        <v>234</v>
      </c>
      <c r="CP278" s="2" t="str">
        <f>HYPERLINK(".\links\SMART\AGAP000641-PA-SMART.txt","PhBP, Insect pheromone/odorant binding protein domains")</f>
        <v>PhBP, Insect pheromone/odorant binding protein domains</v>
      </c>
      <c r="CQ278" s="13">
        <v>2.0000000000000001E-4</v>
      </c>
      <c r="CR278" s="2">
        <v>97.1</v>
      </c>
      <c r="CS278" s="2" t="s">
        <v>238</v>
      </c>
      <c r="CT278" s="2" t="s">
        <v>228</v>
      </c>
      <c r="CU278" s="2" t="s">
        <v>228</v>
      </c>
      <c r="CV278" s="2" t="s">
        <v>228</v>
      </c>
      <c r="CW278" s="2" t="str">
        <f>HYPERLINK(".\links\pep\AGAP000641-PA-pep.txt","AGAP000641-PA")</f>
        <v>AGAP000641-PA</v>
      </c>
      <c r="CX278" s="2" t="s">
        <v>88</v>
      </c>
      <c r="CY278" s="2">
        <v>311</v>
      </c>
      <c r="CZ278" s="2" t="s">
        <v>103</v>
      </c>
      <c r="DA278" s="2" t="s">
        <v>239</v>
      </c>
      <c r="DB278" s="2">
        <v>0</v>
      </c>
      <c r="DC278" s="2">
        <v>0</v>
      </c>
      <c r="DD278" s="2" t="str">
        <f>HYPERLINK("https://www.kegg.jp/kegg-bin/search_pathway_text?map=aga&amp;keyword=AGAP000641&amp;mode=1&amp;viewImage=true","AGAP000641")</f>
        <v>AGAP000641</v>
      </c>
      <c r="DE278" s="2" t="s">
        <v>223</v>
      </c>
      <c r="DF278" s="2" t="s">
        <v>224</v>
      </c>
      <c r="DG278" s="2" t="s">
        <v>87</v>
      </c>
      <c r="DH278" s="2" t="str">
        <f>HYPERLINK("https://vectorbase.org/vectorbase/app/record/gene/AGAP000641","AGAP000641-RA")</f>
        <v>AGAP000641-RA</v>
      </c>
      <c r="DI278" s="2" t="s">
        <v>140</v>
      </c>
      <c r="DJ278" s="2">
        <v>936</v>
      </c>
      <c r="DK278" s="2" t="str">
        <f>HYPERLINK(".\links\netoglyc\AGAP000641-PA-netoglyc.txt","0")</f>
        <v>0</v>
      </c>
      <c r="DL278" s="2">
        <v>10.3</v>
      </c>
      <c r="DM278" s="2">
        <v>5.0999999999999996</v>
      </c>
      <c r="DN278" s="2">
        <v>2.6</v>
      </c>
      <c r="DO278" s="2" t="s">
        <v>94</v>
      </c>
      <c r="DP278" s="2" t="s">
        <v>89</v>
      </c>
      <c r="DQ278" s="2" t="str">
        <f>HYPERLINK(".\links\Sigp\AGAP000641-PA-SigP.txt","BL")</f>
        <v>BL</v>
      </c>
      <c r="DR278" s="2" t="s">
        <v>230</v>
      </c>
      <c r="DS278" s="2">
        <v>35.326999999999998</v>
      </c>
      <c r="DT278" s="2">
        <v>5.29</v>
      </c>
      <c r="DU278" s="2">
        <v>31.655999999999999</v>
      </c>
      <c r="DV278" s="2">
        <v>5.18</v>
      </c>
      <c r="DW278" s="2" t="s">
        <v>231</v>
      </c>
      <c r="DX278" s="2">
        <v>311</v>
      </c>
      <c r="DY278" s="12" t="str">
        <f>HYPERLINK(".\links\tmhmm\AGAP000641-PA-tmhmm.txt","1")</f>
        <v>1</v>
      </c>
      <c r="DZ278" s="2">
        <v>7.1</v>
      </c>
      <c r="EA278" s="2">
        <v>86.5</v>
      </c>
      <c r="EB278" s="2">
        <v>6.4</v>
      </c>
      <c r="EC278" s="2" t="str">
        <f>HYPERLINK(".\links\gpi\AGAP000641-PA-gpi.txt","Y-NoSP")</f>
        <v>Y-NoSP</v>
      </c>
      <c r="ED278" s="2">
        <v>0.39</v>
      </c>
      <c r="EE278" s="2" t="s">
        <v>240</v>
      </c>
      <c r="EF278" s="2">
        <v>19</v>
      </c>
      <c r="EG278" s="2" t="str">
        <f>HYPERLINK(".\links\pep\AGAP000641-PA-sulf.txt","2")</f>
        <v>2</v>
      </c>
      <c r="EH278" s="2" t="s">
        <v>89</v>
      </c>
      <c r="EI278" s="2">
        <v>10.2893890675241</v>
      </c>
      <c r="EJ278" s="2">
        <v>2.5723472668810299</v>
      </c>
      <c r="EK278" s="2">
        <v>5.1446945337620598</v>
      </c>
      <c r="EL278" s="2">
        <v>7.7170418006430896</v>
      </c>
      <c r="EM278" s="2" t="s">
        <v>89</v>
      </c>
      <c r="EN278" s="2" t="s">
        <v>89</v>
      </c>
      <c r="EO278" s="2" t="s">
        <v>89</v>
      </c>
      <c r="EP278" s="2" t="s">
        <v>89</v>
      </c>
      <c r="EQ278" s="2" t="s">
        <v>89</v>
      </c>
      <c r="ER278" s="2" t="s">
        <v>89</v>
      </c>
      <c r="ES278" s="2" t="s">
        <v>89</v>
      </c>
      <c r="ET278" s="2" t="str">
        <f>HYPERLINK(".\links\REFSEQ-INVERTEBRATE\AGAP000641-PA-REFSEQ-INVERTEBRATE.txt","AGAP000644-PA")</f>
        <v>AGAP000644-PA</v>
      </c>
      <c r="EU278" s="2" t="str">
        <f>HYPERLINK("http://www.ncbi.nlm.nih.gov/sutils/blink.cgi?pid=XP_559276.2","0.0")</f>
        <v>0.0</v>
      </c>
      <c r="EV278" s="2" t="str">
        <f>HYPERLINK("http://www.ncbi.nlm.nih.gov/protein/XP_559276.2","XP_559276.2")</f>
        <v>XP_559276.2</v>
      </c>
      <c r="EW278" s="2">
        <v>100</v>
      </c>
      <c r="EX278" s="2">
        <v>100</v>
      </c>
      <c r="EY278" s="2">
        <v>100</v>
      </c>
      <c r="EZ278" s="2" t="s">
        <v>95</v>
      </c>
    </row>
  </sheetData>
  <autoFilter ref="A1:EZ1" xr:uid="{611B40E6-C776-4ED6-AC34-EF5CD59C77A4}">
    <sortState xmlns:xlrd2="http://schemas.microsoft.com/office/spreadsheetml/2017/richdata2" ref="A2:EZ278">
      <sortCondition descending="1" ref="B1"/>
    </sortState>
  </autoFilter>
  <hyperlinks>
    <hyperlink ref="DH22" r:id="rId1" xr:uid="{6E96EA0E-21A2-4055-9697-93599F21028C}"/>
    <hyperlink ref="DH127" r:id="rId2" xr:uid="{EF9D7652-B250-421B-8F51-0731E7D1619B}"/>
    <hyperlink ref="DH201" r:id="rId3" xr:uid="{652ED0DB-F511-4F4B-813B-E7A999DCCAF3}"/>
    <hyperlink ref="DH37" r:id="rId4" xr:uid="{08868C90-2CDC-41C3-9906-CAC23F1BFEB7}"/>
    <hyperlink ref="DH184" r:id="rId5" xr:uid="{410B9A47-A0B7-4E35-B648-E470C6019681}"/>
    <hyperlink ref="DH238" r:id="rId6" xr:uid="{7EE7D071-C72E-4FD2-9046-138BF71B6014}"/>
    <hyperlink ref="DH112" r:id="rId7" xr:uid="{C0D52941-0832-4E3E-8D9E-09C7E5101E1A}"/>
    <hyperlink ref="DH2" r:id="rId8" xr:uid="{8BA57E84-55D4-436F-B1A9-12CD36591D2D}"/>
    <hyperlink ref="DH128" r:id="rId9" xr:uid="{A2944428-6106-40C3-805B-43DEB80C4639}"/>
    <hyperlink ref="J22" r:id="rId10" xr:uid="{4756429D-389E-40C0-A9B2-16BDAA3194B5}"/>
    <hyperlink ref="J127" r:id="rId11" xr:uid="{CCAF7090-517F-4CEB-B90D-DDEED70881A4}"/>
    <hyperlink ref="J201" r:id="rId12" xr:uid="{AFBB6192-73F9-4F30-BCDA-0AAE7AB4B88D}"/>
    <hyperlink ref="J37" r:id="rId13" xr:uid="{DB1DD7A3-E8C1-4297-AABA-29B42F73788E}"/>
    <hyperlink ref="J184" r:id="rId14" xr:uid="{CF2534CC-4838-4555-ADA5-F04024352F40}"/>
    <hyperlink ref="J238" r:id="rId15" xr:uid="{B3EA0369-800E-4010-A087-91D0582C7757}"/>
    <hyperlink ref="J112" r:id="rId16" xr:uid="{174BEE18-3D3F-4808-BC56-4D21E9AF5D52}"/>
    <hyperlink ref="J2" r:id="rId17" xr:uid="{B9229078-BD65-41F6-97C5-892353C8BF39}"/>
    <hyperlink ref="J128" r:id="rId18" xr:uid="{93C4C85F-50D6-4D93-BAA9-775C051E9FF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E Silva, Thiago Luiz (NIH/NIAID) [E]</dc:creator>
  <cp:lastModifiedBy>De Souza Saraiva, Francis (NIH/NIAID) [F]</cp:lastModifiedBy>
  <dcterms:created xsi:type="dcterms:W3CDTF">2025-09-22T18:59:39Z</dcterms:created>
  <dcterms:modified xsi:type="dcterms:W3CDTF">2026-06-10T16:23:55Z</dcterms:modified>
</cp:coreProperties>
</file>