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rancis\Hemopexin manuscript\6-5-2026\"/>
    </mc:Choice>
  </mc:AlternateContent>
  <xr:revisionPtr revIDLastSave="0" documentId="13_ncr:1_{1B66D350-9D27-4C81-931B-825080882EEE}" xr6:coauthVersionLast="47" xr6:coauthVersionMax="47" xr10:uidLastSave="{00000000-0000-0000-0000-000000000000}"/>
  <bookViews>
    <workbookView xWindow="28680" yWindow="-120" windowWidth="29040" windowHeight="15720" xr2:uid="{885ADD5E-752B-4F37-BF49-EA75AE443992}"/>
  </bookViews>
  <sheets>
    <sheet name="All" sheetId="1" r:id="rId1"/>
  </sheets>
  <definedNames>
    <definedName name="_xlnm._FilterDatabase" localSheetId="0" hidden="1">All!$A$1:$EZ$245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V245" i="1" l="1"/>
  <c r="EU245" i="1"/>
  <c r="ET245" i="1"/>
  <c r="EC245" i="1"/>
  <c r="DQ245" i="1"/>
  <c r="DK245" i="1"/>
  <c r="DH245" i="1"/>
  <c r="DD245" i="1"/>
  <c r="CW245" i="1"/>
  <c r="CP245" i="1"/>
  <c r="CL245" i="1"/>
  <c r="CG245" i="1"/>
  <c r="CB245" i="1"/>
  <c r="BW245" i="1"/>
  <c r="BV245" i="1"/>
  <c r="BQ245" i="1"/>
  <c r="BP245" i="1"/>
  <c r="BO245" i="1"/>
  <c r="BJ245" i="1"/>
  <c r="BI245" i="1"/>
  <c r="BH245" i="1"/>
  <c r="BC245" i="1"/>
  <c r="BB245" i="1"/>
  <c r="BA245" i="1"/>
  <c r="AV245" i="1"/>
  <c r="AU245" i="1"/>
  <c r="AT245" i="1"/>
  <c r="AO245" i="1"/>
  <c r="AN245" i="1"/>
  <c r="AC245" i="1"/>
  <c r="Y245" i="1"/>
  <c r="S245" i="1"/>
  <c r="K245" i="1"/>
  <c r="J245" i="1"/>
  <c r="EV244" i="1"/>
  <c r="EU244" i="1"/>
  <c r="ET244" i="1"/>
  <c r="EG244" i="1"/>
  <c r="EC244" i="1"/>
  <c r="DQ244" i="1"/>
  <c r="DK244" i="1"/>
  <c r="DH244" i="1"/>
  <c r="DD244" i="1"/>
  <c r="CW244" i="1"/>
  <c r="CP244" i="1"/>
  <c r="CL244" i="1"/>
  <c r="CG244" i="1"/>
  <c r="CB244" i="1"/>
  <c r="BW244" i="1"/>
  <c r="BV244" i="1"/>
  <c r="BQ244" i="1"/>
  <c r="BP244" i="1"/>
  <c r="BO244" i="1"/>
  <c r="BJ244" i="1"/>
  <c r="BI244" i="1"/>
  <c r="BH244" i="1"/>
  <c r="BC244" i="1"/>
  <c r="BB244" i="1"/>
  <c r="BA244" i="1"/>
  <c r="AV244" i="1"/>
  <c r="AU244" i="1"/>
  <c r="AT244" i="1"/>
  <c r="AO244" i="1"/>
  <c r="AN244" i="1"/>
  <c r="AC244" i="1"/>
  <c r="AB244" i="1"/>
  <c r="Y244" i="1"/>
  <c r="S244" i="1"/>
  <c r="K244" i="1"/>
  <c r="J244" i="1"/>
  <c r="EV243" i="1"/>
  <c r="EU243" i="1"/>
  <c r="ET243" i="1"/>
  <c r="EC243" i="1"/>
  <c r="DY243" i="1"/>
  <c r="DQ243" i="1"/>
  <c r="DK243" i="1"/>
  <c r="DH243" i="1"/>
  <c r="DD243" i="1"/>
  <c r="CW243" i="1"/>
  <c r="CP243" i="1"/>
  <c r="CL243" i="1"/>
  <c r="CG243" i="1"/>
  <c r="CB243" i="1"/>
  <c r="BW243" i="1"/>
  <c r="BV243" i="1"/>
  <c r="BQ243" i="1"/>
  <c r="BP243" i="1"/>
  <c r="BO243" i="1"/>
  <c r="BJ243" i="1"/>
  <c r="BI243" i="1"/>
  <c r="BH243" i="1"/>
  <c r="BC243" i="1"/>
  <c r="BB243" i="1"/>
  <c r="BA243" i="1"/>
  <c r="AV243" i="1"/>
  <c r="AU243" i="1"/>
  <c r="AT243" i="1"/>
  <c r="AO243" i="1"/>
  <c r="AN243" i="1"/>
  <c r="AJ243" i="1"/>
  <c r="AC243" i="1"/>
  <c r="Y243" i="1"/>
  <c r="S243" i="1"/>
  <c r="K243" i="1"/>
  <c r="J243" i="1"/>
  <c r="EV242" i="1"/>
  <c r="EU242" i="1"/>
  <c r="ET242" i="1"/>
  <c r="EC242" i="1"/>
  <c r="DY242" i="1"/>
  <c r="DQ242" i="1"/>
  <c r="DK242" i="1"/>
  <c r="DH242" i="1"/>
  <c r="DD242" i="1"/>
  <c r="CW242" i="1"/>
  <c r="CP242" i="1"/>
  <c r="CL242" i="1"/>
  <c r="CG242" i="1"/>
  <c r="CB242" i="1"/>
  <c r="BW242" i="1"/>
  <c r="BV242" i="1"/>
  <c r="BQ242" i="1"/>
  <c r="BP242" i="1"/>
  <c r="BO242" i="1"/>
  <c r="BJ242" i="1"/>
  <c r="BI242" i="1"/>
  <c r="BH242" i="1"/>
  <c r="BC242" i="1"/>
  <c r="BB242" i="1"/>
  <c r="BA242" i="1"/>
  <c r="AV242" i="1"/>
  <c r="AU242" i="1"/>
  <c r="AT242" i="1"/>
  <c r="AO242" i="1"/>
  <c r="AN242" i="1"/>
  <c r="AJ242" i="1"/>
  <c r="AC242" i="1"/>
  <c r="Y242" i="1"/>
  <c r="S242" i="1"/>
  <c r="K242" i="1"/>
  <c r="J242" i="1"/>
  <c r="EV241" i="1"/>
  <c r="EU241" i="1"/>
  <c r="ET241" i="1"/>
  <c r="EG241" i="1"/>
  <c r="EC241" i="1"/>
  <c r="DQ241" i="1"/>
  <c r="DK241" i="1"/>
  <c r="DH241" i="1"/>
  <c r="DD241" i="1"/>
  <c r="CW241" i="1"/>
  <c r="CP241" i="1"/>
  <c r="CL241" i="1"/>
  <c r="CG241" i="1"/>
  <c r="CB241" i="1"/>
  <c r="BW241" i="1"/>
  <c r="BV241" i="1"/>
  <c r="BQ241" i="1"/>
  <c r="BP241" i="1"/>
  <c r="BO241" i="1"/>
  <c r="BJ241" i="1"/>
  <c r="BI241" i="1"/>
  <c r="BH241" i="1"/>
  <c r="BC241" i="1"/>
  <c r="BB241" i="1"/>
  <c r="BA241" i="1"/>
  <c r="AV241" i="1"/>
  <c r="AU241" i="1"/>
  <c r="AT241" i="1"/>
  <c r="AO241" i="1"/>
  <c r="AN241" i="1"/>
  <c r="AC241" i="1"/>
  <c r="AB241" i="1"/>
  <c r="Y241" i="1"/>
  <c r="S241" i="1"/>
  <c r="K241" i="1"/>
  <c r="J241" i="1"/>
  <c r="EV240" i="1"/>
  <c r="EU240" i="1"/>
  <c r="ET240" i="1"/>
  <c r="EC240" i="1"/>
  <c r="DY240" i="1"/>
  <c r="DQ240" i="1"/>
  <c r="DK240" i="1"/>
  <c r="DH240" i="1"/>
  <c r="DD240" i="1"/>
  <c r="CW240" i="1"/>
  <c r="CP240" i="1"/>
  <c r="CL240" i="1"/>
  <c r="CG240" i="1"/>
  <c r="CB240" i="1"/>
  <c r="BW240" i="1"/>
  <c r="BV240" i="1"/>
  <c r="BQ240" i="1"/>
  <c r="BP240" i="1"/>
  <c r="BO240" i="1"/>
  <c r="BJ240" i="1"/>
  <c r="BI240" i="1"/>
  <c r="BH240" i="1"/>
  <c r="BC240" i="1"/>
  <c r="BB240" i="1"/>
  <c r="BA240" i="1"/>
  <c r="AV240" i="1"/>
  <c r="AU240" i="1"/>
  <c r="AT240" i="1"/>
  <c r="AO240" i="1"/>
  <c r="AN240" i="1"/>
  <c r="AJ240" i="1"/>
  <c r="AC240" i="1"/>
  <c r="Y240" i="1"/>
  <c r="S240" i="1"/>
  <c r="K240" i="1"/>
  <c r="J240" i="1"/>
  <c r="EV239" i="1"/>
  <c r="EU239" i="1"/>
  <c r="ET239" i="1"/>
  <c r="EG239" i="1"/>
  <c r="EC239" i="1"/>
  <c r="DQ239" i="1"/>
  <c r="DK239" i="1"/>
  <c r="DH239" i="1"/>
  <c r="DD239" i="1"/>
  <c r="CW239" i="1"/>
  <c r="CP239" i="1"/>
  <c r="CL239" i="1"/>
  <c r="CG239" i="1"/>
  <c r="CB239" i="1"/>
  <c r="BW239" i="1"/>
  <c r="BV239" i="1"/>
  <c r="BQ239" i="1"/>
  <c r="BP239" i="1"/>
  <c r="BO239" i="1"/>
  <c r="BJ239" i="1"/>
  <c r="BI239" i="1"/>
  <c r="BH239" i="1"/>
  <c r="BC239" i="1"/>
  <c r="BB239" i="1"/>
  <c r="BA239" i="1"/>
  <c r="AV239" i="1"/>
  <c r="AU239" i="1"/>
  <c r="AT239" i="1"/>
  <c r="AO239" i="1"/>
  <c r="AN239" i="1"/>
  <c r="AC239" i="1"/>
  <c r="AB239" i="1"/>
  <c r="Y239" i="1"/>
  <c r="S239" i="1"/>
  <c r="K239" i="1"/>
  <c r="J239" i="1"/>
  <c r="EV238" i="1"/>
  <c r="EU238" i="1"/>
  <c r="ET238" i="1"/>
  <c r="EC238" i="1"/>
  <c r="DY238" i="1"/>
  <c r="DQ238" i="1"/>
  <c r="DK238" i="1"/>
  <c r="DH238" i="1"/>
  <c r="DD238" i="1"/>
  <c r="CW238" i="1"/>
  <c r="CP238" i="1"/>
  <c r="CL238" i="1"/>
  <c r="CG238" i="1"/>
  <c r="CB238" i="1"/>
  <c r="BW238" i="1"/>
  <c r="BV238" i="1"/>
  <c r="BQ238" i="1"/>
  <c r="BP238" i="1"/>
  <c r="BO238" i="1"/>
  <c r="BJ238" i="1"/>
  <c r="BI238" i="1"/>
  <c r="BH238" i="1"/>
  <c r="BC238" i="1"/>
  <c r="BB238" i="1"/>
  <c r="BA238" i="1"/>
  <c r="AV238" i="1"/>
  <c r="AU238" i="1"/>
  <c r="AT238" i="1"/>
  <c r="AO238" i="1"/>
  <c r="AN238" i="1"/>
  <c r="AJ238" i="1"/>
  <c r="AC238" i="1"/>
  <c r="Y238" i="1"/>
  <c r="S238" i="1"/>
  <c r="K238" i="1"/>
  <c r="J238" i="1"/>
  <c r="EV237" i="1"/>
  <c r="EU237" i="1"/>
  <c r="ET237" i="1"/>
  <c r="EG237" i="1"/>
  <c r="EC237" i="1"/>
  <c r="DQ237" i="1"/>
  <c r="DK237" i="1"/>
  <c r="DH237" i="1"/>
  <c r="DD237" i="1"/>
  <c r="CW237" i="1"/>
  <c r="CP237" i="1"/>
  <c r="CL237" i="1"/>
  <c r="CG237" i="1"/>
  <c r="CB237" i="1"/>
  <c r="BW237" i="1"/>
  <c r="BV237" i="1"/>
  <c r="BQ237" i="1"/>
  <c r="BP237" i="1"/>
  <c r="BO237" i="1"/>
  <c r="BJ237" i="1"/>
  <c r="BI237" i="1"/>
  <c r="BH237" i="1"/>
  <c r="BC237" i="1"/>
  <c r="BB237" i="1"/>
  <c r="BA237" i="1"/>
  <c r="AV237" i="1"/>
  <c r="AU237" i="1"/>
  <c r="AT237" i="1"/>
  <c r="AO237" i="1"/>
  <c r="AN237" i="1"/>
  <c r="AC237" i="1"/>
  <c r="AB237" i="1"/>
  <c r="Y237" i="1"/>
  <c r="S237" i="1"/>
  <c r="K237" i="1"/>
  <c r="J237" i="1"/>
  <c r="EV236" i="1"/>
  <c r="EU236" i="1"/>
  <c r="ET236" i="1"/>
  <c r="EC236" i="1"/>
  <c r="DY236" i="1"/>
  <c r="DQ236" i="1"/>
  <c r="DK236" i="1"/>
  <c r="DH236" i="1"/>
  <c r="DD236" i="1"/>
  <c r="CW236" i="1"/>
  <c r="CP236" i="1"/>
  <c r="CL236" i="1"/>
  <c r="CG236" i="1"/>
  <c r="CB236" i="1"/>
  <c r="BW236" i="1"/>
  <c r="BV236" i="1"/>
  <c r="BQ236" i="1"/>
  <c r="BP236" i="1"/>
  <c r="BO236" i="1"/>
  <c r="BJ236" i="1"/>
  <c r="BI236" i="1"/>
  <c r="BH236" i="1"/>
  <c r="BC236" i="1"/>
  <c r="BB236" i="1"/>
  <c r="BA236" i="1"/>
  <c r="AV236" i="1"/>
  <c r="AU236" i="1"/>
  <c r="AT236" i="1"/>
  <c r="AO236" i="1"/>
  <c r="AN236" i="1"/>
  <c r="AJ236" i="1"/>
  <c r="AC236" i="1"/>
  <c r="Y236" i="1"/>
  <c r="S236" i="1"/>
  <c r="K236" i="1"/>
  <c r="J236" i="1"/>
  <c r="EV235" i="1"/>
  <c r="EU235" i="1"/>
  <c r="ET235" i="1"/>
  <c r="EC235" i="1"/>
  <c r="DQ235" i="1"/>
  <c r="DK235" i="1"/>
  <c r="DH235" i="1"/>
  <c r="DD235" i="1"/>
  <c r="CW235" i="1"/>
  <c r="CP235" i="1"/>
  <c r="CL235" i="1"/>
  <c r="CG235" i="1"/>
  <c r="CB235" i="1"/>
  <c r="BW235" i="1"/>
  <c r="BV235" i="1"/>
  <c r="BQ235" i="1"/>
  <c r="BP235" i="1"/>
  <c r="BO235" i="1"/>
  <c r="BJ235" i="1"/>
  <c r="BI235" i="1"/>
  <c r="BH235" i="1"/>
  <c r="BC235" i="1"/>
  <c r="BB235" i="1"/>
  <c r="BA235" i="1"/>
  <c r="AV235" i="1"/>
  <c r="AU235" i="1"/>
  <c r="AT235" i="1"/>
  <c r="AO235" i="1"/>
  <c r="AN235" i="1"/>
  <c r="AC235" i="1"/>
  <c r="Y235" i="1"/>
  <c r="S235" i="1"/>
  <c r="K235" i="1"/>
  <c r="J235" i="1"/>
  <c r="EV234" i="1"/>
  <c r="EU234" i="1"/>
  <c r="ET234" i="1"/>
  <c r="EC234" i="1"/>
  <c r="DQ234" i="1"/>
  <c r="DK234" i="1"/>
  <c r="DH234" i="1"/>
  <c r="DD234" i="1"/>
  <c r="CW234" i="1"/>
  <c r="CP234" i="1"/>
  <c r="CL234" i="1"/>
  <c r="CG234" i="1"/>
  <c r="CB234" i="1"/>
  <c r="BW234" i="1"/>
  <c r="BV234" i="1"/>
  <c r="BQ234" i="1"/>
  <c r="BP234" i="1"/>
  <c r="BO234" i="1"/>
  <c r="BJ234" i="1"/>
  <c r="BI234" i="1"/>
  <c r="BH234" i="1"/>
  <c r="BC234" i="1"/>
  <c r="BB234" i="1"/>
  <c r="BA234" i="1"/>
  <c r="AV234" i="1"/>
  <c r="AU234" i="1"/>
  <c r="AT234" i="1"/>
  <c r="AO234" i="1"/>
  <c r="AN234" i="1"/>
  <c r="AC234" i="1"/>
  <c r="Y234" i="1"/>
  <c r="S234" i="1"/>
  <c r="K234" i="1"/>
  <c r="J234" i="1"/>
  <c r="EV233" i="1"/>
  <c r="EU233" i="1"/>
  <c r="ET233" i="1"/>
  <c r="EC233" i="1"/>
  <c r="DQ233" i="1"/>
  <c r="DK233" i="1"/>
  <c r="DH233" i="1"/>
  <c r="DD233" i="1"/>
  <c r="CW233" i="1"/>
  <c r="CP233" i="1"/>
  <c r="CL233" i="1"/>
  <c r="CG233" i="1"/>
  <c r="CB233" i="1"/>
  <c r="BW233" i="1"/>
  <c r="BV233" i="1"/>
  <c r="BQ233" i="1"/>
  <c r="BP233" i="1"/>
  <c r="BO233" i="1"/>
  <c r="BJ233" i="1"/>
  <c r="BI233" i="1"/>
  <c r="BH233" i="1"/>
  <c r="BC233" i="1"/>
  <c r="BB233" i="1"/>
  <c r="BA233" i="1"/>
  <c r="AV233" i="1"/>
  <c r="AU233" i="1"/>
  <c r="AT233" i="1"/>
  <c r="AO233" i="1"/>
  <c r="AN233" i="1"/>
  <c r="AC233" i="1"/>
  <c r="Y233" i="1"/>
  <c r="S233" i="1"/>
  <c r="K233" i="1"/>
  <c r="J233" i="1"/>
  <c r="EV232" i="1"/>
  <c r="EU232" i="1"/>
  <c r="ET232" i="1"/>
  <c r="EG232" i="1"/>
  <c r="EC232" i="1"/>
  <c r="DQ232" i="1"/>
  <c r="DK232" i="1"/>
  <c r="DH232" i="1"/>
  <c r="DD232" i="1"/>
  <c r="CW232" i="1"/>
  <c r="CP232" i="1"/>
  <c r="CL232" i="1"/>
  <c r="CG232" i="1"/>
  <c r="CB232" i="1"/>
  <c r="BW232" i="1"/>
  <c r="BV232" i="1"/>
  <c r="BQ232" i="1"/>
  <c r="BP232" i="1"/>
  <c r="BO232" i="1"/>
  <c r="BJ232" i="1"/>
  <c r="BI232" i="1"/>
  <c r="BH232" i="1"/>
  <c r="BC232" i="1"/>
  <c r="BB232" i="1"/>
  <c r="BA232" i="1"/>
  <c r="AV232" i="1"/>
  <c r="AU232" i="1"/>
  <c r="AT232" i="1"/>
  <c r="AO232" i="1"/>
  <c r="AN232" i="1"/>
  <c r="AC232" i="1"/>
  <c r="AB232" i="1"/>
  <c r="Y232" i="1"/>
  <c r="S232" i="1"/>
  <c r="K232" i="1"/>
  <c r="J232" i="1"/>
  <c r="EV231" i="1"/>
  <c r="EU231" i="1"/>
  <c r="ET231" i="1"/>
  <c r="EG231" i="1"/>
  <c r="EC231" i="1"/>
  <c r="DQ231" i="1"/>
  <c r="DK231" i="1"/>
  <c r="DH231" i="1"/>
  <c r="DD231" i="1"/>
  <c r="CW231" i="1"/>
  <c r="CP231" i="1"/>
  <c r="CL231" i="1"/>
  <c r="CG231" i="1"/>
  <c r="CB231" i="1"/>
  <c r="BW231" i="1"/>
  <c r="BV231" i="1"/>
  <c r="BQ231" i="1"/>
  <c r="BP231" i="1"/>
  <c r="BO231" i="1"/>
  <c r="BJ231" i="1"/>
  <c r="BI231" i="1"/>
  <c r="BH231" i="1"/>
  <c r="BC231" i="1"/>
  <c r="BB231" i="1"/>
  <c r="BA231" i="1"/>
  <c r="AV231" i="1"/>
  <c r="AU231" i="1"/>
  <c r="AT231" i="1"/>
  <c r="AO231" i="1"/>
  <c r="AN231" i="1"/>
  <c r="AC231" i="1"/>
  <c r="AB231" i="1"/>
  <c r="Y231" i="1"/>
  <c r="S231" i="1"/>
  <c r="K231" i="1"/>
  <c r="J231" i="1"/>
  <c r="EV230" i="1"/>
  <c r="EU230" i="1"/>
  <c r="ET230" i="1"/>
  <c r="EG230" i="1"/>
  <c r="EC230" i="1"/>
  <c r="DQ230" i="1"/>
  <c r="DK230" i="1"/>
  <c r="DH230" i="1"/>
  <c r="DD230" i="1"/>
  <c r="CW230" i="1"/>
  <c r="CP230" i="1"/>
  <c r="CL230" i="1"/>
  <c r="CG230" i="1"/>
  <c r="CB230" i="1"/>
  <c r="BW230" i="1"/>
  <c r="BV230" i="1"/>
  <c r="BQ230" i="1"/>
  <c r="BP230" i="1"/>
  <c r="BO230" i="1"/>
  <c r="BJ230" i="1"/>
  <c r="BI230" i="1"/>
  <c r="BH230" i="1"/>
  <c r="BC230" i="1"/>
  <c r="BB230" i="1"/>
  <c r="BA230" i="1"/>
  <c r="AV230" i="1"/>
  <c r="AU230" i="1"/>
  <c r="AT230" i="1"/>
  <c r="AO230" i="1"/>
  <c r="AN230" i="1"/>
  <c r="AC230" i="1"/>
  <c r="AB230" i="1"/>
  <c r="Y230" i="1"/>
  <c r="S230" i="1"/>
  <c r="K230" i="1"/>
  <c r="J230" i="1"/>
  <c r="EV229" i="1"/>
  <c r="EU229" i="1"/>
  <c r="ET229" i="1"/>
  <c r="EC229" i="1"/>
  <c r="DQ229" i="1"/>
  <c r="DK229" i="1"/>
  <c r="DH229" i="1"/>
  <c r="DD229" i="1"/>
  <c r="CW229" i="1"/>
  <c r="CP229" i="1"/>
  <c r="CL229" i="1"/>
  <c r="CG229" i="1"/>
  <c r="CB229" i="1"/>
  <c r="BW229" i="1"/>
  <c r="BV229" i="1"/>
  <c r="BQ229" i="1"/>
  <c r="BP229" i="1"/>
  <c r="BO229" i="1"/>
  <c r="BJ229" i="1"/>
  <c r="BI229" i="1"/>
  <c r="BH229" i="1"/>
  <c r="BC229" i="1"/>
  <c r="BB229" i="1"/>
  <c r="BA229" i="1"/>
  <c r="AV229" i="1"/>
  <c r="AU229" i="1"/>
  <c r="AT229" i="1"/>
  <c r="AO229" i="1"/>
  <c r="AN229" i="1"/>
  <c r="AC229" i="1"/>
  <c r="Y229" i="1"/>
  <c r="S229" i="1"/>
  <c r="K229" i="1"/>
  <c r="J229" i="1"/>
  <c r="EV228" i="1"/>
  <c r="EU228" i="1"/>
  <c r="ET228" i="1"/>
  <c r="EC228" i="1"/>
  <c r="DQ228" i="1"/>
  <c r="DK228" i="1"/>
  <c r="DH228" i="1"/>
  <c r="DD228" i="1"/>
  <c r="CW228" i="1"/>
  <c r="CP228" i="1"/>
  <c r="CL228" i="1"/>
  <c r="CG228" i="1"/>
  <c r="CB228" i="1"/>
  <c r="BW228" i="1"/>
  <c r="BV228" i="1"/>
  <c r="BQ228" i="1"/>
  <c r="BP228" i="1"/>
  <c r="BO228" i="1"/>
  <c r="BJ228" i="1"/>
  <c r="BI228" i="1"/>
  <c r="BH228" i="1"/>
  <c r="BC228" i="1"/>
  <c r="BB228" i="1"/>
  <c r="BA228" i="1"/>
  <c r="AV228" i="1"/>
  <c r="AU228" i="1"/>
  <c r="AT228" i="1"/>
  <c r="AO228" i="1"/>
  <c r="AN228" i="1"/>
  <c r="AC228" i="1"/>
  <c r="Y228" i="1"/>
  <c r="S228" i="1"/>
  <c r="K228" i="1"/>
  <c r="J228" i="1"/>
  <c r="EV227" i="1"/>
  <c r="EU227" i="1"/>
  <c r="ET227" i="1"/>
  <c r="EG227" i="1"/>
  <c r="EC227" i="1"/>
  <c r="DQ227" i="1"/>
  <c r="DK227" i="1"/>
  <c r="DH227" i="1"/>
  <c r="DD227" i="1"/>
  <c r="CW227" i="1"/>
  <c r="CP227" i="1"/>
  <c r="CL227" i="1"/>
  <c r="CG227" i="1"/>
  <c r="CB227" i="1"/>
  <c r="BW227" i="1"/>
  <c r="BV227" i="1"/>
  <c r="BQ227" i="1"/>
  <c r="BP227" i="1"/>
  <c r="BO227" i="1"/>
  <c r="BJ227" i="1"/>
  <c r="BI227" i="1"/>
  <c r="BH227" i="1"/>
  <c r="BC227" i="1"/>
  <c r="BB227" i="1"/>
  <c r="BA227" i="1"/>
  <c r="AV227" i="1"/>
  <c r="AU227" i="1"/>
  <c r="AT227" i="1"/>
  <c r="AO227" i="1"/>
  <c r="AN227" i="1"/>
  <c r="AC227" i="1"/>
  <c r="AB227" i="1"/>
  <c r="Y227" i="1"/>
  <c r="S227" i="1"/>
  <c r="K227" i="1"/>
  <c r="J227" i="1"/>
  <c r="EV226" i="1"/>
  <c r="EU226" i="1"/>
  <c r="ET226" i="1"/>
  <c r="EG226" i="1"/>
  <c r="EC226" i="1"/>
  <c r="DQ226" i="1"/>
  <c r="DK226" i="1"/>
  <c r="DH226" i="1"/>
  <c r="DD226" i="1"/>
  <c r="CW226" i="1"/>
  <c r="CP226" i="1"/>
  <c r="CL226" i="1"/>
  <c r="CG226" i="1"/>
  <c r="CB226" i="1"/>
  <c r="BW226" i="1"/>
  <c r="BV226" i="1"/>
  <c r="BQ226" i="1"/>
  <c r="BP226" i="1"/>
  <c r="BO226" i="1"/>
  <c r="BJ226" i="1"/>
  <c r="BI226" i="1"/>
  <c r="BH226" i="1"/>
  <c r="BC226" i="1"/>
  <c r="BB226" i="1"/>
  <c r="BA226" i="1"/>
  <c r="AV226" i="1"/>
  <c r="AU226" i="1"/>
  <c r="AT226" i="1"/>
  <c r="AO226" i="1"/>
  <c r="AN226" i="1"/>
  <c r="AC226" i="1"/>
  <c r="AB226" i="1"/>
  <c r="Y226" i="1"/>
  <c r="S226" i="1"/>
  <c r="K226" i="1"/>
  <c r="J226" i="1"/>
  <c r="EV225" i="1"/>
  <c r="EU225" i="1"/>
  <c r="ET225" i="1"/>
  <c r="EC225" i="1"/>
  <c r="DQ225" i="1"/>
  <c r="DK225" i="1"/>
  <c r="DH225" i="1"/>
  <c r="DD225" i="1"/>
  <c r="CW225" i="1"/>
  <c r="CP225" i="1"/>
  <c r="CL225" i="1"/>
  <c r="CG225" i="1"/>
  <c r="CB225" i="1"/>
  <c r="BW225" i="1"/>
  <c r="BV225" i="1"/>
  <c r="BQ225" i="1"/>
  <c r="BP225" i="1"/>
  <c r="BO225" i="1"/>
  <c r="BJ225" i="1"/>
  <c r="BI225" i="1"/>
  <c r="BH225" i="1"/>
  <c r="BC225" i="1"/>
  <c r="BB225" i="1"/>
  <c r="BA225" i="1"/>
  <c r="AV225" i="1"/>
  <c r="AU225" i="1"/>
  <c r="AT225" i="1"/>
  <c r="AO225" i="1"/>
  <c r="AN225" i="1"/>
  <c r="AC225" i="1"/>
  <c r="Y225" i="1"/>
  <c r="S225" i="1"/>
  <c r="K225" i="1"/>
  <c r="J225" i="1"/>
  <c r="EV224" i="1"/>
  <c r="EU224" i="1"/>
  <c r="ET224" i="1"/>
  <c r="EC224" i="1"/>
  <c r="DY224" i="1"/>
  <c r="DQ224" i="1"/>
  <c r="DK224" i="1"/>
  <c r="DH224" i="1"/>
  <c r="DD224" i="1"/>
  <c r="CW224" i="1"/>
  <c r="CP224" i="1"/>
  <c r="CL224" i="1"/>
  <c r="CG224" i="1"/>
  <c r="CB224" i="1"/>
  <c r="BW224" i="1"/>
  <c r="BV224" i="1"/>
  <c r="BQ224" i="1"/>
  <c r="BP224" i="1"/>
  <c r="BO224" i="1"/>
  <c r="BJ224" i="1"/>
  <c r="BI224" i="1"/>
  <c r="BH224" i="1"/>
  <c r="BC224" i="1"/>
  <c r="BB224" i="1"/>
  <c r="BA224" i="1"/>
  <c r="AV224" i="1"/>
  <c r="AU224" i="1"/>
  <c r="AT224" i="1"/>
  <c r="AO224" i="1"/>
  <c r="AN224" i="1"/>
  <c r="AJ224" i="1"/>
  <c r="AC224" i="1"/>
  <c r="Y224" i="1"/>
  <c r="S224" i="1"/>
  <c r="K224" i="1"/>
  <c r="J224" i="1"/>
  <c r="EV223" i="1"/>
  <c r="EU223" i="1"/>
  <c r="ET223" i="1"/>
  <c r="EC223" i="1"/>
  <c r="DY223" i="1"/>
  <c r="DQ223" i="1"/>
  <c r="DK223" i="1"/>
  <c r="DH223" i="1"/>
  <c r="DD223" i="1"/>
  <c r="CW223" i="1"/>
  <c r="CP223" i="1"/>
  <c r="CL223" i="1"/>
  <c r="CG223" i="1"/>
  <c r="CB223" i="1"/>
  <c r="BW223" i="1"/>
  <c r="BV223" i="1"/>
  <c r="BQ223" i="1"/>
  <c r="BP223" i="1"/>
  <c r="BO223" i="1"/>
  <c r="BJ223" i="1"/>
  <c r="BI223" i="1"/>
  <c r="BH223" i="1"/>
  <c r="BC223" i="1"/>
  <c r="BB223" i="1"/>
  <c r="BA223" i="1"/>
  <c r="AV223" i="1"/>
  <c r="AU223" i="1"/>
  <c r="AT223" i="1"/>
  <c r="AO223" i="1"/>
  <c r="AN223" i="1"/>
  <c r="AJ223" i="1"/>
  <c r="AC223" i="1"/>
  <c r="Y223" i="1"/>
  <c r="S223" i="1"/>
  <c r="K223" i="1"/>
  <c r="J223" i="1"/>
  <c r="EV222" i="1"/>
  <c r="EU222" i="1"/>
  <c r="ET222" i="1"/>
  <c r="EC222" i="1"/>
  <c r="DQ222" i="1"/>
  <c r="DK222" i="1"/>
  <c r="DH222" i="1"/>
  <c r="DD222" i="1"/>
  <c r="CW222" i="1"/>
  <c r="CP222" i="1"/>
  <c r="CL222" i="1"/>
  <c r="CG222" i="1"/>
  <c r="CB222" i="1"/>
  <c r="BW222" i="1"/>
  <c r="BV222" i="1"/>
  <c r="BQ222" i="1"/>
  <c r="BP222" i="1"/>
  <c r="BO222" i="1"/>
  <c r="BJ222" i="1"/>
  <c r="BI222" i="1"/>
  <c r="BH222" i="1"/>
  <c r="BC222" i="1"/>
  <c r="BB222" i="1"/>
  <c r="BA222" i="1"/>
  <c r="AV222" i="1"/>
  <c r="AU222" i="1"/>
  <c r="AT222" i="1"/>
  <c r="AO222" i="1"/>
  <c r="AN222" i="1"/>
  <c r="AC222" i="1"/>
  <c r="Y222" i="1"/>
  <c r="S222" i="1"/>
  <c r="K222" i="1"/>
  <c r="J222" i="1"/>
  <c r="EV221" i="1"/>
  <c r="EU221" i="1"/>
  <c r="ET221" i="1"/>
  <c r="EG221" i="1"/>
  <c r="EC221" i="1"/>
  <c r="DQ221" i="1"/>
  <c r="DK221" i="1"/>
  <c r="DH221" i="1"/>
  <c r="DD221" i="1"/>
  <c r="CW221" i="1"/>
  <c r="CP221" i="1"/>
  <c r="CL221" i="1"/>
  <c r="CG221" i="1"/>
  <c r="CB221" i="1"/>
  <c r="BW221" i="1"/>
  <c r="BV221" i="1"/>
  <c r="BQ221" i="1"/>
  <c r="BP221" i="1"/>
  <c r="BO221" i="1"/>
  <c r="BJ221" i="1"/>
  <c r="BI221" i="1"/>
  <c r="BH221" i="1"/>
  <c r="BC221" i="1"/>
  <c r="BB221" i="1"/>
  <c r="BA221" i="1"/>
  <c r="AV221" i="1"/>
  <c r="AU221" i="1"/>
  <c r="AT221" i="1"/>
  <c r="AO221" i="1"/>
  <c r="AN221" i="1"/>
  <c r="AC221" i="1"/>
  <c r="AB221" i="1"/>
  <c r="Y221" i="1"/>
  <c r="S221" i="1"/>
  <c r="K221" i="1"/>
  <c r="J221" i="1"/>
  <c r="EV220" i="1"/>
  <c r="EU220" i="1"/>
  <c r="ET220" i="1"/>
  <c r="EC220" i="1"/>
  <c r="DY220" i="1"/>
  <c r="DQ220" i="1"/>
  <c r="DK220" i="1"/>
  <c r="DH220" i="1"/>
  <c r="DD220" i="1"/>
  <c r="CW220" i="1"/>
  <c r="CP220" i="1"/>
  <c r="CL220" i="1"/>
  <c r="CG220" i="1"/>
  <c r="CB220" i="1"/>
  <c r="BW220" i="1"/>
  <c r="BV220" i="1"/>
  <c r="BQ220" i="1"/>
  <c r="BP220" i="1"/>
  <c r="BO220" i="1"/>
  <c r="BJ220" i="1"/>
  <c r="BI220" i="1"/>
  <c r="BH220" i="1"/>
  <c r="BC220" i="1"/>
  <c r="BB220" i="1"/>
  <c r="BA220" i="1"/>
  <c r="AV220" i="1"/>
  <c r="AU220" i="1"/>
  <c r="AT220" i="1"/>
  <c r="AO220" i="1"/>
  <c r="AN220" i="1"/>
  <c r="AJ220" i="1"/>
  <c r="AC220" i="1"/>
  <c r="Y220" i="1"/>
  <c r="S220" i="1"/>
  <c r="K220" i="1"/>
  <c r="J220" i="1"/>
  <c r="EV219" i="1"/>
  <c r="EU219" i="1"/>
  <c r="ET219" i="1"/>
  <c r="EC219" i="1"/>
  <c r="DQ219" i="1"/>
  <c r="DK219" i="1"/>
  <c r="DH219" i="1"/>
  <c r="DD219" i="1"/>
  <c r="CW219" i="1"/>
  <c r="CP219" i="1"/>
  <c r="CL219" i="1"/>
  <c r="CG219" i="1"/>
  <c r="CB219" i="1"/>
  <c r="BW219" i="1"/>
  <c r="BV219" i="1"/>
  <c r="BQ219" i="1"/>
  <c r="BP219" i="1"/>
  <c r="BO219" i="1"/>
  <c r="BJ219" i="1"/>
  <c r="BI219" i="1"/>
  <c r="BH219" i="1"/>
  <c r="BC219" i="1"/>
  <c r="BB219" i="1"/>
  <c r="BA219" i="1"/>
  <c r="AV219" i="1"/>
  <c r="AU219" i="1"/>
  <c r="AT219" i="1"/>
  <c r="AO219" i="1"/>
  <c r="AN219" i="1"/>
  <c r="AC219" i="1"/>
  <c r="Y219" i="1"/>
  <c r="S219" i="1"/>
  <c r="K219" i="1"/>
  <c r="J219" i="1"/>
  <c r="EV218" i="1"/>
  <c r="EU218" i="1"/>
  <c r="ET218" i="1"/>
  <c r="EG218" i="1"/>
  <c r="EC218" i="1"/>
  <c r="DQ218" i="1"/>
  <c r="DK218" i="1"/>
  <c r="DH218" i="1"/>
  <c r="DD218" i="1"/>
  <c r="CW218" i="1"/>
  <c r="CP218" i="1"/>
  <c r="CL218" i="1"/>
  <c r="CG218" i="1"/>
  <c r="CB218" i="1"/>
  <c r="BW218" i="1"/>
  <c r="BV218" i="1"/>
  <c r="BQ218" i="1"/>
  <c r="BP218" i="1"/>
  <c r="BO218" i="1"/>
  <c r="BJ218" i="1"/>
  <c r="BI218" i="1"/>
  <c r="BH218" i="1"/>
  <c r="BC218" i="1"/>
  <c r="BB218" i="1"/>
  <c r="BA218" i="1"/>
  <c r="AV218" i="1"/>
  <c r="AU218" i="1"/>
  <c r="AT218" i="1"/>
  <c r="AO218" i="1"/>
  <c r="AN218" i="1"/>
  <c r="AC218" i="1"/>
  <c r="AB218" i="1"/>
  <c r="Y218" i="1"/>
  <c r="S218" i="1"/>
  <c r="K218" i="1"/>
  <c r="J218" i="1"/>
  <c r="EV217" i="1"/>
  <c r="EU217" i="1"/>
  <c r="ET217" i="1"/>
  <c r="EC217" i="1"/>
  <c r="DQ217" i="1"/>
  <c r="DK217" i="1"/>
  <c r="DH217" i="1"/>
  <c r="DD217" i="1"/>
  <c r="CW217" i="1"/>
  <c r="CP217" i="1"/>
  <c r="CL217" i="1"/>
  <c r="CG217" i="1"/>
  <c r="BW217" i="1"/>
  <c r="BV217" i="1"/>
  <c r="BQ217" i="1"/>
  <c r="BP217" i="1"/>
  <c r="BO217" i="1"/>
  <c r="BJ217" i="1"/>
  <c r="BI217" i="1"/>
  <c r="BH217" i="1"/>
  <c r="BC217" i="1"/>
  <c r="BB217" i="1"/>
  <c r="BA217" i="1"/>
  <c r="AV217" i="1"/>
  <c r="AU217" i="1"/>
  <c r="AT217" i="1"/>
  <c r="AO217" i="1"/>
  <c r="AN217" i="1"/>
  <c r="AC217" i="1"/>
  <c r="Y217" i="1"/>
  <c r="S217" i="1"/>
  <c r="K217" i="1"/>
  <c r="J217" i="1"/>
  <c r="EV216" i="1"/>
  <c r="EU216" i="1"/>
  <c r="ET216" i="1"/>
  <c r="EC216" i="1"/>
  <c r="DQ216" i="1"/>
  <c r="DK216" i="1"/>
  <c r="DH216" i="1"/>
  <c r="DD216" i="1"/>
  <c r="CW216" i="1"/>
  <c r="CP216" i="1"/>
  <c r="CL216" i="1"/>
  <c r="CG216" i="1"/>
  <c r="CB216" i="1"/>
  <c r="BW216" i="1"/>
  <c r="BV216" i="1"/>
  <c r="BQ216" i="1"/>
  <c r="BP216" i="1"/>
  <c r="BO216" i="1"/>
  <c r="BJ216" i="1"/>
  <c r="BI216" i="1"/>
  <c r="BH216" i="1"/>
  <c r="BC216" i="1"/>
  <c r="BB216" i="1"/>
  <c r="BA216" i="1"/>
  <c r="AV216" i="1"/>
  <c r="AU216" i="1"/>
  <c r="AT216" i="1"/>
  <c r="AO216" i="1"/>
  <c r="AN216" i="1"/>
  <c r="AC216" i="1"/>
  <c r="Y216" i="1"/>
  <c r="S216" i="1"/>
  <c r="K216" i="1"/>
  <c r="J216" i="1"/>
  <c r="EV215" i="1"/>
  <c r="EU215" i="1"/>
  <c r="ET215" i="1"/>
  <c r="EG215" i="1"/>
  <c r="EC215" i="1"/>
  <c r="DY215" i="1"/>
  <c r="DQ215" i="1"/>
  <c r="DK215" i="1"/>
  <c r="DH215" i="1"/>
  <c r="DD215" i="1"/>
  <c r="CW215" i="1"/>
  <c r="CP215" i="1"/>
  <c r="CL215" i="1"/>
  <c r="CG215" i="1"/>
  <c r="CB215" i="1"/>
  <c r="BW215" i="1"/>
  <c r="BV215" i="1"/>
  <c r="BQ215" i="1"/>
  <c r="BP215" i="1"/>
  <c r="BO215" i="1"/>
  <c r="BJ215" i="1"/>
  <c r="BI215" i="1"/>
  <c r="BH215" i="1"/>
  <c r="BC215" i="1"/>
  <c r="BB215" i="1"/>
  <c r="BA215" i="1"/>
  <c r="AV215" i="1"/>
  <c r="AU215" i="1"/>
  <c r="AT215" i="1"/>
  <c r="AO215" i="1"/>
  <c r="AN215" i="1"/>
  <c r="AJ215" i="1"/>
  <c r="AC215" i="1"/>
  <c r="AB215" i="1"/>
  <c r="Y215" i="1"/>
  <c r="S215" i="1"/>
  <c r="K215" i="1"/>
  <c r="J215" i="1"/>
  <c r="EV214" i="1"/>
  <c r="EU214" i="1"/>
  <c r="ET214" i="1"/>
  <c r="EG214" i="1"/>
  <c r="EC214" i="1"/>
  <c r="DQ214" i="1"/>
  <c r="DK214" i="1"/>
  <c r="DH214" i="1"/>
  <c r="DD214" i="1"/>
  <c r="CW214" i="1"/>
  <c r="CP214" i="1"/>
  <c r="CL214" i="1"/>
  <c r="CG214" i="1"/>
  <c r="CB214" i="1"/>
  <c r="BW214" i="1"/>
  <c r="BV214" i="1"/>
  <c r="BQ214" i="1"/>
  <c r="BP214" i="1"/>
  <c r="BO214" i="1"/>
  <c r="BJ214" i="1"/>
  <c r="BI214" i="1"/>
  <c r="BH214" i="1"/>
  <c r="BC214" i="1"/>
  <c r="BB214" i="1"/>
  <c r="BA214" i="1"/>
  <c r="AV214" i="1"/>
  <c r="AU214" i="1"/>
  <c r="AT214" i="1"/>
  <c r="AO214" i="1"/>
  <c r="AN214" i="1"/>
  <c r="AC214" i="1"/>
  <c r="AB214" i="1"/>
  <c r="Y214" i="1"/>
  <c r="S214" i="1"/>
  <c r="K214" i="1"/>
  <c r="J214" i="1"/>
  <c r="EV213" i="1"/>
  <c r="EU213" i="1"/>
  <c r="ET213" i="1"/>
  <c r="EC213" i="1"/>
  <c r="DQ213" i="1"/>
  <c r="DK213" i="1"/>
  <c r="DH213" i="1"/>
  <c r="DD213" i="1"/>
  <c r="CW213" i="1"/>
  <c r="CP213" i="1"/>
  <c r="CL213" i="1"/>
  <c r="CG213" i="1"/>
  <c r="CB213" i="1"/>
  <c r="BW213" i="1"/>
  <c r="BV213" i="1"/>
  <c r="BQ213" i="1"/>
  <c r="BP213" i="1"/>
  <c r="BO213" i="1"/>
  <c r="BJ213" i="1"/>
  <c r="BI213" i="1"/>
  <c r="BH213" i="1"/>
  <c r="BC213" i="1"/>
  <c r="BB213" i="1"/>
  <c r="BA213" i="1"/>
  <c r="AV213" i="1"/>
  <c r="AU213" i="1"/>
  <c r="AT213" i="1"/>
  <c r="AO213" i="1"/>
  <c r="AN213" i="1"/>
  <c r="AC213" i="1"/>
  <c r="Y213" i="1"/>
  <c r="S213" i="1"/>
  <c r="K213" i="1"/>
  <c r="J213" i="1"/>
  <c r="EV212" i="1"/>
  <c r="EU212" i="1"/>
  <c r="ET212" i="1"/>
  <c r="EC212" i="1"/>
  <c r="DY212" i="1"/>
  <c r="DQ212" i="1"/>
  <c r="DK212" i="1"/>
  <c r="DH212" i="1"/>
  <c r="DD212" i="1"/>
  <c r="CW212" i="1"/>
  <c r="CP212" i="1"/>
  <c r="CL212" i="1"/>
  <c r="CG212" i="1"/>
  <c r="CB212" i="1"/>
  <c r="BW212" i="1"/>
  <c r="BV212" i="1"/>
  <c r="BQ212" i="1"/>
  <c r="BP212" i="1"/>
  <c r="BO212" i="1"/>
  <c r="BJ212" i="1"/>
  <c r="BI212" i="1"/>
  <c r="BH212" i="1"/>
  <c r="BC212" i="1"/>
  <c r="BB212" i="1"/>
  <c r="BA212" i="1"/>
  <c r="AV212" i="1"/>
  <c r="AU212" i="1"/>
  <c r="AT212" i="1"/>
  <c r="AO212" i="1"/>
  <c r="AN212" i="1"/>
  <c r="AJ212" i="1"/>
  <c r="AC212" i="1"/>
  <c r="Y212" i="1"/>
  <c r="S212" i="1"/>
  <c r="K212" i="1"/>
  <c r="J212" i="1"/>
  <c r="EV211" i="1"/>
  <c r="EU211" i="1"/>
  <c r="ET211" i="1"/>
  <c r="EC211" i="1"/>
  <c r="DQ211" i="1"/>
  <c r="DK211" i="1"/>
  <c r="DH211" i="1"/>
  <c r="DD211" i="1"/>
  <c r="CW211" i="1"/>
  <c r="CP211" i="1"/>
  <c r="CL211" i="1"/>
  <c r="CG211" i="1"/>
  <c r="CB211" i="1"/>
  <c r="BW211" i="1"/>
  <c r="BV211" i="1"/>
  <c r="BQ211" i="1"/>
  <c r="BP211" i="1"/>
  <c r="BO211" i="1"/>
  <c r="BJ211" i="1"/>
  <c r="BI211" i="1"/>
  <c r="BH211" i="1"/>
  <c r="BC211" i="1"/>
  <c r="BB211" i="1"/>
  <c r="BA211" i="1"/>
  <c r="AV211" i="1"/>
  <c r="AU211" i="1"/>
  <c r="AT211" i="1"/>
  <c r="AO211" i="1"/>
  <c r="AN211" i="1"/>
  <c r="AC211" i="1"/>
  <c r="Y211" i="1"/>
  <c r="S211" i="1"/>
  <c r="K211" i="1"/>
  <c r="J211" i="1"/>
  <c r="EV210" i="1"/>
  <c r="EU210" i="1"/>
  <c r="ET210" i="1"/>
  <c r="EC210" i="1"/>
  <c r="DY210" i="1"/>
  <c r="DQ210" i="1"/>
  <c r="DK210" i="1"/>
  <c r="DH210" i="1"/>
  <c r="DD210" i="1"/>
  <c r="CW210" i="1"/>
  <c r="CP210" i="1"/>
  <c r="CL210" i="1"/>
  <c r="CG210" i="1"/>
  <c r="CB210" i="1"/>
  <c r="BW210" i="1"/>
  <c r="BV210" i="1"/>
  <c r="BQ210" i="1"/>
  <c r="BP210" i="1"/>
  <c r="BO210" i="1"/>
  <c r="BJ210" i="1"/>
  <c r="BI210" i="1"/>
  <c r="BH210" i="1"/>
  <c r="BC210" i="1"/>
  <c r="BB210" i="1"/>
  <c r="BA210" i="1"/>
  <c r="AV210" i="1"/>
  <c r="AU210" i="1"/>
  <c r="AT210" i="1"/>
  <c r="AO210" i="1"/>
  <c r="AN210" i="1"/>
  <c r="AJ210" i="1"/>
  <c r="AC210" i="1"/>
  <c r="Y210" i="1"/>
  <c r="S210" i="1"/>
  <c r="K210" i="1"/>
  <c r="J210" i="1"/>
  <c r="EV209" i="1"/>
  <c r="EU209" i="1"/>
  <c r="ET209" i="1"/>
  <c r="EG209" i="1"/>
  <c r="EC209" i="1"/>
  <c r="DY209" i="1"/>
  <c r="DQ209" i="1"/>
  <c r="DK209" i="1"/>
  <c r="DH209" i="1"/>
  <c r="DD209" i="1"/>
  <c r="CW209" i="1"/>
  <c r="CP209" i="1"/>
  <c r="CL209" i="1"/>
  <c r="CG209" i="1"/>
  <c r="CB209" i="1"/>
  <c r="BW209" i="1"/>
  <c r="BV209" i="1"/>
  <c r="BQ209" i="1"/>
  <c r="BP209" i="1"/>
  <c r="BO209" i="1"/>
  <c r="BJ209" i="1"/>
  <c r="BI209" i="1"/>
  <c r="BH209" i="1"/>
  <c r="BC209" i="1"/>
  <c r="BB209" i="1"/>
  <c r="BA209" i="1"/>
  <c r="AV209" i="1"/>
  <c r="AU209" i="1"/>
  <c r="AT209" i="1"/>
  <c r="AO209" i="1"/>
  <c r="AN209" i="1"/>
  <c r="AJ209" i="1"/>
  <c r="AC209" i="1"/>
  <c r="AB209" i="1"/>
  <c r="Y209" i="1"/>
  <c r="S209" i="1"/>
  <c r="K209" i="1"/>
  <c r="J209" i="1"/>
  <c r="EV208" i="1"/>
  <c r="EU208" i="1"/>
  <c r="ET208" i="1"/>
  <c r="EC208" i="1"/>
  <c r="DQ208" i="1"/>
  <c r="DK208" i="1"/>
  <c r="DH208" i="1"/>
  <c r="DD208" i="1"/>
  <c r="CW208" i="1"/>
  <c r="CP208" i="1"/>
  <c r="CL208" i="1"/>
  <c r="CG208" i="1"/>
  <c r="CB208" i="1"/>
  <c r="BW208" i="1"/>
  <c r="BV208" i="1"/>
  <c r="BQ208" i="1"/>
  <c r="BP208" i="1"/>
  <c r="BO208" i="1"/>
  <c r="BJ208" i="1"/>
  <c r="BI208" i="1"/>
  <c r="BH208" i="1"/>
  <c r="BC208" i="1"/>
  <c r="BB208" i="1"/>
  <c r="BA208" i="1"/>
  <c r="AV208" i="1"/>
  <c r="AU208" i="1"/>
  <c r="AT208" i="1"/>
  <c r="AO208" i="1"/>
  <c r="AN208" i="1"/>
  <c r="AC208" i="1"/>
  <c r="Y208" i="1"/>
  <c r="S208" i="1"/>
  <c r="K208" i="1"/>
  <c r="J208" i="1"/>
  <c r="EV207" i="1"/>
  <c r="EU207" i="1"/>
  <c r="ET207" i="1"/>
  <c r="EC207" i="1"/>
  <c r="DY207" i="1"/>
  <c r="DQ207" i="1"/>
  <c r="DK207" i="1"/>
  <c r="DH207" i="1"/>
  <c r="DD207" i="1"/>
  <c r="CW207" i="1"/>
  <c r="CP207" i="1"/>
  <c r="CL207" i="1"/>
  <c r="CG207" i="1"/>
  <c r="CB207" i="1"/>
  <c r="BW207" i="1"/>
  <c r="BV207" i="1"/>
  <c r="BQ207" i="1"/>
  <c r="BP207" i="1"/>
  <c r="BO207" i="1"/>
  <c r="BJ207" i="1"/>
  <c r="BI207" i="1"/>
  <c r="BH207" i="1"/>
  <c r="BC207" i="1"/>
  <c r="BB207" i="1"/>
  <c r="BA207" i="1"/>
  <c r="AV207" i="1"/>
  <c r="AU207" i="1"/>
  <c r="AT207" i="1"/>
  <c r="AO207" i="1"/>
  <c r="AN207" i="1"/>
  <c r="AJ207" i="1"/>
  <c r="AC207" i="1"/>
  <c r="Y207" i="1"/>
  <c r="S207" i="1"/>
  <c r="K207" i="1"/>
  <c r="J207" i="1"/>
  <c r="EV206" i="1"/>
  <c r="EU206" i="1"/>
  <c r="ET206" i="1"/>
  <c r="EC206" i="1"/>
  <c r="DQ206" i="1"/>
  <c r="DK206" i="1"/>
  <c r="DH206" i="1"/>
  <c r="DD206" i="1"/>
  <c r="CW206" i="1"/>
  <c r="CP206" i="1"/>
  <c r="CL206" i="1"/>
  <c r="CG206" i="1"/>
  <c r="CB206" i="1"/>
  <c r="BW206" i="1"/>
  <c r="BV206" i="1"/>
  <c r="BQ206" i="1"/>
  <c r="BP206" i="1"/>
  <c r="BO206" i="1"/>
  <c r="BJ206" i="1"/>
  <c r="BI206" i="1"/>
  <c r="BH206" i="1"/>
  <c r="BC206" i="1"/>
  <c r="BB206" i="1"/>
  <c r="BA206" i="1"/>
  <c r="AV206" i="1"/>
  <c r="AU206" i="1"/>
  <c r="AT206" i="1"/>
  <c r="AO206" i="1"/>
  <c r="AN206" i="1"/>
  <c r="AC206" i="1"/>
  <c r="Y206" i="1"/>
  <c r="S206" i="1"/>
  <c r="K206" i="1"/>
  <c r="J206" i="1"/>
  <c r="EV205" i="1"/>
  <c r="EU205" i="1"/>
  <c r="ET205" i="1"/>
  <c r="EG205" i="1"/>
  <c r="EC205" i="1"/>
  <c r="DQ205" i="1"/>
  <c r="DK205" i="1"/>
  <c r="DH205" i="1"/>
  <c r="DD205" i="1"/>
  <c r="CW205" i="1"/>
  <c r="CP205" i="1"/>
  <c r="CL205" i="1"/>
  <c r="CG205" i="1"/>
  <c r="CB205" i="1"/>
  <c r="BW205" i="1"/>
  <c r="BV205" i="1"/>
  <c r="BQ205" i="1"/>
  <c r="BP205" i="1"/>
  <c r="BO205" i="1"/>
  <c r="BJ205" i="1"/>
  <c r="BI205" i="1"/>
  <c r="BH205" i="1"/>
  <c r="BC205" i="1"/>
  <c r="BB205" i="1"/>
  <c r="BA205" i="1"/>
  <c r="AV205" i="1"/>
  <c r="AU205" i="1"/>
  <c r="AT205" i="1"/>
  <c r="AO205" i="1"/>
  <c r="AN205" i="1"/>
  <c r="AC205" i="1"/>
  <c r="AB205" i="1"/>
  <c r="Y205" i="1"/>
  <c r="S205" i="1"/>
  <c r="K205" i="1"/>
  <c r="J205" i="1"/>
  <c r="EV204" i="1"/>
  <c r="EU204" i="1"/>
  <c r="ET204" i="1"/>
  <c r="EC204" i="1"/>
  <c r="DQ204" i="1"/>
  <c r="DK204" i="1"/>
  <c r="DH204" i="1"/>
  <c r="DD204" i="1"/>
  <c r="CW204" i="1"/>
  <c r="CP204" i="1"/>
  <c r="CL204" i="1"/>
  <c r="CG204" i="1"/>
  <c r="CB204" i="1"/>
  <c r="BW204" i="1"/>
  <c r="BV204" i="1"/>
  <c r="BQ204" i="1"/>
  <c r="BP204" i="1"/>
  <c r="BO204" i="1"/>
  <c r="BJ204" i="1"/>
  <c r="BI204" i="1"/>
  <c r="BH204" i="1"/>
  <c r="BC204" i="1"/>
  <c r="BB204" i="1"/>
  <c r="BA204" i="1"/>
  <c r="AV204" i="1"/>
  <c r="AU204" i="1"/>
  <c r="AT204" i="1"/>
  <c r="AO204" i="1"/>
  <c r="AN204" i="1"/>
  <c r="AC204" i="1"/>
  <c r="Y204" i="1"/>
  <c r="S204" i="1"/>
  <c r="K204" i="1"/>
  <c r="J204" i="1"/>
  <c r="EV203" i="1"/>
  <c r="EU203" i="1"/>
  <c r="ET203" i="1"/>
  <c r="EG203" i="1"/>
  <c r="EC203" i="1"/>
  <c r="DQ203" i="1"/>
  <c r="DK203" i="1"/>
  <c r="DH203" i="1"/>
  <c r="DD203" i="1"/>
  <c r="CW203" i="1"/>
  <c r="CP203" i="1"/>
  <c r="CL203" i="1"/>
  <c r="CG203" i="1"/>
  <c r="CB203" i="1"/>
  <c r="BW203" i="1"/>
  <c r="BV203" i="1"/>
  <c r="BQ203" i="1"/>
  <c r="BP203" i="1"/>
  <c r="BO203" i="1"/>
  <c r="BJ203" i="1"/>
  <c r="BI203" i="1"/>
  <c r="BH203" i="1"/>
  <c r="BC203" i="1"/>
  <c r="BB203" i="1"/>
  <c r="BA203" i="1"/>
  <c r="AV203" i="1"/>
  <c r="AU203" i="1"/>
  <c r="AT203" i="1"/>
  <c r="AO203" i="1"/>
  <c r="AN203" i="1"/>
  <c r="AC203" i="1"/>
  <c r="AB203" i="1"/>
  <c r="Y203" i="1"/>
  <c r="S203" i="1"/>
  <c r="K203" i="1"/>
  <c r="J203" i="1"/>
  <c r="EV202" i="1"/>
  <c r="EU202" i="1"/>
  <c r="ET202" i="1"/>
  <c r="EC202" i="1"/>
  <c r="DQ202" i="1"/>
  <c r="DK202" i="1"/>
  <c r="DH202" i="1"/>
  <c r="DD202" i="1"/>
  <c r="CW202" i="1"/>
  <c r="CP202" i="1"/>
  <c r="CL202" i="1"/>
  <c r="CG202" i="1"/>
  <c r="CB202" i="1"/>
  <c r="BW202" i="1"/>
  <c r="BV202" i="1"/>
  <c r="BQ202" i="1"/>
  <c r="BP202" i="1"/>
  <c r="BO202" i="1"/>
  <c r="BJ202" i="1"/>
  <c r="BI202" i="1"/>
  <c r="BH202" i="1"/>
  <c r="BC202" i="1"/>
  <c r="BB202" i="1"/>
  <c r="BA202" i="1"/>
  <c r="AV202" i="1"/>
  <c r="AU202" i="1"/>
  <c r="AT202" i="1"/>
  <c r="AO202" i="1"/>
  <c r="AN202" i="1"/>
  <c r="AC202" i="1"/>
  <c r="Y202" i="1"/>
  <c r="S202" i="1"/>
  <c r="K202" i="1"/>
  <c r="J202" i="1"/>
  <c r="EV201" i="1"/>
  <c r="EU201" i="1"/>
  <c r="ET201" i="1"/>
  <c r="EG201" i="1"/>
  <c r="EC201" i="1"/>
  <c r="DY201" i="1"/>
  <c r="DQ201" i="1"/>
  <c r="DK201" i="1"/>
  <c r="DH201" i="1"/>
  <c r="DD201" i="1"/>
  <c r="CW201" i="1"/>
  <c r="CP201" i="1"/>
  <c r="CL201" i="1"/>
  <c r="CG201" i="1"/>
  <c r="CB201" i="1"/>
  <c r="BW201" i="1"/>
  <c r="BV201" i="1"/>
  <c r="BQ201" i="1"/>
  <c r="BP201" i="1"/>
  <c r="BO201" i="1"/>
  <c r="BJ201" i="1"/>
  <c r="BI201" i="1"/>
  <c r="BH201" i="1"/>
  <c r="BC201" i="1"/>
  <c r="BB201" i="1"/>
  <c r="BA201" i="1"/>
  <c r="AV201" i="1"/>
  <c r="AU201" i="1"/>
  <c r="AT201" i="1"/>
  <c r="AO201" i="1"/>
  <c r="AN201" i="1"/>
  <c r="AJ201" i="1"/>
  <c r="AC201" i="1"/>
  <c r="AB201" i="1"/>
  <c r="Y201" i="1"/>
  <c r="S201" i="1"/>
  <c r="K201" i="1"/>
  <c r="J201" i="1"/>
  <c r="EV200" i="1"/>
  <c r="EU200" i="1"/>
  <c r="ET200" i="1"/>
  <c r="EG200" i="1"/>
  <c r="EC200" i="1"/>
  <c r="DQ200" i="1"/>
  <c r="DK200" i="1"/>
  <c r="DH200" i="1"/>
  <c r="DD200" i="1"/>
  <c r="CW200" i="1"/>
  <c r="CP200" i="1"/>
  <c r="CL200" i="1"/>
  <c r="CG200" i="1"/>
  <c r="CB200" i="1"/>
  <c r="BW200" i="1"/>
  <c r="BV200" i="1"/>
  <c r="BQ200" i="1"/>
  <c r="BP200" i="1"/>
  <c r="BO200" i="1"/>
  <c r="BJ200" i="1"/>
  <c r="BI200" i="1"/>
  <c r="BH200" i="1"/>
  <c r="BC200" i="1"/>
  <c r="BB200" i="1"/>
  <c r="BA200" i="1"/>
  <c r="AV200" i="1"/>
  <c r="AU200" i="1"/>
  <c r="AT200" i="1"/>
  <c r="AO200" i="1"/>
  <c r="AN200" i="1"/>
  <c r="AC200" i="1"/>
  <c r="AB200" i="1"/>
  <c r="Y200" i="1"/>
  <c r="S200" i="1"/>
  <c r="K200" i="1"/>
  <c r="J200" i="1"/>
  <c r="EV199" i="1"/>
  <c r="EU199" i="1"/>
  <c r="ET199" i="1"/>
  <c r="EG199" i="1"/>
  <c r="EC199" i="1"/>
  <c r="DY199" i="1"/>
  <c r="DQ199" i="1"/>
  <c r="DK199" i="1"/>
  <c r="DH199" i="1"/>
  <c r="DD199" i="1"/>
  <c r="CW199" i="1"/>
  <c r="CP199" i="1"/>
  <c r="CL199" i="1"/>
  <c r="CG199" i="1"/>
  <c r="CB199" i="1"/>
  <c r="BW199" i="1"/>
  <c r="BV199" i="1"/>
  <c r="BQ199" i="1"/>
  <c r="BP199" i="1"/>
  <c r="BO199" i="1"/>
  <c r="BJ199" i="1"/>
  <c r="BI199" i="1"/>
  <c r="BH199" i="1"/>
  <c r="BC199" i="1"/>
  <c r="BB199" i="1"/>
  <c r="BA199" i="1"/>
  <c r="AV199" i="1"/>
  <c r="AU199" i="1"/>
  <c r="AT199" i="1"/>
  <c r="AO199" i="1"/>
  <c r="AN199" i="1"/>
  <c r="AJ199" i="1"/>
  <c r="AC199" i="1"/>
  <c r="AB199" i="1"/>
  <c r="Y199" i="1"/>
  <c r="S199" i="1"/>
  <c r="K199" i="1"/>
  <c r="J199" i="1"/>
  <c r="EV198" i="1"/>
  <c r="EU198" i="1"/>
  <c r="ET198" i="1"/>
  <c r="EC198" i="1"/>
  <c r="DQ198" i="1"/>
  <c r="DK198" i="1"/>
  <c r="DH198" i="1"/>
  <c r="DD198" i="1"/>
  <c r="CW198" i="1"/>
  <c r="CP198" i="1"/>
  <c r="CL198" i="1"/>
  <c r="CG198" i="1"/>
  <c r="CB198" i="1"/>
  <c r="BW198" i="1"/>
  <c r="BV198" i="1"/>
  <c r="BQ198" i="1"/>
  <c r="BP198" i="1"/>
  <c r="BO198" i="1"/>
  <c r="BJ198" i="1"/>
  <c r="BI198" i="1"/>
  <c r="BH198" i="1"/>
  <c r="BC198" i="1"/>
  <c r="BB198" i="1"/>
  <c r="BA198" i="1"/>
  <c r="AV198" i="1"/>
  <c r="AU198" i="1"/>
  <c r="AT198" i="1"/>
  <c r="AO198" i="1"/>
  <c r="AN198" i="1"/>
  <c r="AC198" i="1"/>
  <c r="Y198" i="1"/>
  <c r="S198" i="1"/>
  <c r="K198" i="1"/>
  <c r="J198" i="1"/>
  <c r="EV197" i="1"/>
  <c r="EU197" i="1"/>
  <c r="ET197" i="1"/>
  <c r="EG197" i="1"/>
  <c r="EC197" i="1"/>
  <c r="DQ197" i="1"/>
  <c r="DK197" i="1"/>
  <c r="DH197" i="1"/>
  <c r="DD197" i="1"/>
  <c r="CW197" i="1"/>
  <c r="CP197" i="1"/>
  <c r="CL197" i="1"/>
  <c r="CG197" i="1"/>
  <c r="CB197" i="1"/>
  <c r="BW197" i="1"/>
  <c r="BV197" i="1"/>
  <c r="BQ197" i="1"/>
  <c r="BP197" i="1"/>
  <c r="BO197" i="1"/>
  <c r="BJ197" i="1"/>
  <c r="BI197" i="1"/>
  <c r="BH197" i="1"/>
  <c r="BC197" i="1"/>
  <c r="BB197" i="1"/>
  <c r="BA197" i="1"/>
  <c r="AV197" i="1"/>
  <c r="AU197" i="1"/>
  <c r="AT197" i="1"/>
  <c r="AO197" i="1"/>
  <c r="AN197" i="1"/>
  <c r="AC197" i="1"/>
  <c r="AB197" i="1"/>
  <c r="Y197" i="1"/>
  <c r="S197" i="1"/>
  <c r="K197" i="1"/>
  <c r="J197" i="1"/>
  <c r="EV196" i="1"/>
  <c r="EU196" i="1"/>
  <c r="ET196" i="1"/>
  <c r="EG196" i="1"/>
  <c r="EC196" i="1"/>
  <c r="DQ196" i="1"/>
  <c r="DK196" i="1"/>
  <c r="DH196" i="1"/>
  <c r="DD196" i="1"/>
  <c r="CW196" i="1"/>
  <c r="CP196" i="1"/>
  <c r="CL196" i="1"/>
  <c r="CG196" i="1"/>
  <c r="CB196" i="1"/>
  <c r="BW196" i="1"/>
  <c r="BV196" i="1"/>
  <c r="BQ196" i="1"/>
  <c r="BP196" i="1"/>
  <c r="BO196" i="1"/>
  <c r="BJ196" i="1"/>
  <c r="BI196" i="1"/>
  <c r="BH196" i="1"/>
  <c r="BC196" i="1"/>
  <c r="BB196" i="1"/>
  <c r="BA196" i="1"/>
  <c r="AV196" i="1"/>
  <c r="AU196" i="1"/>
  <c r="AT196" i="1"/>
  <c r="AO196" i="1"/>
  <c r="AN196" i="1"/>
  <c r="AC196" i="1"/>
  <c r="AB196" i="1"/>
  <c r="Y196" i="1"/>
  <c r="S196" i="1"/>
  <c r="K196" i="1"/>
  <c r="J196" i="1"/>
  <c r="EV195" i="1"/>
  <c r="EU195" i="1"/>
  <c r="ET195" i="1"/>
  <c r="EC195" i="1"/>
  <c r="DY195" i="1"/>
  <c r="DQ195" i="1"/>
  <c r="DK195" i="1"/>
  <c r="DH195" i="1"/>
  <c r="DD195" i="1"/>
  <c r="CW195" i="1"/>
  <c r="CP195" i="1"/>
  <c r="CL195" i="1"/>
  <c r="CG195" i="1"/>
  <c r="CB195" i="1"/>
  <c r="BW195" i="1"/>
  <c r="BV195" i="1"/>
  <c r="BQ195" i="1"/>
  <c r="BP195" i="1"/>
  <c r="BO195" i="1"/>
  <c r="BJ195" i="1"/>
  <c r="BI195" i="1"/>
  <c r="BH195" i="1"/>
  <c r="BC195" i="1"/>
  <c r="BB195" i="1"/>
  <c r="BA195" i="1"/>
  <c r="AV195" i="1"/>
  <c r="AU195" i="1"/>
  <c r="AT195" i="1"/>
  <c r="AO195" i="1"/>
  <c r="AN195" i="1"/>
  <c r="AJ195" i="1"/>
  <c r="AC195" i="1"/>
  <c r="Y195" i="1"/>
  <c r="S195" i="1"/>
  <c r="K195" i="1"/>
  <c r="J195" i="1"/>
  <c r="EV194" i="1"/>
  <c r="EU194" i="1"/>
  <c r="ET194" i="1"/>
  <c r="EC194" i="1"/>
  <c r="DQ194" i="1"/>
  <c r="DK194" i="1"/>
  <c r="DH194" i="1"/>
  <c r="DD194" i="1"/>
  <c r="CW194" i="1"/>
  <c r="CP194" i="1"/>
  <c r="CL194" i="1"/>
  <c r="CG194" i="1"/>
  <c r="CB194" i="1"/>
  <c r="BW194" i="1"/>
  <c r="BV194" i="1"/>
  <c r="BQ194" i="1"/>
  <c r="BP194" i="1"/>
  <c r="BO194" i="1"/>
  <c r="BJ194" i="1"/>
  <c r="BI194" i="1"/>
  <c r="BH194" i="1"/>
  <c r="BC194" i="1"/>
  <c r="BB194" i="1"/>
  <c r="BA194" i="1"/>
  <c r="AV194" i="1"/>
  <c r="AU194" i="1"/>
  <c r="AT194" i="1"/>
  <c r="AO194" i="1"/>
  <c r="AN194" i="1"/>
  <c r="AC194" i="1"/>
  <c r="Y194" i="1"/>
  <c r="S194" i="1"/>
  <c r="K194" i="1"/>
  <c r="J194" i="1"/>
  <c r="EV193" i="1"/>
  <c r="EU193" i="1"/>
  <c r="ET193" i="1"/>
  <c r="EC193" i="1"/>
  <c r="DQ193" i="1"/>
  <c r="DK193" i="1"/>
  <c r="DH193" i="1"/>
  <c r="DD193" i="1"/>
  <c r="CW193" i="1"/>
  <c r="CP193" i="1"/>
  <c r="CL193" i="1"/>
  <c r="CG193" i="1"/>
  <c r="CB193" i="1"/>
  <c r="BW193" i="1"/>
  <c r="BV193" i="1"/>
  <c r="BQ193" i="1"/>
  <c r="BP193" i="1"/>
  <c r="BO193" i="1"/>
  <c r="BJ193" i="1"/>
  <c r="BI193" i="1"/>
  <c r="BH193" i="1"/>
  <c r="BC193" i="1"/>
  <c r="BB193" i="1"/>
  <c r="BA193" i="1"/>
  <c r="AV193" i="1"/>
  <c r="AU193" i="1"/>
  <c r="AT193" i="1"/>
  <c r="AO193" i="1"/>
  <c r="AN193" i="1"/>
  <c r="AC193" i="1"/>
  <c r="Y193" i="1"/>
  <c r="S193" i="1"/>
  <c r="K193" i="1"/>
  <c r="J193" i="1"/>
  <c r="EV192" i="1"/>
  <c r="EU192" i="1"/>
  <c r="ET192" i="1"/>
  <c r="EC192" i="1"/>
  <c r="DQ192" i="1"/>
  <c r="DK192" i="1"/>
  <c r="DH192" i="1"/>
  <c r="DD192" i="1"/>
  <c r="CW192" i="1"/>
  <c r="CP192" i="1"/>
  <c r="CL192" i="1"/>
  <c r="CG192" i="1"/>
  <c r="CB192" i="1"/>
  <c r="BW192" i="1"/>
  <c r="BV192" i="1"/>
  <c r="BQ192" i="1"/>
  <c r="BP192" i="1"/>
  <c r="BO192" i="1"/>
  <c r="BJ192" i="1"/>
  <c r="BI192" i="1"/>
  <c r="BH192" i="1"/>
  <c r="BC192" i="1"/>
  <c r="BB192" i="1"/>
  <c r="BA192" i="1"/>
  <c r="AV192" i="1"/>
  <c r="AU192" i="1"/>
  <c r="AT192" i="1"/>
  <c r="AO192" i="1"/>
  <c r="AN192" i="1"/>
  <c r="AC192" i="1"/>
  <c r="Y192" i="1"/>
  <c r="S192" i="1"/>
  <c r="K192" i="1"/>
  <c r="J192" i="1"/>
  <c r="EV191" i="1"/>
  <c r="EU191" i="1"/>
  <c r="ET191" i="1"/>
  <c r="EC191" i="1"/>
  <c r="DQ191" i="1"/>
  <c r="DK191" i="1"/>
  <c r="DH191" i="1"/>
  <c r="DD191" i="1"/>
  <c r="CW191" i="1"/>
  <c r="CP191" i="1"/>
  <c r="CL191" i="1"/>
  <c r="CG191" i="1"/>
  <c r="CB191" i="1"/>
  <c r="BW191" i="1"/>
  <c r="BV191" i="1"/>
  <c r="BQ191" i="1"/>
  <c r="BP191" i="1"/>
  <c r="BO191" i="1"/>
  <c r="BJ191" i="1"/>
  <c r="BI191" i="1"/>
  <c r="BH191" i="1"/>
  <c r="BC191" i="1"/>
  <c r="BB191" i="1"/>
  <c r="BA191" i="1"/>
  <c r="AV191" i="1"/>
  <c r="AU191" i="1"/>
  <c r="AT191" i="1"/>
  <c r="AO191" i="1"/>
  <c r="AN191" i="1"/>
  <c r="AC191" i="1"/>
  <c r="Y191" i="1"/>
  <c r="S191" i="1"/>
  <c r="K191" i="1"/>
  <c r="J191" i="1"/>
  <c r="EV190" i="1"/>
  <c r="EU190" i="1"/>
  <c r="ET190" i="1"/>
  <c r="EC190" i="1"/>
  <c r="DQ190" i="1"/>
  <c r="DK190" i="1"/>
  <c r="DH190" i="1"/>
  <c r="DD190" i="1"/>
  <c r="CW190" i="1"/>
  <c r="CP190" i="1"/>
  <c r="CL190" i="1"/>
  <c r="CG190" i="1"/>
  <c r="CB190" i="1"/>
  <c r="BW190" i="1"/>
  <c r="BV190" i="1"/>
  <c r="BQ190" i="1"/>
  <c r="BP190" i="1"/>
  <c r="BO190" i="1"/>
  <c r="BJ190" i="1"/>
  <c r="BI190" i="1"/>
  <c r="BH190" i="1"/>
  <c r="BC190" i="1"/>
  <c r="BB190" i="1"/>
  <c r="BA190" i="1"/>
  <c r="AV190" i="1"/>
  <c r="AU190" i="1"/>
  <c r="AT190" i="1"/>
  <c r="AO190" i="1"/>
  <c r="AN190" i="1"/>
  <c r="AC190" i="1"/>
  <c r="Y190" i="1"/>
  <c r="S190" i="1"/>
  <c r="K190" i="1"/>
  <c r="J190" i="1"/>
  <c r="EV189" i="1"/>
  <c r="EU189" i="1"/>
  <c r="ET189" i="1"/>
  <c r="EG189" i="1"/>
  <c r="EC189" i="1"/>
  <c r="DY189" i="1"/>
  <c r="DQ189" i="1"/>
  <c r="DK189" i="1"/>
  <c r="DH189" i="1"/>
  <c r="DD189" i="1"/>
  <c r="CW189" i="1"/>
  <c r="CP189" i="1"/>
  <c r="CL189" i="1"/>
  <c r="CG189" i="1"/>
  <c r="CB189" i="1"/>
  <c r="BW189" i="1"/>
  <c r="BV189" i="1"/>
  <c r="BQ189" i="1"/>
  <c r="BP189" i="1"/>
  <c r="BO189" i="1"/>
  <c r="BJ189" i="1"/>
  <c r="BI189" i="1"/>
  <c r="BH189" i="1"/>
  <c r="BC189" i="1"/>
  <c r="BB189" i="1"/>
  <c r="BA189" i="1"/>
  <c r="AV189" i="1"/>
  <c r="AU189" i="1"/>
  <c r="AT189" i="1"/>
  <c r="AO189" i="1"/>
  <c r="AN189" i="1"/>
  <c r="AJ189" i="1"/>
  <c r="AC189" i="1"/>
  <c r="AB189" i="1"/>
  <c r="Y189" i="1"/>
  <c r="S189" i="1"/>
  <c r="K189" i="1"/>
  <c r="J189" i="1"/>
  <c r="EV188" i="1"/>
  <c r="EU188" i="1"/>
  <c r="ET188" i="1"/>
  <c r="EG188" i="1"/>
  <c r="EC188" i="1"/>
  <c r="DQ188" i="1"/>
  <c r="DK188" i="1"/>
  <c r="DH188" i="1"/>
  <c r="DD188" i="1"/>
  <c r="CW188" i="1"/>
  <c r="CP188" i="1"/>
  <c r="CL188" i="1"/>
  <c r="CG188" i="1"/>
  <c r="CB188" i="1"/>
  <c r="BW188" i="1"/>
  <c r="BV188" i="1"/>
  <c r="BQ188" i="1"/>
  <c r="BP188" i="1"/>
  <c r="BO188" i="1"/>
  <c r="BJ188" i="1"/>
  <c r="BI188" i="1"/>
  <c r="BH188" i="1"/>
  <c r="BC188" i="1"/>
  <c r="BB188" i="1"/>
  <c r="BA188" i="1"/>
  <c r="AV188" i="1"/>
  <c r="AU188" i="1"/>
  <c r="AT188" i="1"/>
  <c r="AO188" i="1"/>
  <c r="AN188" i="1"/>
  <c r="AC188" i="1"/>
  <c r="AB188" i="1"/>
  <c r="Y188" i="1"/>
  <c r="S188" i="1"/>
  <c r="K188" i="1"/>
  <c r="J188" i="1"/>
  <c r="EV187" i="1"/>
  <c r="EU187" i="1"/>
  <c r="ET187" i="1"/>
  <c r="EC187" i="1"/>
  <c r="DQ187" i="1"/>
  <c r="DK187" i="1"/>
  <c r="DH187" i="1"/>
  <c r="DD187" i="1"/>
  <c r="CW187" i="1"/>
  <c r="CP187" i="1"/>
  <c r="CL187" i="1"/>
  <c r="CG187" i="1"/>
  <c r="CB187" i="1"/>
  <c r="BW187" i="1"/>
  <c r="BV187" i="1"/>
  <c r="BQ187" i="1"/>
  <c r="BP187" i="1"/>
  <c r="BO187" i="1"/>
  <c r="BJ187" i="1"/>
  <c r="BI187" i="1"/>
  <c r="BH187" i="1"/>
  <c r="BC187" i="1"/>
  <c r="BB187" i="1"/>
  <c r="BA187" i="1"/>
  <c r="AV187" i="1"/>
  <c r="AU187" i="1"/>
  <c r="AT187" i="1"/>
  <c r="AO187" i="1"/>
  <c r="AN187" i="1"/>
  <c r="AC187" i="1"/>
  <c r="Y187" i="1"/>
  <c r="S187" i="1"/>
  <c r="K187" i="1"/>
  <c r="J187" i="1"/>
  <c r="EV186" i="1"/>
  <c r="EU186" i="1"/>
  <c r="ET186" i="1"/>
  <c r="EC186" i="1"/>
  <c r="DQ186" i="1"/>
  <c r="DK186" i="1"/>
  <c r="DH186" i="1"/>
  <c r="DD186" i="1"/>
  <c r="CW186" i="1"/>
  <c r="CP186" i="1"/>
  <c r="CL186" i="1"/>
  <c r="CG186" i="1"/>
  <c r="CB186" i="1"/>
  <c r="BW186" i="1"/>
  <c r="BV186" i="1"/>
  <c r="BQ186" i="1"/>
  <c r="BP186" i="1"/>
  <c r="BO186" i="1"/>
  <c r="BJ186" i="1"/>
  <c r="BI186" i="1"/>
  <c r="BH186" i="1"/>
  <c r="BC186" i="1"/>
  <c r="BB186" i="1"/>
  <c r="BA186" i="1"/>
  <c r="AV186" i="1"/>
  <c r="AU186" i="1"/>
  <c r="AT186" i="1"/>
  <c r="AO186" i="1"/>
  <c r="AN186" i="1"/>
  <c r="AC186" i="1"/>
  <c r="Y186" i="1"/>
  <c r="S186" i="1"/>
  <c r="K186" i="1"/>
  <c r="J186" i="1"/>
  <c r="EV185" i="1"/>
  <c r="EU185" i="1"/>
  <c r="ET185" i="1"/>
  <c r="EG185" i="1"/>
  <c r="EC185" i="1"/>
  <c r="DQ185" i="1"/>
  <c r="DK185" i="1"/>
  <c r="DH185" i="1"/>
  <c r="DD185" i="1"/>
  <c r="CW185" i="1"/>
  <c r="CP185" i="1"/>
  <c r="CL185" i="1"/>
  <c r="CG185" i="1"/>
  <c r="CB185" i="1"/>
  <c r="BW185" i="1"/>
  <c r="BV185" i="1"/>
  <c r="BQ185" i="1"/>
  <c r="BP185" i="1"/>
  <c r="BO185" i="1"/>
  <c r="BJ185" i="1"/>
  <c r="BI185" i="1"/>
  <c r="BH185" i="1"/>
  <c r="BC185" i="1"/>
  <c r="BB185" i="1"/>
  <c r="BA185" i="1"/>
  <c r="AV185" i="1"/>
  <c r="AU185" i="1"/>
  <c r="AT185" i="1"/>
  <c r="AO185" i="1"/>
  <c r="AN185" i="1"/>
  <c r="AC185" i="1"/>
  <c r="AB185" i="1"/>
  <c r="Y185" i="1"/>
  <c r="S185" i="1"/>
  <c r="K185" i="1"/>
  <c r="J185" i="1"/>
  <c r="EV184" i="1"/>
  <c r="EU184" i="1"/>
  <c r="ET184" i="1"/>
  <c r="EG184" i="1"/>
  <c r="EC184" i="1"/>
  <c r="DQ184" i="1"/>
  <c r="DK184" i="1"/>
  <c r="DH184" i="1"/>
  <c r="DD184" i="1"/>
  <c r="CW184" i="1"/>
  <c r="CP184" i="1"/>
  <c r="CL184" i="1"/>
  <c r="CG184" i="1"/>
  <c r="CB184" i="1"/>
  <c r="BW184" i="1"/>
  <c r="BV184" i="1"/>
  <c r="BQ184" i="1"/>
  <c r="BP184" i="1"/>
  <c r="BO184" i="1"/>
  <c r="BJ184" i="1"/>
  <c r="BI184" i="1"/>
  <c r="BH184" i="1"/>
  <c r="BC184" i="1"/>
  <c r="BB184" i="1"/>
  <c r="BA184" i="1"/>
  <c r="AV184" i="1"/>
  <c r="AU184" i="1"/>
  <c r="AT184" i="1"/>
  <c r="AO184" i="1"/>
  <c r="AN184" i="1"/>
  <c r="AC184" i="1"/>
  <c r="AB184" i="1"/>
  <c r="Y184" i="1"/>
  <c r="S184" i="1"/>
  <c r="K184" i="1"/>
  <c r="J184" i="1"/>
  <c r="EV183" i="1"/>
  <c r="EU183" i="1"/>
  <c r="ET183" i="1"/>
  <c r="EC183" i="1"/>
  <c r="DQ183" i="1"/>
  <c r="DK183" i="1"/>
  <c r="DH183" i="1"/>
  <c r="DD183" i="1"/>
  <c r="CW183" i="1"/>
  <c r="CP183" i="1"/>
  <c r="CL183" i="1"/>
  <c r="CG183" i="1"/>
  <c r="CB183" i="1"/>
  <c r="BW183" i="1"/>
  <c r="BV183" i="1"/>
  <c r="BQ183" i="1"/>
  <c r="BP183" i="1"/>
  <c r="BO183" i="1"/>
  <c r="BJ183" i="1"/>
  <c r="BI183" i="1"/>
  <c r="BH183" i="1"/>
  <c r="BC183" i="1"/>
  <c r="BB183" i="1"/>
  <c r="BA183" i="1"/>
  <c r="AV183" i="1"/>
  <c r="AU183" i="1"/>
  <c r="AT183" i="1"/>
  <c r="AO183" i="1"/>
  <c r="AN183" i="1"/>
  <c r="AC183" i="1"/>
  <c r="Y183" i="1"/>
  <c r="S183" i="1"/>
  <c r="K183" i="1"/>
  <c r="J183" i="1"/>
  <c r="EV182" i="1"/>
  <c r="EU182" i="1"/>
  <c r="ET182" i="1"/>
  <c r="EG182" i="1"/>
  <c r="EC182" i="1"/>
  <c r="DQ182" i="1"/>
  <c r="DK182" i="1"/>
  <c r="DH182" i="1"/>
  <c r="DD182" i="1"/>
  <c r="CW182" i="1"/>
  <c r="CP182" i="1"/>
  <c r="CL182" i="1"/>
  <c r="CG182" i="1"/>
  <c r="CB182" i="1"/>
  <c r="BW182" i="1"/>
  <c r="BV182" i="1"/>
  <c r="BQ182" i="1"/>
  <c r="BP182" i="1"/>
  <c r="BO182" i="1"/>
  <c r="BJ182" i="1"/>
  <c r="BI182" i="1"/>
  <c r="BH182" i="1"/>
  <c r="BC182" i="1"/>
  <c r="BB182" i="1"/>
  <c r="BA182" i="1"/>
  <c r="AV182" i="1"/>
  <c r="AU182" i="1"/>
  <c r="AT182" i="1"/>
  <c r="AO182" i="1"/>
  <c r="AN182" i="1"/>
  <c r="AC182" i="1"/>
  <c r="AB182" i="1"/>
  <c r="Y182" i="1"/>
  <c r="S182" i="1"/>
  <c r="K182" i="1"/>
  <c r="J182" i="1"/>
  <c r="EV181" i="1"/>
  <c r="EU181" i="1"/>
  <c r="ET181" i="1"/>
  <c r="EC181" i="1"/>
  <c r="DQ181" i="1"/>
  <c r="DK181" i="1"/>
  <c r="DH181" i="1"/>
  <c r="DD181" i="1"/>
  <c r="CW181" i="1"/>
  <c r="CP181" i="1"/>
  <c r="CL181" i="1"/>
  <c r="CG181" i="1"/>
  <c r="CB181" i="1"/>
  <c r="BW181" i="1"/>
  <c r="BV181" i="1"/>
  <c r="BQ181" i="1"/>
  <c r="BP181" i="1"/>
  <c r="BO181" i="1"/>
  <c r="BJ181" i="1"/>
  <c r="BI181" i="1"/>
  <c r="BH181" i="1"/>
  <c r="BC181" i="1"/>
  <c r="BB181" i="1"/>
  <c r="BA181" i="1"/>
  <c r="AV181" i="1"/>
  <c r="AU181" i="1"/>
  <c r="AT181" i="1"/>
  <c r="AO181" i="1"/>
  <c r="AN181" i="1"/>
  <c r="AC181" i="1"/>
  <c r="Y181" i="1"/>
  <c r="S181" i="1"/>
  <c r="K181" i="1"/>
  <c r="J181" i="1"/>
  <c r="EV180" i="1"/>
  <c r="EU180" i="1"/>
  <c r="ET180" i="1"/>
  <c r="EC180" i="1"/>
  <c r="DQ180" i="1"/>
  <c r="DK180" i="1"/>
  <c r="DH180" i="1"/>
  <c r="DD180" i="1"/>
  <c r="CW180" i="1"/>
  <c r="CP180" i="1"/>
  <c r="CL180" i="1"/>
  <c r="CG180" i="1"/>
  <c r="CB180" i="1"/>
  <c r="BW180" i="1"/>
  <c r="BV180" i="1"/>
  <c r="BQ180" i="1"/>
  <c r="BP180" i="1"/>
  <c r="BO180" i="1"/>
  <c r="BJ180" i="1"/>
  <c r="BI180" i="1"/>
  <c r="BH180" i="1"/>
  <c r="BC180" i="1"/>
  <c r="BB180" i="1"/>
  <c r="BA180" i="1"/>
  <c r="AV180" i="1"/>
  <c r="AU180" i="1"/>
  <c r="AT180" i="1"/>
  <c r="AO180" i="1"/>
  <c r="AN180" i="1"/>
  <c r="AC180" i="1"/>
  <c r="Y180" i="1"/>
  <c r="S180" i="1"/>
  <c r="K180" i="1"/>
  <c r="J180" i="1"/>
  <c r="EV179" i="1"/>
  <c r="EU179" i="1"/>
  <c r="ET179" i="1"/>
  <c r="EG179" i="1"/>
  <c r="EC179" i="1"/>
  <c r="DQ179" i="1"/>
  <c r="DK179" i="1"/>
  <c r="DH179" i="1"/>
  <c r="DD179" i="1"/>
  <c r="CW179" i="1"/>
  <c r="CP179" i="1"/>
  <c r="CL179" i="1"/>
  <c r="CG179" i="1"/>
  <c r="CB179" i="1"/>
  <c r="BW179" i="1"/>
  <c r="BV179" i="1"/>
  <c r="BQ179" i="1"/>
  <c r="BP179" i="1"/>
  <c r="BO179" i="1"/>
  <c r="BJ179" i="1"/>
  <c r="BI179" i="1"/>
  <c r="BH179" i="1"/>
  <c r="BC179" i="1"/>
  <c r="BB179" i="1"/>
  <c r="BA179" i="1"/>
  <c r="AV179" i="1"/>
  <c r="AU179" i="1"/>
  <c r="AT179" i="1"/>
  <c r="AO179" i="1"/>
  <c r="AN179" i="1"/>
  <c r="AC179" i="1"/>
  <c r="AB179" i="1"/>
  <c r="Y179" i="1"/>
  <c r="S179" i="1"/>
  <c r="K179" i="1"/>
  <c r="J179" i="1"/>
  <c r="EV178" i="1"/>
  <c r="EU178" i="1"/>
  <c r="ET178" i="1"/>
  <c r="EG178" i="1"/>
  <c r="EC178" i="1"/>
  <c r="DY178" i="1"/>
  <c r="DQ178" i="1"/>
  <c r="DK178" i="1"/>
  <c r="DH178" i="1"/>
  <c r="DD178" i="1"/>
  <c r="CW178" i="1"/>
  <c r="CP178" i="1"/>
  <c r="CL178" i="1"/>
  <c r="CG178" i="1"/>
  <c r="CB178" i="1"/>
  <c r="BW178" i="1"/>
  <c r="BV178" i="1"/>
  <c r="BQ178" i="1"/>
  <c r="BP178" i="1"/>
  <c r="BO178" i="1"/>
  <c r="BJ178" i="1"/>
  <c r="BI178" i="1"/>
  <c r="BH178" i="1"/>
  <c r="BC178" i="1"/>
  <c r="BB178" i="1"/>
  <c r="BA178" i="1"/>
  <c r="AV178" i="1"/>
  <c r="AU178" i="1"/>
  <c r="AT178" i="1"/>
  <c r="AO178" i="1"/>
  <c r="AN178" i="1"/>
  <c r="AJ178" i="1"/>
  <c r="AC178" i="1"/>
  <c r="AB178" i="1"/>
  <c r="Y178" i="1"/>
  <c r="S178" i="1"/>
  <c r="K178" i="1"/>
  <c r="J178" i="1"/>
  <c r="EV177" i="1"/>
  <c r="EU177" i="1"/>
  <c r="ET177" i="1"/>
  <c r="EG177" i="1"/>
  <c r="EC177" i="1"/>
  <c r="DY177" i="1"/>
  <c r="DQ177" i="1"/>
  <c r="DK177" i="1"/>
  <c r="DH177" i="1"/>
  <c r="DD177" i="1"/>
  <c r="CW177" i="1"/>
  <c r="CP177" i="1"/>
  <c r="CL177" i="1"/>
  <c r="CG177" i="1"/>
  <c r="CB177" i="1"/>
  <c r="BW177" i="1"/>
  <c r="BV177" i="1"/>
  <c r="BQ177" i="1"/>
  <c r="BP177" i="1"/>
  <c r="BO177" i="1"/>
  <c r="BJ177" i="1"/>
  <c r="BI177" i="1"/>
  <c r="BH177" i="1"/>
  <c r="BC177" i="1"/>
  <c r="BB177" i="1"/>
  <c r="BA177" i="1"/>
  <c r="AV177" i="1"/>
  <c r="AU177" i="1"/>
  <c r="AT177" i="1"/>
  <c r="AO177" i="1"/>
  <c r="AN177" i="1"/>
  <c r="AJ177" i="1"/>
  <c r="AC177" i="1"/>
  <c r="AB177" i="1"/>
  <c r="Y177" i="1"/>
  <c r="S177" i="1"/>
  <c r="K177" i="1"/>
  <c r="J177" i="1"/>
  <c r="EV176" i="1"/>
  <c r="EU176" i="1"/>
  <c r="ET176" i="1"/>
  <c r="EG176" i="1"/>
  <c r="EC176" i="1"/>
  <c r="DQ176" i="1"/>
  <c r="DK176" i="1"/>
  <c r="DH176" i="1"/>
  <c r="DD176" i="1"/>
  <c r="CW176" i="1"/>
  <c r="CP176" i="1"/>
  <c r="CL176" i="1"/>
  <c r="CG176" i="1"/>
  <c r="CB176" i="1"/>
  <c r="BW176" i="1"/>
  <c r="BV176" i="1"/>
  <c r="BQ176" i="1"/>
  <c r="BP176" i="1"/>
  <c r="BO176" i="1"/>
  <c r="BJ176" i="1"/>
  <c r="BI176" i="1"/>
  <c r="BH176" i="1"/>
  <c r="BC176" i="1"/>
  <c r="BB176" i="1"/>
  <c r="BA176" i="1"/>
  <c r="AV176" i="1"/>
  <c r="AU176" i="1"/>
  <c r="AT176" i="1"/>
  <c r="AO176" i="1"/>
  <c r="AN176" i="1"/>
  <c r="AC176" i="1"/>
  <c r="AB176" i="1"/>
  <c r="Y176" i="1"/>
  <c r="S176" i="1"/>
  <c r="K176" i="1"/>
  <c r="J176" i="1"/>
  <c r="EV175" i="1"/>
  <c r="EU175" i="1"/>
  <c r="ET175" i="1"/>
  <c r="EG175" i="1"/>
  <c r="EC175" i="1"/>
  <c r="DY175" i="1"/>
  <c r="DQ175" i="1"/>
  <c r="DK175" i="1"/>
  <c r="DH175" i="1"/>
  <c r="DD175" i="1"/>
  <c r="CW175" i="1"/>
  <c r="CP175" i="1"/>
  <c r="CL175" i="1"/>
  <c r="CG175" i="1"/>
  <c r="CB175" i="1"/>
  <c r="BW175" i="1"/>
  <c r="BV175" i="1"/>
  <c r="BQ175" i="1"/>
  <c r="BP175" i="1"/>
  <c r="BO175" i="1"/>
  <c r="BJ175" i="1"/>
  <c r="BI175" i="1"/>
  <c r="BH175" i="1"/>
  <c r="BC175" i="1"/>
  <c r="BB175" i="1"/>
  <c r="BA175" i="1"/>
  <c r="AV175" i="1"/>
  <c r="AU175" i="1"/>
  <c r="AT175" i="1"/>
  <c r="AO175" i="1"/>
  <c r="AN175" i="1"/>
  <c r="AJ175" i="1"/>
  <c r="AC175" i="1"/>
  <c r="AB175" i="1"/>
  <c r="Y175" i="1"/>
  <c r="S175" i="1"/>
  <c r="K175" i="1"/>
  <c r="J175" i="1"/>
  <c r="EV174" i="1"/>
  <c r="EU174" i="1"/>
  <c r="ET174" i="1"/>
  <c r="EC174" i="1"/>
  <c r="DQ174" i="1"/>
  <c r="DK174" i="1"/>
  <c r="DH174" i="1"/>
  <c r="DD174" i="1"/>
  <c r="CW174" i="1"/>
  <c r="CP174" i="1"/>
  <c r="CL174" i="1"/>
  <c r="CG174" i="1"/>
  <c r="CB174" i="1"/>
  <c r="BW174" i="1"/>
  <c r="BV174" i="1"/>
  <c r="BQ174" i="1"/>
  <c r="BP174" i="1"/>
  <c r="BO174" i="1"/>
  <c r="BJ174" i="1"/>
  <c r="BI174" i="1"/>
  <c r="BH174" i="1"/>
  <c r="BC174" i="1"/>
  <c r="BB174" i="1"/>
  <c r="BA174" i="1"/>
  <c r="AV174" i="1"/>
  <c r="AU174" i="1"/>
  <c r="AT174" i="1"/>
  <c r="AO174" i="1"/>
  <c r="AN174" i="1"/>
  <c r="AC174" i="1"/>
  <c r="Y174" i="1"/>
  <c r="S174" i="1"/>
  <c r="K174" i="1"/>
  <c r="J174" i="1"/>
  <c r="EV173" i="1"/>
  <c r="EU173" i="1"/>
  <c r="ET173" i="1"/>
  <c r="EC173" i="1"/>
  <c r="DY173" i="1"/>
  <c r="DQ173" i="1"/>
  <c r="DK173" i="1"/>
  <c r="DH173" i="1"/>
  <c r="DD173" i="1"/>
  <c r="CW173" i="1"/>
  <c r="CP173" i="1"/>
  <c r="CL173" i="1"/>
  <c r="CG173" i="1"/>
  <c r="CB173" i="1"/>
  <c r="BW173" i="1"/>
  <c r="BV173" i="1"/>
  <c r="BQ173" i="1"/>
  <c r="BP173" i="1"/>
  <c r="BO173" i="1"/>
  <c r="BJ173" i="1"/>
  <c r="BI173" i="1"/>
  <c r="BH173" i="1"/>
  <c r="BC173" i="1"/>
  <c r="BB173" i="1"/>
  <c r="BA173" i="1"/>
  <c r="AV173" i="1"/>
  <c r="AU173" i="1"/>
  <c r="AT173" i="1"/>
  <c r="AO173" i="1"/>
  <c r="AN173" i="1"/>
  <c r="AJ173" i="1"/>
  <c r="AC173" i="1"/>
  <c r="Y173" i="1"/>
  <c r="S173" i="1"/>
  <c r="K173" i="1"/>
  <c r="J173" i="1"/>
  <c r="EV172" i="1"/>
  <c r="EU172" i="1"/>
  <c r="ET172" i="1"/>
  <c r="EG172" i="1"/>
  <c r="EC172" i="1"/>
  <c r="DQ172" i="1"/>
  <c r="DK172" i="1"/>
  <c r="DH172" i="1"/>
  <c r="DD172" i="1"/>
  <c r="CW172" i="1"/>
  <c r="CP172" i="1"/>
  <c r="CL172" i="1"/>
  <c r="CG172" i="1"/>
  <c r="CB172" i="1"/>
  <c r="BW172" i="1"/>
  <c r="BV172" i="1"/>
  <c r="BQ172" i="1"/>
  <c r="BP172" i="1"/>
  <c r="BO172" i="1"/>
  <c r="BJ172" i="1"/>
  <c r="BI172" i="1"/>
  <c r="BH172" i="1"/>
  <c r="BC172" i="1"/>
  <c r="BB172" i="1"/>
  <c r="BA172" i="1"/>
  <c r="AV172" i="1"/>
  <c r="AU172" i="1"/>
  <c r="AT172" i="1"/>
  <c r="AO172" i="1"/>
  <c r="AN172" i="1"/>
  <c r="AC172" i="1"/>
  <c r="AB172" i="1"/>
  <c r="Y172" i="1"/>
  <c r="S172" i="1"/>
  <c r="K172" i="1"/>
  <c r="J172" i="1"/>
  <c r="EV171" i="1"/>
  <c r="EU171" i="1"/>
  <c r="ET171" i="1"/>
  <c r="EC171" i="1"/>
  <c r="DQ171" i="1"/>
  <c r="DK171" i="1"/>
  <c r="DH171" i="1"/>
  <c r="DD171" i="1"/>
  <c r="CW171" i="1"/>
  <c r="CP171" i="1"/>
  <c r="CL171" i="1"/>
  <c r="CG171" i="1"/>
  <c r="CB171" i="1"/>
  <c r="BW171" i="1"/>
  <c r="BV171" i="1"/>
  <c r="BQ171" i="1"/>
  <c r="BP171" i="1"/>
  <c r="BO171" i="1"/>
  <c r="BJ171" i="1"/>
  <c r="BI171" i="1"/>
  <c r="BH171" i="1"/>
  <c r="BC171" i="1"/>
  <c r="BB171" i="1"/>
  <c r="BA171" i="1"/>
  <c r="AV171" i="1"/>
  <c r="AU171" i="1"/>
  <c r="AT171" i="1"/>
  <c r="AO171" i="1"/>
  <c r="AN171" i="1"/>
  <c r="AC171" i="1"/>
  <c r="Y171" i="1"/>
  <c r="S171" i="1"/>
  <c r="K171" i="1"/>
  <c r="J171" i="1"/>
  <c r="EV170" i="1"/>
  <c r="EU170" i="1"/>
  <c r="ET170" i="1"/>
  <c r="EG170" i="1"/>
  <c r="EC170" i="1"/>
  <c r="DQ170" i="1"/>
  <c r="DK170" i="1"/>
  <c r="DH170" i="1"/>
  <c r="DD170" i="1"/>
  <c r="CW170" i="1"/>
  <c r="CP170" i="1"/>
  <c r="CL170" i="1"/>
  <c r="CG170" i="1"/>
  <c r="CB170" i="1"/>
  <c r="BW170" i="1"/>
  <c r="BV170" i="1"/>
  <c r="BQ170" i="1"/>
  <c r="BP170" i="1"/>
  <c r="BO170" i="1"/>
  <c r="BJ170" i="1"/>
  <c r="BI170" i="1"/>
  <c r="BH170" i="1"/>
  <c r="BC170" i="1"/>
  <c r="BB170" i="1"/>
  <c r="BA170" i="1"/>
  <c r="AV170" i="1"/>
  <c r="AU170" i="1"/>
  <c r="AT170" i="1"/>
  <c r="AO170" i="1"/>
  <c r="AN170" i="1"/>
  <c r="AC170" i="1"/>
  <c r="AB170" i="1"/>
  <c r="Y170" i="1"/>
  <c r="S170" i="1"/>
  <c r="K170" i="1"/>
  <c r="J170" i="1"/>
  <c r="EV169" i="1"/>
  <c r="EU169" i="1"/>
  <c r="ET169" i="1"/>
  <c r="EG169" i="1"/>
  <c r="EC169" i="1"/>
  <c r="DQ169" i="1"/>
  <c r="DK169" i="1"/>
  <c r="DH169" i="1"/>
  <c r="DD169" i="1"/>
  <c r="CW169" i="1"/>
  <c r="CP169" i="1"/>
  <c r="CL169" i="1"/>
  <c r="CG169" i="1"/>
  <c r="CB169" i="1"/>
  <c r="BW169" i="1"/>
  <c r="BV169" i="1"/>
  <c r="BQ169" i="1"/>
  <c r="BP169" i="1"/>
  <c r="BO169" i="1"/>
  <c r="BJ169" i="1"/>
  <c r="BI169" i="1"/>
  <c r="BH169" i="1"/>
  <c r="BC169" i="1"/>
  <c r="BB169" i="1"/>
  <c r="BA169" i="1"/>
  <c r="AV169" i="1"/>
  <c r="AU169" i="1"/>
  <c r="AT169" i="1"/>
  <c r="AO169" i="1"/>
  <c r="AN169" i="1"/>
  <c r="AC169" i="1"/>
  <c r="AB169" i="1"/>
  <c r="Y169" i="1"/>
  <c r="S169" i="1"/>
  <c r="K169" i="1"/>
  <c r="J169" i="1"/>
  <c r="EV168" i="1"/>
  <c r="EU168" i="1"/>
  <c r="ET168" i="1"/>
  <c r="EG168" i="1"/>
  <c r="EC168" i="1"/>
  <c r="DQ168" i="1"/>
  <c r="DK168" i="1"/>
  <c r="DH168" i="1"/>
  <c r="DD168" i="1"/>
  <c r="CW168" i="1"/>
  <c r="CP168" i="1"/>
  <c r="CL168" i="1"/>
  <c r="CG168" i="1"/>
  <c r="CB168" i="1"/>
  <c r="BW168" i="1"/>
  <c r="BV168" i="1"/>
  <c r="BQ168" i="1"/>
  <c r="BP168" i="1"/>
  <c r="BO168" i="1"/>
  <c r="BJ168" i="1"/>
  <c r="BI168" i="1"/>
  <c r="BH168" i="1"/>
  <c r="BC168" i="1"/>
  <c r="BB168" i="1"/>
  <c r="BA168" i="1"/>
  <c r="AV168" i="1"/>
  <c r="AU168" i="1"/>
  <c r="AT168" i="1"/>
  <c r="AO168" i="1"/>
  <c r="AN168" i="1"/>
  <c r="AC168" i="1"/>
  <c r="AB168" i="1"/>
  <c r="Y168" i="1"/>
  <c r="S168" i="1"/>
  <c r="K168" i="1"/>
  <c r="J168" i="1"/>
  <c r="EV167" i="1"/>
  <c r="EU167" i="1"/>
  <c r="ET167" i="1"/>
  <c r="EG167" i="1"/>
  <c r="EC167" i="1"/>
  <c r="DQ167" i="1"/>
  <c r="DK167" i="1"/>
  <c r="DH167" i="1"/>
  <c r="DD167" i="1"/>
  <c r="CW167" i="1"/>
  <c r="CP167" i="1"/>
  <c r="CL167" i="1"/>
  <c r="CG167" i="1"/>
  <c r="CB167" i="1"/>
  <c r="BW167" i="1"/>
  <c r="BV167" i="1"/>
  <c r="BQ167" i="1"/>
  <c r="BP167" i="1"/>
  <c r="BO167" i="1"/>
  <c r="BJ167" i="1"/>
  <c r="BI167" i="1"/>
  <c r="BH167" i="1"/>
  <c r="BC167" i="1"/>
  <c r="BB167" i="1"/>
  <c r="BA167" i="1"/>
  <c r="AV167" i="1"/>
  <c r="AU167" i="1"/>
  <c r="AT167" i="1"/>
  <c r="AO167" i="1"/>
  <c r="AN167" i="1"/>
  <c r="AC167" i="1"/>
  <c r="AB167" i="1"/>
  <c r="Y167" i="1"/>
  <c r="S167" i="1"/>
  <c r="K167" i="1"/>
  <c r="J167" i="1"/>
  <c r="EV166" i="1"/>
  <c r="EU166" i="1"/>
  <c r="ET166" i="1"/>
  <c r="EG166" i="1"/>
  <c r="EC166" i="1"/>
  <c r="DQ166" i="1"/>
  <c r="DK166" i="1"/>
  <c r="DH166" i="1"/>
  <c r="DD166" i="1"/>
  <c r="CW166" i="1"/>
  <c r="CP166" i="1"/>
  <c r="CL166" i="1"/>
  <c r="CG166" i="1"/>
  <c r="CB166" i="1"/>
  <c r="BW166" i="1"/>
  <c r="BV166" i="1"/>
  <c r="BQ166" i="1"/>
  <c r="BP166" i="1"/>
  <c r="BO166" i="1"/>
  <c r="BJ166" i="1"/>
  <c r="BI166" i="1"/>
  <c r="BH166" i="1"/>
  <c r="BC166" i="1"/>
  <c r="BB166" i="1"/>
  <c r="BA166" i="1"/>
  <c r="AV166" i="1"/>
  <c r="AU166" i="1"/>
  <c r="AT166" i="1"/>
  <c r="AO166" i="1"/>
  <c r="AN166" i="1"/>
  <c r="AC166" i="1"/>
  <c r="AB166" i="1"/>
  <c r="Y166" i="1"/>
  <c r="S166" i="1"/>
  <c r="K166" i="1"/>
  <c r="J166" i="1"/>
  <c r="EV165" i="1"/>
  <c r="EU165" i="1"/>
  <c r="ET165" i="1"/>
  <c r="EG165" i="1"/>
  <c r="EC165" i="1"/>
  <c r="DQ165" i="1"/>
  <c r="DK165" i="1"/>
  <c r="DH165" i="1"/>
  <c r="DD165" i="1"/>
  <c r="CW165" i="1"/>
  <c r="CP165" i="1"/>
  <c r="CL165" i="1"/>
  <c r="CG165" i="1"/>
  <c r="CB165" i="1"/>
  <c r="BW165" i="1"/>
  <c r="BV165" i="1"/>
  <c r="BQ165" i="1"/>
  <c r="BP165" i="1"/>
  <c r="BO165" i="1"/>
  <c r="BJ165" i="1"/>
  <c r="BI165" i="1"/>
  <c r="BH165" i="1"/>
  <c r="BC165" i="1"/>
  <c r="BB165" i="1"/>
  <c r="BA165" i="1"/>
  <c r="AV165" i="1"/>
  <c r="AU165" i="1"/>
  <c r="AT165" i="1"/>
  <c r="AO165" i="1"/>
  <c r="AN165" i="1"/>
  <c r="AC165" i="1"/>
  <c r="AB165" i="1"/>
  <c r="Y165" i="1"/>
  <c r="S165" i="1"/>
  <c r="K165" i="1"/>
  <c r="J165" i="1"/>
  <c r="EV164" i="1"/>
  <c r="EU164" i="1"/>
  <c r="ET164" i="1"/>
  <c r="EG164" i="1"/>
  <c r="EC164" i="1"/>
  <c r="DQ164" i="1"/>
  <c r="DK164" i="1"/>
  <c r="DH164" i="1"/>
  <c r="DD164" i="1"/>
  <c r="CW164" i="1"/>
  <c r="CP164" i="1"/>
  <c r="CL164" i="1"/>
  <c r="CG164" i="1"/>
  <c r="CB164" i="1"/>
  <c r="BW164" i="1"/>
  <c r="BV164" i="1"/>
  <c r="BQ164" i="1"/>
  <c r="BP164" i="1"/>
  <c r="BO164" i="1"/>
  <c r="BJ164" i="1"/>
  <c r="BI164" i="1"/>
  <c r="BH164" i="1"/>
  <c r="BC164" i="1"/>
  <c r="BB164" i="1"/>
  <c r="BA164" i="1"/>
  <c r="AV164" i="1"/>
  <c r="AU164" i="1"/>
  <c r="AT164" i="1"/>
  <c r="AO164" i="1"/>
  <c r="AN164" i="1"/>
  <c r="AC164" i="1"/>
  <c r="AB164" i="1"/>
  <c r="Y164" i="1"/>
  <c r="S164" i="1"/>
  <c r="K164" i="1"/>
  <c r="J164" i="1"/>
  <c r="EV163" i="1"/>
  <c r="EU163" i="1"/>
  <c r="ET163" i="1"/>
  <c r="EG163" i="1"/>
  <c r="EC163" i="1"/>
  <c r="DQ163" i="1"/>
  <c r="DK163" i="1"/>
  <c r="DH163" i="1"/>
  <c r="DD163" i="1"/>
  <c r="CW163" i="1"/>
  <c r="CP163" i="1"/>
  <c r="CL163" i="1"/>
  <c r="CG163" i="1"/>
  <c r="CB163" i="1"/>
  <c r="BW163" i="1"/>
  <c r="BV163" i="1"/>
  <c r="BQ163" i="1"/>
  <c r="BP163" i="1"/>
  <c r="BO163" i="1"/>
  <c r="BJ163" i="1"/>
  <c r="BI163" i="1"/>
  <c r="BH163" i="1"/>
  <c r="BC163" i="1"/>
  <c r="BB163" i="1"/>
  <c r="BA163" i="1"/>
  <c r="AV163" i="1"/>
  <c r="AU163" i="1"/>
  <c r="AT163" i="1"/>
  <c r="AO163" i="1"/>
  <c r="AN163" i="1"/>
  <c r="AC163" i="1"/>
  <c r="AB163" i="1"/>
  <c r="Y163" i="1"/>
  <c r="S163" i="1"/>
  <c r="K163" i="1"/>
  <c r="J163" i="1"/>
  <c r="EV162" i="1"/>
  <c r="EU162" i="1"/>
  <c r="ET162" i="1"/>
  <c r="EG162" i="1"/>
  <c r="EC162" i="1"/>
  <c r="DQ162" i="1"/>
  <c r="DK162" i="1"/>
  <c r="DH162" i="1"/>
  <c r="DD162" i="1"/>
  <c r="CW162" i="1"/>
  <c r="CP162" i="1"/>
  <c r="CL162" i="1"/>
  <c r="CG162" i="1"/>
  <c r="CB162" i="1"/>
  <c r="BW162" i="1"/>
  <c r="BV162" i="1"/>
  <c r="BQ162" i="1"/>
  <c r="BP162" i="1"/>
  <c r="BO162" i="1"/>
  <c r="BJ162" i="1"/>
  <c r="BI162" i="1"/>
  <c r="BH162" i="1"/>
  <c r="BC162" i="1"/>
  <c r="BB162" i="1"/>
  <c r="BA162" i="1"/>
  <c r="AV162" i="1"/>
  <c r="AU162" i="1"/>
  <c r="AT162" i="1"/>
  <c r="AO162" i="1"/>
  <c r="AN162" i="1"/>
  <c r="AC162" i="1"/>
  <c r="AB162" i="1"/>
  <c r="Y162" i="1"/>
  <c r="S162" i="1"/>
  <c r="K162" i="1"/>
  <c r="J162" i="1"/>
  <c r="EV161" i="1"/>
  <c r="EU161" i="1"/>
  <c r="ET161" i="1"/>
  <c r="EG161" i="1"/>
  <c r="EC161" i="1"/>
  <c r="DQ161" i="1"/>
  <c r="DK161" i="1"/>
  <c r="DH161" i="1"/>
  <c r="DD161" i="1"/>
  <c r="CW161" i="1"/>
  <c r="CP161" i="1"/>
  <c r="CL161" i="1"/>
  <c r="CG161" i="1"/>
  <c r="CB161" i="1"/>
  <c r="BW161" i="1"/>
  <c r="BV161" i="1"/>
  <c r="BQ161" i="1"/>
  <c r="BP161" i="1"/>
  <c r="BO161" i="1"/>
  <c r="BJ161" i="1"/>
  <c r="BI161" i="1"/>
  <c r="BH161" i="1"/>
  <c r="BC161" i="1"/>
  <c r="BB161" i="1"/>
  <c r="BA161" i="1"/>
  <c r="AV161" i="1"/>
  <c r="AU161" i="1"/>
  <c r="AT161" i="1"/>
  <c r="AO161" i="1"/>
  <c r="AN161" i="1"/>
  <c r="AC161" i="1"/>
  <c r="AB161" i="1"/>
  <c r="Y161" i="1"/>
  <c r="S161" i="1"/>
  <c r="K161" i="1"/>
  <c r="J161" i="1"/>
  <c r="EV160" i="1"/>
  <c r="EU160" i="1"/>
  <c r="ET160" i="1"/>
  <c r="EC160" i="1"/>
  <c r="DY160" i="1"/>
  <c r="DQ160" i="1"/>
  <c r="DK160" i="1"/>
  <c r="DH160" i="1"/>
  <c r="DD160" i="1"/>
  <c r="CW160" i="1"/>
  <c r="CP160" i="1"/>
  <c r="CL160" i="1"/>
  <c r="CG160" i="1"/>
  <c r="CB160" i="1"/>
  <c r="BW160" i="1"/>
  <c r="BV160" i="1"/>
  <c r="BQ160" i="1"/>
  <c r="BP160" i="1"/>
  <c r="BO160" i="1"/>
  <c r="BJ160" i="1"/>
  <c r="BI160" i="1"/>
  <c r="BH160" i="1"/>
  <c r="BC160" i="1"/>
  <c r="BB160" i="1"/>
  <c r="BA160" i="1"/>
  <c r="AV160" i="1"/>
  <c r="AU160" i="1"/>
  <c r="AT160" i="1"/>
  <c r="AO160" i="1"/>
  <c r="AN160" i="1"/>
  <c r="AJ160" i="1"/>
  <c r="AC160" i="1"/>
  <c r="Y160" i="1"/>
  <c r="S160" i="1"/>
  <c r="K160" i="1"/>
  <c r="J160" i="1"/>
  <c r="EV159" i="1"/>
  <c r="EU159" i="1"/>
  <c r="ET159" i="1"/>
  <c r="EG159" i="1"/>
  <c r="EC159" i="1"/>
  <c r="DQ159" i="1"/>
  <c r="DK159" i="1"/>
  <c r="DH159" i="1"/>
  <c r="DD159" i="1"/>
  <c r="CW159" i="1"/>
  <c r="CP159" i="1"/>
  <c r="CL159" i="1"/>
  <c r="CG159" i="1"/>
  <c r="CB159" i="1"/>
  <c r="BW159" i="1"/>
  <c r="BV159" i="1"/>
  <c r="BQ159" i="1"/>
  <c r="BP159" i="1"/>
  <c r="BO159" i="1"/>
  <c r="BJ159" i="1"/>
  <c r="BI159" i="1"/>
  <c r="BH159" i="1"/>
  <c r="BC159" i="1"/>
  <c r="BB159" i="1"/>
  <c r="BA159" i="1"/>
  <c r="AV159" i="1"/>
  <c r="AU159" i="1"/>
  <c r="AT159" i="1"/>
  <c r="AO159" i="1"/>
  <c r="AN159" i="1"/>
  <c r="AC159" i="1"/>
  <c r="AB159" i="1"/>
  <c r="Y159" i="1"/>
  <c r="S159" i="1"/>
  <c r="K159" i="1"/>
  <c r="J159" i="1"/>
  <c r="EV158" i="1"/>
  <c r="EU158" i="1"/>
  <c r="ET158" i="1"/>
  <c r="EG158" i="1"/>
  <c r="EC158" i="1"/>
  <c r="DQ158" i="1"/>
  <c r="DK158" i="1"/>
  <c r="DH158" i="1"/>
  <c r="DD158" i="1"/>
  <c r="CW158" i="1"/>
  <c r="CP158" i="1"/>
  <c r="CL158" i="1"/>
  <c r="CG158" i="1"/>
  <c r="CB158" i="1"/>
  <c r="BW158" i="1"/>
  <c r="BV158" i="1"/>
  <c r="BQ158" i="1"/>
  <c r="BP158" i="1"/>
  <c r="BO158" i="1"/>
  <c r="BJ158" i="1"/>
  <c r="BI158" i="1"/>
  <c r="BH158" i="1"/>
  <c r="BC158" i="1"/>
  <c r="BB158" i="1"/>
  <c r="BA158" i="1"/>
  <c r="AV158" i="1"/>
  <c r="AU158" i="1"/>
  <c r="AT158" i="1"/>
  <c r="AO158" i="1"/>
  <c r="AN158" i="1"/>
  <c r="AC158" i="1"/>
  <c r="AB158" i="1"/>
  <c r="Y158" i="1"/>
  <c r="S158" i="1"/>
  <c r="K158" i="1"/>
  <c r="J158" i="1"/>
  <c r="EV157" i="1"/>
  <c r="EU157" i="1"/>
  <c r="ET157" i="1"/>
  <c r="EG157" i="1"/>
  <c r="EC157" i="1"/>
  <c r="DQ157" i="1"/>
  <c r="DK157" i="1"/>
  <c r="DH157" i="1"/>
  <c r="DD157" i="1"/>
  <c r="CW157" i="1"/>
  <c r="CP157" i="1"/>
  <c r="CL157" i="1"/>
  <c r="CG157" i="1"/>
  <c r="CB157" i="1"/>
  <c r="BW157" i="1"/>
  <c r="BV157" i="1"/>
  <c r="BQ157" i="1"/>
  <c r="BP157" i="1"/>
  <c r="BO157" i="1"/>
  <c r="BJ157" i="1"/>
  <c r="BI157" i="1"/>
  <c r="BH157" i="1"/>
  <c r="BC157" i="1"/>
  <c r="BB157" i="1"/>
  <c r="BA157" i="1"/>
  <c r="AV157" i="1"/>
  <c r="AU157" i="1"/>
  <c r="AT157" i="1"/>
  <c r="AO157" i="1"/>
  <c r="AN157" i="1"/>
  <c r="AC157" i="1"/>
  <c r="AB157" i="1"/>
  <c r="Y157" i="1"/>
  <c r="S157" i="1"/>
  <c r="K157" i="1"/>
  <c r="J157" i="1"/>
  <c r="EV156" i="1"/>
  <c r="EU156" i="1"/>
  <c r="ET156" i="1"/>
  <c r="EG156" i="1"/>
  <c r="EC156" i="1"/>
  <c r="DQ156" i="1"/>
  <c r="DK156" i="1"/>
  <c r="DH156" i="1"/>
  <c r="DD156" i="1"/>
  <c r="CW156" i="1"/>
  <c r="CP156" i="1"/>
  <c r="CL156" i="1"/>
  <c r="CG156" i="1"/>
  <c r="CB156" i="1"/>
  <c r="BW156" i="1"/>
  <c r="BV156" i="1"/>
  <c r="BQ156" i="1"/>
  <c r="BP156" i="1"/>
  <c r="BO156" i="1"/>
  <c r="BJ156" i="1"/>
  <c r="BI156" i="1"/>
  <c r="BH156" i="1"/>
  <c r="BC156" i="1"/>
  <c r="BB156" i="1"/>
  <c r="BA156" i="1"/>
  <c r="AV156" i="1"/>
  <c r="AU156" i="1"/>
  <c r="AT156" i="1"/>
  <c r="AO156" i="1"/>
  <c r="AN156" i="1"/>
  <c r="AC156" i="1"/>
  <c r="AB156" i="1"/>
  <c r="Y156" i="1"/>
  <c r="S156" i="1"/>
  <c r="K156" i="1"/>
  <c r="J156" i="1"/>
  <c r="EV155" i="1"/>
  <c r="EU155" i="1"/>
  <c r="ET155" i="1"/>
  <c r="EC155" i="1"/>
  <c r="DQ155" i="1"/>
  <c r="DK155" i="1"/>
  <c r="DH155" i="1"/>
  <c r="DD155" i="1"/>
  <c r="CW155" i="1"/>
  <c r="CP155" i="1"/>
  <c r="CL155" i="1"/>
  <c r="CG155" i="1"/>
  <c r="CB155" i="1"/>
  <c r="BW155" i="1"/>
  <c r="BV155" i="1"/>
  <c r="BQ155" i="1"/>
  <c r="BP155" i="1"/>
  <c r="BO155" i="1"/>
  <c r="BJ155" i="1"/>
  <c r="BI155" i="1"/>
  <c r="BH155" i="1"/>
  <c r="BC155" i="1"/>
  <c r="BB155" i="1"/>
  <c r="BA155" i="1"/>
  <c r="AV155" i="1"/>
  <c r="AU155" i="1"/>
  <c r="AT155" i="1"/>
  <c r="AO155" i="1"/>
  <c r="AN155" i="1"/>
  <c r="AC155" i="1"/>
  <c r="Y155" i="1"/>
  <c r="S155" i="1"/>
  <c r="K155" i="1"/>
  <c r="J155" i="1"/>
  <c r="EV154" i="1"/>
  <c r="EU154" i="1"/>
  <c r="ET154" i="1"/>
  <c r="EG154" i="1"/>
  <c r="EC154" i="1"/>
  <c r="DK154" i="1"/>
  <c r="DH154" i="1"/>
  <c r="DD154" i="1"/>
  <c r="CW154" i="1"/>
  <c r="CP154" i="1"/>
  <c r="CL154" i="1"/>
  <c r="CG154" i="1"/>
  <c r="CB154" i="1"/>
  <c r="BW154" i="1"/>
  <c r="BV154" i="1"/>
  <c r="BQ154" i="1"/>
  <c r="BP154" i="1"/>
  <c r="BO154" i="1"/>
  <c r="BJ154" i="1"/>
  <c r="BI154" i="1"/>
  <c r="BH154" i="1"/>
  <c r="BC154" i="1"/>
  <c r="BB154" i="1"/>
  <c r="BA154" i="1"/>
  <c r="AV154" i="1"/>
  <c r="AU154" i="1"/>
  <c r="AT154" i="1"/>
  <c r="AO154" i="1"/>
  <c r="AN154" i="1"/>
  <c r="AB154" i="1"/>
  <c r="Y154" i="1"/>
  <c r="S154" i="1"/>
  <c r="K154" i="1"/>
  <c r="J154" i="1"/>
  <c r="EV153" i="1"/>
  <c r="EU153" i="1"/>
  <c r="ET153" i="1"/>
  <c r="EG153" i="1"/>
  <c r="EC153" i="1"/>
  <c r="DY153" i="1"/>
  <c r="DQ153" i="1"/>
  <c r="DK153" i="1"/>
  <c r="DH153" i="1"/>
  <c r="DD153" i="1"/>
  <c r="CW153" i="1"/>
  <c r="CP153" i="1"/>
  <c r="CL153" i="1"/>
  <c r="CG153" i="1"/>
  <c r="CB153" i="1"/>
  <c r="BW153" i="1"/>
  <c r="BV153" i="1"/>
  <c r="BQ153" i="1"/>
  <c r="BP153" i="1"/>
  <c r="BO153" i="1"/>
  <c r="BJ153" i="1"/>
  <c r="BI153" i="1"/>
  <c r="BH153" i="1"/>
  <c r="BC153" i="1"/>
  <c r="BB153" i="1"/>
  <c r="BA153" i="1"/>
  <c r="AV153" i="1"/>
  <c r="AU153" i="1"/>
  <c r="AT153" i="1"/>
  <c r="AO153" i="1"/>
  <c r="AN153" i="1"/>
  <c r="AJ153" i="1"/>
  <c r="AC153" i="1"/>
  <c r="AB153" i="1"/>
  <c r="Y153" i="1"/>
  <c r="S153" i="1"/>
  <c r="K153" i="1"/>
  <c r="J153" i="1"/>
  <c r="EV152" i="1"/>
  <c r="EU152" i="1"/>
  <c r="ET152" i="1"/>
  <c r="EG152" i="1"/>
  <c r="EC152" i="1"/>
  <c r="DQ152" i="1"/>
  <c r="DK152" i="1"/>
  <c r="DH152" i="1"/>
  <c r="DD152" i="1"/>
  <c r="CW152" i="1"/>
  <c r="CP152" i="1"/>
  <c r="CL152" i="1"/>
  <c r="CG152" i="1"/>
  <c r="CB152" i="1"/>
  <c r="BW152" i="1"/>
  <c r="BV152" i="1"/>
  <c r="BQ152" i="1"/>
  <c r="BP152" i="1"/>
  <c r="BO152" i="1"/>
  <c r="BJ152" i="1"/>
  <c r="BI152" i="1"/>
  <c r="BH152" i="1"/>
  <c r="BC152" i="1"/>
  <c r="BB152" i="1"/>
  <c r="BA152" i="1"/>
  <c r="AV152" i="1"/>
  <c r="AU152" i="1"/>
  <c r="AT152" i="1"/>
  <c r="AO152" i="1"/>
  <c r="AN152" i="1"/>
  <c r="AC152" i="1"/>
  <c r="AB152" i="1"/>
  <c r="Y152" i="1"/>
  <c r="S152" i="1"/>
  <c r="K152" i="1"/>
  <c r="J152" i="1"/>
  <c r="EV151" i="1"/>
  <c r="EU151" i="1"/>
  <c r="ET151" i="1"/>
  <c r="EG151" i="1"/>
  <c r="EC151" i="1"/>
  <c r="DQ151" i="1"/>
  <c r="DK151" i="1"/>
  <c r="DH151" i="1"/>
  <c r="DD151" i="1"/>
  <c r="CW151" i="1"/>
  <c r="CP151" i="1"/>
  <c r="CL151" i="1"/>
  <c r="CG151" i="1"/>
  <c r="CB151" i="1"/>
  <c r="BW151" i="1"/>
  <c r="BV151" i="1"/>
  <c r="BQ151" i="1"/>
  <c r="BP151" i="1"/>
  <c r="BO151" i="1"/>
  <c r="BJ151" i="1"/>
  <c r="BI151" i="1"/>
  <c r="BH151" i="1"/>
  <c r="BC151" i="1"/>
  <c r="BB151" i="1"/>
  <c r="BA151" i="1"/>
  <c r="AV151" i="1"/>
  <c r="AU151" i="1"/>
  <c r="AT151" i="1"/>
  <c r="AO151" i="1"/>
  <c r="AN151" i="1"/>
  <c r="AC151" i="1"/>
  <c r="AB151" i="1"/>
  <c r="Y151" i="1"/>
  <c r="S151" i="1"/>
  <c r="K151" i="1"/>
  <c r="J151" i="1"/>
  <c r="EV150" i="1"/>
  <c r="EU150" i="1"/>
  <c r="ET150" i="1"/>
  <c r="EC150" i="1"/>
  <c r="DQ150" i="1"/>
  <c r="DK150" i="1"/>
  <c r="DH150" i="1"/>
  <c r="DD150" i="1"/>
  <c r="CW150" i="1"/>
  <c r="CP150" i="1"/>
  <c r="CL150" i="1"/>
  <c r="CG150" i="1"/>
  <c r="CB150" i="1"/>
  <c r="BW150" i="1"/>
  <c r="BV150" i="1"/>
  <c r="BQ150" i="1"/>
  <c r="BP150" i="1"/>
  <c r="BO150" i="1"/>
  <c r="BJ150" i="1"/>
  <c r="BI150" i="1"/>
  <c r="BH150" i="1"/>
  <c r="BC150" i="1"/>
  <c r="BB150" i="1"/>
  <c r="BA150" i="1"/>
  <c r="AV150" i="1"/>
  <c r="AU150" i="1"/>
  <c r="AT150" i="1"/>
  <c r="AO150" i="1"/>
  <c r="AN150" i="1"/>
  <c r="AC150" i="1"/>
  <c r="Y150" i="1"/>
  <c r="S150" i="1"/>
  <c r="K150" i="1"/>
  <c r="J150" i="1"/>
  <c r="EV149" i="1"/>
  <c r="EU149" i="1"/>
  <c r="ET149" i="1"/>
  <c r="EG149" i="1"/>
  <c r="EC149" i="1"/>
  <c r="DQ149" i="1"/>
  <c r="DK149" i="1"/>
  <c r="DH149" i="1"/>
  <c r="DD149" i="1"/>
  <c r="CW149" i="1"/>
  <c r="CP149" i="1"/>
  <c r="CL149" i="1"/>
  <c r="CG149" i="1"/>
  <c r="CB149" i="1"/>
  <c r="BW149" i="1"/>
  <c r="BV149" i="1"/>
  <c r="BQ149" i="1"/>
  <c r="BP149" i="1"/>
  <c r="BO149" i="1"/>
  <c r="BJ149" i="1"/>
  <c r="BI149" i="1"/>
  <c r="BH149" i="1"/>
  <c r="BC149" i="1"/>
  <c r="BB149" i="1"/>
  <c r="BA149" i="1"/>
  <c r="AV149" i="1"/>
  <c r="AU149" i="1"/>
  <c r="AT149" i="1"/>
  <c r="AO149" i="1"/>
  <c r="AN149" i="1"/>
  <c r="AC149" i="1"/>
  <c r="AB149" i="1"/>
  <c r="Y149" i="1"/>
  <c r="S149" i="1"/>
  <c r="K149" i="1"/>
  <c r="J149" i="1"/>
  <c r="EV148" i="1"/>
  <c r="EU148" i="1"/>
  <c r="ET148" i="1"/>
  <c r="EG148" i="1"/>
  <c r="EC148" i="1"/>
  <c r="DY148" i="1"/>
  <c r="DQ148" i="1"/>
  <c r="DK148" i="1"/>
  <c r="DH148" i="1"/>
  <c r="DD148" i="1"/>
  <c r="CW148" i="1"/>
  <c r="CP148" i="1"/>
  <c r="CL148" i="1"/>
  <c r="CG148" i="1"/>
  <c r="CB148" i="1"/>
  <c r="BW148" i="1"/>
  <c r="BV148" i="1"/>
  <c r="BQ148" i="1"/>
  <c r="BP148" i="1"/>
  <c r="BO148" i="1"/>
  <c r="BJ148" i="1"/>
  <c r="BI148" i="1"/>
  <c r="BH148" i="1"/>
  <c r="BC148" i="1"/>
  <c r="BB148" i="1"/>
  <c r="BA148" i="1"/>
  <c r="AV148" i="1"/>
  <c r="AU148" i="1"/>
  <c r="AT148" i="1"/>
  <c r="AO148" i="1"/>
  <c r="AN148" i="1"/>
  <c r="AJ148" i="1"/>
  <c r="AC148" i="1"/>
  <c r="AB148" i="1"/>
  <c r="Y148" i="1"/>
  <c r="S148" i="1"/>
  <c r="K148" i="1"/>
  <c r="J148" i="1"/>
  <c r="EV147" i="1"/>
  <c r="EU147" i="1"/>
  <c r="ET147" i="1"/>
  <c r="EC147" i="1"/>
  <c r="DQ147" i="1"/>
  <c r="DK147" i="1"/>
  <c r="DH147" i="1"/>
  <c r="DD147" i="1"/>
  <c r="CW147" i="1"/>
  <c r="CP147" i="1"/>
  <c r="CL147" i="1"/>
  <c r="CG147" i="1"/>
  <c r="CB147" i="1"/>
  <c r="BW147" i="1"/>
  <c r="BV147" i="1"/>
  <c r="BQ147" i="1"/>
  <c r="BP147" i="1"/>
  <c r="BO147" i="1"/>
  <c r="BJ147" i="1"/>
  <c r="BI147" i="1"/>
  <c r="BH147" i="1"/>
  <c r="BC147" i="1"/>
  <c r="BB147" i="1"/>
  <c r="BA147" i="1"/>
  <c r="AV147" i="1"/>
  <c r="AU147" i="1"/>
  <c r="AT147" i="1"/>
  <c r="AO147" i="1"/>
  <c r="AN147" i="1"/>
  <c r="AC147" i="1"/>
  <c r="Y147" i="1"/>
  <c r="S147" i="1"/>
  <c r="K147" i="1"/>
  <c r="J147" i="1"/>
  <c r="EV146" i="1"/>
  <c r="EU146" i="1"/>
  <c r="ET146" i="1"/>
  <c r="EG146" i="1"/>
  <c r="EC146" i="1"/>
  <c r="DQ146" i="1"/>
  <c r="DK146" i="1"/>
  <c r="DH146" i="1"/>
  <c r="DD146" i="1"/>
  <c r="CW146" i="1"/>
  <c r="CP146" i="1"/>
  <c r="CL146" i="1"/>
  <c r="CG146" i="1"/>
  <c r="CB146" i="1"/>
  <c r="BW146" i="1"/>
  <c r="BV146" i="1"/>
  <c r="BQ146" i="1"/>
  <c r="BP146" i="1"/>
  <c r="BO146" i="1"/>
  <c r="BJ146" i="1"/>
  <c r="BI146" i="1"/>
  <c r="BH146" i="1"/>
  <c r="BC146" i="1"/>
  <c r="BB146" i="1"/>
  <c r="BA146" i="1"/>
  <c r="AV146" i="1"/>
  <c r="AU146" i="1"/>
  <c r="AT146" i="1"/>
  <c r="AO146" i="1"/>
  <c r="AN146" i="1"/>
  <c r="AC146" i="1"/>
  <c r="AB146" i="1"/>
  <c r="Y146" i="1"/>
  <c r="S146" i="1"/>
  <c r="K146" i="1"/>
  <c r="J146" i="1"/>
  <c r="EV145" i="1"/>
  <c r="EU145" i="1"/>
  <c r="ET145" i="1"/>
  <c r="EC145" i="1"/>
  <c r="DQ145" i="1"/>
  <c r="DK145" i="1"/>
  <c r="DH145" i="1"/>
  <c r="DD145" i="1"/>
  <c r="CW145" i="1"/>
  <c r="CP145" i="1"/>
  <c r="CL145" i="1"/>
  <c r="CG145" i="1"/>
  <c r="CB145" i="1"/>
  <c r="BW145" i="1"/>
  <c r="BV145" i="1"/>
  <c r="BQ145" i="1"/>
  <c r="BP145" i="1"/>
  <c r="BO145" i="1"/>
  <c r="BJ145" i="1"/>
  <c r="BI145" i="1"/>
  <c r="BH145" i="1"/>
  <c r="BC145" i="1"/>
  <c r="BB145" i="1"/>
  <c r="BA145" i="1"/>
  <c r="AV145" i="1"/>
  <c r="AU145" i="1"/>
  <c r="AT145" i="1"/>
  <c r="AO145" i="1"/>
  <c r="AN145" i="1"/>
  <c r="AC145" i="1"/>
  <c r="Y145" i="1"/>
  <c r="S145" i="1"/>
  <c r="K145" i="1"/>
  <c r="J145" i="1"/>
  <c r="EV144" i="1"/>
  <c r="EU144" i="1"/>
  <c r="ET144" i="1"/>
  <c r="EG144" i="1"/>
  <c r="EC144" i="1"/>
  <c r="DQ144" i="1"/>
  <c r="DK144" i="1"/>
  <c r="DH144" i="1"/>
  <c r="DD144" i="1"/>
  <c r="CW144" i="1"/>
  <c r="CP144" i="1"/>
  <c r="CL144" i="1"/>
  <c r="CG144" i="1"/>
  <c r="CB144" i="1"/>
  <c r="BQ144" i="1"/>
  <c r="BP144" i="1"/>
  <c r="BO144" i="1"/>
  <c r="BJ144" i="1"/>
  <c r="BI144" i="1"/>
  <c r="BH144" i="1"/>
  <c r="BC144" i="1"/>
  <c r="BB144" i="1"/>
  <c r="BA144" i="1"/>
  <c r="AV144" i="1"/>
  <c r="AU144" i="1"/>
  <c r="AT144" i="1"/>
  <c r="AO144" i="1"/>
  <c r="AN144" i="1"/>
  <c r="AC144" i="1"/>
  <c r="AB144" i="1"/>
  <c r="Y144" i="1"/>
  <c r="S144" i="1"/>
  <c r="K144" i="1"/>
  <c r="J144" i="1"/>
  <c r="EV143" i="1"/>
  <c r="EU143" i="1"/>
  <c r="ET143" i="1"/>
  <c r="EG143" i="1"/>
  <c r="EC143" i="1"/>
  <c r="DQ143" i="1"/>
  <c r="DK143" i="1"/>
  <c r="DH143" i="1"/>
  <c r="DD143" i="1"/>
  <c r="CW143" i="1"/>
  <c r="CP143" i="1"/>
  <c r="CL143" i="1"/>
  <c r="CG143" i="1"/>
  <c r="CB143" i="1"/>
  <c r="BW143" i="1"/>
  <c r="BV143" i="1"/>
  <c r="BQ143" i="1"/>
  <c r="BP143" i="1"/>
  <c r="BO143" i="1"/>
  <c r="BJ143" i="1"/>
  <c r="BI143" i="1"/>
  <c r="BH143" i="1"/>
  <c r="BC143" i="1"/>
  <c r="BB143" i="1"/>
  <c r="BA143" i="1"/>
  <c r="AV143" i="1"/>
  <c r="AU143" i="1"/>
  <c r="AT143" i="1"/>
  <c r="AO143" i="1"/>
  <c r="AN143" i="1"/>
  <c r="AC143" i="1"/>
  <c r="AB143" i="1"/>
  <c r="Y143" i="1"/>
  <c r="S143" i="1"/>
  <c r="K143" i="1"/>
  <c r="J143" i="1"/>
  <c r="EV142" i="1"/>
  <c r="EU142" i="1"/>
  <c r="ET142" i="1"/>
  <c r="EG142" i="1"/>
  <c r="EC142" i="1"/>
  <c r="DQ142" i="1"/>
  <c r="DK142" i="1"/>
  <c r="DH142" i="1"/>
  <c r="DD142" i="1"/>
  <c r="CW142" i="1"/>
  <c r="CP142" i="1"/>
  <c r="CL142" i="1"/>
  <c r="CG142" i="1"/>
  <c r="CB142" i="1"/>
  <c r="BW142" i="1"/>
  <c r="BV142" i="1"/>
  <c r="BQ142" i="1"/>
  <c r="BP142" i="1"/>
  <c r="BO142" i="1"/>
  <c r="BJ142" i="1"/>
  <c r="BI142" i="1"/>
  <c r="BH142" i="1"/>
  <c r="BC142" i="1"/>
  <c r="BB142" i="1"/>
  <c r="BA142" i="1"/>
  <c r="AV142" i="1"/>
  <c r="AU142" i="1"/>
  <c r="AT142" i="1"/>
  <c r="AO142" i="1"/>
  <c r="AN142" i="1"/>
  <c r="AC142" i="1"/>
  <c r="AB142" i="1"/>
  <c r="Y142" i="1"/>
  <c r="S142" i="1"/>
  <c r="K142" i="1"/>
  <c r="J142" i="1"/>
  <c r="EV141" i="1"/>
  <c r="EU141" i="1"/>
  <c r="ET141" i="1"/>
  <c r="EG141" i="1"/>
  <c r="EC141" i="1"/>
  <c r="DQ141" i="1"/>
  <c r="DK141" i="1"/>
  <c r="DH141" i="1"/>
  <c r="DD141" i="1"/>
  <c r="CW141" i="1"/>
  <c r="CP141" i="1"/>
  <c r="CL141" i="1"/>
  <c r="CG141" i="1"/>
  <c r="CB141" i="1"/>
  <c r="BW141" i="1"/>
  <c r="BV141" i="1"/>
  <c r="BQ141" i="1"/>
  <c r="BP141" i="1"/>
  <c r="BO141" i="1"/>
  <c r="BJ141" i="1"/>
  <c r="BI141" i="1"/>
  <c r="BH141" i="1"/>
  <c r="BC141" i="1"/>
  <c r="BB141" i="1"/>
  <c r="BA141" i="1"/>
  <c r="AV141" i="1"/>
  <c r="AU141" i="1"/>
  <c r="AT141" i="1"/>
  <c r="AO141" i="1"/>
  <c r="AN141" i="1"/>
  <c r="AC141" i="1"/>
  <c r="AB141" i="1"/>
  <c r="Y141" i="1"/>
  <c r="S141" i="1"/>
  <c r="K141" i="1"/>
  <c r="J141" i="1"/>
  <c r="EV140" i="1"/>
  <c r="EU140" i="1"/>
  <c r="ET140" i="1"/>
  <c r="EG140" i="1"/>
  <c r="EC140" i="1"/>
  <c r="DQ140" i="1"/>
  <c r="DK140" i="1"/>
  <c r="DH140" i="1"/>
  <c r="DD140" i="1"/>
  <c r="CW140" i="1"/>
  <c r="CP140" i="1"/>
  <c r="CL140" i="1"/>
  <c r="CG140" i="1"/>
  <c r="CB140" i="1"/>
  <c r="BW140" i="1"/>
  <c r="BV140" i="1"/>
  <c r="BQ140" i="1"/>
  <c r="BP140" i="1"/>
  <c r="BO140" i="1"/>
  <c r="BJ140" i="1"/>
  <c r="BI140" i="1"/>
  <c r="BH140" i="1"/>
  <c r="BC140" i="1"/>
  <c r="BB140" i="1"/>
  <c r="BA140" i="1"/>
  <c r="AV140" i="1"/>
  <c r="AU140" i="1"/>
  <c r="AT140" i="1"/>
  <c r="AO140" i="1"/>
  <c r="AN140" i="1"/>
  <c r="AC140" i="1"/>
  <c r="AB140" i="1"/>
  <c r="Y140" i="1"/>
  <c r="S140" i="1"/>
  <c r="K140" i="1"/>
  <c r="J140" i="1"/>
  <c r="EV139" i="1"/>
  <c r="EU139" i="1"/>
  <c r="ET139" i="1"/>
  <c r="EG139" i="1"/>
  <c r="EC139" i="1"/>
  <c r="DQ139" i="1"/>
  <c r="DK139" i="1"/>
  <c r="DH139" i="1"/>
  <c r="DD139" i="1"/>
  <c r="CW139" i="1"/>
  <c r="CP139" i="1"/>
  <c r="CL139" i="1"/>
  <c r="CG139" i="1"/>
  <c r="CB139" i="1"/>
  <c r="BW139" i="1"/>
  <c r="BV139" i="1"/>
  <c r="BQ139" i="1"/>
  <c r="BP139" i="1"/>
  <c r="BO139" i="1"/>
  <c r="BJ139" i="1"/>
  <c r="BI139" i="1"/>
  <c r="BH139" i="1"/>
  <c r="BC139" i="1"/>
  <c r="BB139" i="1"/>
  <c r="BA139" i="1"/>
  <c r="AV139" i="1"/>
  <c r="AU139" i="1"/>
  <c r="AT139" i="1"/>
  <c r="AO139" i="1"/>
  <c r="AN139" i="1"/>
  <c r="AC139" i="1"/>
  <c r="AB139" i="1"/>
  <c r="Y139" i="1"/>
  <c r="S139" i="1"/>
  <c r="K139" i="1"/>
  <c r="J139" i="1"/>
  <c r="EV138" i="1"/>
  <c r="EU138" i="1"/>
  <c r="ET138" i="1"/>
  <c r="EC138" i="1"/>
  <c r="DQ138" i="1"/>
  <c r="DK138" i="1"/>
  <c r="DH138" i="1"/>
  <c r="DD138" i="1"/>
  <c r="CW138" i="1"/>
  <c r="CP138" i="1"/>
  <c r="CL138" i="1"/>
  <c r="CG138" i="1"/>
  <c r="CB138" i="1"/>
  <c r="BW138" i="1"/>
  <c r="BV138" i="1"/>
  <c r="BQ138" i="1"/>
  <c r="BP138" i="1"/>
  <c r="BO138" i="1"/>
  <c r="BJ138" i="1"/>
  <c r="BI138" i="1"/>
  <c r="BH138" i="1"/>
  <c r="BC138" i="1"/>
  <c r="BB138" i="1"/>
  <c r="BA138" i="1"/>
  <c r="AV138" i="1"/>
  <c r="AU138" i="1"/>
  <c r="AT138" i="1"/>
  <c r="AO138" i="1"/>
  <c r="AN138" i="1"/>
  <c r="AC138" i="1"/>
  <c r="Y138" i="1"/>
  <c r="S138" i="1"/>
  <c r="K138" i="1"/>
  <c r="J138" i="1"/>
  <c r="EV137" i="1"/>
  <c r="EU137" i="1"/>
  <c r="ET137" i="1"/>
  <c r="EG137" i="1"/>
  <c r="EC137" i="1"/>
  <c r="DQ137" i="1"/>
  <c r="DK137" i="1"/>
  <c r="DH137" i="1"/>
  <c r="DD137" i="1"/>
  <c r="CW137" i="1"/>
  <c r="CP137" i="1"/>
  <c r="CL137" i="1"/>
  <c r="CG137" i="1"/>
  <c r="CB137" i="1"/>
  <c r="BW137" i="1"/>
  <c r="BV137" i="1"/>
  <c r="BQ137" i="1"/>
  <c r="BP137" i="1"/>
  <c r="BO137" i="1"/>
  <c r="BJ137" i="1"/>
  <c r="BI137" i="1"/>
  <c r="BH137" i="1"/>
  <c r="BC137" i="1"/>
  <c r="BB137" i="1"/>
  <c r="BA137" i="1"/>
  <c r="AV137" i="1"/>
  <c r="AU137" i="1"/>
  <c r="AT137" i="1"/>
  <c r="AO137" i="1"/>
  <c r="AN137" i="1"/>
  <c r="AC137" i="1"/>
  <c r="AB137" i="1"/>
  <c r="Y137" i="1"/>
  <c r="S137" i="1"/>
  <c r="K137" i="1"/>
  <c r="J137" i="1"/>
  <c r="EV136" i="1"/>
  <c r="EU136" i="1"/>
  <c r="ET136" i="1"/>
  <c r="EG136" i="1"/>
  <c r="EC136" i="1"/>
  <c r="DQ136" i="1"/>
  <c r="DK136" i="1"/>
  <c r="DH136" i="1"/>
  <c r="DD136" i="1"/>
  <c r="CW136" i="1"/>
  <c r="CP136" i="1"/>
  <c r="CL136" i="1"/>
  <c r="CG136" i="1"/>
  <c r="CB136" i="1"/>
  <c r="BW136" i="1"/>
  <c r="BV136" i="1"/>
  <c r="BQ136" i="1"/>
  <c r="BP136" i="1"/>
  <c r="BO136" i="1"/>
  <c r="BJ136" i="1"/>
  <c r="BI136" i="1"/>
  <c r="BH136" i="1"/>
  <c r="BC136" i="1"/>
  <c r="BB136" i="1"/>
  <c r="BA136" i="1"/>
  <c r="AV136" i="1"/>
  <c r="AU136" i="1"/>
  <c r="AT136" i="1"/>
  <c r="AO136" i="1"/>
  <c r="AN136" i="1"/>
  <c r="AC136" i="1"/>
  <c r="AB136" i="1"/>
  <c r="Y136" i="1"/>
  <c r="S136" i="1"/>
  <c r="K136" i="1"/>
  <c r="J136" i="1"/>
  <c r="EV135" i="1"/>
  <c r="EU135" i="1"/>
  <c r="ET135" i="1"/>
  <c r="EG135" i="1"/>
  <c r="EC135" i="1"/>
  <c r="DQ135" i="1"/>
  <c r="DK135" i="1"/>
  <c r="DH135" i="1"/>
  <c r="DD135" i="1"/>
  <c r="CW135" i="1"/>
  <c r="CP135" i="1"/>
  <c r="CL135" i="1"/>
  <c r="CG135" i="1"/>
  <c r="CB135" i="1"/>
  <c r="BW135" i="1"/>
  <c r="BV135" i="1"/>
  <c r="BQ135" i="1"/>
  <c r="BP135" i="1"/>
  <c r="BO135" i="1"/>
  <c r="BJ135" i="1"/>
  <c r="BI135" i="1"/>
  <c r="BH135" i="1"/>
  <c r="BC135" i="1"/>
  <c r="BB135" i="1"/>
  <c r="BA135" i="1"/>
  <c r="AV135" i="1"/>
  <c r="AU135" i="1"/>
  <c r="AT135" i="1"/>
  <c r="AO135" i="1"/>
  <c r="AN135" i="1"/>
  <c r="AC135" i="1"/>
  <c r="AB135" i="1"/>
  <c r="Y135" i="1"/>
  <c r="S135" i="1"/>
  <c r="K135" i="1"/>
  <c r="J135" i="1"/>
  <c r="EV134" i="1"/>
  <c r="EU134" i="1"/>
  <c r="ET134" i="1"/>
  <c r="EG134" i="1"/>
  <c r="EC134" i="1"/>
  <c r="DQ134" i="1"/>
  <c r="DK134" i="1"/>
  <c r="DH134" i="1"/>
  <c r="DD134" i="1"/>
  <c r="CW134" i="1"/>
  <c r="CP134" i="1"/>
  <c r="CL134" i="1"/>
  <c r="CG134" i="1"/>
  <c r="CB134" i="1"/>
  <c r="BW134" i="1"/>
  <c r="BV134" i="1"/>
  <c r="BQ134" i="1"/>
  <c r="BP134" i="1"/>
  <c r="BO134" i="1"/>
  <c r="BJ134" i="1"/>
  <c r="BI134" i="1"/>
  <c r="BH134" i="1"/>
  <c r="BC134" i="1"/>
  <c r="BB134" i="1"/>
  <c r="BA134" i="1"/>
  <c r="AV134" i="1"/>
  <c r="AU134" i="1"/>
  <c r="AT134" i="1"/>
  <c r="AO134" i="1"/>
  <c r="AN134" i="1"/>
  <c r="AC134" i="1"/>
  <c r="AB134" i="1"/>
  <c r="Y134" i="1"/>
  <c r="S134" i="1"/>
  <c r="K134" i="1"/>
  <c r="J134" i="1"/>
  <c r="EV133" i="1"/>
  <c r="EU133" i="1"/>
  <c r="ET133" i="1"/>
  <c r="EG133" i="1"/>
  <c r="EC133" i="1"/>
  <c r="DQ133" i="1"/>
  <c r="DK133" i="1"/>
  <c r="DH133" i="1"/>
  <c r="DD133" i="1"/>
  <c r="CW133" i="1"/>
  <c r="CP133" i="1"/>
  <c r="CL133" i="1"/>
  <c r="CG133" i="1"/>
  <c r="CB133" i="1"/>
  <c r="BW133" i="1"/>
  <c r="BV133" i="1"/>
  <c r="BQ133" i="1"/>
  <c r="BP133" i="1"/>
  <c r="BO133" i="1"/>
  <c r="BJ133" i="1"/>
  <c r="BI133" i="1"/>
  <c r="BH133" i="1"/>
  <c r="BC133" i="1"/>
  <c r="BB133" i="1"/>
  <c r="BA133" i="1"/>
  <c r="AV133" i="1"/>
  <c r="AU133" i="1"/>
  <c r="AT133" i="1"/>
  <c r="AO133" i="1"/>
  <c r="AN133" i="1"/>
  <c r="AC133" i="1"/>
  <c r="AB133" i="1"/>
  <c r="Y133" i="1"/>
  <c r="S133" i="1"/>
  <c r="K133" i="1"/>
  <c r="J133" i="1"/>
  <c r="EV132" i="1"/>
  <c r="EU132" i="1"/>
  <c r="ET132" i="1"/>
  <c r="EG132" i="1"/>
  <c r="EC132" i="1"/>
  <c r="DQ132" i="1"/>
  <c r="DK132" i="1"/>
  <c r="DH132" i="1"/>
  <c r="DD132" i="1"/>
  <c r="CW132" i="1"/>
  <c r="CP132" i="1"/>
  <c r="CL132" i="1"/>
  <c r="CG132" i="1"/>
  <c r="CB132" i="1"/>
  <c r="BW132" i="1"/>
  <c r="BV132" i="1"/>
  <c r="BQ132" i="1"/>
  <c r="BP132" i="1"/>
  <c r="BO132" i="1"/>
  <c r="BJ132" i="1"/>
  <c r="BI132" i="1"/>
  <c r="BH132" i="1"/>
  <c r="BC132" i="1"/>
  <c r="BB132" i="1"/>
  <c r="BA132" i="1"/>
  <c r="AV132" i="1"/>
  <c r="AU132" i="1"/>
  <c r="AT132" i="1"/>
  <c r="AO132" i="1"/>
  <c r="AN132" i="1"/>
  <c r="AC132" i="1"/>
  <c r="AB132" i="1"/>
  <c r="Y132" i="1"/>
  <c r="S132" i="1"/>
  <c r="K132" i="1"/>
  <c r="J132" i="1"/>
  <c r="EV131" i="1"/>
  <c r="EU131" i="1"/>
  <c r="ET131" i="1"/>
  <c r="EG131" i="1"/>
  <c r="EC131" i="1"/>
  <c r="DY131" i="1"/>
  <c r="DQ131" i="1"/>
  <c r="DK131" i="1"/>
  <c r="DH131" i="1"/>
  <c r="DD131" i="1"/>
  <c r="CW131" i="1"/>
  <c r="CP131" i="1"/>
  <c r="CL131" i="1"/>
  <c r="CG131" i="1"/>
  <c r="CB131" i="1"/>
  <c r="BW131" i="1"/>
  <c r="BV131" i="1"/>
  <c r="BQ131" i="1"/>
  <c r="BP131" i="1"/>
  <c r="BO131" i="1"/>
  <c r="BJ131" i="1"/>
  <c r="BI131" i="1"/>
  <c r="BH131" i="1"/>
  <c r="BC131" i="1"/>
  <c r="BB131" i="1"/>
  <c r="BA131" i="1"/>
  <c r="AV131" i="1"/>
  <c r="AU131" i="1"/>
  <c r="AT131" i="1"/>
  <c r="AO131" i="1"/>
  <c r="AN131" i="1"/>
  <c r="AJ131" i="1"/>
  <c r="AC131" i="1"/>
  <c r="AB131" i="1"/>
  <c r="Y131" i="1"/>
  <c r="S131" i="1"/>
  <c r="K131" i="1"/>
  <c r="J131" i="1"/>
  <c r="EV130" i="1"/>
  <c r="EU130" i="1"/>
  <c r="ET130" i="1"/>
  <c r="EG130" i="1"/>
  <c r="EC130" i="1"/>
  <c r="DQ130" i="1"/>
  <c r="DK130" i="1"/>
  <c r="DH130" i="1"/>
  <c r="DD130" i="1"/>
  <c r="CW130" i="1"/>
  <c r="CP130" i="1"/>
  <c r="CL130" i="1"/>
  <c r="CG130" i="1"/>
  <c r="CB130" i="1"/>
  <c r="BW130" i="1"/>
  <c r="BV130" i="1"/>
  <c r="BQ130" i="1"/>
  <c r="BP130" i="1"/>
  <c r="BO130" i="1"/>
  <c r="BJ130" i="1"/>
  <c r="BI130" i="1"/>
  <c r="BH130" i="1"/>
  <c r="BC130" i="1"/>
  <c r="BB130" i="1"/>
  <c r="BA130" i="1"/>
  <c r="AV130" i="1"/>
  <c r="AU130" i="1"/>
  <c r="AT130" i="1"/>
  <c r="AO130" i="1"/>
  <c r="AN130" i="1"/>
  <c r="AC130" i="1"/>
  <c r="AB130" i="1"/>
  <c r="Y130" i="1"/>
  <c r="S130" i="1"/>
  <c r="K130" i="1"/>
  <c r="J130" i="1"/>
  <c r="EV129" i="1"/>
  <c r="EU129" i="1"/>
  <c r="ET129" i="1"/>
  <c r="EG129" i="1"/>
  <c r="EC129" i="1"/>
  <c r="DQ129" i="1"/>
  <c r="DK129" i="1"/>
  <c r="DH129" i="1"/>
  <c r="DD129" i="1"/>
  <c r="CW129" i="1"/>
  <c r="CP129" i="1"/>
  <c r="CL129" i="1"/>
  <c r="CG129" i="1"/>
  <c r="CB129" i="1"/>
  <c r="BW129" i="1"/>
  <c r="BV129" i="1"/>
  <c r="BQ129" i="1"/>
  <c r="BP129" i="1"/>
  <c r="BO129" i="1"/>
  <c r="BJ129" i="1"/>
  <c r="BI129" i="1"/>
  <c r="BH129" i="1"/>
  <c r="BC129" i="1"/>
  <c r="BB129" i="1"/>
  <c r="BA129" i="1"/>
  <c r="AV129" i="1"/>
  <c r="AU129" i="1"/>
  <c r="AT129" i="1"/>
  <c r="AO129" i="1"/>
  <c r="AN129" i="1"/>
  <c r="AC129" i="1"/>
  <c r="AB129" i="1"/>
  <c r="Y129" i="1"/>
  <c r="S129" i="1"/>
  <c r="K129" i="1"/>
  <c r="J129" i="1"/>
  <c r="EV128" i="1"/>
  <c r="EU128" i="1"/>
  <c r="ET128" i="1"/>
  <c r="EG128" i="1"/>
  <c r="EC128" i="1"/>
  <c r="DQ128" i="1"/>
  <c r="DK128" i="1"/>
  <c r="DH128" i="1"/>
  <c r="DD128" i="1"/>
  <c r="CW128" i="1"/>
  <c r="CP128" i="1"/>
  <c r="CL128" i="1"/>
  <c r="CG128" i="1"/>
  <c r="CB128" i="1"/>
  <c r="BW128" i="1"/>
  <c r="BV128" i="1"/>
  <c r="BQ128" i="1"/>
  <c r="BP128" i="1"/>
  <c r="BO128" i="1"/>
  <c r="BJ128" i="1"/>
  <c r="BI128" i="1"/>
  <c r="BH128" i="1"/>
  <c r="BC128" i="1"/>
  <c r="BB128" i="1"/>
  <c r="BA128" i="1"/>
  <c r="AV128" i="1"/>
  <c r="AU128" i="1"/>
  <c r="AT128" i="1"/>
  <c r="AO128" i="1"/>
  <c r="AN128" i="1"/>
  <c r="AC128" i="1"/>
  <c r="AB128" i="1"/>
  <c r="Y128" i="1"/>
  <c r="S128" i="1"/>
  <c r="K128" i="1"/>
  <c r="J128" i="1"/>
  <c r="EV127" i="1"/>
  <c r="EU127" i="1"/>
  <c r="ET127" i="1"/>
  <c r="EG127" i="1"/>
  <c r="EC127" i="1"/>
  <c r="DY127" i="1"/>
  <c r="DQ127" i="1"/>
  <c r="DK127" i="1"/>
  <c r="DH127" i="1"/>
  <c r="DD127" i="1"/>
  <c r="CW127" i="1"/>
  <c r="CP127" i="1"/>
  <c r="CL127" i="1"/>
  <c r="CG127" i="1"/>
  <c r="CB127" i="1"/>
  <c r="BW127" i="1"/>
  <c r="BV127" i="1"/>
  <c r="BQ127" i="1"/>
  <c r="BP127" i="1"/>
  <c r="BO127" i="1"/>
  <c r="BJ127" i="1"/>
  <c r="BI127" i="1"/>
  <c r="BH127" i="1"/>
  <c r="BC127" i="1"/>
  <c r="BB127" i="1"/>
  <c r="BA127" i="1"/>
  <c r="AV127" i="1"/>
  <c r="AU127" i="1"/>
  <c r="AT127" i="1"/>
  <c r="AO127" i="1"/>
  <c r="AN127" i="1"/>
  <c r="AJ127" i="1"/>
  <c r="AC127" i="1"/>
  <c r="AB127" i="1"/>
  <c r="Y127" i="1"/>
  <c r="S127" i="1"/>
  <c r="K127" i="1"/>
  <c r="J127" i="1"/>
  <c r="EV126" i="1"/>
  <c r="EU126" i="1"/>
  <c r="ET126" i="1"/>
  <c r="EC126" i="1"/>
  <c r="DY126" i="1"/>
  <c r="DQ126" i="1"/>
  <c r="DK126" i="1"/>
  <c r="DH126" i="1"/>
  <c r="DD126" i="1"/>
  <c r="CW126" i="1"/>
  <c r="CP126" i="1"/>
  <c r="CL126" i="1"/>
  <c r="CG126" i="1"/>
  <c r="CB126" i="1"/>
  <c r="BW126" i="1"/>
  <c r="BV126" i="1"/>
  <c r="BQ126" i="1"/>
  <c r="BP126" i="1"/>
  <c r="BO126" i="1"/>
  <c r="BJ126" i="1"/>
  <c r="BI126" i="1"/>
  <c r="BH126" i="1"/>
  <c r="BC126" i="1"/>
  <c r="BB126" i="1"/>
  <c r="BA126" i="1"/>
  <c r="AV126" i="1"/>
  <c r="AU126" i="1"/>
  <c r="AT126" i="1"/>
  <c r="AO126" i="1"/>
  <c r="AN126" i="1"/>
  <c r="AJ126" i="1"/>
  <c r="AC126" i="1"/>
  <c r="Y126" i="1"/>
  <c r="S126" i="1"/>
  <c r="K126" i="1"/>
  <c r="J126" i="1"/>
  <c r="EV125" i="1"/>
  <c r="EU125" i="1"/>
  <c r="ET125" i="1"/>
  <c r="EC125" i="1"/>
  <c r="DQ125" i="1"/>
  <c r="DK125" i="1"/>
  <c r="DH125" i="1"/>
  <c r="DD125" i="1"/>
  <c r="CW125" i="1"/>
  <c r="CP125" i="1"/>
  <c r="CL125" i="1"/>
  <c r="CG125" i="1"/>
  <c r="CB125" i="1"/>
  <c r="BW125" i="1"/>
  <c r="BV125" i="1"/>
  <c r="BQ125" i="1"/>
  <c r="BP125" i="1"/>
  <c r="BO125" i="1"/>
  <c r="BJ125" i="1"/>
  <c r="BI125" i="1"/>
  <c r="BH125" i="1"/>
  <c r="BC125" i="1"/>
  <c r="BB125" i="1"/>
  <c r="BA125" i="1"/>
  <c r="AV125" i="1"/>
  <c r="AU125" i="1"/>
  <c r="AT125" i="1"/>
  <c r="AO125" i="1"/>
  <c r="AN125" i="1"/>
  <c r="AC125" i="1"/>
  <c r="Y125" i="1"/>
  <c r="S125" i="1"/>
  <c r="K125" i="1"/>
  <c r="J125" i="1"/>
  <c r="EV124" i="1"/>
  <c r="EU124" i="1"/>
  <c r="ET124" i="1"/>
  <c r="EG124" i="1"/>
  <c r="EC124" i="1"/>
  <c r="DY124" i="1"/>
  <c r="DQ124" i="1"/>
  <c r="DK124" i="1"/>
  <c r="DH124" i="1"/>
  <c r="DD124" i="1"/>
  <c r="CW124" i="1"/>
  <c r="CP124" i="1"/>
  <c r="CL124" i="1"/>
  <c r="CG124" i="1"/>
  <c r="CB124" i="1"/>
  <c r="BW124" i="1"/>
  <c r="BV124" i="1"/>
  <c r="BQ124" i="1"/>
  <c r="BP124" i="1"/>
  <c r="BO124" i="1"/>
  <c r="BJ124" i="1"/>
  <c r="BI124" i="1"/>
  <c r="BH124" i="1"/>
  <c r="BC124" i="1"/>
  <c r="BB124" i="1"/>
  <c r="BA124" i="1"/>
  <c r="AV124" i="1"/>
  <c r="AU124" i="1"/>
  <c r="AT124" i="1"/>
  <c r="AO124" i="1"/>
  <c r="AN124" i="1"/>
  <c r="AJ124" i="1"/>
  <c r="AC124" i="1"/>
  <c r="AB124" i="1"/>
  <c r="Y124" i="1"/>
  <c r="S124" i="1"/>
  <c r="K124" i="1"/>
  <c r="J124" i="1"/>
  <c r="EV123" i="1"/>
  <c r="EU123" i="1"/>
  <c r="ET123" i="1"/>
  <c r="EC123" i="1"/>
  <c r="DQ123" i="1"/>
  <c r="DK123" i="1"/>
  <c r="DH123" i="1"/>
  <c r="DD123" i="1"/>
  <c r="CW123" i="1"/>
  <c r="CP123" i="1"/>
  <c r="CL123" i="1"/>
  <c r="CG123" i="1"/>
  <c r="CB123" i="1"/>
  <c r="BW123" i="1"/>
  <c r="BV123" i="1"/>
  <c r="BQ123" i="1"/>
  <c r="BP123" i="1"/>
  <c r="BO123" i="1"/>
  <c r="BJ123" i="1"/>
  <c r="BI123" i="1"/>
  <c r="BH123" i="1"/>
  <c r="BC123" i="1"/>
  <c r="BB123" i="1"/>
  <c r="BA123" i="1"/>
  <c r="AV123" i="1"/>
  <c r="AU123" i="1"/>
  <c r="AT123" i="1"/>
  <c r="AO123" i="1"/>
  <c r="AN123" i="1"/>
  <c r="AC123" i="1"/>
  <c r="Y123" i="1"/>
  <c r="S123" i="1"/>
  <c r="K123" i="1"/>
  <c r="J123" i="1"/>
  <c r="EV122" i="1"/>
  <c r="EU122" i="1"/>
  <c r="ET122" i="1"/>
  <c r="EC122" i="1"/>
  <c r="DQ122" i="1"/>
  <c r="DK122" i="1"/>
  <c r="DH122" i="1"/>
  <c r="DD122" i="1"/>
  <c r="CW122" i="1"/>
  <c r="CP122" i="1"/>
  <c r="CL122" i="1"/>
  <c r="CG122" i="1"/>
  <c r="CB122" i="1"/>
  <c r="BW122" i="1"/>
  <c r="BV122" i="1"/>
  <c r="BQ122" i="1"/>
  <c r="BP122" i="1"/>
  <c r="BO122" i="1"/>
  <c r="BJ122" i="1"/>
  <c r="BI122" i="1"/>
  <c r="BH122" i="1"/>
  <c r="BC122" i="1"/>
  <c r="BB122" i="1"/>
  <c r="BA122" i="1"/>
  <c r="AV122" i="1"/>
  <c r="AU122" i="1"/>
  <c r="AT122" i="1"/>
  <c r="AO122" i="1"/>
  <c r="AN122" i="1"/>
  <c r="AC122" i="1"/>
  <c r="Y122" i="1"/>
  <c r="S122" i="1"/>
  <c r="K122" i="1"/>
  <c r="J122" i="1"/>
  <c r="EV121" i="1"/>
  <c r="EU121" i="1"/>
  <c r="ET121" i="1"/>
  <c r="EC121" i="1"/>
  <c r="DQ121" i="1"/>
  <c r="DK121" i="1"/>
  <c r="DH121" i="1"/>
  <c r="DD121" i="1"/>
  <c r="CW121" i="1"/>
  <c r="CP121" i="1"/>
  <c r="CL121" i="1"/>
  <c r="CG121" i="1"/>
  <c r="CB121" i="1"/>
  <c r="BW121" i="1"/>
  <c r="BV121" i="1"/>
  <c r="BQ121" i="1"/>
  <c r="BP121" i="1"/>
  <c r="BO121" i="1"/>
  <c r="BJ121" i="1"/>
  <c r="BI121" i="1"/>
  <c r="BH121" i="1"/>
  <c r="BC121" i="1"/>
  <c r="BB121" i="1"/>
  <c r="BA121" i="1"/>
  <c r="AV121" i="1"/>
  <c r="AU121" i="1"/>
  <c r="AT121" i="1"/>
  <c r="AO121" i="1"/>
  <c r="AN121" i="1"/>
  <c r="AC121" i="1"/>
  <c r="Y121" i="1"/>
  <c r="S121" i="1"/>
  <c r="K121" i="1"/>
  <c r="J121" i="1"/>
  <c r="EV120" i="1"/>
  <c r="EU120" i="1"/>
  <c r="ET120" i="1"/>
  <c r="EG120" i="1"/>
  <c r="EC120" i="1"/>
  <c r="DY120" i="1"/>
  <c r="DQ120" i="1"/>
  <c r="DK120" i="1"/>
  <c r="DH120" i="1"/>
  <c r="DD120" i="1"/>
  <c r="CW120" i="1"/>
  <c r="CP120" i="1"/>
  <c r="CL120" i="1"/>
  <c r="CG120" i="1"/>
  <c r="CB120" i="1"/>
  <c r="BW120" i="1"/>
  <c r="BV120" i="1"/>
  <c r="BQ120" i="1"/>
  <c r="BP120" i="1"/>
  <c r="BO120" i="1"/>
  <c r="BJ120" i="1"/>
  <c r="BI120" i="1"/>
  <c r="BH120" i="1"/>
  <c r="BC120" i="1"/>
  <c r="BB120" i="1"/>
  <c r="BA120" i="1"/>
  <c r="AV120" i="1"/>
  <c r="AU120" i="1"/>
  <c r="AT120" i="1"/>
  <c r="AO120" i="1"/>
  <c r="AN120" i="1"/>
  <c r="AJ120" i="1"/>
  <c r="AC120" i="1"/>
  <c r="AB120" i="1"/>
  <c r="Y120" i="1"/>
  <c r="S120" i="1"/>
  <c r="K120" i="1"/>
  <c r="J120" i="1"/>
  <c r="EV119" i="1"/>
  <c r="EU119" i="1"/>
  <c r="ET119" i="1"/>
  <c r="EG119" i="1"/>
  <c r="EC119" i="1"/>
  <c r="DY119" i="1"/>
  <c r="DQ119" i="1"/>
  <c r="DK119" i="1"/>
  <c r="DH119" i="1"/>
  <c r="DD119" i="1"/>
  <c r="CW119" i="1"/>
  <c r="CP119" i="1"/>
  <c r="CL119" i="1"/>
  <c r="CG119" i="1"/>
  <c r="CB119" i="1"/>
  <c r="BW119" i="1"/>
  <c r="BV119" i="1"/>
  <c r="BQ119" i="1"/>
  <c r="BP119" i="1"/>
  <c r="BO119" i="1"/>
  <c r="BJ119" i="1"/>
  <c r="BI119" i="1"/>
  <c r="BH119" i="1"/>
  <c r="BC119" i="1"/>
  <c r="BB119" i="1"/>
  <c r="BA119" i="1"/>
  <c r="AV119" i="1"/>
  <c r="AU119" i="1"/>
  <c r="AT119" i="1"/>
  <c r="AO119" i="1"/>
  <c r="AN119" i="1"/>
  <c r="AJ119" i="1"/>
  <c r="AC119" i="1"/>
  <c r="AB119" i="1"/>
  <c r="Y119" i="1"/>
  <c r="S119" i="1"/>
  <c r="K119" i="1"/>
  <c r="J119" i="1"/>
  <c r="EV118" i="1"/>
  <c r="EU118" i="1"/>
  <c r="ET118" i="1"/>
  <c r="EG118" i="1"/>
  <c r="EC118" i="1"/>
  <c r="DY118" i="1"/>
  <c r="DQ118" i="1"/>
  <c r="DK118" i="1"/>
  <c r="DH118" i="1"/>
  <c r="DD118" i="1"/>
  <c r="CW118" i="1"/>
  <c r="CP118" i="1"/>
  <c r="CL118" i="1"/>
  <c r="CG118" i="1"/>
  <c r="CB118" i="1"/>
  <c r="BW118" i="1"/>
  <c r="BV118" i="1"/>
  <c r="BQ118" i="1"/>
  <c r="BP118" i="1"/>
  <c r="BO118" i="1"/>
  <c r="BJ118" i="1"/>
  <c r="BI118" i="1"/>
  <c r="BH118" i="1"/>
  <c r="BC118" i="1"/>
  <c r="BB118" i="1"/>
  <c r="BA118" i="1"/>
  <c r="AV118" i="1"/>
  <c r="AU118" i="1"/>
  <c r="AT118" i="1"/>
  <c r="AO118" i="1"/>
  <c r="AN118" i="1"/>
  <c r="AJ118" i="1"/>
  <c r="AC118" i="1"/>
  <c r="AB118" i="1"/>
  <c r="Y118" i="1"/>
  <c r="S118" i="1"/>
  <c r="K118" i="1"/>
  <c r="J118" i="1"/>
  <c r="EV117" i="1"/>
  <c r="EU117" i="1"/>
  <c r="ET117" i="1"/>
  <c r="EG117" i="1"/>
  <c r="EC117" i="1"/>
  <c r="DQ117" i="1"/>
  <c r="DK117" i="1"/>
  <c r="DH117" i="1"/>
  <c r="DD117" i="1"/>
  <c r="CW117" i="1"/>
  <c r="CP117" i="1"/>
  <c r="CL117" i="1"/>
  <c r="CG117" i="1"/>
  <c r="CB117" i="1"/>
  <c r="BW117" i="1"/>
  <c r="BV117" i="1"/>
  <c r="BQ117" i="1"/>
  <c r="BP117" i="1"/>
  <c r="BO117" i="1"/>
  <c r="BJ117" i="1"/>
  <c r="BI117" i="1"/>
  <c r="BH117" i="1"/>
  <c r="BC117" i="1"/>
  <c r="BB117" i="1"/>
  <c r="BA117" i="1"/>
  <c r="AV117" i="1"/>
  <c r="AU117" i="1"/>
  <c r="AT117" i="1"/>
  <c r="AO117" i="1"/>
  <c r="AN117" i="1"/>
  <c r="AC117" i="1"/>
  <c r="AB117" i="1"/>
  <c r="Y117" i="1"/>
  <c r="S117" i="1"/>
  <c r="K117" i="1"/>
  <c r="J117" i="1"/>
  <c r="EV116" i="1"/>
  <c r="EU116" i="1"/>
  <c r="ET116" i="1"/>
  <c r="EG116" i="1"/>
  <c r="EC116" i="1"/>
  <c r="DQ116" i="1"/>
  <c r="DK116" i="1"/>
  <c r="DH116" i="1"/>
  <c r="DD116" i="1"/>
  <c r="CW116" i="1"/>
  <c r="CP116" i="1"/>
  <c r="CL116" i="1"/>
  <c r="CG116" i="1"/>
  <c r="CB116" i="1"/>
  <c r="BW116" i="1"/>
  <c r="BV116" i="1"/>
  <c r="BQ116" i="1"/>
  <c r="BP116" i="1"/>
  <c r="BO116" i="1"/>
  <c r="BJ116" i="1"/>
  <c r="BI116" i="1"/>
  <c r="BH116" i="1"/>
  <c r="BC116" i="1"/>
  <c r="BB116" i="1"/>
  <c r="BA116" i="1"/>
  <c r="AV116" i="1"/>
  <c r="AU116" i="1"/>
  <c r="AT116" i="1"/>
  <c r="AO116" i="1"/>
  <c r="AN116" i="1"/>
  <c r="AC116" i="1"/>
  <c r="AB116" i="1"/>
  <c r="Y116" i="1"/>
  <c r="S116" i="1"/>
  <c r="K116" i="1"/>
  <c r="J116" i="1"/>
  <c r="EV115" i="1"/>
  <c r="EU115" i="1"/>
  <c r="ET115" i="1"/>
  <c r="EG115" i="1"/>
  <c r="EC115" i="1"/>
  <c r="DQ115" i="1"/>
  <c r="DK115" i="1"/>
  <c r="DH115" i="1"/>
  <c r="DD115" i="1"/>
  <c r="CW115" i="1"/>
  <c r="CP115" i="1"/>
  <c r="CL115" i="1"/>
  <c r="CG115" i="1"/>
  <c r="CB115" i="1"/>
  <c r="BW115" i="1"/>
  <c r="BV115" i="1"/>
  <c r="BQ115" i="1"/>
  <c r="BP115" i="1"/>
  <c r="BO115" i="1"/>
  <c r="BJ115" i="1"/>
  <c r="BI115" i="1"/>
  <c r="BH115" i="1"/>
  <c r="BC115" i="1"/>
  <c r="BB115" i="1"/>
  <c r="BA115" i="1"/>
  <c r="AV115" i="1"/>
  <c r="AU115" i="1"/>
  <c r="AT115" i="1"/>
  <c r="AO115" i="1"/>
  <c r="AN115" i="1"/>
  <c r="AC115" i="1"/>
  <c r="AB115" i="1"/>
  <c r="Y115" i="1"/>
  <c r="S115" i="1"/>
  <c r="K115" i="1"/>
  <c r="J115" i="1"/>
  <c r="EV114" i="1"/>
  <c r="EU114" i="1"/>
  <c r="ET114" i="1"/>
  <c r="EG114" i="1"/>
  <c r="EC114" i="1"/>
  <c r="DQ114" i="1"/>
  <c r="DK114" i="1"/>
  <c r="DH114" i="1"/>
  <c r="DD114" i="1"/>
  <c r="CW114" i="1"/>
  <c r="CP114" i="1"/>
  <c r="CL114" i="1"/>
  <c r="CG114" i="1"/>
  <c r="CB114" i="1"/>
  <c r="BW114" i="1"/>
  <c r="BV114" i="1"/>
  <c r="BQ114" i="1"/>
  <c r="BP114" i="1"/>
  <c r="BO114" i="1"/>
  <c r="BJ114" i="1"/>
  <c r="BI114" i="1"/>
  <c r="BH114" i="1"/>
  <c r="BC114" i="1"/>
  <c r="BB114" i="1"/>
  <c r="BA114" i="1"/>
  <c r="AV114" i="1"/>
  <c r="AU114" i="1"/>
  <c r="AT114" i="1"/>
  <c r="AO114" i="1"/>
  <c r="AN114" i="1"/>
  <c r="AC114" i="1"/>
  <c r="AB114" i="1"/>
  <c r="Y114" i="1"/>
  <c r="S114" i="1"/>
  <c r="K114" i="1"/>
  <c r="J114" i="1"/>
  <c r="EV113" i="1"/>
  <c r="EU113" i="1"/>
  <c r="ET113" i="1"/>
  <c r="EG113" i="1"/>
  <c r="EC113" i="1"/>
  <c r="DQ113" i="1"/>
  <c r="DK113" i="1"/>
  <c r="DH113" i="1"/>
  <c r="DD113" i="1"/>
  <c r="CW113" i="1"/>
  <c r="CP113" i="1"/>
  <c r="CL113" i="1"/>
  <c r="CG113" i="1"/>
  <c r="CB113" i="1"/>
  <c r="BW113" i="1"/>
  <c r="BV113" i="1"/>
  <c r="BQ113" i="1"/>
  <c r="BP113" i="1"/>
  <c r="BO113" i="1"/>
  <c r="BJ113" i="1"/>
  <c r="BI113" i="1"/>
  <c r="BH113" i="1"/>
  <c r="BC113" i="1"/>
  <c r="BB113" i="1"/>
  <c r="BA113" i="1"/>
  <c r="AV113" i="1"/>
  <c r="AU113" i="1"/>
  <c r="AT113" i="1"/>
  <c r="AO113" i="1"/>
  <c r="AN113" i="1"/>
  <c r="AC113" i="1"/>
  <c r="AB113" i="1"/>
  <c r="Y113" i="1"/>
  <c r="S113" i="1"/>
  <c r="K113" i="1"/>
  <c r="J113" i="1"/>
  <c r="EV112" i="1"/>
  <c r="EU112" i="1"/>
  <c r="ET112" i="1"/>
  <c r="EG112" i="1"/>
  <c r="EC112" i="1"/>
  <c r="DQ112" i="1"/>
  <c r="DK112" i="1"/>
  <c r="DH112" i="1"/>
  <c r="DD112" i="1"/>
  <c r="CW112" i="1"/>
  <c r="CP112" i="1"/>
  <c r="CL112" i="1"/>
  <c r="CG112" i="1"/>
  <c r="CB112" i="1"/>
  <c r="BW112" i="1"/>
  <c r="BV112" i="1"/>
  <c r="BQ112" i="1"/>
  <c r="BP112" i="1"/>
  <c r="BO112" i="1"/>
  <c r="BJ112" i="1"/>
  <c r="BI112" i="1"/>
  <c r="BH112" i="1"/>
  <c r="BC112" i="1"/>
  <c r="BB112" i="1"/>
  <c r="BA112" i="1"/>
  <c r="AV112" i="1"/>
  <c r="AU112" i="1"/>
  <c r="AT112" i="1"/>
  <c r="AO112" i="1"/>
  <c r="AN112" i="1"/>
  <c r="AC112" i="1"/>
  <c r="AB112" i="1"/>
  <c r="Y112" i="1"/>
  <c r="S112" i="1"/>
  <c r="K112" i="1"/>
  <c r="J112" i="1"/>
  <c r="EV111" i="1"/>
  <c r="EU111" i="1"/>
  <c r="ET111" i="1"/>
  <c r="EC111" i="1"/>
  <c r="DY111" i="1"/>
  <c r="DQ111" i="1"/>
  <c r="DK111" i="1"/>
  <c r="DH111" i="1"/>
  <c r="DD111" i="1"/>
  <c r="CW111" i="1"/>
  <c r="CP111" i="1"/>
  <c r="CL111" i="1"/>
  <c r="CG111" i="1"/>
  <c r="CB111" i="1"/>
  <c r="BW111" i="1"/>
  <c r="BV111" i="1"/>
  <c r="BQ111" i="1"/>
  <c r="BP111" i="1"/>
  <c r="BO111" i="1"/>
  <c r="BJ111" i="1"/>
  <c r="BI111" i="1"/>
  <c r="BH111" i="1"/>
  <c r="BC111" i="1"/>
  <c r="BB111" i="1"/>
  <c r="BA111" i="1"/>
  <c r="AV111" i="1"/>
  <c r="AU111" i="1"/>
  <c r="AT111" i="1"/>
  <c r="AO111" i="1"/>
  <c r="AN111" i="1"/>
  <c r="AJ111" i="1"/>
  <c r="AC111" i="1"/>
  <c r="Y111" i="1"/>
  <c r="S111" i="1"/>
  <c r="K111" i="1"/>
  <c r="J111" i="1"/>
  <c r="EV110" i="1"/>
  <c r="EU110" i="1"/>
  <c r="ET110" i="1"/>
  <c r="EG110" i="1"/>
  <c r="EC110" i="1"/>
  <c r="DQ110" i="1"/>
  <c r="DK110" i="1"/>
  <c r="DH110" i="1"/>
  <c r="DD110" i="1"/>
  <c r="CW110" i="1"/>
  <c r="CP110" i="1"/>
  <c r="CL110" i="1"/>
  <c r="CG110" i="1"/>
  <c r="CB110" i="1"/>
  <c r="BW110" i="1"/>
  <c r="BV110" i="1"/>
  <c r="BQ110" i="1"/>
  <c r="BP110" i="1"/>
  <c r="BO110" i="1"/>
  <c r="BJ110" i="1"/>
  <c r="BI110" i="1"/>
  <c r="BH110" i="1"/>
  <c r="BC110" i="1"/>
  <c r="BB110" i="1"/>
  <c r="BA110" i="1"/>
  <c r="AV110" i="1"/>
  <c r="AU110" i="1"/>
  <c r="AT110" i="1"/>
  <c r="AO110" i="1"/>
  <c r="AN110" i="1"/>
  <c r="AC110" i="1"/>
  <c r="AB110" i="1"/>
  <c r="Y110" i="1"/>
  <c r="S110" i="1"/>
  <c r="K110" i="1"/>
  <c r="J110" i="1"/>
  <c r="EV109" i="1"/>
  <c r="EU109" i="1"/>
  <c r="ET109" i="1"/>
  <c r="EC109" i="1"/>
  <c r="DY109" i="1"/>
  <c r="DQ109" i="1"/>
  <c r="DK109" i="1"/>
  <c r="DH109" i="1"/>
  <c r="DD109" i="1"/>
  <c r="CW109" i="1"/>
  <c r="CP109" i="1"/>
  <c r="CL109" i="1"/>
  <c r="CG109" i="1"/>
  <c r="CB109" i="1"/>
  <c r="BW109" i="1"/>
  <c r="BV109" i="1"/>
  <c r="BQ109" i="1"/>
  <c r="BP109" i="1"/>
  <c r="BO109" i="1"/>
  <c r="BJ109" i="1"/>
  <c r="BI109" i="1"/>
  <c r="BH109" i="1"/>
  <c r="BC109" i="1"/>
  <c r="BB109" i="1"/>
  <c r="BA109" i="1"/>
  <c r="AV109" i="1"/>
  <c r="AU109" i="1"/>
  <c r="AT109" i="1"/>
  <c r="AO109" i="1"/>
  <c r="AN109" i="1"/>
  <c r="AJ109" i="1"/>
  <c r="AC109" i="1"/>
  <c r="Y109" i="1"/>
  <c r="S109" i="1"/>
  <c r="K109" i="1"/>
  <c r="J109" i="1"/>
  <c r="EV108" i="1"/>
  <c r="EU108" i="1"/>
  <c r="ET108" i="1"/>
  <c r="EG108" i="1"/>
  <c r="EC108" i="1"/>
  <c r="DQ108" i="1"/>
  <c r="DK108" i="1"/>
  <c r="DH108" i="1"/>
  <c r="DD108" i="1"/>
  <c r="CW108" i="1"/>
  <c r="CP108" i="1"/>
  <c r="CL108" i="1"/>
  <c r="CG108" i="1"/>
  <c r="CB108" i="1"/>
  <c r="BW108" i="1"/>
  <c r="BV108" i="1"/>
  <c r="BQ108" i="1"/>
  <c r="BP108" i="1"/>
  <c r="BO108" i="1"/>
  <c r="BJ108" i="1"/>
  <c r="BI108" i="1"/>
  <c r="BH108" i="1"/>
  <c r="BC108" i="1"/>
  <c r="BB108" i="1"/>
  <c r="BA108" i="1"/>
  <c r="AV108" i="1"/>
  <c r="AU108" i="1"/>
  <c r="AT108" i="1"/>
  <c r="AO108" i="1"/>
  <c r="AN108" i="1"/>
  <c r="AC108" i="1"/>
  <c r="AB108" i="1"/>
  <c r="Y108" i="1"/>
  <c r="S108" i="1"/>
  <c r="K108" i="1"/>
  <c r="J108" i="1"/>
  <c r="EV107" i="1"/>
  <c r="EU107" i="1"/>
  <c r="ET107" i="1"/>
  <c r="EG107" i="1"/>
  <c r="EC107" i="1"/>
  <c r="DQ107" i="1"/>
  <c r="DK107" i="1"/>
  <c r="DH107" i="1"/>
  <c r="DD107" i="1"/>
  <c r="CW107" i="1"/>
  <c r="CP107" i="1"/>
  <c r="CL107" i="1"/>
  <c r="CG107" i="1"/>
  <c r="CB107" i="1"/>
  <c r="BW107" i="1"/>
  <c r="BV107" i="1"/>
  <c r="BQ107" i="1"/>
  <c r="BP107" i="1"/>
  <c r="BO107" i="1"/>
  <c r="BJ107" i="1"/>
  <c r="BI107" i="1"/>
  <c r="BH107" i="1"/>
  <c r="BC107" i="1"/>
  <c r="BB107" i="1"/>
  <c r="BA107" i="1"/>
  <c r="AV107" i="1"/>
  <c r="AU107" i="1"/>
  <c r="AT107" i="1"/>
  <c r="AO107" i="1"/>
  <c r="AN107" i="1"/>
  <c r="AC107" i="1"/>
  <c r="AB107" i="1"/>
  <c r="Y107" i="1"/>
  <c r="S107" i="1"/>
  <c r="K107" i="1"/>
  <c r="J107" i="1"/>
  <c r="EV106" i="1"/>
  <c r="EU106" i="1"/>
  <c r="ET106" i="1"/>
  <c r="EC106" i="1"/>
  <c r="DQ106" i="1"/>
  <c r="DK106" i="1"/>
  <c r="DH106" i="1"/>
  <c r="DD106" i="1"/>
  <c r="CW106" i="1"/>
  <c r="CP106" i="1"/>
  <c r="CL106" i="1"/>
  <c r="CG106" i="1"/>
  <c r="CB106" i="1"/>
  <c r="BW106" i="1"/>
  <c r="BV106" i="1"/>
  <c r="BQ106" i="1"/>
  <c r="BP106" i="1"/>
  <c r="BO106" i="1"/>
  <c r="BJ106" i="1"/>
  <c r="BI106" i="1"/>
  <c r="BH106" i="1"/>
  <c r="BC106" i="1"/>
  <c r="BB106" i="1"/>
  <c r="BA106" i="1"/>
  <c r="AV106" i="1"/>
  <c r="AU106" i="1"/>
  <c r="AT106" i="1"/>
  <c r="AO106" i="1"/>
  <c r="AN106" i="1"/>
  <c r="AC106" i="1"/>
  <c r="Y106" i="1"/>
  <c r="S106" i="1"/>
  <c r="K106" i="1"/>
  <c r="J106" i="1"/>
  <c r="EV105" i="1"/>
  <c r="EU105" i="1"/>
  <c r="ET105" i="1"/>
  <c r="EG105" i="1"/>
  <c r="EC105" i="1"/>
  <c r="DQ105" i="1"/>
  <c r="DK105" i="1"/>
  <c r="DH105" i="1"/>
  <c r="DD105" i="1"/>
  <c r="CW105" i="1"/>
  <c r="CP105" i="1"/>
  <c r="CL105" i="1"/>
  <c r="CG105" i="1"/>
  <c r="CB105" i="1"/>
  <c r="BW105" i="1"/>
  <c r="BV105" i="1"/>
  <c r="BQ105" i="1"/>
  <c r="BP105" i="1"/>
  <c r="BO105" i="1"/>
  <c r="BJ105" i="1"/>
  <c r="BI105" i="1"/>
  <c r="BH105" i="1"/>
  <c r="BC105" i="1"/>
  <c r="BB105" i="1"/>
  <c r="BA105" i="1"/>
  <c r="AV105" i="1"/>
  <c r="AU105" i="1"/>
  <c r="AT105" i="1"/>
  <c r="AO105" i="1"/>
  <c r="AN105" i="1"/>
  <c r="AC105" i="1"/>
  <c r="AB105" i="1"/>
  <c r="Y105" i="1"/>
  <c r="S105" i="1"/>
  <c r="K105" i="1"/>
  <c r="J105" i="1"/>
  <c r="EV104" i="1"/>
  <c r="EU104" i="1"/>
  <c r="ET104" i="1"/>
  <c r="EG104" i="1"/>
  <c r="EC104" i="1"/>
  <c r="DQ104" i="1"/>
  <c r="DK104" i="1"/>
  <c r="DH104" i="1"/>
  <c r="DD104" i="1"/>
  <c r="CW104" i="1"/>
  <c r="CP104" i="1"/>
  <c r="CL104" i="1"/>
  <c r="CG104" i="1"/>
  <c r="CB104" i="1"/>
  <c r="BW104" i="1"/>
  <c r="BV104" i="1"/>
  <c r="BQ104" i="1"/>
  <c r="BP104" i="1"/>
  <c r="BO104" i="1"/>
  <c r="BJ104" i="1"/>
  <c r="BI104" i="1"/>
  <c r="BH104" i="1"/>
  <c r="BC104" i="1"/>
  <c r="BB104" i="1"/>
  <c r="BA104" i="1"/>
  <c r="AV104" i="1"/>
  <c r="AU104" i="1"/>
  <c r="AT104" i="1"/>
  <c r="AO104" i="1"/>
  <c r="AN104" i="1"/>
  <c r="AC104" i="1"/>
  <c r="AB104" i="1"/>
  <c r="Y104" i="1"/>
  <c r="S104" i="1"/>
  <c r="K104" i="1"/>
  <c r="J104" i="1"/>
  <c r="EV103" i="1"/>
  <c r="EU103" i="1"/>
  <c r="ET103" i="1"/>
  <c r="EG103" i="1"/>
  <c r="EC103" i="1"/>
  <c r="DQ103" i="1"/>
  <c r="DK103" i="1"/>
  <c r="DH103" i="1"/>
  <c r="DD103" i="1"/>
  <c r="CW103" i="1"/>
  <c r="CP103" i="1"/>
  <c r="CL103" i="1"/>
  <c r="CG103" i="1"/>
  <c r="CB103" i="1"/>
  <c r="BW103" i="1"/>
  <c r="BV103" i="1"/>
  <c r="BQ103" i="1"/>
  <c r="BP103" i="1"/>
  <c r="BO103" i="1"/>
  <c r="BJ103" i="1"/>
  <c r="BI103" i="1"/>
  <c r="BH103" i="1"/>
  <c r="BC103" i="1"/>
  <c r="BB103" i="1"/>
  <c r="BA103" i="1"/>
  <c r="AV103" i="1"/>
  <c r="AU103" i="1"/>
  <c r="AT103" i="1"/>
  <c r="AO103" i="1"/>
  <c r="AN103" i="1"/>
  <c r="AC103" i="1"/>
  <c r="AB103" i="1"/>
  <c r="Y103" i="1"/>
  <c r="S103" i="1"/>
  <c r="K103" i="1"/>
  <c r="J103" i="1"/>
  <c r="EV102" i="1"/>
  <c r="EU102" i="1"/>
  <c r="ET102" i="1"/>
  <c r="EC102" i="1"/>
  <c r="DQ102" i="1"/>
  <c r="DK102" i="1"/>
  <c r="DH102" i="1"/>
  <c r="DD102" i="1"/>
  <c r="CW102" i="1"/>
  <c r="CP102" i="1"/>
  <c r="CL102" i="1"/>
  <c r="CG102" i="1"/>
  <c r="CB102" i="1"/>
  <c r="BW102" i="1"/>
  <c r="BV102" i="1"/>
  <c r="BQ102" i="1"/>
  <c r="BP102" i="1"/>
  <c r="BO102" i="1"/>
  <c r="BJ102" i="1"/>
  <c r="BI102" i="1"/>
  <c r="BH102" i="1"/>
  <c r="BC102" i="1"/>
  <c r="BB102" i="1"/>
  <c r="BA102" i="1"/>
  <c r="AV102" i="1"/>
  <c r="AU102" i="1"/>
  <c r="AT102" i="1"/>
  <c r="AO102" i="1"/>
  <c r="AN102" i="1"/>
  <c r="AC102" i="1"/>
  <c r="Y102" i="1"/>
  <c r="S102" i="1"/>
  <c r="K102" i="1"/>
  <c r="J102" i="1"/>
  <c r="EV101" i="1"/>
  <c r="EU101" i="1"/>
  <c r="ET101" i="1"/>
  <c r="EC101" i="1"/>
  <c r="DQ101" i="1"/>
  <c r="DK101" i="1"/>
  <c r="DH101" i="1"/>
  <c r="DD101" i="1"/>
  <c r="CW101" i="1"/>
  <c r="CP101" i="1"/>
  <c r="CL101" i="1"/>
  <c r="CG101" i="1"/>
  <c r="CB101" i="1"/>
  <c r="BW101" i="1"/>
  <c r="BV101" i="1"/>
  <c r="BQ101" i="1"/>
  <c r="BP101" i="1"/>
  <c r="BO101" i="1"/>
  <c r="BJ101" i="1"/>
  <c r="BI101" i="1"/>
  <c r="BH101" i="1"/>
  <c r="BC101" i="1"/>
  <c r="BB101" i="1"/>
  <c r="BA101" i="1"/>
  <c r="AV101" i="1"/>
  <c r="AU101" i="1"/>
  <c r="AT101" i="1"/>
  <c r="AO101" i="1"/>
  <c r="AN101" i="1"/>
  <c r="AC101" i="1"/>
  <c r="Y101" i="1"/>
  <c r="S101" i="1"/>
  <c r="K101" i="1"/>
  <c r="J101" i="1"/>
  <c r="EV100" i="1"/>
  <c r="EU100" i="1"/>
  <c r="ET100" i="1"/>
  <c r="EC100" i="1"/>
  <c r="DQ100" i="1"/>
  <c r="DK100" i="1"/>
  <c r="DH100" i="1"/>
  <c r="DD100" i="1"/>
  <c r="CW100" i="1"/>
  <c r="CP100" i="1"/>
  <c r="CL100" i="1"/>
  <c r="CG100" i="1"/>
  <c r="CB100" i="1"/>
  <c r="BW100" i="1"/>
  <c r="BV100" i="1"/>
  <c r="BQ100" i="1"/>
  <c r="BP100" i="1"/>
  <c r="BO100" i="1"/>
  <c r="BJ100" i="1"/>
  <c r="BI100" i="1"/>
  <c r="BH100" i="1"/>
  <c r="BC100" i="1"/>
  <c r="BB100" i="1"/>
  <c r="BA100" i="1"/>
  <c r="AV100" i="1"/>
  <c r="AU100" i="1"/>
  <c r="AT100" i="1"/>
  <c r="AO100" i="1"/>
  <c r="AN100" i="1"/>
  <c r="AC100" i="1"/>
  <c r="Y100" i="1"/>
  <c r="S100" i="1"/>
  <c r="K100" i="1"/>
  <c r="J100" i="1"/>
  <c r="EV99" i="1"/>
  <c r="EU99" i="1"/>
  <c r="ET99" i="1"/>
  <c r="EC99" i="1"/>
  <c r="DY99" i="1"/>
  <c r="DQ99" i="1"/>
  <c r="DK99" i="1"/>
  <c r="DH99" i="1"/>
  <c r="DD99" i="1"/>
  <c r="CW99" i="1"/>
  <c r="CP99" i="1"/>
  <c r="CL99" i="1"/>
  <c r="CG99" i="1"/>
  <c r="CB99" i="1"/>
  <c r="BW99" i="1"/>
  <c r="BV99" i="1"/>
  <c r="BQ99" i="1"/>
  <c r="BP99" i="1"/>
  <c r="BO99" i="1"/>
  <c r="BJ99" i="1"/>
  <c r="BI99" i="1"/>
  <c r="BH99" i="1"/>
  <c r="BC99" i="1"/>
  <c r="BB99" i="1"/>
  <c r="BA99" i="1"/>
  <c r="AV99" i="1"/>
  <c r="AU99" i="1"/>
  <c r="AT99" i="1"/>
  <c r="AO99" i="1"/>
  <c r="AN99" i="1"/>
  <c r="AJ99" i="1"/>
  <c r="AC99" i="1"/>
  <c r="Y99" i="1"/>
  <c r="S99" i="1"/>
  <c r="K99" i="1"/>
  <c r="J99" i="1"/>
  <c r="EV98" i="1"/>
  <c r="EU98" i="1"/>
  <c r="ET98" i="1"/>
  <c r="EG98" i="1"/>
  <c r="EC98" i="1"/>
  <c r="DQ98" i="1"/>
  <c r="DK98" i="1"/>
  <c r="DH98" i="1"/>
  <c r="DD98" i="1"/>
  <c r="CW98" i="1"/>
  <c r="CP98" i="1"/>
  <c r="CL98" i="1"/>
  <c r="CG98" i="1"/>
  <c r="CB98" i="1"/>
  <c r="BQ98" i="1"/>
  <c r="BP98" i="1"/>
  <c r="BO98" i="1"/>
  <c r="BJ98" i="1"/>
  <c r="BI98" i="1"/>
  <c r="BH98" i="1"/>
  <c r="BC98" i="1"/>
  <c r="BB98" i="1"/>
  <c r="BA98" i="1"/>
  <c r="AV98" i="1"/>
  <c r="AU98" i="1"/>
  <c r="AT98" i="1"/>
  <c r="AO98" i="1"/>
  <c r="AN98" i="1"/>
  <c r="AC98" i="1"/>
  <c r="AB98" i="1"/>
  <c r="Y98" i="1"/>
  <c r="S98" i="1"/>
  <c r="K98" i="1"/>
  <c r="J98" i="1"/>
  <c r="EV97" i="1"/>
  <c r="EU97" i="1"/>
  <c r="ET97" i="1"/>
  <c r="EG97" i="1"/>
  <c r="EC97" i="1"/>
  <c r="DY97" i="1"/>
  <c r="DQ97" i="1"/>
  <c r="DK97" i="1"/>
  <c r="DH97" i="1"/>
  <c r="DD97" i="1"/>
  <c r="CW97" i="1"/>
  <c r="CP97" i="1"/>
  <c r="CL97" i="1"/>
  <c r="CG97" i="1"/>
  <c r="CB97" i="1"/>
  <c r="BW97" i="1"/>
  <c r="BV97" i="1"/>
  <c r="BQ97" i="1"/>
  <c r="BP97" i="1"/>
  <c r="BO97" i="1"/>
  <c r="BJ97" i="1"/>
  <c r="BI97" i="1"/>
  <c r="BH97" i="1"/>
  <c r="BC97" i="1"/>
  <c r="BB97" i="1"/>
  <c r="BA97" i="1"/>
  <c r="AV97" i="1"/>
  <c r="AU97" i="1"/>
  <c r="AT97" i="1"/>
  <c r="AO97" i="1"/>
  <c r="AN97" i="1"/>
  <c r="AJ97" i="1"/>
  <c r="AC97" i="1"/>
  <c r="AB97" i="1"/>
  <c r="Y97" i="1"/>
  <c r="S97" i="1"/>
  <c r="K97" i="1"/>
  <c r="J97" i="1"/>
  <c r="EV96" i="1"/>
  <c r="EU96" i="1"/>
  <c r="ET96" i="1"/>
  <c r="EG96" i="1"/>
  <c r="EC96" i="1"/>
  <c r="DH96" i="1"/>
  <c r="DD96" i="1"/>
  <c r="CW96" i="1"/>
  <c r="Y96" i="1"/>
  <c r="K96" i="1"/>
  <c r="J96" i="1"/>
  <c r="EV95" i="1"/>
  <c r="EU95" i="1"/>
  <c r="ET95" i="1"/>
  <c r="EG95" i="1"/>
  <c r="EC95" i="1"/>
  <c r="DQ95" i="1"/>
  <c r="DK95" i="1"/>
  <c r="DH95" i="1"/>
  <c r="DD95" i="1"/>
  <c r="CW95" i="1"/>
  <c r="CP95" i="1"/>
  <c r="CL95" i="1"/>
  <c r="CG95" i="1"/>
  <c r="CB95" i="1"/>
  <c r="BW95" i="1"/>
  <c r="BV95" i="1"/>
  <c r="BQ95" i="1"/>
  <c r="BP95" i="1"/>
  <c r="BO95" i="1"/>
  <c r="BJ95" i="1"/>
  <c r="BI95" i="1"/>
  <c r="BH95" i="1"/>
  <c r="BC95" i="1"/>
  <c r="BB95" i="1"/>
  <c r="BA95" i="1"/>
  <c r="AV95" i="1"/>
  <c r="AU95" i="1"/>
  <c r="AT95" i="1"/>
  <c r="AO95" i="1"/>
  <c r="AN95" i="1"/>
  <c r="AC95" i="1"/>
  <c r="AB95" i="1"/>
  <c r="Y95" i="1"/>
  <c r="S95" i="1"/>
  <c r="K95" i="1"/>
  <c r="J95" i="1"/>
  <c r="EV94" i="1"/>
  <c r="EU94" i="1"/>
  <c r="ET94" i="1"/>
  <c r="EG94" i="1"/>
  <c r="EC94" i="1"/>
  <c r="DQ94" i="1"/>
  <c r="DK94" i="1"/>
  <c r="DH94" i="1"/>
  <c r="DD94" i="1"/>
  <c r="CW94" i="1"/>
  <c r="CP94" i="1"/>
  <c r="CL94" i="1"/>
  <c r="CG94" i="1"/>
  <c r="CB94" i="1"/>
  <c r="BW94" i="1"/>
  <c r="BV94" i="1"/>
  <c r="BQ94" i="1"/>
  <c r="BP94" i="1"/>
  <c r="BO94" i="1"/>
  <c r="BJ94" i="1"/>
  <c r="BI94" i="1"/>
  <c r="BH94" i="1"/>
  <c r="BC94" i="1"/>
  <c r="BB94" i="1"/>
  <c r="BA94" i="1"/>
  <c r="AV94" i="1"/>
  <c r="AU94" i="1"/>
  <c r="AT94" i="1"/>
  <c r="AO94" i="1"/>
  <c r="AN94" i="1"/>
  <c r="AC94" i="1"/>
  <c r="AB94" i="1"/>
  <c r="Y94" i="1"/>
  <c r="S94" i="1"/>
  <c r="K94" i="1"/>
  <c r="J94" i="1"/>
  <c r="EV93" i="1"/>
  <c r="EU93" i="1"/>
  <c r="ET93" i="1"/>
  <c r="EC93" i="1"/>
  <c r="DY93" i="1"/>
  <c r="DQ93" i="1"/>
  <c r="DK93" i="1"/>
  <c r="DH93" i="1"/>
  <c r="DD93" i="1"/>
  <c r="CW93" i="1"/>
  <c r="Y93" i="1"/>
  <c r="K93" i="1"/>
  <c r="J93" i="1"/>
  <c r="EV92" i="1"/>
  <c r="EU92" i="1"/>
  <c r="ET92" i="1"/>
  <c r="EG92" i="1"/>
  <c r="EC92" i="1"/>
  <c r="DQ92" i="1"/>
  <c r="DK92" i="1"/>
  <c r="DH92" i="1"/>
  <c r="DD92" i="1"/>
  <c r="CW92" i="1"/>
  <c r="CP92" i="1"/>
  <c r="CL92" i="1"/>
  <c r="CG92" i="1"/>
  <c r="CB92" i="1"/>
  <c r="BW92" i="1"/>
  <c r="BV92" i="1"/>
  <c r="BQ92" i="1"/>
  <c r="BP92" i="1"/>
  <c r="BO92" i="1"/>
  <c r="BJ92" i="1"/>
  <c r="BI92" i="1"/>
  <c r="BH92" i="1"/>
  <c r="BC92" i="1"/>
  <c r="BB92" i="1"/>
  <c r="BA92" i="1"/>
  <c r="AV92" i="1"/>
  <c r="AU92" i="1"/>
  <c r="AT92" i="1"/>
  <c r="AO92" i="1"/>
  <c r="AN92" i="1"/>
  <c r="AC92" i="1"/>
  <c r="AB92" i="1"/>
  <c r="Y92" i="1"/>
  <c r="S92" i="1"/>
  <c r="K92" i="1"/>
  <c r="J92" i="1"/>
  <c r="EV91" i="1"/>
  <c r="EU91" i="1"/>
  <c r="ET91" i="1"/>
  <c r="EG91" i="1"/>
  <c r="EC91" i="1"/>
  <c r="DQ91" i="1"/>
  <c r="DK91" i="1"/>
  <c r="DH91" i="1"/>
  <c r="DD91" i="1"/>
  <c r="CW91" i="1"/>
  <c r="CP91" i="1"/>
  <c r="CL91" i="1"/>
  <c r="CG91" i="1"/>
  <c r="CB91" i="1"/>
  <c r="BW91" i="1"/>
  <c r="BV91" i="1"/>
  <c r="BQ91" i="1"/>
  <c r="BP91" i="1"/>
  <c r="BO91" i="1"/>
  <c r="BJ91" i="1"/>
  <c r="BI91" i="1"/>
  <c r="BH91" i="1"/>
  <c r="BC91" i="1"/>
  <c r="BB91" i="1"/>
  <c r="BA91" i="1"/>
  <c r="AV91" i="1"/>
  <c r="AU91" i="1"/>
  <c r="AT91" i="1"/>
  <c r="AO91" i="1"/>
  <c r="AN91" i="1"/>
  <c r="AC91" i="1"/>
  <c r="AB91" i="1"/>
  <c r="Y91" i="1"/>
  <c r="S91" i="1"/>
  <c r="K91" i="1"/>
  <c r="J91" i="1"/>
  <c r="EV90" i="1"/>
  <c r="EU90" i="1"/>
  <c r="ET90" i="1"/>
  <c r="EG90" i="1"/>
  <c r="EC90" i="1"/>
  <c r="DQ90" i="1"/>
  <c r="DK90" i="1"/>
  <c r="DH90" i="1"/>
  <c r="DD90" i="1"/>
  <c r="CW90" i="1"/>
  <c r="CP90" i="1"/>
  <c r="CL90" i="1"/>
  <c r="CG90" i="1"/>
  <c r="CB90" i="1"/>
  <c r="BW90" i="1"/>
  <c r="BV90" i="1"/>
  <c r="BQ90" i="1"/>
  <c r="BP90" i="1"/>
  <c r="BO90" i="1"/>
  <c r="BJ90" i="1"/>
  <c r="BI90" i="1"/>
  <c r="BH90" i="1"/>
  <c r="BC90" i="1"/>
  <c r="BB90" i="1"/>
  <c r="BA90" i="1"/>
  <c r="AV90" i="1"/>
  <c r="AU90" i="1"/>
  <c r="AT90" i="1"/>
  <c r="AO90" i="1"/>
  <c r="AN90" i="1"/>
  <c r="AC90" i="1"/>
  <c r="AB90" i="1"/>
  <c r="S90" i="1"/>
  <c r="K90" i="1"/>
  <c r="J90" i="1"/>
  <c r="EV89" i="1"/>
  <c r="EU89" i="1"/>
  <c r="ET89" i="1"/>
  <c r="EG89" i="1"/>
  <c r="EC89" i="1"/>
  <c r="DQ89" i="1"/>
  <c r="DK89" i="1"/>
  <c r="DH89" i="1"/>
  <c r="DD89" i="1"/>
  <c r="CW89" i="1"/>
  <c r="CP89" i="1"/>
  <c r="CL89" i="1"/>
  <c r="CG89" i="1"/>
  <c r="CB89" i="1"/>
  <c r="BW89" i="1"/>
  <c r="BV89" i="1"/>
  <c r="BQ89" i="1"/>
  <c r="BP89" i="1"/>
  <c r="BO89" i="1"/>
  <c r="BJ89" i="1"/>
  <c r="BI89" i="1"/>
  <c r="BH89" i="1"/>
  <c r="BC89" i="1"/>
  <c r="BB89" i="1"/>
  <c r="BA89" i="1"/>
  <c r="AV89" i="1"/>
  <c r="AU89" i="1"/>
  <c r="AT89" i="1"/>
  <c r="AO89" i="1"/>
  <c r="AN89" i="1"/>
  <c r="AC89" i="1"/>
  <c r="AB89" i="1"/>
  <c r="Y89" i="1"/>
  <c r="S89" i="1"/>
  <c r="K89" i="1"/>
  <c r="J89" i="1"/>
  <c r="EV88" i="1"/>
  <c r="EU88" i="1"/>
  <c r="ET88" i="1"/>
  <c r="EG88" i="1"/>
  <c r="EC88" i="1"/>
  <c r="DQ88" i="1"/>
  <c r="DK88" i="1"/>
  <c r="DH88" i="1"/>
  <c r="DD88" i="1"/>
  <c r="CW88" i="1"/>
  <c r="CP88" i="1"/>
  <c r="CL88" i="1"/>
  <c r="CG88" i="1"/>
  <c r="CB88" i="1"/>
  <c r="BW88" i="1"/>
  <c r="BV88" i="1"/>
  <c r="BQ88" i="1"/>
  <c r="BP88" i="1"/>
  <c r="BO88" i="1"/>
  <c r="BJ88" i="1"/>
  <c r="BI88" i="1"/>
  <c r="BH88" i="1"/>
  <c r="BC88" i="1"/>
  <c r="BB88" i="1"/>
  <c r="BA88" i="1"/>
  <c r="AV88" i="1"/>
  <c r="AU88" i="1"/>
  <c r="AT88" i="1"/>
  <c r="AO88" i="1"/>
  <c r="AN88" i="1"/>
  <c r="AC88" i="1"/>
  <c r="AB88" i="1"/>
  <c r="Y88" i="1"/>
  <c r="S88" i="1"/>
  <c r="K88" i="1"/>
  <c r="J88" i="1"/>
  <c r="EV87" i="1"/>
  <c r="EU87" i="1"/>
  <c r="ET87" i="1"/>
  <c r="EC87" i="1"/>
  <c r="DQ87" i="1"/>
  <c r="DK87" i="1"/>
  <c r="DH87" i="1"/>
  <c r="DD87" i="1"/>
  <c r="CW87" i="1"/>
  <c r="CP87" i="1"/>
  <c r="CL87" i="1"/>
  <c r="CG87" i="1"/>
  <c r="CB87" i="1"/>
  <c r="BW87" i="1"/>
  <c r="BV87" i="1"/>
  <c r="BQ87" i="1"/>
  <c r="BP87" i="1"/>
  <c r="BO87" i="1"/>
  <c r="BJ87" i="1"/>
  <c r="BI87" i="1"/>
  <c r="BH87" i="1"/>
  <c r="BC87" i="1"/>
  <c r="BB87" i="1"/>
  <c r="BA87" i="1"/>
  <c r="AV87" i="1"/>
  <c r="AU87" i="1"/>
  <c r="AT87" i="1"/>
  <c r="AO87" i="1"/>
  <c r="AN87" i="1"/>
  <c r="AC87" i="1"/>
  <c r="Y87" i="1"/>
  <c r="S87" i="1"/>
  <c r="K87" i="1"/>
  <c r="J87" i="1"/>
  <c r="EV86" i="1"/>
  <c r="EU86" i="1"/>
  <c r="ET86" i="1"/>
  <c r="EG86" i="1"/>
  <c r="EC86" i="1"/>
  <c r="DQ86" i="1"/>
  <c r="DK86" i="1"/>
  <c r="DH86" i="1"/>
  <c r="DD86" i="1"/>
  <c r="CW86" i="1"/>
  <c r="CP86" i="1"/>
  <c r="CL86" i="1"/>
  <c r="CG86" i="1"/>
  <c r="CB86" i="1"/>
  <c r="BW86" i="1"/>
  <c r="BV86" i="1"/>
  <c r="BQ86" i="1"/>
  <c r="BP86" i="1"/>
  <c r="BO86" i="1"/>
  <c r="BJ86" i="1"/>
  <c r="BI86" i="1"/>
  <c r="BH86" i="1"/>
  <c r="BC86" i="1"/>
  <c r="BB86" i="1"/>
  <c r="BA86" i="1"/>
  <c r="AV86" i="1"/>
  <c r="AU86" i="1"/>
  <c r="AT86" i="1"/>
  <c r="AO86" i="1"/>
  <c r="AN86" i="1"/>
  <c r="AC86" i="1"/>
  <c r="AB86" i="1"/>
  <c r="Y86" i="1"/>
  <c r="S86" i="1"/>
  <c r="K86" i="1"/>
  <c r="J86" i="1"/>
  <c r="EV85" i="1"/>
  <c r="EU85" i="1"/>
  <c r="ET85" i="1"/>
  <c r="EG85" i="1"/>
  <c r="EC85" i="1"/>
  <c r="DY85" i="1"/>
  <c r="DQ85" i="1"/>
  <c r="DK85" i="1"/>
  <c r="DH85" i="1"/>
  <c r="DD85" i="1"/>
  <c r="CW85" i="1"/>
  <c r="CP85" i="1"/>
  <c r="CL85" i="1"/>
  <c r="CG85" i="1"/>
  <c r="CB85" i="1"/>
  <c r="BW85" i="1"/>
  <c r="BV85" i="1"/>
  <c r="BQ85" i="1"/>
  <c r="BP85" i="1"/>
  <c r="BO85" i="1"/>
  <c r="BJ85" i="1"/>
  <c r="BI85" i="1"/>
  <c r="BH85" i="1"/>
  <c r="BC85" i="1"/>
  <c r="BB85" i="1"/>
  <c r="BA85" i="1"/>
  <c r="AV85" i="1"/>
  <c r="AU85" i="1"/>
  <c r="AT85" i="1"/>
  <c r="AO85" i="1"/>
  <c r="AN85" i="1"/>
  <c r="AJ85" i="1"/>
  <c r="AC85" i="1"/>
  <c r="AB85" i="1"/>
  <c r="Y85" i="1"/>
  <c r="S85" i="1"/>
  <c r="K85" i="1"/>
  <c r="J85" i="1"/>
  <c r="EV84" i="1"/>
  <c r="EU84" i="1"/>
  <c r="ET84" i="1"/>
  <c r="EC84" i="1"/>
  <c r="DQ84" i="1"/>
  <c r="DK84" i="1"/>
  <c r="DH84" i="1"/>
  <c r="DD84" i="1"/>
  <c r="CW84" i="1"/>
  <c r="CP84" i="1"/>
  <c r="CL84" i="1"/>
  <c r="CG84" i="1"/>
  <c r="CB84" i="1"/>
  <c r="BW84" i="1"/>
  <c r="BV84" i="1"/>
  <c r="BQ84" i="1"/>
  <c r="BP84" i="1"/>
  <c r="BO84" i="1"/>
  <c r="BJ84" i="1"/>
  <c r="BI84" i="1"/>
  <c r="BH84" i="1"/>
  <c r="BC84" i="1"/>
  <c r="BB84" i="1"/>
  <c r="BA84" i="1"/>
  <c r="AV84" i="1"/>
  <c r="AU84" i="1"/>
  <c r="AT84" i="1"/>
  <c r="AO84" i="1"/>
  <c r="AN84" i="1"/>
  <c r="AC84" i="1"/>
  <c r="Y84" i="1"/>
  <c r="S84" i="1"/>
  <c r="K84" i="1"/>
  <c r="J84" i="1"/>
  <c r="EV83" i="1"/>
  <c r="EU83" i="1"/>
  <c r="ET83" i="1"/>
  <c r="EG83" i="1"/>
  <c r="EC83" i="1"/>
  <c r="DQ83" i="1"/>
  <c r="DK83" i="1"/>
  <c r="DH83" i="1"/>
  <c r="DD83" i="1"/>
  <c r="CW83" i="1"/>
  <c r="Y83" i="1"/>
  <c r="K83" i="1"/>
  <c r="J83" i="1"/>
  <c r="EV82" i="1"/>
  <c r="EU82" i="1"/>
  <c r="ET82" i="1"/>
  <c r="EG82" i="1"/>
  <c r="EC82" i="1"/>
  <c r="DQ82" i="1"/>
  <c r="DK82" i="1"/>
  <c r="DH82" i="1"/>
  <c r="DD82" i="1"/>
  <c r="CW82" i="1"/>
  <c r="CP82" i="1"/>
  <c r="CL82" i="1"/>
  <c r="CG82" i="1"/>
  <c r="CB82" i="1"/>
  <c r="BW82" i="1"/>
  <c r="BV82" i="1"/>
  <c r="BQ82" i="1"/>
  <c r="BP82" i="1"/>
  <c r="BO82" i="1"/>
  <c r="BJ82" i="1"/>
  <c r="BI82" i="1"/>
  <c r="BH82" i="1"/>
  <c r="BC82" i="1"/>
  <c r="BB82" i="1"/>
  <c r="BA82" i="1"/>
  <c r="AV82" i="1"/>
  <c r="AU82" i="1"/>
  <c r="AT82" i="1"/>
  <c r="AO82" i="1"/>
  <c r="AN82" i="1"/>
  <c r="AC82" i="1"/>
  <c r="AB82" i="1"/>
  <c r="Y82" i="1"/>
  <c r="S82" i="1"/>
  <c r="K82" i="1"/>
  <c r="J82" i="1"/>
  <c r="EV81" i="1"/>
  <c r="EU81" i="1"/>
  <c r="ET81" i="1"/>
  <c r="EG81" i="1"/>
  <c r="EC81" i="1"/>
  <c r="DY81" i="1"/>
  <c r="DQ81" i="1"/>
  <c r="DK81" i="1"/>
  <c r="DH81" i="1"/>
  <c r="DD81" i="1"/>
  <c r="CW81" i="1"/>
  <c r="CP81" i="1"/>
  <c r="CL81" i="1"/>
  <c r="CG81" i="1"/>
  <c r="CB81" i="1"/>
  <c r="BW81" i="1"/>
  <c r="BV81" i="1"/>
  <c r="BQ81" i="1"/>
  <c r="BP81" i="1"/>
  <c r="BO81" i="1"/>
  <c r="BJ81" i="1"/>
  <c r="BI81" i="1"/>
  <c r="BH81" i="1"/>
  <c r="BC81" i="1"/>
  <c r="BB81" i="1"/>
  <c r="BA81" i="1"/>
  <c r="AV81" i="1"/>
  <c r="AU81" i="1"/>
  <c r="AT81" i="1"/>
  <c r="AO81" i="1"/>
  <c r="AN81" i="1"/>
  <c r="AJ81" i="1"/>
  <c r="AC81" i="1"/>
  <c r="AB81" i="1"/>
  <c r="Y81" i="1"/>
  <c r="S81" i="1"/>
  <c r="K81" i="1"/>
  <c r="J81" i="1"/>
  <c r="EV80" i="1"/>
  <c r="EU80" i="1"/>
  <c r="ET80" i="1"/>
  <c r="EG80" i="1"/>
  <c r="EC80" i="1"/>
  <c r="DY80" i="1"/>
  <c r="DQ80" i="1"/>
  <c r="DK80" i="1"/>
  <c r="DH80" i="1"/>
  <c r="DD80" i="1"/>
  <c r="CW80" i="1"/>
  <c r="CP80" i="1"/>
  <c r="CL80" i="1"/>
  <c r="CG80" i="1"/>
  <c r="CB80" i="1"/>
  <c r="BW80" i="1"/>
  <c r="BV80" i="1"/>
  <c r="BQ80" i="1"/>
  <c r="BP80" i="1"/>
  <c r="BO80" i="1"/>
  <c r="BJ80" i="1"/>
  <c r="BI80" i="1"/>
  <c r="BH80" i="1"/>
  <c r="BC80" i="1"/>
  <c r="BB80" i="1"/>
  <c r="BA80" i="1"/>
  <c r="AV80" i="1"/>
  <c r="AU80" i="1"/>
  <c r="AT80" i="1"/>
  <c r="AO80" i="1"/>
  <c r="AN80" i="1"/>
  <c r="AJ80" i="1"/>
  <c r="AC80" i="1"/>
  <c r="AB80" i="1"/>
  <c r="Y80" i="1"/>
  <c r="S80" i="1"/>
  <c r="K80" i="1"/>
  <c r="J80" i="1"/>
  <c r="EV79" i="1"/>
  <c r="EU79" i="1"/>
  <c r="ET79" i="1"/>
  <c r="EG79" i="1"/>
  <c r="EC79" i="1"/>
  <c r="DQ79" i="1"/>
  <c r="DK79" i="1"/>
  <c r="DH79" i="1"/>
  <c r="DD79" i="1"/>
  <c r="CW79" i="1"/>
  <c r="CP79" i="1"/>
  <c r="CL79" i="1"/>
  <c r="CG79" i="1"/>
  <c r="CB79" i="1"/>
  <c r="BW79" i="1"/>
  <c r="BV79" i="1"/>
  <c r="BQ79" i="1"/>
  <c r="BP79" i="1"/>
  <c r="BO79" i="1"/>
  <c r="BJ79" i="1"/>
  <c r="BI79" i="1"/>
  <c r="BH79" i="1"/>
  <c r="BC79" i="1"/>
  <c r="BB79" i="1"/>
  <c r="BA79" i="1"/>
  <c r="AV79" i="1"/>
  <c r="AU79" i="1"/>
  <c r="AT79" i="1"/>
  <c r="AO79" i="1"/>
  <c r="AN79" i="1"/>
  <c r="AC79" i="1"/>
  <c r="AB79" i="1"/>
  <c r="Y79" i="1"/>
  <c r="S79" i="1"/>
  <c r="K79" i="1"/>
  <c r="J79" i="1"/>
  <c r="EV78" i="1"/>
  <c r="EU78" i="1"/>
  <c r="ET78" i="1"/>
  <c r="EG78" i="1"/>
  <c r="EC78" i="1"/>
  <c r="DQ78" i="1"/>
  <c r="DK78" i="1"/>
  <c r="DH78" i="1"/>
  <c r="DD78" i="1"/>
  <c r="CW78" i="1"/>
  <c r="CP78" i="1"/>
  <c r="CL78" i="1"/>
  <c r="CG78" i="1"/>
  <c r="CB78" i="1"/>
  <c r="BW78" i="1"/>
  <c r="BV78" i="1"/>
  <c r="BQ78" i="1"/>
  <c r="BP78" i="1"/>
  <c r="BO78" i="1"/>
  <c r="BJ78" i="1"/>
  <c r="BI78" i="1"/>
  <c r="BH78" i="1"/>
  <c r="BC78" i="1"/>
  <c r="BB78" i="1"/>
  <c r="BA78" i="1"/>
  <c r="AV78" i="1"/>
  <c r="AU78" i="1"/>
  <c r="AT78" i="1"/>
  <c r="AO78" i="1"/>
  <c r="AN78" i="1"/>
  <c r="AC78" i="1"/>
  <c r="AB78" i="1"/>
  <c r="Y78" i="1"/>
  <c r="S78" i="1"/>
  <c r="K78" i="1"/>
  <c r="J78" i="1"/>
  <c r="EV77" i="1"/>
  <c r="EU77" i="1"/>
  <c r="ET77" i="1"/>
  <c r="EC77" i="1"/>
  <c r="DY77" i="1"/>
  <c r="DQ77" i="1"/>
  <c r="DK77" i="1"/>
  <c r="DH77" i="1"/>
  <c r="DD77" i="1"/>
  <c r="CW77" i="1"/>
  <c r="CP77" i="1"/>
  <c r="CL77" i="1"/>
  <c r="CG77" i="1"/>
  <c r="CB77" i="1"/>
  <c r="BW77" i="1"/>
  <c r="BV77" i="1"/>
  <c r="BQ77" i="1"/>
  <c r="BP77" i="1"/>
  <c r="BO77" i="1"/>
  <c r="BJ77" i="1"/>
  <c r="BI77" i="1"/>
  <c r="BH77" i="1"/>
  <c r="BC77" i="1"/>
  <c r="BB77" i="1"/>
  <c r="BA77" i="1"/>
  <c r="AV77" i="1"/>
  <c r="AU77" i="1"/>
  <c r="AT77" i="1"/>
  <c r="AO77" i="1"/>
  <c r="AN77" i="1"/>
  <c r="AJ77" i="1"/>
  <c r="AC77" i="1"/>
  <c r="Y77" i="1"/>
  <c r="S77" i="1"/>
  <c r="K77" i="1"/>
  <c r="J77" i="1"/>
  <c r="EV76" i="1"/>
  <c r="EU76" i="1"/>
  <c r="ET76" i="1"/>
  <c r="EG76" i="1"/>
  <c r="EC76" i="1"/>
  <c r="DQ76" i="1"/>
  <c r="DK76" i="1"/>
  <c r="DH76" i="1"/>
  <c r="DD76" i="1"/>
  <c r="CW76" i="1"/>
  <c r="CP76" i="1"/>
  <c r="CL76" i="1"/>
  <c r="CG76" i="1"/>
  <c r="CB76" i="1"/>
  <c r="BW76" i="1"/>
  <c r="BV76" i="1"/>
  <c r="BQ76" i="1"/>
  <c r="BP76" i="1"/>
  <c r="BO76" i="1"/>
  <c r="BJ76" i="1"/>
  <c r="BI76" i="1"/>
  <c r="BH76" i="1"/>
  <c r="BC76" i="1"/>
  <c r="BB76" i="1"/>
  <c r="BA76" i="1"/>
  <c r="AV76" i="1"/>
  <c r="AU76" i="1"/>
  <c r="AT76" i="1"/>
  <c r="AO76" i="1"/>
  <c r="AN76" i="1"/>
  <c r="AC76" i="1"/>
  <c r="AB76" i="1"/>
  <c r="Y76" i="1"/>
  <c r="S76" i="1"/>
  <c r="K76" i="1"/>
  <c r="J76" i="1"/>
  <c r="EV75" i="1"/>
  <c r="EU75" i="1"/>
  <c r="ET75" i="1"/>
  <c r="EG75" i="1"/>
  <c r="EC75" i="1"/>
  <c r="DY75" i="1"/>
  <c r="DQ75" i="1"/>
  <c r="DK75" i="1"/>
  <c r="DH75" i="1"/>
  <c r="DD75" i="1"/>
  <c r="CW75" i="1"/>
  <c r="CP75" i="1"/>
  <c r="CL75" i="1"/>
  <c r="CG75" i="1"/>
  <c r="CB75" i="1"/>
  <c r="BW75" i="1"/>
  <c r="BV75" i="1"/>
  <c r="BQ75" i="1"/>
  <c r="BP75" i="1"/>
  <c r="BO75" i="1"/>
  <c r="BJ75" i="1"/>
  <c r="BI75" i="1"/>
  <c r="BH75" i="1"/>
  <c r="BC75" i="1"/>
  <c r="BB75" i="1"/>
  <c r="BA75" i="1"/>
  <c r="AV75" i="1"/>
  <c r="AU75" i="1"/>
  <c r="AT75" i="1"/>
  <c r="AO75" i="1"/>
  <c r="AN75" i="1"/>
  <c r="AJ75" i="1"/>
  <c r="AC75" i="1"/>
  <c r="AB75" i="1"/>
  <c r="Y75" i="1"/>
  <c r="S75" i="1"/>
  <c r="K75" i="1"/>
  <c r="J75" i="1"/>
  <c r="EV74" i="1"/>
  <c r="EU74" i="1"/>
  <c r="ET74" i="1"/>
  <c r="EG74" i="1"/>
  <c r="EC74" i="1"/>
  <c r="DQ74" i="1"/>
  <c r="DK74" i="1"/>
  <c r="DH74" i="1"/>
  <c r="DD74" i="1"/>
  <c r="CW74" i="1"/>
  <c r="CP74" i="1"/>
  <c r="CL74" i="1"/>
  <c r="CG74" i="1"/>
  <c r="CB74" i="1"/>
  <c r="BW74" i="1"/>
  <c r="BV74" i="1"/>
  <c r="BQ74" i="1"/>
  <c r="BP74" i="1"/>
  <c r="BO74" i="1"/>
  <c r="BJ74" i="1"/>
  <c r="BI74" i="1"/>
  <c r="BH74" i="1"/>
  <c r="BC74" i="1"/>
  <c r="BB74" i="1"/>
  <c r="BA74" i="1"/>
  <c r="AV74" i="1"/>
  <c r="AU74" i="1"/>
  <c r="AT74" i="1"/>
  <c r="AO74" i="1"/>
  <c r="AN74" i="1"/>
  <c r="AC74" i="1"/>
  <c r="AB74" i="1"/>
  <c r="Y74" i="1"/>
  <c r="S74" i="1"/>
  <c r="K74" i="1"/>
  <c r="J74" i="1"/>
  <c r="EV73" i="1"/>
  <c r="EU73" i="1"/>
  <c r="ET73" i="1"/>
  <c r="EG73" i="1"/>
  <c r="EC73" i="1"/>
  <c r="DQ73" i="1"/>
  <c r="DK73" i="1"/>
  <c r="DH73" i="1"/>
  <c r="DD73" i="1"/>
  <c r="CW73" i="1"/>
  <c r="CP73" i="1"/>
  <c r="CL73" i="1"/>
  <c r="CG73" i="1"/>
  <c r="CB73" i="1"/>
  <c r="BW73" i="1"/>
  <c r="BV73" i="1"/>
  <c r="BQ73" i="1"/>
  <c r="BP73" i="1"/>
  <c r="BO73" i="1"/>
  <c r="BJ73" i="1"/>
  <c r="BI73" i="1"/>
  <c r="BH73" i="1"/>
  <c r="BC73" i="1"/>
  <c r="BB73" i="1"/>
  <c r="BA73" i="1"/>
  <c r="AV73" i="1"/>
  <c r="AU73" i="1"/>
  <c r="AT73" i="1"/>
  <c r="AO73" i="1"/>
  <c r="AN73" i="1"/>
  <c r="AC73" i="1"/>
  <c r="AB73" i="1"/>
  <c r="Y73" i="1"/>
  <c r="S73" i="1"/>
  <c r="K73" i="1"/>
  <c r="J73" i="1"/>
  <c r="EV72" i="1"/>
  <c r="EU72" i="1"/>
  <c r="ET72" i="1"/>
  <c r="EC72" i="1"/>
  <c r="DY72" i="1"/>
  <c r="DQ72" i="1"/>
  <c r="DK72" i="1"/>
  <c r="DH72" i="1"/>
  <c r="DD72" i="1"/>
  <c r="CW72" i="1"/>
  <c r="CP72" i="1"/>
  <c r="CL72" i="1"/>
  <c r="CG72" i="1"/>
  <c r="CB72" i="1"/>
  <c r="BW72" i="1"/>
  <c r="BV72" i="1"/>
  <c r="BQ72" i="1"/>
  <c r="BP72" i="1"/>
  <c r="BO72" i="1"/>
  <c r="BJ72" i="1"/>
  <c r="BI72" i="1"/>
  <c r="BH72" i="1"/>
  <c r="BC72" i="1"/>
  <c r="BB72" i="1"/>
  <c r="BA72" i="1"/>
  <c r="AV72" i="1"/>
  <c r="AU72" i="1"/>
  <c r="AT72" i="1"/>
  <c r="AO72" i="1"/>
  <c r="AN72" i="1"/>
  <c r="AJ72" i="1"/>
  <c r="AC72" i="1"/>
  <c r="Y72" i="1"/>
  <c r="S72" i="1"/>
  <c r="K72" i="1"/>
  <c r="J72" i="1"/>
  <c r="EV71" i="1"/>
  <c r="EU71" i="1"/>
  <c r="ET71" i="1"/>
  <c r="EG71" i="1"/>
  <c r="EC71" i="1"/>
  <c r="DQ71" i="1"/>
  <c r="DK71" i="1"/>
  <c r="DH71" i="1"/>
  <c r="DD71" i="1"/>
  <c r="CW71" i="1"/>
  <c r="CP71" i="1"/>
  <c r="CL71" i="1"/>
  <c r="CG71" i="1"/>
  <c r="CB71" i="1"/>
  <c r="BW71" i="1"/>
  <c r="BV71" i="1"/>
  <c r="BQ71" i="1"/>
  <c r="BP71" i="1"/>
  <c r="BO71" i="1"/>
  <c r="BJ71" i="1"/>
  <c r="BI71" i="1"/>
  <c r="BH71" i="1"/>
  <c r="BC71" i="1"/>
  <c r="BB71" i="1"/>
  <c r="BA71" i="1"/>
  <c r="AV71" i="1"/>
  <c r="AU71" i="1"/>
  <c r="AT71" i="1"/>
  <c r="AO71" i="1"/>
  <c r="AN71" i="1"/>
  <c r="AC71" i="1"/>
  <c r="AB71" i="1"/>
  <c r="Y71" i="1"/>
  <c r="S71" i="1"/>
  <c r="K71" i="1"/>
  <c r="J71" i="1"/>
  <c r="EV70" i="1"/>
  <c r="EU70" i="1"/>
  <c r="ET70" i="1"/>
  <c r="EG70" i="1"/>
  <c r="EC70" i="1"/>
  <c r="DQ70" i="1"/>
  <c r="DK70" i="1"/>
  <c r="DH70" i="1"/>
  <c r="DD70" i="1"/>
  <c r="CW70" i="1"/>
  <c r="CP70" i="1"/>
  <c r="CL70" i="1"/>
  <c r="CG70" i="1"/>
  <c r="CB70" i="1"/>
  <c r="BW70" i="1"/>
  <c r="BV70" i="1"/>
  <c r="BQ70" i="1"/>
  <c r="BP70" i="1"/>
  <c r="BO70" i="1"/>
  <c r="BJ70" i="1"/>
  <c r="BI70" i="1"/>
  <c r="BH70" i="1"/>
  <c r="BC70" i="1"/>
  <c r="BB70" i="1"/>
  <c r="BA70" i="1"/>
  <c r="AV70" i="1"/>
  <c r="AU70" i="1"/>
  <c r="AT70" i="1"/>
  <c r="AO70" i="1"/>
  <c r="AN70" i="1"/>
  <c r="AC70" i="1"/>
  <c r="AB70" i="1"/>
  <c r="Y70" i="1"/>
  <c r="S70" i="1"/>
  <c r="K70" i="1"/>
  <c r="J70" i="1"/>
  <c r="EV69" i="1"/>
  <c r="EU69" i="1"/>
  <c r="ET69" i="1"/>
  <c r="EC69" i="1"/>
  <c r="DQ69" i="1"/>
  <c r="DK69" i="1"/>
  <c r="DH69" i="1"/>
  <c r="DD69" i="1"/>
  <c r="CW69" i="1"/>
  <c r="CP69" i="1"/>
  <c r="CL69" i="1"/>
  <c r="CG69" i="1"/>
  <c r="CB69" i="1"/>
  <c r="BW69" i="1"/>
  <c r="BV69" i="1"/>
  <c r="BQ69" i="1"/>
  <c r="BP69" i="1"/>
  <c r="BO69" i="1"/>
  <c r="BJ69" i="1"/>
  <c r="BI69" i="1"/>
  <c r="BH69" i="1"/>
  <c r="BC69" i="1"/>
  <c r="BB69" i="1"/>
  <c r="BA69" i="1"/>
  <c r="AV69" i="1"/>
  <c r="AU69" i="1"/>
  <c r="AT69" i="1"/>
  <c r="AO69" i="1"/>
  <c r="AN69" i="1"/>
  <c r="AC69" i="1"/>
  <c r="Y69" i="1"/>
  <c r="S69" i="1"/>
  <c r="K69" i="1"/>
  <c r="J69" i="1"/>
  <c r="EV68" i="1"/>
  <c r="EU68" i="1"/>
  <c r="ET68" i="1"/>
  <c r="EC68" i="1"/>
  <c r="DQ68" i="1"/>
  <c r="DK68" i="1"/>
  <c r="DH68" i="1"/>
  <c r="DD68" i="1"/>
  <c r="CW68" i="1"/>
  <c r="CP68" i="1"/>
  <c r="CL68" i="1"/>
  <c r="CG68" i="1"/>
  <c r="CB68" i="1"/>
  <c r="BW68" i="1"/>
  <c r="BV68" i="1"/>
  <c r="BQ68" i="1"/>
  <c r="BP68" i="1"/>
  <c r="BO68" i="1"/>
  <c r="BJ68" i="1"/>
  <c r="BI68" i="1"/>
  <c r="BH68" i="1"/>
  <c r="BC68" i="1"/>
  <c r="BB68" i="1"/>
  <c r="BA68" i="1"/>
  <c r="AV68" i="1"/>
  <c r="AU68" i="1"/>
  <c r="AT68" i="1"/>
  <c r="AO68" i="1"/>
  <c r="AN68" i="1"/>
  <c r="AC68" i="1"/>
  <c r="Y68" i="1"/>
  <c r="S68" i="1"/>
  <c r="K68" i="1"/>
  <c r="J68" i="1"/>
  <c r="EV67" i="1"/>
  <c r="EU67" i="1"/>
  <c r="ET67" i="1"/>
  <c r="EC67" i="1"/>
  <c r="DQ67" i="1"/>
  <c r="DK67" i="1"/>
  <c r="DH67" i="1"/>
  <c r="DD67" i="1"/>
  <c r="CW67" i="1"/>
  <c r="CP67" i="1"/>
  <c r="CL67" i="1"/>
  <c r="CG67" i="1"/>
  <c r="CB67" i="1"/>
  <c r="BQ67" i="1"/>
  <c r="BP67" i="1"/>
  <c r="BO67" i="1"/>
  <c r="BJ67" i="1"/>
  <c r="BI67" i="1"/>
  <c r="BH67" i="1"/>
  <c r="BC67" i="1"/>
  <c r="BB67" i="1"/>
  <c r="BA67" i="1"/>
  <c r="AV67" i="1"/>
  <c r="AU67" i="1"/>
  <c r="AT67" i="1"/>
  <c r="AO67" i="1"/>
  <c r="AN67" i="1"/>
  <c r="AC67" i="1"/>
  <c r="Y67" i="1"/>
  <c r="S67" i="1"/>
  <c r="K67" i="1"/>
  <c r="J67" i="1"/>
  <c r="EV66" i="1"/>
  <c r="EU66" i="1"/>
  <c r="ET66" i="1"/>
  <c r="EC66" i="1"/>
  <c r="DQ66" i="1"/>
  <c r="DK66" i="1"/>
  <c r="DH66" i="1"/>
  <c r="DD66" i="1"/>
  <c r="CW66" i="1"/>
  <c r="CP66" i="1"/>
  <c r="CL66" i="1"/>
  <c r="CG66" i="1"/>
  <c r="CB66" i="1"/>
  <c r="BW66" i="1"/>
  <c r="BV66" i="1"/>
  <c r="BQ66" i="1"/>
  <c r="BP66" i="1"/>
  <c r="BO66" i="1"/>
  <c r="BJ66" i="1"/>
  <c r="BI66" i="1"/>
  <c r="BH66" i="1"/>
  <c r="BC66" i="1"/>
  <c r="BB66" i="1"/>
  <c r="BA66" i="1"/>
  <c r="AV66" i="1"/>
  <c r="AU66" i="1"/>
  <c r="AT66" i="1"/>
  <c r="AO66" i="1"/>
  <c r="AN66" i="1"/>
  <c r="AC66" i="1"/>
  <c r="Y66" i="1"/>
  <c r="S66" i="1"/>
  <c r="K66" i="1"/>
  <c r="J66" i="1"/>
  <c r="EV65" i="1"/>
  <c r="EU65" i="1"/>
  <c r="ET65" i="1"/>
  <c r="EG65" i="1"/>
  <c r="EC65" i="1"/>
  <c r="DQ65" i="1"/>
  <c r="DK65" i="1"/>
  <c r="DH65" i="1"/>
  <c r="DD65" i="1"/>
  <c r="CW65" i="1"/>
  <c r="CP65" i="1"/>
  <c r="CL65" i="1"/>
  <c r="CG65" i="1"/>
  <c r="CB65" i="1"/>
  <c r="BW65" i="1"/>
  <c r="BV65" i="1"/>
  <c r="BQ65" i="1"/>
  <c r="BP65" i="1"/>
  <c r="BO65" i="1"/>
  <c r="BJ65" i="1"/>
  <c r="BI65" i="1"/>
  <c r="BH65" i="1"/>
  <c r="BC65" i="1"/>
  <c r="BB65" i="1"/>
  <c r="BA65" i="1"/>
  <c r="AV65" i="1"/>
  <c r="AU65" i="1"/>
  <c r="AT65" i="1"/>
  <c r="AO65" i="1"/>
  <c r="AN65" i="1"/>
  <c r="AC65" i="1"/>
  <c r="AB65" i="1"/>
  <c r="Y65" i="1"/>
  <c r="S65" i="1"/>
  <c r="K65" i="1"/>
  <c r="J65" i="1"/>
  <c r="EV64" i="1"/>
  <c r="EU64" i="1"/>
  <c r="ET64" i="1"/>
  <c r="EG64" i="1"/>
  <c r="EC64" i="1"/>
  <c r="DQ64" i="1"/>
  <c r="DK64" i="1"/>
  <c r="DH64" i="1"/>
  <c r="DD64" i="1"/>
  <c r="CW64" i="1"/>
  <c r="CP64" i="1"/>
  <c r="CL64" i="1"/>
  <c r="CG64" i="1"/>
  <c r="CB64" i="1"/>
  <c r="BW64" i="1"/>
  <c r="BV64" i="1"/>
  <c r="BQ64" i="1"/>
  <c r="BP64" i="1"/>
  <c r="BO64" i="1"/>
  <c r="BJ64" i="1"/>
  <c r="BI64" i="1"/>
  <c r="BH64" i="1"/>
  <c r="BC64" i="1"/>
  <c r="BB64" i="1"/>
  <c r="BA64" i="1"/>
  <c r="AV64" i="1"/>
  <c r="AU64" i="1"/>
  <c r="AT64" i="1"/>
  <c r="AO64" i="1"/>
  <c r="AN64" i="1"/>
  <c r="AC64" i="1"/>
  <c r="AB64" i="1"/>
  <c r="Y64" i="1"/>
  <c r="S64" i="1"/>
  <c r="K64" i="1"/>
  <c r="J64" i="1"/>
  <c r="EV63" i="1"/>
  <c r="EU63" i="1"/>
  <c r="ET63" i="1"/>
  <c r="EC63" i="1"/>
  <c r="DY63" i="1"/>
  <c r="DQ63" i="1"/>
  <c r="DK63" i="1"/>
  <c r="DH63" i="1"/>
  <c r="DD63" i="1"/>
  <c r="CW63" i="1"/>
  <c r="Y63" i="1"/>
  <c r="K63" i="1"/>
  <c r="J63" i="1"/>
  <c r="EV62" i="1"/>
  <c r="EU62" i="1"/>
  <c r="ET62" i="1"/>
  <c r="EG62" i="1"/>
  <c r="EC62" i="1"/>
  <c r="DY62" i="1"/>
  <c r="DQ62" i="1"/>
  <c r="DK62" i="1"/>
  <c r="DH62" i="1"/>
  <c r="DD62" i="1"/>
  <c r="CW62" i="1"/>
  <c r="CP62" i="1"/>
  <c r="CL62" i="1"/>
  <c r="CG62" i="1"/>
  <c r="CB62" i="1"/>
  <c r="BW62" i="1"/>
  <c r="BV62" i="1"/>
  <c r="BQ62" i="1"/>
  <c r="BP62" i="1"/>
  <c r="BO62" i="1"/>
  <c r="BJ62" i="1"/>
  <c r="BI62" i="1"/>
  <c r="BH62" i="1"/>
  <c r="BC62" i="1"/>
  <c r="BB62" i="1"/>
  <c r="BA62" i="1"/>
  <c r="AV62" i="1"/>
  <c r="AU62" i="1"/>
  <c r="AT62" i="1"/>
  <c r="AO62" i="1"/>
  <c r="AN62" i="1"/>
  <c r="AJ62" i="1"/>
  <c r="AC62" i="1"/>
  <c r="AB62" i="1"/>
  <c r="Y62" i="1"/>
  <c r="S62" i="1"/>
  <c r="K62" i="1"/>
  <c r="J62" i="1"/>
  <c r="EV61" i="1"/>
  <c r="EU61" i="1"/>
  <c r="ET61" i="1"/>
  <c r="EG61" i="1"/>
  <c r="EC61" i="1"/>
  <c r="DY61" i="1"/>
  <c r="DQ61" i="1"/>
  <c r="DK61" i="1"/>
  <c r="DH61" i="1"/>
  <c r="DD61" i="1"/>
  <c r="CW61" i="1"/>
  <c r="CP61" i="1"/>
  <c r="CL61" i="1"/>
  <c r="CG61" i="1"/>
  <c r="CB61" i="1"/>
  <c r="BW61" i="1"/>
  <c r="BV61" i="1"/>
  <c r="BQ61" i="1"/>
  <c r="BP61" i="1"/>
  <c r="BO61" i="1"/>
  <c r="BJ61" i="1"/>
  <c r="BI61" i="1"/>
  <c r="BH61" i="1"/>
  <c r="BC61" i="1"/>
  <c r="BB61" i="1"/>
  <c r="BA61" i="1"/>
  <c r="AV61" i="1"/>
  <c r="AU61" i="1"/>
  <c r="AT61" i="1"/>
  <c r="AO61" i="1"/>
  <c r="AN61" i="1"/>
  <c r="AJ61" i="1"/>
  <c r="AC61" i="1"/>
  <c r="AB61" i="1"/>
  <c r="Y61" i="1"/>
  <c r="S61" i="1"/>
  <c r="K61" i="1"/>
  <c r="J61" i="1"/>
  <c r="EV60" i="1"/>
  <c r="EU60" i="1"/>
  <c r="ET60" i="1"/>
  <c r="EG60" i="1"/>
  <c r="EC60" i="1"/>
  <c r="DQ60" i="1"/>
  <c r="DK60" i="1"/>
  <c r="DH60" i="1"/>
  <c r="DD60" i="1"/>
  <c r="CW60" i="1"/>
  <c r="CP60" i="1"/>
  <c r="CL60" i="1"/>
  <c r="CG60" i="1"/>
  <c r="CB60" i="1"/>
  <c r="BW60" i="1"/>
  <c r="BV60" i="1"/>
  <c r="BQ60" i="1"/>
  <c r="BP60" i="1"/>
  <c r="BO60" i="1"/>
  <c r="BJ60" i="1"/>
  <c r="BI60" i="1"/>
  <c r="BH60" i="1"/>
  <c r="BC60" i="1"/>
  <c r="BB60" i="1"/>
  <c r="BA60" i="1"/>
  <c r="AV60" i="1"/>
  <c r="AU60" i="1"/>
  <c r="AT60" i="1"/>
  <c r="AO60" i="1"/>
  <c r="AN60" i="1"/>
  <c r="AC60" i="1"/>
  <c r="AB60" i="1"/>
  <c r="Y60" i="1"/>
  <c r="S60" i="1"/>
  <c r="K60" i="1"/>
  <c r="J60" i="1"/>
  <c r="EV59" i="1"/>
  <c r="EU59" i="1"/>
  <c r="ET59" i="1"/>
  <c r="EG59" i="1"/>
  <c r="EC59" i="1"/>
  <c r="DY59" i="1"/>
  <c r="DQ59" i="1"/>
  <c r="DK59" i="1"/>
  <c r="DH59" i="1"/>
  <c r="DD59" i="1"/>
  <c r="CW59" i="1"/>
  <c r="CP59" i="1"/>
  <c r="CL59" i="1"/>
  <c r="CG59" i="1"/>
  <c r="CB59" i="1"/>
  <c r="BW59" i="1"/>
  <c r="BV59" i="1"/>
  <c r="BQ59" i="1"/>
  <c r="BP59" i="1"/>
  <c r="BO59" i="1"/>
  <c r="BJ59" i="1"/>
  <c r="BI59" i="1"/>
  <c r="BH59" i="1"/>
  <c r="BC59" i="1"/>
  <c r="BB59" i="1"/>
  <c r="BA59" i="1"/>
  <c r="AV59" i="1"/>
  <c r="AU59" i="1"/>
  <c r="AT59" i="1"/>
  <c r="AO59" i="1"/>
  <c r="AN59" i="1"/>
  <c r="AJ59" i="1"/>
  <c r="AC59" i="1"/>
  <c r="AB59" i="1"/>
  <c r="Y59" i="1"/>
  <c r="S59" i="1"/>
  <c r="K59" i="1"/>
  <c r="J59" i="1"/>
  <c r="EV57" i="1"/>
  <c r="EU57" i="1"/>
  <c r="ET57" i="1"/>
  <c r="EC57" i="1"/>
  <c r="DY57" i="1"/>
  <c r="DQ57" i="1"/>
  <c r="DK57" i="1"/>
  <c r="DH57" i="1"/>
  <c r="DD57" i="1"/>
  <c r="CW57" i="1"/>
  <c r="CP57" i="1"/>
  <c r="CL57" i="1"/>
  <c r="CG57" i="1"/>
  <c r="CB57" i="1"/>
  <c r="BW57" i="1"/>
  <c r="BV57" i="1"/>
  <c r="BQ57" i="1"/>
  <c r="BP57" i="1"/>
  <c r="BO57" i="1"/>
  <c r="BJ57" i="1"/>
  <c r="BI57" i="1"/>
  <c r="BH57" i="1"/>
  <c r="BC57" i="1"/>
  <c r="BB57" i="1"/>
  <c r="BA57" i="1"/>
  <c r="AV57" i="1"/>
  <c r="AU57" i="1"/>
  <c r="AT57" i="1"/>
  <c r="AO57" i="1"/>
  <c r="AN57" i="1"/>
  <c r="AJ57" i="1"/>
  <c r="AC57" i="1"/>
  <c r="Y57" i="1"/>
  <c r="S57" i="1"/>
  <c r="K57" i="1"/>
  <c r="J57" i="1"/>
  <c r="EV56" i="1"/>
  <c r="EU56" i="1"/>
  <c r="ET56" i="1"/>
  <c r="EG56" i="1"/>
  <c r="EC56" i="1"/>
  <c r="DQ56" i="1"/>
  <c r="DK56" i="1"/>
  <c r="DH56" i="1"/>
  <c r="DD56" i="1"/>
  <c r="CW56" i="1"/>
  <c r="CP56" i="1"/>
  <c r="CL56" i="1"/>
  <c r="CG56" i="1"/>
  <c r="CB56" i="1"/>
  <c r="BW56" i="1"/>
  <c r="BV56" i="1"/>
  <c r="BQ56" i="1"/>
  <c r="BP56" i="1"/>
  <c r="BO56" i="1"/>
  <c r="BJ56" i="1"/>
  <c r="BI56" i="1"/>
  <c r="BH56" i="1"/>
  <c r="BC56" i="1"/>
  <c r="BB56" i="1"/>
  <c r="BA56" i="1"/>
  <c r="AV56" i="1"/>
  <c r="AU56" i="1"/>
  <c r="AT56" i="1"/>
  <c r="AO56" i="1"/>
  <c r="AN56" i="1"/>
  <c r="AC56" i="1"/>
  <c r="AB56" i="1"/>
  <c r="Y56" i="1"/>
  <c r="S56" i="1"/>
  <c r="K56" i="1"/>
  <c r="J56" i="1"/>
  <c r="EV55" i="1"/>
  <c r="EU55" i="1"/>
  <c r="ET55" i="1"/>
  <c r="EC55" i="1"/>
  <c r="DQ55" i="1"/>
  <c r="DK55" i="1"/>
  <c r="DH55" i="1"/>
  <c r="DD55" i="1"/>
  <c r="CW55" i="1"/>
  <c r="CP55" i="1"/>
  <c r="CL55" i="1"/>
  <c r="CG55" i="1"/>
  <c r="CB55" i="1"/>
  <c r="BW55" i="1"/>
  <c r="BV55" i="1"/>
  <c r="BQ55" i="1"/>
  <c r="BP55" i="1"/>
  <c r="BO55" i="1"/>
  <c r="BJ55" i="1"/>
  <c r="BI55" i="1"/>
  <c r="BH55" i="1"/>
  <c r="BC55" i="1"/>
  <c r="BB55" i="1"/>
  <c r="BA55" i="1"/>
  <c r="AV55" i="1"/>
  <c r="AU55" i="1"/>
  <c r="AT55" i="1"/>
  <c r="AO55" i="1"/>
  <c r="AN55" i="1"/>
  <c r="AC55" i="1"/>
  <c r="Y55" i="1"/>
  <c r="S55" i="1"/>
  <c r="K55" i="1"/>
  <c r="J55" i="1"/>
  <c r="EV54" i="1"/>
  <c r="EU54" i="1"/>
  <c r="ET54" i="1"/>
  <c r="EG54" i="1"/>
  <c r="EC54" i="1"/>
  <c r="DQ54" i="1"/>
  <c r="DK54" i="1"/>
  <c r="DH54" i="1"/>
  <c r="DD54" i="1"/>
  <c r="CW54" i="1"/>
  <c r="CP54" i="1"/>
  <c r="CL54" i="1"/>
  <c r="CG54" i="1"/>
  <c r="CB54" i="1"/>
  <c r="BW54" i="1"/>
  <c r="BV54" i="1"/>
  <c r="BQ54" i="1"/>
  <c r="BP54" i="1"/>
  <c r="BO54" i="1"/>
  <c r="BJ54" i="1"/>
  <c r="BI54" i="1"/>
  <c r="BH54" i="1"/>
  <c r="BC54" i="1"/>
  <c r="BB54" i="1"/>
  <c r="BA54" i="1"/>
  <c r="AV54" i="1"/>
  <c r="AU54" i="1"/>
  <c r="AT54" i="1"/>
  <c r="AO54" i="1"/>
  <c r="AN54" i="1"/>
  <c r="AC54" i="1"/>
  <c r="AB54" i="1"/>
  <c r="Y54" i="1"/>
  <c r="S54" i="1"/>
  <c r="K54" i="1"/>
  <c r="J54" i="1"/>
  <c r="EV53" i="1"/>
  <c r="EU53" i="1"/>
  <c r="ET53" i="1"/>
  <c r="EC53" i="1"/>
  <c r="DY53" i="1"/>
  <c r="DQ53" i="1"/>
  <c r="DK53" i="1"/>
  <c r="DH53" i="1"/>
  <c r="DD53" i="1"/>
  <c r="CW53" i="1"/>
  <c r="CP53" i="1"/>
  <c r="CL53" i="1"/>
  <c r="CG53" i="1"/>
  <c r="CB53" i="1"/>
  <c r="BW53" i="1"/>
  <c r="BV53" i="1"/>
  <c r="BQ53" i="1"/>
  <c r="BP53" i="1"/>
  <c r="BO53" i="1"/>
  <c r="BJ53" i="1"/>
  <c r="BI53" i="1"/>
  <c r="BH53" i="1"/>
  <c r="BC53" i="1"/>
  <c r="BB53" i="1"/>
  <c r="BA53" i="1"/>
  <c r="AV53" i="1"/>
  <c r="AU53" i="1"/>
  <c r="AT53" i="1"/>
  <c r="AO53" i="1"/>
  <c r="AN53" i="1"/>
  <c r="AJ53" i="1"/>
  <c r="AC53" i="1"/>
  <c r="Y53" i="1"/>
  <c r="S53" i="1"/>
  <c r="K53" i="1"/>
  <c r="J53" i="1"/>
  <c r="EV52" i="1"/>
  <c r="EU52" i="1"/>
  <c r="ET52" i="1"/>
  <c r="EG52" i="1"/>
  <c r="EC52" i="1"/>
  <c r="DK52" i="1"/>
  <c r="DH52" i="1"/>
  <c r="DD52" i="1"/>
  <c r="CW52" i="1"/>
  <c r="Y52" i="1"/>
  <c r="K52" i="1"/>
  <c r="J52" i="1"/>
  <c r="EV51" i="1"/>
  <c r="EU51" i="1"/>
  <c r="ET51" i="1"/>
  <c r="EG51" i="1"/>
  <c r="EC51" i="1"/>
  <c r="DQ51" i="1"/>
  <c r="DK51" i="1"/>
  <c r="DH51" i="1"/>
  <c r="DD51" i="1"/>
  <c r="CW51" i="1"/>
  <c r="CP51" i="1"/>
  <c r="CL51" i="1"/>
  <c r="CG51" i="1"/>
  <c r="CB51" i="1"/>
  <c r="BW51" i="1"/>
  <c r="BV51" i="1"/>
  <c r="BQ51" i="1"/>
  <c r="BP51" i="1"/>
  <c r="BO51" i="1"/>
  <c r="BJ51" i="1"/>
  <c r="BI51" i="1"/>
  <c r="BH51" i="1"/>
  <c r="BC51" i="1"/>
  <c r="BB51" i="1"/>
  <c r="BA51" i="1"/>
  <c r="AV51" i="1"/>
  <c r="AU51" i="1"/>
  <c r="AT51" i="1"/>
  <c r="AO51" i="1"/>
  <c r="AN51" i="1"/>
  <c r="AC51" i="1"/>
  <c r="AB51" i="1"/>
  <c r="Y51" i="1"/>
  <c r="S51" i="1"/>
  <c r="K51" i="1"/>
  <c r="J51" i="1"/>
  <c r="EV50" i="1"/>
  <c r="EU50" i="1"/>
  <c r="ET50" i="1"/>
  <c r="EG50" i="1"/>
  <c r="EC50" i="1"/>
  <c r="DY50" i="1"/>
  <c r="DQ50" i="1"/>
  <c r="DK50" i="1"/>
  <c r="DH50" i="1"/>
  <c r="DD50" i="1"/>
  <c r="CW50" i="1"/>
  <c r="CP50" i="1"/>
  <c r="CL50" i="1"/>
  <c r="CG50" i="1"/>
  <c r="CB50" i="1"/>
  <c r="BW50" i="1"/>
  <c r="BV50" i="1"/>
  <c r="BQ50" i="1"/>
  <c r="BP50" i="1"/>
  <c r="BO50" i="1"/>
  <c r="BJ50" i="1"/>
  <c r="BI50" i="1"/>
  <c r="BH50" i="1"/>
  <c r="BC50" i="1"/>
  <c r="BB50" i="1"/>
  <c r="BA50" i="1"/>
  <c r="AV50" i="1"/>
  <c r="AU50" i="1"/>
  <c r="AT50" i="1"/>
  <c r="AO50" i="1"/>
  <c r="AN50" i="1"/>
  <c r="AJ50" i="1"/>
  <c r="AC50" i="1"/>
  <c r="AB50" i="1"/>
  <c r="Y50" i="1"/>
  <c r="S50" i="1"/>
  <c r="K50" i="1"/>
  <c r="J50" i="1"/>
  <c r="EV49" i="1"/>
  <c r="EU49" i="1"/>
  <c r="ET49" i="1"/>
  <c r="EC49" i="1"/>
  <c r="DQ49" i="1"/>
  <c r="DK49" i="1"/>
  <c r="DH49" i="1"/>
  <c r="DD49" i="1"/>
  <c r="CW49" i="1"/>
  <c r="CP49" i="1"/>
  <c r="CL49" i="1"/>
  <c r="CG49" i="1"/>
  <c r="CB49" i="1"/>
  <c r="BW49" i="1"/>
  <c r="BV49" i="1"/>
  <c r="BQ49" i="1"/>
  <c r="BP49" i="1"/>
  <c r="BO49" i="1"/>
  <c r="BJ49" i="1"/>
  <c r="BI49" i="1"/>
  <c r="BH49" i="1"/>
  <c r="BC49" i="1"/>
  <c r="BB49" i="1"/>
  <c r="BA49" i="1"/>
  <c r="AV49" i="1"/>
  <c r="AU49" i="1"/>
  <c r="AT49" i="1"/>
  <c r="AO49" i="1"/>
  <c r="AN49" i="1"/>
  <c r="AC49" i="1"/>
  <c r="Y49" i="1"/>
  <c r="S49" i="1"/>
  <c r="K49" i="1"/>
  <c r="J49" i="1"/>
  <c r="EV48" i="1"/>
  <c r="EU48" i="1"/>
  <c r="ET48" i="1"/>
  <c r="EG48" i="1"/>
  <c r="EC48" i="1"/>
  <c r="DQ48" i="1"/>
  <c r="DK48" i="1"/>
  <c r="DH48" i="1"/>
  <c r="DD48" i="1"/>
  <c r="CW48" i="1"/>
  <c r="CP48" i="1"/>
  <c r="CL48" i="1"/>
  <c r="CG48" i="1"/>
  <c r="CB48" i="1"/>
  <c r="BW48" i="1"/>
  <c r="BV48" i="1"/>
  <c r="BQ48" i="1"/>
  <c r="BP48" i="1"/>
  <c r="BO48" i="1"/>
  <c r="BJ48" i="1"/>
  <c r="BI48" i="1"/>
  <c r="BH48" i="1"/>
  <c r="BC48" i="1"/>
  <c r="BB48" i="1"/>
  <c r="BA48" i="1"/>
  <c r="AV48" i="1"/>
  <c r="AU48" i="1"/>
  <c r="AT48" i="1"/>
  <c r="AO48" i="1"/>
  <c r="AN48" i="1"/>
  <c r="AC48" i="1"/>
  <c r="AB48" i="1"/>
  <c r="Y48" i="1"/>
  <c r="S48" i="1"/>
  <c r="K48" i="1"/>
  <c r="J48" i="1"/>
  <c r="EV46" i="1"/>
  <c r="EU46" i="1"/>
  <c r="ET46" i="1"/>
  <c r="EG46" i="1"/>
  <c r="EC46" i="1"/>
  <c r="DY46" i="1"/>
  <c r="DQ46" i="1"/>
  <c r="DK46" i="1"/>
  <c r="DH46" i="1"/>
  <c r="DD46" i="1"/>
  <c r="CW46" i="1"/>
  <c r="CP46" i="1"/>
  <c r="CL46" i="1"/>
  <c r="CG46" i="1"/>
  <c r="CB46" i="1"/>
  <c r="BW46" i="1"/>
  <c r="BV46" i="1"/>
  <c r="BQ46" i="1"/>
  <c r="BP46" i="1"/>
  <c r="BO46" i="1"/>
  <c r="BJ46" i="1"/>
  <c r="BI46" i="1"/>
  <c r="BH46" i="1"/>
  <c r="BC46" i="1"/>
  <c r="BB46" i="1"/>
  <c r="BA46" i="1"/>
  <c r="AV46" i="1"/>
  <c r="AU46" i="1"/>
  <c r="AT46" i="1"/>
  <c r="AO46" i="1"/>
  <c r="AN46" i="1"/>
  <c r="AJ46" i="1"/>
  <c r="AC46" i="1"/>
  <c r="AB46" i="1"/>
  <c r="Y46" i="1"/>
  <c r="S46" i="1"/>
  <c r="K46" i="1"/>
  <c r="J46" i="1"/>
  <c r="EV45" i="1"/>
  <c r="EU45" i="1"/>
  <c r="ET45" i="1"/>
  <c r="EG45" i="1"/>
  <c r="EC45" i="1"/>
  <c r="DQ45" i="1"/>
  <c r="DK45" i="1"/>
  <c r="DH45" i="1"/>
  <c r="DD45" i="1"/>
  <c r="CW45" i="1"/>
  <c r="CP45" i="1"/>
  <c r="CL45" i="1"/>
  <c r="CG45" i="1"/>
  <c r="CB45" i="1"/>
  <c r="BW45" i="1"/>
  <c r="BV45" i="1"/>
  <c r="BQ45" i="1"/>
  <c r="BP45" i="1"/>
  <c r="BO45" i="1"/>
  <c r="BJ45" i="1"/>
  <c r="BI45" i="1"/>
  <c r="BH45" i="1"/>
  <c r="BC45" i="1"/>
  <c r="BB45" i="1"/>
  <c r="BA45" i="1"/>
  <c r="AV45" i="1"/>
  <c r="AU45" i="1"/>
  <c r="AT45" i="1"/>
  <c r="AO45" i="1"/>
  <c r="AN45" i="1"/>
  <c r="AC45" i="1"/>
  <c r="AB45" i="1"/>
  <c r="Y45" i="1"/>
  <c r="S45" i="1"/>
  <c r="K45" i="1"/>
  <c r="J45" i="1"/>
  <c r="EV44" i="1"/>
  <c r="EU44" i="1"/>
  <c r="ET44" i="1"/>
  <c r="EG44" i="1"/>
  <c r="EC44" i="1"/>
  <c r="DY44" i="1"/>
  <c r="DQ44" i="1"/>
  <c r="DK44" i="1"/>
  <c r="DH44" i="1"/>
  <c r="DD44" i="1"/>
  <c r="CW44" i="1"/>
  <c r="CP44" i="1"/>
  <c r="CL44" i="1"/>
  <c r="CG44" i="1"/>
  <c r="CB44" i="1"/>
  <c r="BW44" i="1"/>
  <c r="BV44" i="1"/>
  <c r="BQ44" i="1"/>
  <c r="BP44" i="1"/>
  <c r="BO44" i="1"/>
  <c r="BJ44" i="1"/>
  <c r="BI44" i="1"/>
  <c r="BH44" i="1"/>
  <c r="BC44" i="1"/>
  <c r="BB44" i="1"/>
  <c r="BA44" i="1"/>
  <c r="AV44" i="1"/>
  <c r="AU44" i="1"/>
  <c r="AT44" i="1"/>
  <c r="AO44" i="1"/>
  <c r="AN44" i="1"/>
  <c r="AJ44" i="1"/>
  <c r="AC44" i="1"/>
  <c r="AB44" i="1"/>
  <c r="Y44" i="1"/>
  <c r="S44" i="1"/>
  <c r="K44" i="1"/>
  <c r="J44" i="1"/>
  <c r="EV43" i="1"/>
  <c r="EU43" i="1"/>
  <c r="ET43" i="1"/>
  <c r="EC43" i="1"/>
  <c r="DY43" i="1"/>
  <c r="DQ43" i="1"/>
  <c r="DK43" i="1"/>
  <c r="DH43" i="1"/>
  <c r="DD43" i="1"/>
  <c r="CW43" i="1"/>
  <c r="CP43" i="1"/>
  <c r="CL43" i="1"/>
  <c r="CG43" i="1"/>
  <c r="CB43" i="1"/>
  <c r="BW43" i="1"/>
  <c r="BV43" i="1"/>
  <c r="BQ43" i="1"/>
  <c r="BP43" i="1"/>
  <c r="BO43" i="1"/>
  <c r="BJ43" i="1"/>
  <c r="BI43" i="1"/>
  <c r="BH43" i="1"/>
  <c r="BC43" i="1"/>
  <c r="BB43" i="1"/>
  <c r="BA43" i="1"/>
  <c r="AV43" i="1"/>
  <c r="AU43" i="1"/>
  <c r="AT43" i="1"/>
  <c r="AO43" i="1"/>
  <c r="AN43" i="1"/>
  <c r="AJ43" i="1"/>
  <c r="AC43" i="1"/>
  <c r="Y43" i="1"/>
  <c r="S43" i="1"/>
  <c r="K43" i="1"/>
  <c r="J43" i="1"/>
  <c r="EV42" i="1"/>
  <c r="EU42" i="1"/>
  <c r="ET42" i="1"/>
  <c r="EG42" i="1"/>
  <c r="EC42" i="1"/>
  <c r="DQ42" i="1"/>
  <c r="DK42" i="1"/>
  <c r="DH42" i="1"/>
  <c r="DD42" i="1"/>
  <c r="CW42" i="1"/>
  <c r="CP42" i="1"/>
  <c r="CL42" i="1"/>
  <c r="CG42" i="1"/>
  <c r="CB42" i="1"/>
  <c r="BW42" i="1"/>
  <c r="BV42" i="1"/>
  <c r="BQ42" i="1"/>
  <c r="BP42" i="1"/>
  <c r="BO42" i="1"/>
  <c r="BJ42" i="1"/>
  <c r="BI42" i="1"/>
  <c r="BH42" i="1"/>
  <c r="BC42" i="1"/>
  <c r="BB42" i="1"/>
  <c r="BA42" i="1"/>
  <c r="AV42" i="1"/>
  <c r="AU42" i="1"/>
  <c r="AT42" i="1"/>
  <c r="AO42" i="1"/>
  <c r="AN42" i="1"/>
  <c r="AC42" i="1"/>
  <c r="AB42" i="1"/>
  <c r="Y42" i="1"/>
  <c r="S42" i="1"/>
  <c r="K42" i="1"/>
  <c r="J42" i="1"/>
  <c r="EV41" i="1"/>
  <c r="EU41" i="1"/>
  <c r="ET41" i="1"/>
  <c r="EG41" i="1"/>
  <c r="EC41" i="1"/>
  <c r="DQ41" i="1"/>
  <c r="DK41" i="1"/>
  <c r="DH41" i="1"/>
  <c r="DD41" i="1"/>
  <c r="CW41" i="1"/>
  <c r="CP41" i="1"/>
  <c r="CL41" i="1"/>
  <c r="CG41" i="1"/>
  <c r="CB41" i="1"/>
  <c r="BW41" i="1"/>
  <c r="BV41" i="1"/>
  <c r="BQ41" i="1"/>
  <c r="BP41" i="1"/>
  <c r="BO41" i="1"/>
  <c r="BJ41" i="1"/>
  <c r="BI41" i="1"/>
  <c r="BH41" i="1"/>
  <c r="BC41" i="1"/>
  <c r="BB41" i="1"/>
  <c r="BA41" i="1"/>
  <c r="AV41" i="1"/>
  <c r="AU41" i="1"/>
  <c r="AT41" i="1"/>
  <c r="AO41" i="1"/>
  <c r="AN41" i="1"/>
  <c r="AC41" i="1"/>
  <c r="AB41" i="1"/>
  <c r="Y41" i="1"/>
  <c r="S41" i="1"/>
  <c r="K41" i="1"/>
  <c r="J41" i="1"/>
  <c r="EV40" i="1"/>
  <c r="EU40" i="1"/>
  <c r="ET40" i="1"/>
  <c r="EG40" i="1"/>
  <c r="EC40" i="1"/>
  <c r="DY40" i="1"/>
  <c r="DQ40" i="1"/>
  <c r="DK40" i="1"/>
  <c r="DH40" i="1"/>
  <c r="DD40" i="1"/>
  <c r="CW40" i="1"/>
  <c r="CP40" i="1"/>
  <c r="CL40" i="1"/>
  <c r="CG40" i="1"/>
  <c r="CB40" i="1"/>
  <c r="BW40" i="1"/>
  <c r="BV40" i="1"/>
  <c r="BQ40" i="1"/>
  <c r="BP40" i="1"/>
  <c r="BO40" i="1"/>
  <c r="BJ40" i="1"/>
  <c r="BI40" i="1"/>
  <c r="BH40" i="1"/>
  <c r="BC40" i="1"/>
  <c r="BB40" i="1"/>
  <c r="BA40" i="1"/>
  <c r="AV40" i="1"/>
  <c r="AU40" i="1"/>
  <c r="AT40" i="1"/>
  <c r="AO40" i="1"/>
  <c r="AN40" i="1"/>
  <c r="AJ40" i="1"/>
  <c r="AC40" i="1"/>
  <c r="AB40" i="1"/>
  <c r="Y40" i="1"/>
  <c r="S40" i="1"/>
  <c r="K40" i="1"/>
  <c r="J40" i="1"/>
  <c r="EV39" i="1"/>
  <c r="EU39" i="1"/>
  <c r="ET39" i="1"/>
  <c r="EC39" i="1"/>
  <c r="DQ39" i="1"/>
  <c r="DK39" i="1"/>
  <c r="DH39" i="1"/>
  <c r="DD39" i="1"/>
  <c r="CW39" i="1"/>
  <c r="CP39" i="1"/>
  <c r="CL39" i="1"/>
  <c r="CG39" i="1"/>
  <c r="CB39" i="1"/>
  <c r="BW39" i="1"/>
  <c r="BV39" i="1"/>
  <c r="BQ39" i="1"/>
  <c r="BP39" i="1"/>
  <c r="BO39" i="1"/>
  <c r="BJ39" i="1"/>
  <c r="BI39" i="1"/>
  <c r="BH39" i="1"/>
  <c r="BC39" i="1"/>
  <c r="BB39" i="1"/>
  <c r="BA39" i="1"/>
  <c r="AV39" i="1"/>
  <c r="AU39" i="1"/>
  <c r="AT39" i="1"/>
  <c r="AO39" i="1"/>
  <c r="AN39" i="1"/>
  <c r="AC39" i="1"/>
  <c r="Y39" i="1"/>
  <c r="S39" i="1"/>
  <c r="K39" i="1"/>
  <c r="J39" i="1"/>
  <c r="EV38" i="1"/>
  <c r="EU38" i="1"/>
  <c r="ET38" i="1"/>
  <c r="EG38" i="1"/>
  <c r="EC38" i="1"/>
  <c r="DQ38" i="1"/>
  <c r="DK38" i="1"/>
  <c r="DH38" i="1"/>
  <c r="DD38" i="1"/>
  <c r="CW38" i="1"/>
  <c r="CP38" i="1"/>
  <c r="CL38" i="1"/>
  <c r="CG38" i="1"/>
  <c r="CB38" i="1"/>
  <c r="BW38" i="1"/>
  <c r="BV38" i="1"/>
  <c r="BQ38" i="1"/>
  <c r="BP38" i="1"/>
  <c r="BO38" i="1"/>
  <c r="BJ38" i="1"/>
  <c r="BI38" i="1"/>
  <c r="BH38" i="1"/>
  <c r="BC38" i="1"/>
  <c r="BB38" i="1"/>
  <c r="BA38" i="1"/>
  <c r="AV38" i="1"/>
  <c r="AU38" i="1"/>
  <c r="AT38" i="1"/>
  <c r="AO38" i="1"/>
  <c r="AN38" i="1"/>
  <c r="AC38" i="1"/>
  <c r="AB38" i="1"/>
  <c r="Y38" i="1"/>
  <c r="S38" i="1"/>
  <c r="K38" i="1"/>
  <c r="J38" i="1"/>
  <c r="EV37" i="1"/>
  <c r="EU37" i="1"/>
  <c r="ET37" i="1"/>
  <c r="EG37" i="1"/>
  <c r="EC37" i="1"/>
  <c r="DQ37" i="1"/>
  <c r="DK37" i="1"/>
  <c r="DH37" i="1"/>
  <c r="DD37" i="1"/>
  <c r="CW37" i="1"/>
  <c r="CP37" i="1"/>
  <c r="CL37" i="1"/>
  <c r="CG37" i="1"/>
  <c r="CB37" i="1"/>
  <c r="BW37" i="1"/>
  <c r="BV37" i="1"/>
  <c r="BQ37" i="1"/>
  <c r="BP37" i="1"/>
  <c r="BO37" i="1"/>
  <c r="BJ37" i="1"/>
  <c r="BI37" i="1"/>
  <c r="BH37" i="1"/>
  <c r="BC37" i="1"/>
  <c r="BB37" i="1"/>
  <c r="BA37" i="1"/>
  <c r="AV37" i="1"/>
  <c r="AU37" i="1"/>
  <c r="AT37" i="1"/>
  <c r="AO37" i="1"/>
  <c r="AN37" i="1"/>
  <c r="AC37" i="1"/>
  <c r="AB37" i="1"/>
  <c r="Y37" i="1"/>
  <c r="S37" i="1"/>
  <c r="K37" i="1"/>
  <c r="J37" i="1"/>
  <c r="EV36" i="1"/>
  <c r="EU36" i="1"/>
  <c r="ET36" i="1"/>
  <c r="EG36" i="1"/>
  <c r="EC36" i="1"/>
  <c r="DQ36" i="1"/>
  <c r="DK36" i="1"/>
  <c r="DH36" i="1"/>
  <c r="DD36" i="1"/>
  <c r="CW36" i="1"/>
  <c r="CP36" i="1"/>
  <c r="CL36" i="1"/>
  <c r="CG36" i="1"/>
  <c r="CB36" i="1"/>
  <c r="BW36" i="1"/>
  <c r="BV36" i="1"/>
  <c r="BQ36" i="1"/>
  <c r="BP36" i="1"/>
  <c r="BO36" i="1"/>
  <c r="BJ36" i="1"/>
  <c r="BI36" i="1"/>
  <c r="BH36" i="1"/>
  <c r="BC36" i="1"/>
  <c r="BB36" i="1"/>
  <c r="BA36" i="1"/>
  <c r="AV36" i="1"/>
  <c r="AU36" i="1"/>
  <c r="AT36" i="1"/>
  <c r="AO36" i="1"/>
  <c r="AN36" i="1"/>
  <c r="AC36" i="1"/>
  <c r="AB36" i="1"/>
  <c r="Y36" i="1"/>
  <c r="S36" i="1"/>
  <c r="K36" i="1"/>
  <c r="J36" i="1"/>
  <c r="EV35" i="1"/>
  <c r="EU35" i="1"/>
  <c r="ET35" i="1"/>
  <c r="EG35" i="1"/>
  <c r="EC35" i="1"/>
  <c r="DY35" i="1"/>
  <c r="DQ35" i="1"/>
  <c r="DK35" i="1"/>
  <c r="DH35" i="1"/>
  <c r="DD35" i="1"/>
  <c r="CW35" i="1"/>
  <c r="CP35" i="1"/>
  <c r="CL35" i="1"/>
  <c r="CG35" i="1"/>
  <c r="CB35" i="1"/>
  <c r="BW35" i="1"/>
  <c r="BV35" i="1"/>
  <c r="BQ35" i="1"/>
  <c r="BP35" i="1"/>
  <c r="BO35" i="1"/>
  <c r="BJ35" i="1"/>
  <c r="BI35" i="1"/>
  <c r="BH35" i="1"/>
  <c r="BC35" i="1"/>
  <c r="BB35" i="1"/>
  <c r="BA35" i="1"/>
  <c r="AV35" i="1"/>
  <c r="AU35" i="1"/>
  <c r="AT35" i="1"/>
  <c r="AO35" i="1"/>
  <c r="AN35" i="1"/>
  <c r="AJ35" i="1"/>
  <c r="AC35" i="1"/>
  <c r="AB35" i="1"/>
  <c r="Y35" i="1"/>
  <c r="S35" i="1"/>
  <c r="K35" i="1"/>
  <c r="J35" i="1"/>
  <c r="EV34" i="1"/>
  <c r="EU34" i="1"/>
  <c r="ET34" i="1"/>
  <c r="EC34" i="1"/>
  <c r="DQ34" i="1"/>
  <c r="DK34" i="1"/>
  <c r="DH34" i="1"/>
  <c r="DD34" i="1"/>
  <c r="CW34" i="1"/>
  <c r="CP34" i="1"/>
  <c r="CL34" i="1"/>
  <c r="CG34" i="1"/>
  <c r="CB34" i="1"/>
  <c r="BW34" i="1"/>
  <c r="BV34" i="1"/>
  <c r="BQ34" i="1"/>
  <c r="BP34" i="1"/>
  <c r="BO34" i="1"/>
  <c r="BJ34" i="1"/>
  <c r="BI34" i="1"/>
  <c r="BH34" i="1"/>
  <c r="BC34" i="1"/>
  <c r="BB34" i="1"/>
  <c r="BA34" i="1"/>
  <c r="AV34" i="1"/>
  <c r="AU34" i="1"/>
  <c r="AT34" i="1"/>
  <c r="AO34" i="1"/>
  <c r="AN34" i="1"/>
  <c r="AC34" i="1"/>
  <c r="Y34" i="1"/>
  <c r="S34" i="1"/>
  <c r="K34" i="1"/>
  <c r="J34" i="1"/>
  <c r="EV33" i="1"/>
  <c r="EU33" i="1"/>
  <c r="ET33" i="1"/>
  <c r="EG33" i="1"/>
  <c r="EC33" i="1"/>
  <c r="DQ33" i="1"/>
  <c r="DK33" i="1"/>
  <c r="DH33" i="1"/>
  <c r="DD33" i="1"/>
  <c r="CW33" i="1"/>
  <c r="CP33" i="1"/>
  <c r="CL33" i="1"/>
  <c r="CG33" i="1"/>
  <c r="CB33" i="1"/>
  <c r="BW33" i="1"/>
  <c r="BV33" i="1"/>
  <c r="BQ33" i="1"/>
  <c r="BP33" i="1"/>
  <c r="BO33" i="1"/>
  <c r="BJ33" i="1"/>
  <c r="BI33" i="1"/>
  <c r="BH33" i="1"/>
  <c r="BC33" i="1"/>
  <c r="BB33" i="1"/>
  <c r="BA33" i="1"/>
  <c r="AV33" i="1"/>
  <c r="AU33" i="1"/>
  <c r="AT33" i="1"/>
  <c r="AO33" i="1"/>
  <c r="AN33" i="1"/>
  <c r="AC33" i="1"/>
  <c r="AB33" i="1"/>
  <c r="Y33" i="1"/>
  <c r="S33" i="1"/>
  <c r="K33" i="1"/>
  <c r="J33" i="1"/>
  <c r="EV32" i="1"/>
  <c r="EU32" i="1"/>
  <c r="ET32" i="1"/>
  <c r="EC32" i="1"/>
  <c r="DY32" i="1"/>
  <c r="DQ32" i="1"/>
  <c r="DK32" i="1"/>
  <c r="DH32" i="1"/>
  <c r="DD32" i="1"/>
  <c r="CW32" i="1"/>
  <c r="CP32" i="1"/>
  <c r="CL32" i="1"/>
  <c r="CG32" i="1"/>
  <c r="CB32" i="1"/>
  <c r="BW32" i="1"/>
  <c r="BV32" i="1"/>
  <c r="BQ32" i="1"/>
  <c r="BP32" i="1"/>
  <c r="BO32" i="1"/>
  <c r="BJ32" i="1"/>
  <c r="BI32" i="1"/>
  <c r="BH32" i="1"/>
  <c r="BC32" i="1"/>
  <c r="BB32" i="1"/>
  <c r="BA32" i="1"/>
  <c r="AV32" i="1"/>
  <c r="AU32" i="1"/>
  <c r="AT32" i="1"/>
  <c r="AO32" i="1"/>
  <c r="AN32" i="1"/>
  <c r="AJ32" i="1"/>
  <c r="AC32" i="1"/>
  <c r="Y32" i="1"/>
  <c r="S32" i="1"/>
  <c r="K32" i="1"/>
  <c r="J32" i="1"/>
  <c r="EV31" i="1"/>
  <c r="EU31" i="1"/>
  <c r="ET31" i="1"/>
  <c r="EC31" i="1"/>
  <c r="DQ31" i="1"/>
  <c r="DK31" i="1"/>
  <c r="DH31" i="1"/>
  <c r="DD31" i="1"/>
  <c r="CW31" i="1"/>
  <c r="CP31" i="1"/>
  <c r="CL31" i="1"/>
  <c r="CG31" i="1"/>
  <c r="CB31" i="1"/>
  <c r="BW31" i="1"/>
  <c r="BV31" i="1"/>
  <c r="BQ31" i="1"/>
  <c r="BP31" i="1"/>
  <c r="BO31" i="1"/>
  <c r="BJ31" i="1"/>
  <c r="BI31" i="1"/>
  <c r="BH31" i="1"/>
  <c r="BC31" i="1"/>
  <c r="BB31" i="1"/>
  <c r="BA31" i="1"/>
  <c r="AV31" i="1"/>
  <c r="AU31" i="1"/>
  <c r="AT31" i="1"/>
  <c r="AO31" i="1"/>
  <c r="AN31" i="1"/>
  <c r="AC31" i="1"/>
  <c r="Y31" i="1"/>
  <c r="S31" i="1"/>
  <c r="K31" i="1"/>
  <c r="J31" i="1"/>
  <c r="EV30" i="1"/>
  <c r="EU30" i="1"/>
  <c r="ET30" i="1"/>
  <c r="EG30" i="1"/>
  <c r="EC30" i="1"/>
  <c r="DY30" i="1"/>
  <c r="DQ30" i="1"/>
  <c r="DK30" i="1"/>
  <c r="DH30" i="1"/>
  <c r="DD30" i="1"/>
  <c r="CW30" i="1"/>
  <c r="CP30" i="1"/>
  <c r="CL30" i="1"/>
  <c r="CG30" i="1"/>
  <c r="CB30" i="1"/>
  <c r="BW30" i="1"/>
  <c r="BV30" i="1"/>
  <c r="BQ30" i="1"/>
  <c r="BP30" i="1"/>
  <c r="BO30" i="1"/>
  <c r="BJ30" i="1"/>
  <c r="BI30" i="1"/>
  <c r="BH30" i="1"/>
  <c r="BC30" i="1"/>
  <c r="BB30" i="1"/>
  <c r="BA30" i="1"/>
  <c r="AV30" i="1"/>
  <c r="AU30" i="1"/>
  <c r="AT30" i="1"/>
  <c r="AO30" i="1"/>
  <c r="AN30" i="1"/>
  <c r="AJ30" i="1"/>
  <c r="AC30" i="1"/>
  <c r="AB30" i="1"/>
  <c r="Y30" i="1"/>
  <c r="S30" i="1"/>
  <c r="K30" i="1"/>
  <c r="J30" i="1"/>
  <c r="EV29" i="1"/>
  <c r="EU29" i="1"/>
  <c r="ET29" i="1"/>
  <c r="EC29" i="1"/>
  <c r="DQ29" i="1"/>
  <c r="DK29" i="1"/>
  <c r="DH29" i="1"/>
  <c r="DD29" i="1"/>
  <c r="CW29" i="1"/>
  <c r="CP29" i="1"/>
  <c r="CL29" i="1"/>
  <c r="CG29" i="1"/>
  <c r="CB29" i="1"/>
  <c r="BW29" i="1"/>
  <c r="BV29" i="1"/>
  <c r="BQ29" i="1"/>
  <c r="BP29" i="1"/>
  <c r="BO29" i="1"/>
  <c r="BJ29" i="1"/>
  <c r="BI29" i="1"/>
  <c r="BH29" i="1"/>
  <c r="BC29" i="1"/>
  <c r="BB29" i="1"/>
  <c r="BA29" i="1"/>
  <c r="AV29" i="1"/>
  <c r="AU29" i="1"/>
  <c r="AT29" i="1"/>
  <c r="AO29" i="1"/>
  <c r="AN29" i="1"/>
  <c r="AC29" i="1"/>
  <c r="Y29" i="1"/>
  <c r="S29" i="1"/>
  <c r="K29" i="1"/>
  <c r="J29" i="1"/>
  <c r="EV28" i="1"/>
  <c r="EU28" i="1"/>
  <c r="ET28" i="1"/>
  <c r="EC28" i="1"/>
  <c r="DQ28" i="1"/>
  <c r="DK28" i="1"/>
  <c r="DH28" i="1"/>
  <c r="DD28" i="1"/>
  <c r="CW28" i="1"/>
  <c r="CP28" i="1"/>
  <c r="CL28" i="1"/>
  <c r="CG28" i="1"/>
  <c r="CB28" i="1"/>
  <c r="BW28" i="1"/>
  <c r="BV28" i="1"/>
  <c r="BQ28" i="1"/>
  <c r="BP28" i="1"/>
  <c r="BO28" i="1"/>
  <c r="BJ28" i="1"/>
  <c r="BI28" i="1"/>
  <c r="BH28" i="1"/>
  <c r="BC28" i="1"/>
  <c r="BB28" i="1"/>
  <c r="BA28" i="1"/>
  <c r="AV28" i="1"/>
  <c r="AU28" i="1"/>
  <c r="AT28" i="1"/>
  <c r="AO28" i="1"/>
  <c r="AN28" i="1"/>
  <c r="AC28" i="1"/>
  <c r="Y28" i="1"/>
  <c r="S28" i="1"/>
  <c r="K28" i="1"/>
  <c r="J28" i="1"/>
  <c r="EV27" i="1"/>
  <c r="EU27" i="1"/>
  <c r="ET27" i="1"/>
  <c r="EC27" i="1"/>
  <c r="DQ27" i="1"/>
  <c r="DK27" i="1"/>
  <c r="DH27" i="1"/>
  <c r="DD27" i="1"/>
  <c r="CW27" i="1"/>
  <c r="CP27" i="1"/>
  <c r="CL27" i="1"/>
  <c r="CG27" i="1"/>
  <c r="CB27" i="1"/>
  <c r="BW27" i="1"/>
  <c r="BV27" i="1"/>
  <c r="BQ27" i="1"/>
  <c r="BP27" i="1"/>
  <c r="BO27" i="1"/>
  <c r="BJ27" i="1"/>
  <c r="BI27" i="1"/>
  <c r="BH27" i="1"/>
  <c r="BC27" i="1"/>
  <c r="BB27" i="1"/>
  <c r="BA27" i="1"/>
  <c r="AV27" i="1"/>
  <c r="AU27" i="1"/>
  <c r="AT27" i="1"/>
  <c r="AO27" i="1"/>
  <c r="AN27" i="1"/>
  <c r="AC27" i="1"/>
  <c r="Y27" i="1"/>
  <c r="S27" i="1"/>
  <c r="K27" i="1"/>
  <c r="J27" i="1"/>
  <c r="EV26" i="1"/>
  <c r="EU26" i="1"/>
  <c r="ET26" i="1"/>
  <c r="EC26" i="1"/>
  <c r="DQ26" i="1"/>
  <c r="DK26" i="1"/>
  <c r="DH26" i="1"/>
  <c r="DD26" i="1"/>
  <c r="CW26" i="1"/>
  <c r="CP26" i="1"/>
  <c r="CL26" i="1"/>
  <c r="CG26" i="1"/>
  <c r="CB26" i="1"/>
  <c r="BW26" i="1"/>
  <c r="BV26" i="1"/>
  <c r="BQ26" i="1"/>
  <c r="BP26" i="1"/>
  <c r="BO26" i="1"/>
  <c r="BJ26" i="1"/>
  <c r="BI26" i="1"/>
  <c r="BH26" i="1"/>
  <c r="BC26" i="1"/>
  <c r="BB26" i="1"/>
  <c r="BA26" i="1"/>
  <c r="AV26" i="1"/>
  <c r="AU26" i="1"/>
  <c r="AT26" i="1"/>
  <c r="AO26" i="1"/>
  <c r="AN26" i="1"/>
  <c r="AC26" i="1"/>
  <c r="Y26" i="1"/>
  <c r="S26" i="1"/>
  <c r="K26" i="1"/>
  <c r="J26" i="1"/>
  <c r="EV25" i="1"/>
  <c r="EU25" i="1"/>
  <c r="ET25" i="1"/>
  <c r="EG25" i="1"/>
  <c r="EC25" i="1"/>
  <c r="DY25" i="1"/>
  <c r="DQ25" i="1"/>
  <c r="DK25" i="1"/>
  <c r="DH25" i="1"/>
  <c r="DD25" i="1"/>
  <c r="CW25" i="1"/>
  <c r="CP25" i="1"/>
  <c r="CL25" i="1"/>
  <c r="CG25" i="1"/>
  <c r="CB25" i="1"/>
  <c r="BW25" i="1"/>
  <c r="BV25" i="1"/>
  <c r="BQ25" i="1"/>
  <c r="BP25" i="1"/>
  <c r="BO25" i="1"/>
  <c r="BJ25" i="1"/>
  <c r="BI25" i="1"/>
  <c r="BH25" i="1"/>
  <c r="BC25" i="1"/>
  <c r="BB25" i="1"/>
  <c r="BA25" i="1"/>
  <c r="AV25" i="1"/>
  <c r="AU25" i="1"/>
  <c r="AT25" i="1"/>
  <c r="AO25" i="1"/>
  <c r="AN25" i="1"/>
  <c r="AJ25" i="1"/>
  <c r="AC25" i="1"/>
  <c r="AB25" i="1"/>
  <c r="Y25" i="1"/>
  <c r="S25" i="1"/>
  <c r="K25" i="1"/>
  <c r="J25" i="1"/>
  <c r="EV24" i="1"/>
  <c r="EU24" i="1"/>
  <c r="ET24" i="1"/>
  <c r="EG24" i="1"/>
  <c r="EC24" i="1"/>
  <c r="DQ24" i="1"/>
  <c r="DK24" i="1"/>
  <c r="DH24" i="1"/>
  <c r="DD24" i="1"/>
  <c r="CW24" i="1"/>
  <c r="CP24" i="1"/>
  <c r="CL24" i="1"/>
  <c r="CG24" i="1"/>
  <c r="CB24" i="1"/>
  <c r="BW24" i="1"/>
  <c r="BV24" i="1"/>
  <c r="BQ24" i="1"/>
  <c r="BP24" i="1"/>
  <c r="BO24" i="1"/>
  <c r="BJ24" i="1"/>
  <c r="BI24" i="1"/>
  <c r="BH24" i="1"/>
  <c r="BC24" i="1"/>
  <c r="BB24" i="1"/>
  <c r="BA24" i="1"/>
  <c r="AV24" i="1"/>
  <c r="AU24" i="1"/>
  <c r="AT24" i="1"/>
  <c r="AO24" i="1"/>
  <c r="AN24" i="1"/>
  <c r="AC24" i="1"/>
  <c r="AB24" i="1"/>
  <c r="Y24" i="1"/>
  <c r="S24" i="1"/>
  <c r="K24" i="1"/>
  <c r="J24" i="1"/>
  <c r="EV22" i="1"/>
  <c r="EU22" i="1"/>
  <c r="ET22" i="1"/>
  <c r="EC22" i="1"/>
  <c r="DQ22" i="1"/>
  <c r="DK22" i="1"/>
  <c r="DH22" i="1"/>
  <c r="DD22" i="1"/>
  <c r="CW22" i="1"/>
  <c r="CP22" i="1"/>
  <c r="CL22" i="1"/>
  <c r="CG22" i="1"/>
  <c r="CB22" i="1"/>
  <c r="BW22" i="1"/>
  <c r="BV22" i="1"/>
  <c r="BQ22" i="1"/>
  <c r="BP22" i="1"/>
  <c r="BO22" i="1"/>
  <c r="BJ22" i="1"/>
  <c r="BI22" i="1"/>
  <c r="BH22" i="1"/>
  <c r="BC22" i="1"/>
  <c r="BB22" i="1"/>
  <c r="BA22" i="1"/>
  <c r="AV22" i="1"/>
  <c r="AU22" i="1"/>
  <c r="AT22" i="1"/>
  <c r="AO22" i="1"/>
  <c r="AN22" i="1"/>
  <c r="AC22" i="1"/>
  <c r="Y22" i="1"/>
  <c r="S22" i="1"/>
  <c r="K22" i="1"/>
  <c r="J22" i="1"/>
  <c r="EV21" i="1"/>
  <c r="EU21" i="1"/>
  <c r="ET21" i="1"/>
  <c r="EG21" i="1"/>
  <c r="EC21" i="1"/>
  <c r="DQ21" i="1"/>
  <c r="DK21" i="1"/>
  <c r="DH21" i="1"/>
  <c r="DD21" i="1"/>
  <c r="CW21" i="1"/>
  <c r="CP21" i="1"/>
  <c r="CL21" i="1"/>
  <c r="CG21" i="1"/>
  <c r="CB21" i="1"/>
  <c r="BW21" i="1"/>
  <c r="BV21" i="1"/>
  <c r="BQ21" i="1"/>
  <c r="BP21" i="1"/>
  <c r="BO21" i="1"/>
  <c r="BJ21" i="1"/>
  <c r="BI21" i="1"/>
  <c r="BH21" i="1"/>
  <c r="BC21" i="1"/>
  <c r="BB21" i="1"/>
  <c r="BA21" i="1"/>
  <c r="AV21" i="1"/>
  <c r="AU21" i="1"/>
  <c r="AT21" i="1"/>
  <c r="AO21" i="1"/>
  <c r="AN21" i="1"/>
  <c r="AC21" i="1"/>
  <c r="Y21" i="1"/>
  <c r="S21" i="1"/>
  <c r="K21" i="1"/>
  <c r="J21" i="1"/>
  <c r="EV20" i="1"/>
  <c r="EU20" i="1"/>
  <c r="ET20" i="1"/>
  <c r="EG20" i="1"/>
  <c r="EC20" i="1"/>
  <c r="DQ20" i="1"/>
  <c r="DK20" i="1"/>
  <c r="DH20" i="1"/>
  <c r="DD20" i="1"/>
  <c r="CW20" i="1"/>
  <c r="CP20" i="1"/>
  <c r="CL20" i="1"/>
  <c r="CG20" i="1"/>
  <c r="CB20" i="1"/>
  <c r="BW20" i="1"/>
  <c r="BV20" i="1"/>
  <c r="BQ20" i="1"/>
  <c r="BP20" i="1"/>
  <c r="BO20" i="1"/>
  <c r="BJ20" i="1"/>
  <c r="BI20" i="1"/>
  <c r="BH20" i="1"/>
  <c r="BC20" i="1"/>
  <c r="BB20" i="1"/>
  <c r="BA20" i="1"/>
  <c r="AV20" i="1"/>
  <c r="AU20" i="1"/>
  <c r="AT20" i="1"/>
  <c r="AO20" i="1"/>
  <c r="AN20" i="1"/>
  <c r="AC20" i="1"/>
  <c r="AB20" i="1"/>
  <c r="Y20" i="1"/>
  <c r="S20" i="1"/>
  <c r="K20" i="1"/>
  <c r="J20" i="1"/>
  <c r="EV19" i="1"/>
  <c r="EU19" i="1"/>
  <c r="ET19" i="1"/>
  <c r="EG19" i="1"/>
  <c r="EC19" i="1"/>
  <c r="DK19" i="1"/>
  <c r="DH19" i="1"/>
  <c r="DD19" i="1"/>
  <c r="CW19" i="1"/>
  <c r="CP19" i="1"/>
  <c r="CL19" i="1"/>
  <c r="CG19" i="1"/>
  <c r="CB19" i="1"/>
  <c r="BW19" i="1"/>
  <c r="BV19" i="1"/>
  <c r="BQ19" i="1"/>
  <c r="BP19" i="1"/>
  <c r="BO19" i="1"/>
  <c r="BJ19" i="1"/>
  <c r="BI19" i="1"/>
  <c r="BH19" i="1"/>
  <c r="BC19" i="1"/>
  <c r="BB19" i="1"/>
  <c r="BA19" i="1"/>
  <c r="AV19" i="1"/>
  <c r="AU19" i="1"/>
  <c r="AT19" i="1"/>
  <c r="AO19" i="1"/>
  <c r="AN19" i="1"/>
  <c r="AB19" i="1"/>
  <c r="Y19" i="1"/>
  <c r="S19" i="1"/>
  <c r="K19" i="1"/>
  <c r="J19" i="1"/>
  <c r="EV18" i="1"/>
  <c r="EU18" i="1"/>
  <c r="ET18" i="1"/>
  <c r="EG18" i="1"/>
  <c r="EC18" i="1"/>
  <c r="DQ18" i="1"/>
  <c r="DK18" i="1"/>
  <c r="DH18" i="1"/>
  <c r="DD18" i="1"/>
  <c r="CW18" i="1"/>
  <c r="CP18" i="1"/>
  <c r="CL18" i="1"/>
  <c r="CG18" i="1"/>
  <c r="CB18" i="1"/>
  <c r="BW18" i="1"/>
  <c r="BV18" i="1"/>
  <c r="BQ18" i="1"/>
  <c r="BP18" i="1"/>
  <c r="BO18" i="1"/>
  <c r="BJ18" i="1"/>
  <c r="BI18" i="1"/>
  <c r="BH18" i="1"/>
  <c r="BC18" i="1"/>
  <c r="BB18" i="1"/>
  <c r="BA18" i="1"/>
  <c r="AV18" i="1"/>
  <c r="AU18" i="1"/>
  <c r="AT18" i="1"/>
  <c r="AO18" i="1"/>
  <c r="AN18" i="1"/>
  <c r="AC18" i="1"/>
  <c r="AB18" i="1"/>
  <c r="Y18" i="1"/>
  <c r="S18" i="1"/>
  <c r="K18" i="1"/>
  <c r="J18" i="1"/>
  <c r="EV17" i="1"/>
  <c r="EU17" i="1"/>
  <c r="ET17" i="1"/>
  <c r="EC17" i="1"/>
  <c r="DY17" i="1"/>
  <c r="DQ17" i="1"/>
  <c r="DK17" i="1"/>
  <c r="DH17" i="1"/>
  <c r="DD17" i="1"/>
  <c r="CW17" i="1"/>
  <c r="CP17" i="1"/>
  <c r="CL17" i="1"/>
  <c r="CG17" i="1"/>
  <c r="CB17" i="1"/>
  <c r="BW17" i="1"/>
  <c r="BV17" i="1"/>
  <c r="BQ17" i="1"/>
  <c r="BP17" i="1"/>
  <c r="BO17" i="1"/>
  <c r="BJ17" i="1"/>
  <c r="BI17" i="1"/>
  <c r="BH17" i="1"/>
  <c r="BC17" i="1"/>
  <c r="BB17" i="1"/>
  <c r="BA17" i="1"/>
  <c r="AV17" i="1"/>
  <c r="AU17" i="1"/>
  <c r="AT17" i="1"/>
  <c r="AO17" i="1"/>
  <c r="AN17" i="1"/>
  <c r="AJ17" i="1"/>
  <c r="AC17" i="1"/>
  <c r="Y17" i="1"/>
  <c r="S17" i="1"/>
  <c r="K17" i="1"/>
  <c r="J17" i="1"/>
  <c r="EV16" i="1"/>
  <c r="EU16" i="1"/>
  <c r="ET16" i="1"/>
  <c r="EC16" i="1"/>
  <c r="DQ16" i="1"/>
  <c r="DK16" i="1"/>
  <c r="DH16" i="1"/>
  <c r="DD16" i="1"/>
  <c r="CW16" i="1"/>
  <c r="CP16" i="1"/>
  <c r="CL16" i="1"/>
  <c r="CG16" i="1"/>
  <c r="CB16" i="1"/>
  <c r="BW16" i="1"/>
  <c r="BV16" i="1"/>
  <c r="BQ16" i="1"/>
  <c r="BP16" i="1"/>
  <c r="BO16" i="1"/>
  <c r="BJ16" i="1"/>
  <c r="BI16" i="1"/>
  <c r="BH16" i="1"/>
  <c r="BC16" i="1"/>
  <c r="BB16" i="1"/>
  <c r="BA16" i="1"/>
  <c r="AV16" i="1"/>
  <c r="AU16" i="1"/>
  <c r="AT16" i="1"/>
  <c r="AO16" i="1"/>
  <c r="AN16" i="1"/>
  <c r="AC16" i="1"/>
  <c r="Y16" i="1"/>
  <c r="S16" i="1"/>
  <c r="K16" i="1"/>
  <c r="J16" i="1"/>
  <c r="EV15" i="1"/>
  <c r="EU15" i="1"/>
  <c r="ET15" i="1"/>
  <c r="EG15" i="1"/>
  <c r="EC15" i="1"/>
  <c r="DQ15" i="1"/>
  <c r="DK15" i="1"/>
  <c r="DH15" i="1"/>
  <c r="DD15" i="1"/>
  <c r="CW15" i="1"/>
  <c r="CP15" i="1"/>
  <c r="CL15" i="1"/>
  <c r="CG15" i="1"/>
  <c r="CB15" i="1"/>
  <c r="BW15" i="1"/>
  <c r="BV15" i="1"/>
  <c r="BQ15" i="1"/>
  <c r="BP15" i="1"/>
  <c r="BO15" i="1"/>
  <c r="BJ15" i="1"/>
  <c r="BI15" i="1"/>
  <c r="BH15" i="1"/>
  <c r="BC15" i="1"/>
  <c r="BB15" i="1"/>
  <c r="BA15" i="1"/>
  <c r="AV15" i="1"/>
  <c r="AU15" i="1"/>
  <c r="AT15" i="1"/>
  <c r="AO15" i="1"/>
  <c r="AN15" i="1"/>
  <c r="AC15" i="1"/>
  <c r="AB15" i="1"/>
  <c r="Y15" i="1"/>
  <c r="S15" i="1"/>
  <c r="K15" i="1"/>
  <c r="J15" i="1"/>
  <c r="EV14" i="1"/>
  <c r="EU14" i="1"/>
  <c r="ET14" i="1"/>
  <c r="EG14" i="1"/>
  <c r="EC14" i="1"/>
  <c r="DK14" i="1"/>
  <c r="DH14" i="1"/>
  <c r="DD14" i="1"/>
  <c r="CW14" i="1"/>
  <c r="CP14" i="1"/>
  <c r="CL14" i="1"/>
  <c r="CG14" i="1"/>
  <c r="CB14" i="1"/>
  <c r="BW14" i="1"/>
  <c r="BV14" i="1"/>
  <c r="BQ14" i="1"/>
  <c r="BP14" i="1"/>
  <c r="BO14" i="1"/>
  <c r="BJ14" i="1"/>
  <c r="BI14" i="1"/>
  <c r="BH14" i="1"/>
  <c r="BC14" i="1"/>
  <c r="BB14" i="1"/>
  <c r="BA14" i="1"/>
  <c r="AV14" i="1"/>
  <c r="AU14" i="1"/>
  <c r="AT14" i="1"/>
  <c r="AO14" i="1"/>
  <c r="AN14" i="1"/>
  <c r="AB14" i="1"/>
  <c r="Y14" i="1"/>
  <c r="S14" i="1"/>
  <c r="K14" i="1"/>
  <c r="J14" i="1"/>
  <c r="EV13" i="1"/>
  <c r="EU13" i="1"/>
  <c r="ET13" i="1"/>
  <c r="EC13" i="1"/>
  <c r="DQ13" i="1"/>
  <c r="DK13" i="1"/>
  <c r="DH13" i="1"/>
  <c r="DD13" i="1"/>
  <c r="CW13" i="1"/>
  <c r="CP13" i="1"/>
  <c r="CL13" i="1"/>
  <c r="CG13" i="1"/>
  <c r="CB13" i="1"/>
  <c r="BW13" i="1"/>
  <c r="BV13" i="1"/>
  <c r="BQ13" i="1"/>
  <c r="BP13" i="1"/>
  <c r="BO13" i="1"/>
  <c r="BJ13" i="1"/>
  <c r="BI13" i="1"/>
  <c r="BH13" i="1"/>
  <c r="BC13" i="1"/>
  <c r="BB13" i="1"/>
  <c r="BA13" i="1"/>
  <c r="AV13" i="1"/>
  <c r="AU13" i="1"/>
  <c r="AT13" i="1"/>
  <c r="AO13" i="1"/>
  <c r="AN13" i="1"/>
  <c r="AC13" i="1"/>
  <c r="Y13" i="1"/>
  <c r="S13" i="1"/>
  <c r="K13" i="1"/>
  <c r="J13" i="1"/>
  <c r="EV12" i="1"/>
  <c r="EU12" i="1"/>
  <c r="ET12" i="1"/>
  <c r="EC12" i="1"/>
  <c r="DQ12" i="1"/>
  <c r="DK12" i="1"/>
  <c r="DH12" i="1"/>
  <c r="DD12" i="1"/>
  <c r="CW12" i="1"/>
  <c r="CP12" i="1"/>
  <c r="CL12" i="1"/>
  <c r="CG12" i="1"/>
  <c r="CB12" i="1"/>
  <c r="BW12" i="1"/>
  <c r="BV12" i="1"/>
  <c r="BQ12" i="1"/>
  <c r="BP12" i="1"/>
  <c r="BO12" i="1"/>
  <c r="BJ12" i="1"/>
  <c r="BI12" i="1"/>
  <c r="BH12" i="1"/>
  <c r="BC12" i="1"/>
  <c r="BB12" i="1"/>
  <c r="BA12" i="1"/>
  <c r="AV12" i="1"/>
  <c r="AU12" i="1"/>
  <c r="AT12" i="1"/>
  <c r="AO12" i="1"/>
  <c r="AN12" i="1"/>
  <c r="AC12" i="1"/>
  <c r="Y12" i="1"/>
  <c r="S12" i="1"/>
  <c r="K12" i="1"/>
  <c r="J12" i="1"/>
  <c r="EV11" i="1"/>
  <c r="EU11" i="1"/>
  <c r="ET11" i="1"/>
  <c r="EG11" i="1"/>
  <c r="EC11" i="1"/>
  <c r="DK11" i="1"/>
  <c r="DH11" i="1"/>
  <c r="DD11" i="1"/>
  <c r="CW11" i="1"/>
  <c r="CP11" i="1"/>
  <c r="CL11" i="1"/>
  <c r="CG11" i="1"/>
  <c r="CB11" i="1"/>
  <c r="BW11" i="1"/>
  <c r="BV11" i="1"/>
  <c r="BQ11" i="1"/>
  <c r="BP11" i="1"/>
  <c r="BO11" i="1"/>
  <c r="BJ11" i="1"/>
  <c r="BI11" i="1"/>
  <c r="BH11" i="1"/>
  <c r="BC11" i="1"/>
  <c r="BB11" i="1"/>
  <c r="BA11" i="1"/>
  <c r="AV11" i="1"/>
  <c r="AU11" i="1"/>
  <c r="AT11" i="1"/>
  <c r="AO11" i="1"/>
  <c r="AN11" i="1"/>
  <c r="AB11" i="1"/>
  <c r="Y11" i="1"/>
  <c r="S11" i="1"/>
  <c r="K11" i="1"/>
  <c r="J11" i="1"/>
  <c r="EV10" i="1"/>
  <c r="EU10" i="1"/>
  <c r="ET10" i="1"/>
  <c r="EC10" i="1"/>
  <c r="DY10" i="1"/>
  <c r="DQ10" i="1"/>
  <c r="DK10" i="1"/>
  <c r="DH10" i="1"/>
  <c r="DD10" i="1"/>
  <c r="CW10" i="1"/>
  <c r="CP10" i="1"/>
  <c r="CL10" i="1"/>
  <c r="CG10" i="1"/>
  <c r="CB10" i="1"/>
  <c r="BW10" i="1"/>
  <c r="BV10" i="1"/>
  <c r="BQ10" i="1"/>
  <c r="BP10" i="1"/>
  <c r="BO10" i="1"/>
  <c r="BJ10" i="1"/>
  <c r="BI10" i="1"/>
  <c r="BH10" i="1"/>
  <c r="BC10" i="1"/>
  <c r="BB10" i="1"/>
  <c r="BA10" i="1"/>
  <c r="AV10" i="1"/>
  <c r="AU10" i="1"/>
  <c r="AT10" i="1"/>
  <c r="AO10" i="1"/>
  <c r="AN10" i="1"/>
  <c r="AJ10" i="1"/>
  <c r="AC10" i="1"/>
  <c r="Y10" i="1"/>
  <c r="S10" i="1"/>
  <c r="K10" i="1"/>
  <c r="J10" i="1"/>
  <c r="EV9" i="1"/>
  <c r="EU9" i="1"/>
  <c r="ET9" i="1"/>
  <c r="EC9" i="1"/>
  <c r="DY9" i="1"/>
  <c r="DQ9" i="1"/>
  <c r="DK9" i="1"/>
  <c r="DH9" i="1"/>
  <c r="DD9" i="1"/>
  <c r="CW9" i="1"/>
  <c r="CP9" i="1"/>
  <c r="CL9" i="1"/>
  <c r="CG9" i="1"/>
  <c r="CB9" i="1"/>
  <c r="BW9" i="1"/>
  <c r="BV9" i="1"/>
  <c r="BQ9" i="1"/>
  <c r="BP9" i="1"/>
  <c r="BO9" i="1"/>
  <c r="BJ9" i="1"/>
  <c r="BI9" i="1"/>
  <c r="BH9" i="1"/>
  <c r="BC9" i="1"/>
  <c r="BB9" i="1"/>
  <c r="BA9" i="1"/>
  <c r="AV9" i="1"/>
  <c r="AU9" i="1"/>
  <c r="AT9" i="1"/>
  <c r="AO9" i="1"/>
  <c r="AN9" i="1"/>
  <c r="AJ9" i="1"/>
  <c r="AC9" i="1"/>
  <c r="Y9" i="1"/>
  <c r="S9" i="1"/>
  <c r="K9" i="1"/>
  <c r="J9" i="1"/>
  <c r="EV8" i="1"/>
  <c r="EU8" i="1"/>
  <c r="ET8" i="1"/>
  <c r="EG8" i="1"/>
  <c r="EC8" i="1"/>
  <c r="DQ8" i="1"/>
  <c r="DK8" i="1"/>
  <c r="DH8" i="1"/>
  <c r="DD8" i="1"/>
  <c r="CW8" i="1"/>
  <c r="CP8" i="1"/>
  <c r="CL8" i="1"/>
  <c r="CG8" i="1"/>
  <c r="CB8" i="1"/>
  <c r="BW8" i="1"/>
  <c r="BV8" i="1"/>
  <c r="BQ8" i="1"/>
  <c r="BP8" i="1"/>
  <c r="BO8" i="1"/>
  <c r="BJ8" i="1"/>
  <c r="BI8" i="1"/>
  <c r="BH8" i="1"/>
  <c r="BC8" i="1"/>
  <c r="BB8" i="1"/>
  <c r="BA8" i="1"/>
  <c r="AV8" i="1"/>
  <c r="AU8" i="1"/>
  <c r="AT8" i="1"/>
  <c r="AO8" i="1"/>
  <c r="AN8" i="1"/>
  <c r="AC8" i="1"/>
  <c r="AB8" i="1"/>
  <c r="Y8" i="1"/>
  <c r="S8" i="1"/>
  <c r="K8" i="1"/>
  <c r="J8" i="1"/>
  <c r="EV7" i="1"/>
  <c r="EU7" i="1"/>
  <c r="ET7" i="1"/>
  <c r="EC7" i="1"/>
  <c r="DQ7" i="1"/>
  <c r="DK7" i="1"/>
  <c r="DH7" i="1"/>
  <c r="DD7" i="1"/>
  <c r="CW7" i="1"/>
  <c r="CP7" i="1"/>
  <c r="CL7" i="1"/>
  <c r="CG7" i="1"/>
  <c r="CB7" i="1"/>
  <c r="BW7" i="1"/>
  <c r="BV7" i="1"/>
  <c r="BQ7" i="1"/>
  <c r="BP7" i="1"/>
  <c r="BO7" i="1"/>
  <c r="BJ7" i="1"/>
  <c r="BI7" i="1"/>
  <c r="BH7" i="1"/>
  <c r="BC7" i="1"/>
  <c r="BB7" i="1"/>
  <c r="BA7" i="1"/>
  <c r="AV7" i="1"/>
  <c r="AU7" i="1"/>
  <c r="AT7" i="1"/>
  <c r="AO7" i="1"/>
  <c r="AN7" i="1"/>
  <c r="AC7" i="1"/>
  <c r="Y7" i="1"/>
  <c r="S7" i="1"/>
  <c r="K7" i="1"/>
  <c r="J7" i="1"/>
  <c r="EV6" i="1"/>
  <c r="EU6" i="1"/>
  <c r="ET6" i="1"/>
  <c r="EG6" i="1"/>
  <c r="EC6" i="1"/>
  <c r="DQ6" i="1"/>
  <c r="DK6" i="1"/>
  <c r="DH6" i="1"/>
  <c r="DD6" i="1"/>
  <c r="CW6" i="1"/>
  <c r="CP6" i="1"/>
  <c r="CL6" i="1"/>
  <c r="CG6" i="1"/>
  <c r="CB6" i="1"/>
  <c r="BW6" i="1"/>
  <c r="BV6" i="1"/>
  <c r="BQ6" i="1"/>
  <c r="BP6" i="1"/>
  <c r="BO6" i="1"/>
  <c r="BJ6" i="1"/>
  <c r="BI6" i="1"/>
  <c r="BH6" i="1"/>
  <c r="BC6" i="1"/>
  <c r="BB6" i="1"/>
  <c r="BA6" i="1"/>
  <c r="AV6" i="1"/>
  <c r="AU6" i="1"/>
  <c r="AT6" i="1"/>
  <c r="AO6" i="1"/>
  <c r="AN6" i="1"/>
  <c r="AC6" i="1"/>
  <c r="AB6" i="1"/>
  <c r="Y6" i="1"/>
  <c r="S6" i="1"/>
  <c r="K6" i="1"/>
  <c r="J6" i="1"/>
  <c r="EV5" i="1"/>
  <c r="EU5" i="1"/>
  <c r="ET5" i="1"/>
  <c r="EG5" i="1"/>
  <c r="EC5" i="1"/>
  <c r="DY5" i="1"/>
  <c r="DQ5" i="1"/>
  <c r="DK5" i="1"/>
  <c r="DH5" i="1"/>
  <c r="DD5" i="1"/>
  <c r="CW5" i="1"/>
  <c r="CP5" i="1"/>
  <c r="CL5" i="1"/>
  <c r="CG5" i="1"/>
  <c r="CB5" i="1"/>
  <c r="BW5" i="1"/>
  <c r="BV5" i="1"/>
  <c r="BQ5" i="1"/>
  <c r="BP5" i="1"/>
  <c r="BO5" i="1"/>
  <c r="BJ5" i="1"/>
  <c r="BI5" i="1"/>
  <c r="BH5" i="1"/>
  <c r="BC5" i="1"/>
  <c r="BB5" i="1"/>
  <c r="BA5" i="1"/>
  <c r="AV5" i="1"/>
  <c r="AU5" i="1"/>
  <c r="AT5" i="1"/>
  <c r="AO5" i="1"/>
  <c r="AN5" i="1"/>
  <c r="AJ5" i="1"/>
  <c r="AC5" i="1"/>
  <c r="AB5" i="1"/>
  <c r="Y5" i="1"/>
  <c r="S5" i="1"/>
  <c r="K5" i="1"/>
  <c r="J5" i="1"/>
  <c r="EV4" i="1"/>
  <c r="EU4" i="1"/>
  <c r="ET4" i="1"/>
  <c r="EC4" i="1"/>
  <c r="DQ4" i="1"/>
  <c r="DK4" i="1"/>
  <c r="DH4" i="1"/>
  <c r="DD4" i="1"/>
  <c r="CW4" i="1"/>
  <c r="CP4" i="1"/>
  <c r="CL4" i="1"/>
  <c r="CG4" i="1"/>
  <c r="CB4" i="1"/>
  <c r="BW4" i="1"/>
  <c r="BV4" i="1"/>
  <c r="BQ4" i="1"/>
  <c r="BP4" i="1"/>
  <c r="BO4" i="1"/>
  <c r="BJ4" i="1"/>
  <c r="BI4" i="1"/>
  <c r="BH4" i="1"/>
  <c r="BC4" i="1"/>
  <c r="BB4" i="1"/>
  <c r="BA4" i="1"/>
  <c r="AV4" i="1"/>
  <c r="AU4" i="1"/>
  <c r="AT4" i="1"/>
  <c r="AO4" i="1"/>
  <c r="AN4" i="1"/>
  <c r="AC4" i="1"/>
  <c r="Y4" i="1"/>
  <c r="S4" i="1"/>
  <c r="K4" i="1"/>
  <c r="J4" i="1"/>
  <c r="EV3" i="1"/>
  <c r="EU3" i="1"/>
  <c r="ET3" i="1"/>
  <c r="EC3" i="1"/>
  <c r="DY3" i="1"/>
  <c r="DQ3" i="1"/>
  <c r="DK3" i="1"/>
  <c r="DH3" i="1"/>
  <c r="DD3" i="1"/>
  <c r="CW3" i="1"/>
  <c r="CP3" i="1"/>
  <c r="CL3" i="1"/>
  <c r="CG3" i="1"/>
  <c r="CB3" i="1"/>
  <c r="BW3" i="1"/>
  <c r="BV3" i="1"/>
  <c r="BQ3" i="1"/>
  <c r="BP3" i="1"/>
  <c r="BO3" i="1"/>
  <c r="BJ3" i="1"/>
  <c r="BI3" i="1"/>
  <c r="BH3" i="1"/>
  <c r="BC3" i="1"/>
  <c r="BB3" i="1"/>
  <c r="BA3" i="1"/>
  <c r="AV3" i="1"/>
  <c r="AU3" i="1"/>
  <c r="AT3" i="1"/>
  <c r="AO3" i="1"/>
  <c r="AN3" i="1"/>
  <c r="AJ3" i="1"/>
  <c r="AC3" i="1"/>
  <c r="Y3" i="1"/>
  <c r="S3" i="1"/>
  <c r="K3" i="1"/>
  <c r="J3" i="1"/>
  <c r="EV2" i="1"/>
  <c r="EU2" i="1"/>
  <c r="ET2" i="1"/>
  <c r="EC2" i="1"/>
  <c r="DY2" i="1"/>
  <c r="DQ2" i="1"/>
  <c r="DK2" i="1"/>
  <c r="DH2" i="1"/>
  <c r="DD2" i="1"/>
  <c r="CW2" i="1"/>
  <c r="CP2" i="1"/>
  <c r="CL2" i="1"/>
  <c r="CG2" i="1"/>
  <c r="CB2" i="1"/>
  <c r="BW2" i="1"/>
  <c r="BV2" i="1"/>
  <c r="BQ2" i="1"/>
  <c r="BP2" i="1"/>
  <c r="BO2" i="1"/>
  <c r="BJ2" i="1"/>
  <c r="BI2" i="1"/>
  <c r="BH2" i="1"/>
  <c r="BC2" i="1"/>
  <c r="BB2" i="1"/>
  <c r="BA2" i="1"/>
  <c r="AV2" i="1"/>
  <c r="AU2" i="1"/>
  <c r="AT2" i="1"/>
  <c r="AO2" i="1"/>
  <c r="AN2" i="1"/>
  <c r="AJ2" i="1"/>
  <c r="AC2" i="1"/>
  <c r="Y2" i="1"/>
  <c r="S2" i="1"/>
  <c r="K2" i="1"/>
  <c r="J2" i="1"/>
  <c r="DK1" i="1"/>
  <c r="AO1" i="1"/>
</calcChain>
</file>

<file path=xl/sharedStrings.xml><?xml version="1.0" encoding="utf-8"?>
<sst xmlns="http://schemas.openxmlformats.org/spreadsheetml/2006/main" count="12606" uniqueCount="2944">
  <si>
    <t>Seq name (Nuc)</t>
  </si>
  <si>
    <t>logFC</t>
  </si>
  <si>
    <t>logCPM</t>
  </si>
  <si>
    <t>LR</t>
  </si>
  <si>
    <t>PValue</t>
  </si>
  <si>
    <t>FDR</t>
  </si>
  <si>
    <t>Gene name</t>
  </si>
  <si>
    <t>Gene type</t>
  </si>
  <si>
    <t>Vector base</t>
  </si>
  <si>
    <t>Seq name</t>
  </si>
  <si>
    <t>First residue</t>
  </si>
  <si>
    <t>Seq size</t>
  </si>
  <si>
    <t>%X</t>
  </si>
  <si>
    <t>DP's</t>
  </si>
  <si>
    <t>Class (updated)</t>
  </si>
  <si>
    <t>DBase</t>
  </si>
  <si>
    <t>Evalue</t>
  </si>
  <si>
    <t>% Coverage</t>
  </si>
  <si>
    <t>Contig Name</t>
  </si>
  <si>
    <t>Comments</t>
  </si>
  <si>
    <t>Class</t>
  </si>
  <si>
    <t>Dbase</t>
  </si>
  <si>
    <t>% coverage</t>
  </si>
  <si>
    <t>Predicted Tyr-SO4 - Prosite rules</t>
  </si>
  <si>
    <t>SigP Result</t>
  </si>
  <si>
    <t>Cleavage Position</t>
  </si>
  <si>
    <t>MW</t>
  </si>
  <si>
    <t>pI</t>
  </si>
  <si>
    <t>Mature MW</t>
  </si>
  <si>
    <t xml:space="preserve">pI </t>
  </si>
  <si>
    <t>TMHMM result</t>
  </si>
  <si>
    <t>Predicted helices</t>
  </si>
  <si>
    <t>% membrane</t>
  </si>
  <si>
    <t>% outside</t>
  </si>
  <si>
    <t>% inside</t>
  </si>
  <si>
    <t xml:space="preserve">DGPI GPI anchor prediction </t>
  </si>
  <si>
    <t>Percent Ser+Thr</t>
  </si>
  <si>
    <t>Percent Gly</t>
  </si>
  <si>
    <t>Percent Pro</t>
  </si>
  <si>
    <t xml:space="preserve">Percent GGY </t>
  </si>
  <si>
    <t>Best match to NR-LIGHT protein database</t>
  </si>
  <si>
    <t>E value</t>
  </si>
  <si>
    <t>Match</t>
  </si>
  <si>
    <t>% identity</t>
  </si>
  <si>
    <t>% similarity</t>
  </si>
  <si>
    <t xml:space="preserve">Species of best match </t>
  </si>
  <si>
    <t>Best match to REFSEQ-INVERTEBRATE protein database</t>
  </si>
  <si>
    <t>Best match to REFSEQ-PROTOZOA protein database</t>
  </si>
  <si>
    <t>Best match to SWISSP protein database</t>
  </si>
  <si>
    <t>Best match to FLYBASE database</t>
  </si>
  <si>
    <t>E value and link to Flybase</t>
  </si>
  <si>
    <t>Length of best match</t>
  </si>
  <si>
    <t>Best match to CDD database</t>
  </si>
  <si>
    <t>Coverage</t>
  </si>
  <si>
    <t>Description</t>
  </si>
  <si>
    <t xml:space="preserve">All CDD domains </t>
  </si>
  <si>
    <t>Best match to KOG database</t>
  </si>
  <si>
    <t>Best match to PFAM database</t>
  </si>
  <si>
    <t xml:space="preserve">Description </t>
  </si>
  <si>
    <t>Best match to SMART database</t>
  </si>
  <si>
    <t>Name</t>
  </si>
  <si>
    <t>Sequence name</t>
  </si>
  <si>
    <t>Database</t>
  </si>
  <si>
    <t>Species</t>
  </si>
  <si>
    <t>Chromosome</t>
  </si>
  <si>
    <t>KEGG MAP</t>
  </si>
  <si>
    <t xml:space="preserve">ProP furin cleavage predictions </t>
  </si>
  <si>
    <t>Lenght</t>
  </si>
  <si>
    <t>DGPI GPI anchor prediction</t>
  </si>
  <si>
    <t>Sum of residues</t>
  </si>
  <si>
    <t>Increased AA</t>
  </si>
  <si>
    <t>Cys number</t>
  </si>
  <si>
    <t>R(K)GD flanked by Cys</t>
  </si>
  <si>
    <t>% Ser + Thr</t>
  </si>
  <si>
    <t>% Pro</t>
  </si>
  <si>
    <t>% Gly</t>
  </si>
  <si>
    <t>% Gly+Pro</t>
  </si>
  <si>
    <t>Number of possible HO-Pro [LPAE]-P-G</t>
  </si>
  <si>
    <t>Number of possible OH-lysines X-Lys-Gly not Lys-Gly-Pro</t>
  </si>
  <si>
    <t>Number of PG's</t>
  </si>
  <si>
    <t>WC coxy motif</t>
  </si>
  <si>
    <t>WP coxy motif</t>
  </si>
  <si>
    <t>CPC coxy motif</t>
  </si>
  <si>
    <t>P-I-I-X-G-X(7-15)-C</t>
  </si>
  <si>
    <t>Species of best match</t>
  </si>
  <si>
    <t>AGAP013511-RC</t>
  </si>
  <si>
    <t xml:space="preserve">cytochrome P450 </t>
  </si>
  <si>
    <t xml:space="preserve">protein_coding_gene </t>
  </si>
  <si>
    <t>M</t>
  </si>
  <si>
    <t>CYP6AG2: cytochrome P450</t>
  </si>
  <si>
    <t>Cytochrome P450 - 3 predicted membrane helices</t>
  </si>
  <si>
    <t>detox/ox membrane</t>
  </si>
  <si>
    <t>AGAP013511-PC</t>
  </si>
  <si>
    <t xml:space="preserve"> cytochrome p450 family 6 - 3 predicted membrane helices</t>
  </si>
  <si>
    <t xml:space="preserve"> </t>
  </si>
  <si>
    <t xml:space="preserve"> 27-28</t>
  </si>
  <si>
    <t>ExpAA=37.06 First60=22.54 PredHel=2 Topology=o4-26i216-238o</t>
  </si>
  <si>
    <t xml:space="preserve">. </t>
  </si>
  <si>
    <t>Anopheles gambiae str. PEST</t>
  </si>
  <si>
    <t>Aphanomyces invadans</t>
  </si>
  <si>
    <t>Drosophila melanogaster</t>
  </si>
  <si>
    <t>pfam00067, p450, 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'meander',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t>
  </si>
  <si>
    <t>p450 5e-057| CypX 2e-031| PLN02290 3e-031| PTZ00404 4e-021| PLN02738 6e-018| PLN02936 7e-018| PLN03234 3e-015| PLN02655 2e-012| PLN02987 2e-012| PLN02302 4e-012|</t>
  </si>
  <si>
    <t>KOG0158, KOG0158, KOG0158, Cytochrome P450 CYP3/CYP5/CYP6/CYP9 subfamilies [Secondary metabolites biosynthesis, transport and catabolism].</t>
  </si>
  <si>
    <t xml:space="preserve">Secondary metabolites biosynthesis, transport and catabolism </t>
  </si>
  <si>
    <t>smart00022, PLAc, Cytoplasmic phospholipase A2, catalytic subunit. Cytosolic phospholipases A2 hydrolyse arachidonyl phospholipids. Family includes phospholipases B isoforms.</t>
  </si>
  <si>
    <t>Anopheles_gambiae_str._PEST</t>
  </si>
  <si>
    <t xml:space="preserve"> AgamP4_2R:36318345-36324891(+) </t>
  </si>
  <si>
    <t>C</t>
  </si>
  <si>
    <t>AGAP005600-RA</t>
  </si>
  <si>
    <t xml:space="preserve">sugar transporter ERD6-like 6 </t>
  </si>
  <si>
    <t>sugar transporter ERD6-like 6</t>
  </si>
  <si>
    <t>Permease of the major facilitator superfamily - 12 predicted membrane helices</t>
  </si>
  <si>
    <t>tr membrane</t>
  </si>
  <si>
    <t>AGAP005600-PA</t>
  </si>
  <si>
    <t xml:space="preserve"> solute carrier family 2 - 12 predicted membrane helices</t>
  </si>
  <si>
    <t>ExpAA=260.98 First60=21.24 PredHel=12 Topology=i30-52o70-92i99-121o125-147i154-176o180-202i276-298o313-335i342-364o374-393i406-428o443-462i</t>
  </si>
  <si>
    <t>Salpingoeca rosetta</t>
  </si>
  <si>
    <t>Bombyx mori</t>
  </si>
  <si>
    <t>pfam00083, Sugar_tr, Sugar (and other) transporter.</t>
  </si>
  <si>
    <t>Sugar_tr 2e-048| Membrane_transporter 5e-042| xylE 4e-023| organic_anion_transporter 2e-016| transport_protein 8e-013| MFS 5e-012| MFS_1 6e-012| AraJ 3e-009| Probable_glucarate_transporter 1e-005| synaptic_vesicle_protein_2C 1e-005|</t>
  </si>
  <si>
    <t>KOG0254, KOG0254, KOG0254, Predicted transporter (major facilitator superfamily) [General function prediction only].</t>
  </si>
  <si>
    <t xml:space="preserve">General function prediction only </t>
  </si>
  <si>
    <t>smart00273, ENTH, Epsin N-terminal homology (ENTH) domain.</t>
  </si>
  <si>
    <t xml:space="preserve"> AgamP4_2L:17749470-17753689(-) </t>
  </si>
  <si>
    <t>G</t>
  </si>
  <si>
    <t xml:space="preserve">2 | 482    QFRRGRR|KA  0.619 *ProP*  | 485    RGRRKAK|DA  0.575 *ProP*  | </t>
  </si>
  <si>
    <t>AGAP005834-RA</t>
  </si>
  <si>
    <t xml:space="preserve">carboxylesterase </t>
  </si>
  <si>
    <t>COEJHE2E: carboxylesterase</t>
  </si>
  <si>
    <t>Esterases and lipases</t>
  </si>
  <si>
    <t>met/lipd</t>
  </si>
  <si>
    <t>AGAP005834-PA</t>
  </si>
  <si>
    <t xml:space="preserve"> protein</t>
  </si>
  <si>
    <t xml:space="preserve"> 23-24</t>
  </si>
  <si>
    <t>ExpAA=16.22 First60=10.19 PredHel=0 Topology=o</t>
  </si>
  <si>
    <t>Acytostelium subglobosum LB1</t>
  </si>
  <si>
    <t>Apis mellifera</t>
  </si>
  <si>
    <t>pfam00135, COesterase, Carboxylesterase family.</t>
  </si>
  <si>
    <t>COesterase e-111| Esterase_lipase e-105| PnbA 1e-056| Aes 3e-007| Abhydrolase_3 5e-005| PRK08059 | PRK00087 | Esterase | alt_bact_glmU | VacB |</t>
  </si>
  <si>
    <t>KOG1516, KOG1516, KOG1516, Carboxylesterase and related proteins [General function prediction only].</t>
  </si>
  <si>
    <t>smart00035, CLa, CLUSTERIN alpha chain.</t>
  </si>
  <si>
    <t xml:space="preserve"> AgamP4_2L:22299368-22304167(-) </t>
  </si>
  <si>
    <t>T</t>
  </si>
  <si>
    <t>AGAP008218-RA</t>
  </si>
  <si>
    <t>CYP6Z2: cytochrome P450</t>
  </si>
  <si>
    <t>Cytochrome P450 - signalP detected</t>
  </si>
  <si>
    <t>detox/ox</t>
  </si>
  <si>
    <t>AGAP008218-PA</t>
  </si>
  <si>
    <t xml:space="preserve"> unspecific monooxygenase - signalP detected</t>
  </si>
  <si>
    <t xml:space="preserve"> 22-23</t>
  </si>
  <si>
    <t>ExpAA=20.88 First60=20.30 PredHel=1 Topology=i2-21o</t>
  </si>
  <si>
    <t>Aphanomyces astaci</t>
  </si>
  <si>
    <t>Musca domestica</t>
  </si>
  <si>
    <t>p450 5e-074| CypX 4e-034| PTZ00404 2e-028| PLN03195 2e-026| PLN02966 1e-025| PLN02738 3e-025| PLN02936 3e-024| PLN02290 3e-023| PLN02687 1e-020| PLN02655 2e-019|</t>
  </si>
  <si>
    <t>smart00476, DNaseIc, deoxyribonuclease I.  Deoxyribonuclease I catalyzes the endonucleolytic cleavage of double-stranded DNA. The enzyme is secreted outside the cell and also involved in apoptosis in the nucleus.</t>
  </si>
  <si>
    <t xml:space="preserve"> AgamP4_3R:6973910-6975460(-) </t>
  </si>
  <si>
    <t>AGAP008212-RA</t>
  </si>
  <si>
    <t>CYP6M2: cytochrome P450</t>
  </si>
  <si>
    <t>AGAP008212-PA</t>
  </si>
  <si>
    <t xml:space="preserve"> cytochrome p450 - signalP detected</t>
  </si>
  <si>
    <t xml:space="preserve"> 17-18</t>
  </si>
  <si>
    <t>ExpAA=14.20 First60=9.47 PredHel=0 Topology=o</t>
  </si>
  <si>
    <t>p450 9e-092| CypX 6e-045| PLN02290 6e-039| PLN02936 1e-029| PTZ00404 1e-025| PLN02687 3e-025| PLN00110 2e-024| PLN03195 3e-024| PLN02655 3e-023| PLN02302 2e-021|</t>
  </si>
  <si>
    <t>smart00663, RPOLA_N, RNA polymerase I subunit A N-terminus.</t>
  </si>
  <si>
    <t xml:space="preserve"> AgamP4_3R:6928909-6930486(+) </t>
  </si>
  <si>
    <t>AGAP029277-RA</t>
  </si>
  <si>
    <t xml:space="preserve">unspecified product </t>
  </si>
  <si>
    <t>Pancreatic lipase-like enzymes - signalP detected</t>
  </si>
  <si>
    <t>s/met/lipd Pancreatic</t>
  </si>
  <si>
    <t>AGAP029277-PA</t>
  </si>
  <si>
    <t xml:space="preserve"> lipase domain-containing protein os-coluzzii ox-834 pe-3 sv - signalP detected</t>
  </si>
  <si>
    <t xml:space="preserve">s/met/lipd </t>
  </si>
  <si>
    <t>ExpAA=7.06 First60=4.14 PredHel=0 Topology=o</t>
  </si>
  <si>
    <t>Anopheles sinensis</t>
  </si>
  <si>
    <t>Aedes aegypti</t>
  </si>
  <si>
    <t>Hammondia hammondi</t>
  </si>
  <si>
    <t>Rattus norvegicus</t>
  </si>
  <si>
    <t>cd00707, Pancreat_lipase_like, Pancreatic lipase-like enzymes. Lipases are esterases that can hydrolyze long-chain acyl-triglycerides into di- and monoglycerides, glycerol, and free fatty acids at a water/lipid interface.  A typical feature of lipases is "interfacial activation," the process of becoming active at the lipid/water interface, although several examples of lipases have been identified that do not undergo interfacial activation .  The active site of a lipase contains a catalytic triad consisting of Ser - His - Asp/Glu, but unlike most serine proteases, the active site is buried inside the structure.  A "lid" or "flap" covers the active site, making it inaccessible to solvent and substrates. The lid opens during the process of interfacial activation, allowing the lipid substrate access to the active site.</t>
  </si>
  <si>
    <t>Pancreat_lipase_like 1e-070| Lipase 2e-036| Lipoprotein_lipase 2e-020| Lipase 7e-018| Abhydrolase_1 0.001| COG0429 0.003| MhpC 0.012| Abhydrolase_6 0.028| Esterase_713_like-2 0.057| CVT17 |</t>
  </si>
  <si>
    <t>KOG2564, KOG2564, KOG2564, Predicted acetyltransferases and hydrolases with the alpha/beta hydrolase fold [General function prediction only].</t>
  </si>
  <si>
    <t>pfam00151, Lipase, Lipase.</t>
  </si>
  <si>
    <t>smart00827, PKS_AT, Acyl transferase domain in polyketide synthase (PKS) enzymes.</t>
  </si>
  <si>
    <t xml:space="preserve"> AgamP4_3L:31303178-31304194(-) </t>
  </si>
  <si>
    <t>Anopheles stephensi</t>
  </si>
  <si>
    <t>AGAP013318-RA</t>
  </si>
  <si>
    <t xml:space="preserve">outer membrane lipoprotein Blc </t>
  </si>
  <si>
    <t>outer membrane lipoprotein Blc</t>
  </si>
  <si>
    <t>Apolipoprotein D/Lipocalin - signalP detected lipocalin</t>
  </si>
  <si>
    <t>s/lipocalin</t>
  </si>
  <si>
    <t>AGAP013318-PA</t>
  </si>
  <si>
    <t xml:space="preserve"> apolipoprotein d - signalP detected</t>
  </si>
  <si>
    <t>s/</t>
  </si>
  <si>
    <t xml:space="preserve"> 21-22</t>
  </si>
  <si>
    <t>ExpAA=11.28 First60=10.67 PredHel=0 Topology=o</t>
  </si>
  <si>
    <t>Naegleria gruberi strain NEG-M</t>
  </si>
  <si>
    <t>Homo sapiens</t>
  </si>
  <si>
    <t>pfam08212, Lipocalin_2, Lipocalin-like domain.  Lipocalins are transporters for small hydrophobic molecules, such as lipids, steroid hormones, bilins, and retinoids. The structure is an eight-stranded beta barrel.</t>
  </si>
  <si>
    <t>Lipocalin_2 1e-022| Blc 1e-020| PRK10477 8e-017| Lipocalin 1e-005| PLN02966 | PRK07079 | STKc_TAO1 | STKc_TAO3 | PTK_HER3 | PBP2_NikA_DppA_OppA_like_10 |</t>
  </si>
  <si>
    <t>KOG4824, KOG4824, KOG4824, Apolipoprotein D/Lipocalin [Cell wall/membrane/envelope biogenesis].</t>
  </si>
  <si>
    <t xml:space="preserve">Cell wall/membrane/envelope biogenesis </t>
  </si>
  <si>
    <t>smart00869, Autotransporter, Autotransporter beta-domain. Secretion of protein products occurs by a number of different pathways in bacteria. One of these pathways known as the type IV pathway was first described for the IgA1 protease. The protein component that mediates secretion through the outer membrane is contained within the secreted protein itself, hence the proteins secreted in this way are called autotransporters. This family corresponds to the presumed integral membrane beta-barrel domain that transports the protein. This domain is found at the C-terminus of the proteins it occurs in. The N-terminus contains the variable passenger domain that is translocated across the membrane. Once the passenger domain is exported it is cleaved auto-catalytically in some proteins, in others a different peptidase is used and in some cases no cleavage occurs.</t>
  </si>
  <si>
    <t xml:space="preserve"> AgamP4_2R:23665044-23665873(+) </t>
  </si>
  <si>
    <t>AGAP007138-RA</t>
  </si>
  <si>
    <t xml:space="preserve">Wurst </t>
  </si>
  <si>
    <t>Wurst</t>
  </si>
  <si>
    <t>DnaJ molecular chaperone homology domain - 5 predicted membrane helices</t>
  </si>
  <si>
    <t>pm membrane</t>
  </si>
  <si>
    <t>AGAP007138-PA</t>
  </si>
  <si>
    <t xml:space="preserve"> dnaj protein - 5 predicted membrane helices</t>
  </si>
  <si>
    <t>ExpAA=117.75 First60=0.00 PredHel=5 Topology=o92-111i168-190o200-219i226-245o284-306i</t>
  </si>
  <si>
    <t>pfam05154, TM2, TM2 domain.  This family is composed of a pair of transmembrane alpha helices connected by a short linker. The function of this domain is unknown, however it occurs in a wide range or protein contexts.</t>
  </si>
  <si>
    <t>TM2 8e-013| DnaJ 2e-012| Chaperone_protein_DnaJ 3e-011| DnaJ 1e-010| PRK14295 3e-010| DnaJ 5e-010| DnaJ 6e-010| PRK14276 7e-009| PRK14279 2e-008| PRK14280 3e-008|</t>
  </si>
  <si>
    <t>KOG0715, KOG0715, KOG0715, Molecular chaperone (DnaJ superfamily) [Posttranslational modification, protein turnover, chaperones].</t>
  </si>
  <si>
    <t xml:space="preserve">Posttranslational modification, protein turnover, chaperones </t>
  </si>
  <si>
    <t>smart00271, DnaJ, DnaJ molecular chaperone homology domain.</t>
  </si>
  <si>
    <t xml:space="preserve"> AgamP4_2L:43554468-43555934(+) </t>
  </si>
  <si>
    <t xml:space="preserve">2 | 431    KTRRKRR|QR  0.551 *ProP*  | 436    RRQRNKK|SD  0.611 *ProP*  | </t>
  </si>
  <si>
    <t>W(3.78)</t>
  </si>
  <si>
    <t>AGAP003209-RA</t>
  </si>
  <si>
    <t xml:space="preserve">C-4 methylsterol oxidase </t>
  </si>
  <si>
    <t>C-4 methylsterol oxidase</t>
  </si>
  <si>
    <t>C-4 sterol methyl oxidase - 3 predicted membrane helices</t>
  </si>
  <si>
    <t>met/lipd membrane</t>
  </si>
  <si>
    <t>AGAP003209-PA</t>
  </si>
  <si>
    <t xml:space="preserve"> fatty acid hydroxylase domain-containing protein 2 - 3 predicted membrane helices</t>
  </si>
  <si>
    <t>ExpAA=50.56 First60=22.61 PredHel=2 Topology=o29-51i85-107o</t>
  </si>
  <si>
    <t>Capsaspora owczarzaki ATCC 30864</t>
  </si>
  <si>
    <t>Macaca fascicularis</t>
  </si>
  <si>
    <t>pfam04116, FA_hydroxylase, Fatty acid hydroxylase superfamily. This superfamily includes fatty acid and carotene hydroxylases and sterol desaturases. Beta-carotene hydroxylase is involved in zeaxanthin synthesis by hydroxylating beta-carotene, but the enzyme may be involved in other pathways. This family includes C-5 sterol desaturase and C-4 sterol methyl oxidase. Members of this family are involved in cholesterol biosynthesis and biosynthesis a plant cuticular wax. These enzymes contain two copies of a HXHH motif. Members of this family are integral membrane proteins.</t>
  </si>
  <si>
    <t>FA_hydroxylase 4e-016| ERG3 3e-010| PLN02869 0.023| PLN00134 | Aspartase_like | flhB | TAL_FSA | lnt | Transaldolase_like | PRK13367 |</t>
  </si>
  <si>
    <t>KOG0873, KOG0873, KOG0873, C-4 sterol methyl oxidase [Lipid transport and metabolism].</t>
  </si>
  <si>
    <t xml:space="preserve">Lipid transport and metabolism </t>
  </si>
  <si>
    <t>smart00475, 53EXOc, 5'-3' exonuclease.</t>
  </si>
  <si>
    <t xml:space="preserve"> AgamP4_2R:33903973-33905170(+) </t>
  </si>
  <si>
    <t>W(3.63)</t>
  </si>
  <si>
    <t>AGAP029051-RE</t>
  </si>
  <si>
    <t>Dystonin GAS (Growth-arrest-specific protein) - 15 OH-glycosylation sites -  15 NetOglyc sites</t>
  </si>
  <si>
    <t>cs</t>
  </si>
  <si>
    <t>AGAP029051-PE</t>
  </si>
  <si>
    <t xml:space="preserve"> sac6 - 15 OH-glycosylation sites -  15 NetOglyc sites</t>
  </si>
  <si>
    <t>IND</t>
  </si>
  <si>
    <t>ExpAA=0.26 First60=0.00 PredHel=0 Topology=o</t>
  </si>
  <si>
    <t>COG5069, SAC6, Ca2+-binding actin-bundling protein fimbrin/plastin (EF-Hand superfamily) [Cytoskeleton].</t>
  </si>
  <si>
    <t>SAC6 2e-042| GAS2 5e-034| GAS2 8e-034| SPEC 5e-029| CH 5e-022| CH 9e-022| CH 4e-020| Smc 4e-013| SPEC 2e-012| Spectrin 4e-012|</t>
  </si>
  <si>
    <t>KOG0517, KOG0517, KOG0517, Beta-spectrin [Cytoskeleton].</t>
  </si>
  <si>
    <t xml:space="preserve">Cytoskeleton </t>
  </si>
  <si>
    <t>pfam02187, GAS2, Growth-Arrest-Specific Protein 2 Domain.  The GAR2 domain is common in plakin family members and Gas2 family members. The GAR domain comprises around 57 amino acids and has been shown to bind to microtubules.</t>
  </si>
  <si>
    <t>smart00243, GAS2, Growth-Arrest-Specific Protein 2 Domain. GROWTH-ARREST-SPECIFIC PROTEIN 2 Domain.</t>
  </si>
  <si>
    <t xml:space="preserve"> AgamP4_3L:23602431-23713492(-) </t>
  </si>
  <si>
    <t>A</t>
  </si>
  <si>
    <t>AGAP004410-RA</t>
  </si>
  <si>
    <t>AGAP004410-PA</t>
  </si>
  <si>
    <t>uc</t>
  </si>
  <si>
    <t xml:space="preserve"> trq7qa68q7qa68 anoga os-ox-76 gn-274 pe-4 sv-3</t>
  </si>
  <si>
    <t>ExpAA=0.24 First60=0.23 PredHel=0 Topology=o</t>
  </si>
  <si>
    <t>Thecamonas trahens ATCC 50062</t>
  </si>
  <si>
    <t>COG5022, COG5022, Myosin heavy chain [Cytoskeleton].</t>
  </si>
  <si>
    <t>COG5022 0.001| IQ 0.009| IQ 0.013| PRK06529 | PTZ00303 | FGGY_ScGut1p_like | L-asparaginase_II | PRK12470 | Amidase | PRK14959 |</t>
  </si>
  <si>
    <t>KOG0160, KOG0160, KOG0160, Myosin class V heavy chain [Cytoskeleton].</t>
  </si>
  <si>
    <t>pfam00612, IQ, IQ calmodulin-binding motif.  Calmodulin-binding motif.</t>
  </si>
  <si>
    <t>smart00015, IQ, Calmodulin-binding motif.  Short calmodulin-binding motif containing conserved Ile and Gln residues.</t>
  </si>
  <si>
    <t xml:space="preserve"> AgamP4_2R:55826234-55826596(-) </t>
  </si>
  <si>
    <t>AGAP008290-RA</t>
  </si>
  <si>
    <t xml:space="preserve">trypsin 6 </t>
  </si>
  <si>
    <t>TRYP6: trypsin 6</t>
  </si>
  <si>
    <t>Trypsin-like serine protease - signalP detected</t>
  </si>
  <si>
    <t>pm</t>
  </si>
  <si>
    <t>AGAP008290-PA</t>
  </si>
  <si>
    <t xml:space="preserve"> trypsin - signalP detected</t>
  </si>
  <si>
    <t>s/protease</t>
  </si>
  <si>
    <t xml:space="preserve"> 24-25</t>
  </si>
  <si>
    <t>ExpAA=11.99 First60=11.95 PredHel=0 Topology=o</t>
  </si>
  <si>
    <t>Phytophthora sojae</t>
  </si>
  <si>
    <t>Anopheles gambiae</t>
  </si>
  <si>
    <t>cd00190, Tryp_SPc, Trypsin-like serine protease; Many of these are synthesized as inactive precursor zymogens that are cleaved during limited proteolysis to generate their active forms. Alignment contains also inactive enzymes that have substitutions of the catalytic triad residues.</t>
  </si>
  <si>
    <t>Tryp_SPc 2e-073| Tryp_SPc 7e-071| Trypsin 1e-051| COG5640 7e-019| PLN02355 | 4-aminobutyrate_aminotransferase | PLN02219 | P-type_ATPase | Androgen_recep | PTZ00393 |</t>
  </si>
  <si>
    <t>KOG3627, KOG3627, KOG3627, Trypsin [Amino acid transport and metabolism].</t>
  </si>
  <si>
    <t xml:space="preserve">Amino acid transport and metabolism </t>
  </si>
  <si>
    <t>pfam00089, Trypsin, Trypsin.</t>
  </si>
  <si>
    <t>smart00020, Tryp_SPc, Trypsin-like serine protease.  Many of these are synthesised as inactive precursor zymogens that are cleaved during limited proteolysis to generate their active forms. A few, however, are active as single chain molecules, and others are inactive due to substitutions of the catalytic triad residues.</t>
  </si>
  <si>
    <t xml:space="preserve"> AgamP4_3R:8624626-8625447(+) </t>
  </si>
  <si>
    <t>AGAP008482-RA</t>
  </si>
  <si>
    <t xml:space="preserve">chromodomain-helicase-DNA-binding protein 7 </t>
  </si>
  <si>
    <t>chromodomain-helicase-DNA-binding protein 7</t>
  </si>
  <si>
    <t>SNF2 family DNA-dependent ATPase - 33 OH-glycosylation sites -  33 NetOglyc sites</t>
  </si>
  <si>
    <t>nr</t>
  </si>
  <si>
    <t>AGAP008482-PA</t>
  </si>
  <si>
    <t xml:space="preserve"> protein - 33 OH-glycosylation sites -  33 NetOglyc sites</t>
  </si>
  <si>
    <t>tm</t>
  </si>
  <si>
    <t>ExpAA=1.31 First60=0.00 PredHel=0 Topology=o</t>
  </si>
  <si>
    <t>Anopheles darlingi</t>
  </si>
  <si>
    <t>Dictyostelium discoideum AX4</t>
  </si>
  <si>
    <t>PLN03142, PLN03142, Probable chromatin-remodeling complex ATPase chain; Provisional.</t>
  </si>
  <si>
    <t>PLN03142 e-141| HepA e-113| SNF2_N 9e-080| Helicase_C 1e-025| DEXDc 7e-025| HELICc 4e-024| PTZ00121 2e-022| HELICc 2e-018| Med15 1e-017| DEXDc 1e-017|</t>
  </si>
  <si>
    <t>KOG0384, KOG0384, KOG0384, Chromodomain-helicase DNA-binding protein [Transcription].</t>
  </si>
  <si>
    <t xml:space="preserve">Transcription </t>
  </si>
  <si>
    <t>pfam00176, SNF2_N, SNF2 family N-terminal domain.  This domain is found in proteins involved in a variety of processes including transcription regulation (e.g., SNF2, STH1, brahma, MOT1), DNA repair (e.g., ERCC6, RAD16, RAD5), DNA recombination (e.g., RAD54), and chromatin unwinding (e.g., ISWI) as well as a variety of other proteins with little functional information (e.g., lodestar, ETL1).</t>
  </si>
  <si>
    <t>smart00487, DEXDc, DEAD-like helicases superfamily.</t>
  </si>
  <si>
    <t xml:space="preserve"> AgamP4_3R:11099530-11133243(+) </t>
  </si>
  <si>
    <t>AGAP007801-RA</t>
  </si>
  <si>
    <t xml:space="preserve">vrille </t>
  </si>
  <si>
    <t>vrille</t>
  </si>
  <si>
    <t>Basic region leucine zipper transcription factor - 41 OH-glycosylation sites -  41 NetOglyc sites</t>
  </si>
  <si>
    <t>AGAP007801-PA</t>
  </si>
  <si>
    <t xml:space="preserve"> basic-leucine zipper transcription factor n isoform x2 - 41 OH-glycosylation sites -  41 NetOglyc sites</t>
  </si>
  <si>
    <t>ExpAA=0.67 First60=0.00 PredHel=0 Topology=o</t>
  </si>
  <si>
    <t>Eimeria necatrix</t>
  </si>
  <si>
    <t>Dictyostelium discoideum</t>
  </si>
  <si>
    <t>cd14694, bZIP_NFIL3, Basic leucine zipper (bZIP) domain of Nuclear factor interleukin-3-regulated protein (NFIL3): a DNA-binding and dimerization domain.  NFIL3, also called E4 promoter-binding protein 4 (E4BP4), is a Basic leucine zipper (bZIP) transcription factor that was independently identified as a transactivator of the IL3 promoter in T-cells and as a transcriptional repressor that binds to a DNA sequence site in the adenovirus E4 promoter. Its expression levels are regulated by cytokines and it plays crucial functions in the immune system. It is required for the development of natural killer cells and CD8+ conventional dendritic cells. In B-cells, NFIL3 mediates immunoglobulin heavy chain class switching that is required for IgE production, thereby influencing allergic and pathogenic immune responses. It is also involved in the polarization of T helper responses.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</si>
  <si>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bZIP_NFIL3 2e-028| bZIP_HLF 4e-015| bZIP_2 5e-014| BRLZ 2e-011| PAT1 4e-009| bZIP_CEBP 1e-008| bZIP 2e-008| bZIP_BmCbz-like 8e-008| Med15 6e-005| BAF1_ABF1 8e-005|</t>
  </si>
  <si>
    <t>KOG3598, KOG3598, KOG3598, Thyroid hormone receptor-associated protein complex, subunit TRAP230 [Transcription].</t>
  </si>
  <si>
    <t>pfam07716, bZIP_2, Basic region leucine zipper.</t>
  </si>
  <si>
    <t>smart00338, BRLZ, basic region leucin zipper.</t>
  </si>
  <si>
    <t xml:space="preserve"> AgamP4_3R:1127352-1129927(-) </t>
  </si>
  <si>
    <t xml:space="preserve">1 | 115    KRSREKR|RF  0.746 *ProP*  | </t>
  </si>
  <si>
    <t>AGAP012811-RA</t>
  </si>
  <si>
    <t>Cyclic nucleotide phosphodiesterase - probable fragment</t>
  </si>
  <si>
    <t>st</t>
  </si>
  <si>
    <t>AGAP012811-PA</t>
  </si>
  <si>
    <t xml:space="preserve"> tra0a82sb2a0a82sb2 9dipt gaf domain-containing protein os-maculatus pe-4 sv</t>
  </si>
  <si>
    <t>ExpAA=0.32 First60=0.00 PredHel=0 Topology=o</t>
  </si>
  <si>
    <t>Drosophila simulans</t>
  </si>
  <si>
    <t>smart00065, GAF, Domain present in phytochromes and cGMP-specific phosphodiesterases.  Mutations within these domains in PDE6B result in autosomal recessive inheritance of retinitis pigmentosa.</t>
  </si>
  <si>
    <t>GAF 2e-009| GAF 2e-005| FhlA 0.002| SLC6sbd_ATB0 | CBS_pair_24 | GAF_3 | SLC6sbd_PROT | SLC6sbd-B0AT-like | Pat_PNPLA3 | Protein_disulfide-isomerase |</t>
  </si>
  <si>
    <t>KOG3689, KOG3689, KOG3689, Cyclic nucleotide phosphodiesterase [Signal transduction mechanisms].</t>
  </si>
  <si>
    <t xml:space="preserve">Signal transduction mechanisms </t>
  </si>
  <si>
    <t>pfam01590, GAF, GAF domain.  This domain is present in cGMP-specific phosphodiesterases, adenylyl and guanylyl cyclases, phytochromes, FhlA and NifA. Adenylyl and guanylyl cyclases catalyze ATP and GTP to the second messengers cAMP and cGMP, respectively, these products up-regulating catalytic activity by binding to the regulatory GAF domain(s). The opposite hydrolysis reaction is catalyzed by phosphodiesterase. cGMP-dependent 3',5'-cyclic phosphodiesterase catalyzes the conversion of guanosine 3',5'-cyclic phosphate to guanosine 5'-phosphate. Here too, cGMP regulates catalytic activity by GAF-domain binding. Phytochromes are regulatory photoreceptors in plants and bacteria which exist in two thermally-stable states that are reversibly inter-convertible by light: the Pr state absorbs maximally in the red region of the spectrum, while the Pfr state absorbs maximally in the far-red region. This domain is also found in FhlA (formate hydrogen lyase transcriptional activator) and NifA, a transcriptional activator which is required for activation of most Nif operons which are directly involved in nitrogen fixation. NifA interacts with sigma-54.</t>
  </si>
  <si>
    <t xml:space="preserve"> AgamP4_UNKN:30878109-30878784(+) </t>
  </si>
  <si>
    <t>AGAP011745-RA</t>
  </si>
  <si>
    <t xml:space="preserve">Bestrophin homolog [Source:UniProtKB/TrEMBL;Acc:Q7PZ58] </t>
  </si>
  <si>
    <t>Bestrophin homolog</t>
  </si>
  <si>
    <t>Conserved plasma membrane protein - 4 predicted membrane helices</t>
  </si>
  <si>
    <t>uc/memb</t>
  </si>
  <si>
    <t>AGAP011745-PA</t>
  </si>
  <si>
    <t xml:space="preserve"> bestrophin-4 - 4 predicted membrane helices</t>
  </si>
  <si>
    <t xml:space="preserve"> 43-44</t>
  </si>
  <si>
    <t>ExpAA=70.70 First60=22.60 PredHel=3 Topology=i32-54o69-91i128-145o</t>
  </si>
  <si>
    <t>Aureococcus anophagefferens</t>
  </si>
  <si>
    <t>Mus musculus</t>
  </si>
  <si>
    <t>pfam01062, Bestrophin, Bestrophin, RFP-TM, chloride channel. Bestrophin is a 68-kDa basolateral plasma membrane protein expressed in retinal pigment epithelial cells (RPE). It is encoded by the VMD2 gene, which is mutated in Best macular dystrophy, a disease characterized by a depressed light peak in the electrooculogram. VMD2 encodes a 585-amino acid protein with an approximate mass of 68 kDa which has been designated bestrophin. Bestrophin shares homology with the Caenorhabditis elegans RFP gene family, named for the presence of a conserved arginine (R), phenylalanine (F), proline (P), amino acid sequence motif. Bestrophin is a plasma membrane protein, localized to the basolateral surface of RPE cells consistent with a role for bestrophin in the generation or regulation of the EOG light peak. Bestrophin and other RFP family members represent a new class of chloride channels, indicating a direct role for bestrophin in generating the light peak. The VMD2 gene underlying Best disease was shown to represent the first human member of the RFP-TM protein family. More than 97% of the disease-causing mutations are located in the N-terminal RFP-TM domain implying important functional properties. The bestrophins are four-pass transmembrane chloride-channel proteins, and the RFP-TM or bestrophin domain extends from the N-terminus through approximately 350 amino acids and contains all of the TM domains as well as nearly all reported disease causing mutations. Interestingly, the RFP motif is not conserved evolutionarily back beyond Metazoa, neither is it in plant members.</t>
  </si>
  <si>
    <t>Bestrophin 1e-097| FGGY_D-XK | COG3781 | DUF4373 | KAR9 | DUF4271 | PRK06102 | PHA03269 | PRK10881 | SOG2 |</t>
  </si>
  <si>
    <t>KOG3547, KOG3547, KOG3547, Bestrophin (Best vitelliform macular dystrophy-associated protein) [General function prediction only].</t>
  </si>
  <si>
    <t>smart00324, RhoGAP, GTPase-activator protein for Rho-like GTPases. GTPase activator proteins towards Rho/Rac/Cdc42-like small GTPases. etter domain limits and outliers.</t>
  </si>
  <si>
    <t>AGAP005783-RA</t>
  </si>
  <si>
    <t>AGAP005783-PA</t>
  </si>
  <si>
    <t xml:space="preserve"> anillin pleckstrin similarity</t>
  </si>
  <si>
    <t>pe</t>
  </si>
  <si>
    <t>ExpAA=0.01 First60=0.00 PredHel=0 Topology=o</t>
  </si>
  <si>
    <t>cd01263, PH_anillin, Anillin Pleckstrin homology (PH) domain. Anillin (Rhotekin/RTKN; also called PLEKHK/Pleckstrin homology domain-containing family K) is an actin binding protein involved in cytokinesis. It interacts with GTP-bound Rho proteins and results in the inhibition of their GTPase activity. Dysregulation of the Rho signal transduction pathway has been implicated in many forms of cancer. Anillin proteins have a N-terminal HRI domain/ACC (anti-parallel coiled-coil) finger domain or Rho-binding domain binds small GTPases from the Rho family. The C-terminal PH domain helps target anillin to ectopic septin containing foci. PH domains have diverse functions, but in general are involved in targeting proteins to the appropriate cellular location or in the interaction with a binding partner. They share little sequence conservation, but all have a common fold, which is electrostatically polarized. Less than 10% of PH domains bind phosphoinositide phosphates (PIPs) with high affinity and specificity. PH domains are distinguished from other PIP-binding domains by their specific high-affinity binding to PIPs with two vicinal phosphate groups: PtdIns(3,4)P2, PtdIns(4,5)P2 or PtdIns(3,4,5)P3 which results in targeting some PH domain proteins to the plasma membrane. A few display strong specificity in lipid binding. Any specificity is usually determined by loop regions or insertions in the N-terminus of the domain, which are not conserved across all PH domains. PH domains are found in cellular signaling proteins such as serine/threonine kinase, tyrosine kinases, regulators of G-proteins, endocytotic GTPases, adaptors, as well as cytoskeletal associated molecules and in lipid associated enzymes.</t>
  </si>
  <si>
    <t>PH_anillin 4e-033| Anillin | PH | PH | ResB | PRK01297 | PTZ00108 | valS | PH | PRK15184 |</t>
  </si>
  <si>
    <t>KOG3640, KOG3640, KOG3640, Actin binding protein Anillin [Cell cycle control, cell division, chromosome partitioning, Cytoskeleton].</t>
  </si>
  <si>
    <t xml:space="preserve">Cell cycle control, cell division, chromosome partitioning, Cytoskeleton </t>
  </si>
  <si>
    <t>pfam08174, Anillin, Cell division protein anillin.  Anillin is a protein involved in septin organisation during cell division. It is an actin binding protein that is localized to the cleavage furrow, and it maintains the localization of active myosin, which ensures the spatial control of concerted contraction during cytokinesis.</t>
  </si>
  <si>
    <t>smart00233, PH, Pleckstrin homology domain.  Domain commonly found in eukaryotic signalling proteins. The domain family possesses multiple functions including the abilities to bind inositol phosphates, and various proteins. PH domains have been found to possess inserted domains (such as in PLC gamma, syntrophins) and to be inserted within other domains. Mutations in Brutons tyrosine kinase (Btk) within its PH domain cause X-linked agammaglobulinaemia (XLA) in patients. Point mutations cluster into the positively charged end of the molecule around the predicted binding site for phosphatidylinositol lipids.</t>
  </si>
  <si>
    <t xml:space="preserve"> AgamP4_2L:20558287-20578767(+) </t>
  </si>
  <si>
    <t xml:space="preserve">3 | 572    TKKRHDR|SN  0.534 *ProP*  | 910    GADRRRR|TT  0.598 *ProP*  | 1202    SPKRIFR|FA  0.505 *ProP*  | </t>
  </si>
  <si>
    <t>AGAP029051-RD</t>
  </si>
  <si>
    <t>Dystonin GAS (Growth-arrest-specific protein) - 14 OH-glycosylation sites -  14 NetOglyc sites</t>
  </si>
  <si>
    <t>AGAP029051-PD</t>
  </si>
  <si>
    <t xml:space="preserve"> sac6 - 14 OH-glycosylation sites -  14 NetOglyc sites</t>
  </si>
  <si>
    <t>SAC6 2e-042| GAS2 5e-034| GAS2 2e-033| SPEC 4e-029| CH 5e-022| CH 9e-022| CH 4e-020| Smc 3e-013| SPEC 2e-012| Spectrin 4e-012|</t>
  </si>
  <si>
    <t>AGAP003047-RA</t>
  </si>
  <si>
    <t xml:space="preserve">ATP-dependent RNA helicase </t>
  </si>
  <si>
    <t>ATP-dependent RNA helicase</t>
  </si>
  <si>
    <t>Superfamily II DNA and RNA helicases (DNA replication - probable fragment</t>
  </si>
  <si>
    <t>AGAP003047-PA</t>
  </si>
  <si>
    <t xml:space="preserve"> dead-box helicase domain of dead box protein 3</t>
  </si>
  <si>
    <t>Sphaeroforma arctica JP610</t>
  </si>
  <si>
    <t>COG0513, SrmB, Superfamily II DNA and RNA helicases [DNA replication, recombination, and repair / Transcription / Translation, ribosomal structure and biogenesis].</t>
  </si>
  <si>
    <t>SrmB 5e-086| PTZ00110 5e-078| PRK11776 2e-062| PLN00206 9e-055| PRK10590 2e-051| PRK11192 1e-049| PRK01297 1e-049| PRK04537 7e-049| PTZ00424 9e-045| DEADc 1e-044|</t>
  </si>
  <si>
    <t>KOG0335, KOG0335, KOG0335, ATP-dependent RNA helicase [RNA processing and modification].</t>
  </si>
  <si>
    <t xml:space="preserve">RNA processing and modification </t>
  </si>
  <si>
    <t>pfam00271, Helicase_C, Helicase conserved C-terminal domain.  The Prosite family is restricted to DEAD/H helicases, whereas this domain family is found in a wide variety of helicases and helicase related proteins. It may be that this is not an autonomously folding unit, but an integral part of the helicase.</t>
  </si>
  <si>
    <t xml:space="preserve"> AgamP4_2R:31427207-31433393(-) </t>
  </si>
  <si>
    <t xml:space="preserve">3 | 269    SDRRDGR|GG  0.557 *ProP*  | 714    RRGRVPR|GG  0.650 *ProP*  | 742    GGSRDHR|PM  0.516 *ProP*  | </t>
  </si>
  <si>
    <t>G(3.34)</t>
  </si>
  <si>
    <t>AGAP007327-RA</t>
  </si>
  <si>
    <t>E74-like factor 1/2/4</t>
  </si>
  <si>
    <t>Transcription factor NERF - probable fragment</t>
  </si>
  <si>
    <t>tf</t>
  </si>
  <si>
    <t>AGAP007327-PA</t>
  </si>
  <si>
    <t xml:space="preserve"> transcription factor nerf - 22 OH-glycosylation sites -  22 NetOglyc sites</t>
  </si>
  <si>
    <t>Eimeria mitis</t>
  </si>
  <si>
    <t>smart00413, ETS, erythroblast transformation specific domain. variation of the helix-turn-helix motif.</t>
  </si>
  <si>
    <t>ETS 3e-039| Ets 5e-038| PHA03307 7e-005| PcoB 0.003| GREB1 0.005| CiPC 0.006| Neuregulin 0.017| SelP_N 0.025| PRK09565 | PAT1 |</t>
  </si>
  <si>
    <t>KOG3804, KOG3804, KOG3804, Transcription factor NERF and related proteins, contain ETS domain [Transcription].</t>
  </si>
  <si>
    <t>pfam00178, Ets, Ets-domain.</t>
  </si>
  <si>
    <t xml:space="preserve"> AgamP4_2L:45540540-45588316(+) </t>
  </si>
  <si>
    <t xml:space="preserve">2 | 376    KIKRRPR|SG  0.508 *ProP*  | 408    KKSLMKR|YL  0.505 *ProP*  | </t>
  </si>
  <si>
    <t>ExpAA=0.02 First60=0.00 PredHel=0 Topology=o</t>
  </si>
  <si>
    <t>AGAP005645-RA</t>
  </si>
  <si>
    <t xml:space="preserve">dehydrogenase/reductase SDR family member 11 precursor </t>
  </si>
  <si>
    <t>dehydrogenase/reductase SDR family member 11 precursor</t>
  </si>
  <si>
    <t>Hydroxysteroid 17-beta dehydrogenase 11 - probable fragment</t>
  </si>
  <si>
    <t>detox</t>
  </si>
  <si>
    <t>AGAP005645-PA</t>
  </si>
  <si>
    <t>hipothetical protein</t>
  </si>
  <si>
    <t>ExpAA=0.06 First60=0.04 PredHel=0 Topology=o</t>
  </si>
  <si>
    <t>Galdieria sulphuraria</t>
  </si>
  <si>
    <t>cd05343, Mgc4172-like_SDR_c, human Mgc4172-like, classical (c) SDRs.  Human Mgc4172-like proteins, putative SDRs. These proteins are members of the SDR family, with a canonical active site tetrad and a typical Gly-rich NAD-binding motif.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(15-PGDH) numbering). In addition to the Tyr and Lys, there is often an upstream Ser (Ser-138, 15-PGDH numbering) and/or an Asn (Asn-107, 15-PGDH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domains of fatty acid synthase have a GGXGXXG NAD(P)-binding motif and an altered active site motif (YXXXN). Fungal type ketoacyl reductases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t>
  </si>
  <si>
    <t>Mgc4172-like_SDR_c 2e-069| COG4221 1e-050| DltE 5e-045| SDR_c 2e-044| SDR_c5 2e-044| adh_short 3e-042| CAD_SDR_c 8e-038| FabG 3e-037| 11beta-HSD1_like_SDR_c 5e-037| 17beta-HSD-like_SDR_c 2e-036|</t>
  </si>
  <si>
    <t>KOG1205, KOG1205, KOG1205, Predicted dehydrogenase [Secondary metabolites biosynthesis, transport and catabolism].</t>
  </si>
  <si>
    <t>pfam00106, adh_short, short chain dehydrogenase.  This family contains a wide variety of dehydrogenases.</t>
  </si>
  <si>
    <t>smart00822, PKS_KR, This enzymatic domain is part of bacterial polyketide synthases.  It catalyses the first step in the reductive modification of the beta-carbonyl centres in the growing polyketide chain. It uses NADPH to reduce the keto group to a hydroxy group.</t>
  </si>
  <si>
    <t xml:space="preserve"> AgamP4_2L:18215558-18216360(-) </t>
  </si>
  <si>
    <t>AGAP029991.R843</t>
  </si>
  <si>
    <t>unspecified product</t>
  </si>
  <si>
    <t>protein coding gene</t>
  </si>
  <si>
    <t>VectorBase: AGAP029991</t>
  </si>
  <si>
    <t>CYT</t>
  </si>
  <si>
    <t>AGAP003282-RB</t>
  </si>
  <si>
    <t>Histone-lysine N-methyltransferase, H3 lysine-79 specific</t>
  </si>
  <si>
    <t>Histone methylation protein DOT1 - 28 OH-glycosylation sites -  28 NetOglyc sites</t>
  </si>
  <si>
    <t>AGAP003282-PB</t>
  </si>
  <si>
    <t xml:space="preserve"> histone-lysine n-methyltransferase - 39 OH-glycosylation sites -  39 NetOglyc sites</t>
  </si>
  <si>
    <t>ExpAA=0.24 First60=0.00 PredHel=0 Topology=o</t>
  </si>
  <si>
    <t>pfam08123, DOT1, Histone methylation protein DOT1.  The DOT1 domain regulates gene expression by methylating histone H3. H3 methylation by DOT1 has been shown to be required for the DNA damage checkpoint in yeast.</t>
  </si>
  <si>
    <t>DOT1 1e-085| PAT1 2e-008| PRK07764 4e-008| MAD 2e-007| PHA03307 2e-005| Med15 3e-005| Activator_LAG-3 4e-005| PRK13875 1e-004| Macoilin 3e-004| PLN03138 3e-004|</t>
  </si>
  <si>
    <t>KOG3924, KOG3924, KOG3924, Putative protein methyltransferase involved in meiosis and transcriptional silencing (Dot1) [Cell cycle control, cell division, chromosome partitioning, Transcription].</t>
  </si>
  <si>
    <t xml:space="preserve">Cell cycle control, cell division, chromosome partitioning, Transcription </t>
  </si>
  <si>
    <t>smart00818, Amelogenin, Amelogenins, cell adhesion proteins, play a role in the biomineralisation of teeth.  They seem to regulate formation of crystallites during the secretory stage of tooth enamel development and are thought to play a major role in the structural organisation and mineralisation of developing enamel. The extracellular matrix of the developing enamel comprises two major classes of protein: the hydrophobic amelogenins and the acidic enamelins. Circular dichroism studies of porcine amelogenin have shown that the protein consists of 3 discrete folding units: the N-terminal region appears to contain beta-strand structures, while the C-terminal region displays characteristics of a random coil conformation. Subsequent studies on the bovine protein have indicated the amelogenin structure to contain a repetitive beta-turn segment and a "beta-spiral" between Gln112 and Leu138, which sequester a (Pro, Leu, Gln) rich region. The beta-spiral offers a probable site for interactions with Ca2+ ions. Muatations in the human amelogenin gene (AMGX) cause X-linked hypoplastic amelogenesis imperfecta, a disease characterised by defective enamel. A 9bp deletion in exon 2 of AMGX results in the loss of codons for Ile5, Leu6, Phe7 and Ala8, and replacement by a new threonine codon, disrupting the 16-residue (Met1-Ala16) amelogenin signal peptide.</t>
  </si>
  <si>
    <t xml:space="preserve"> AgamP4_2R:34856256-34866926(+) </t>
  </si>
  <si>
    <t xml:space="preserve">3 | 361    RSSRSRK|DN  0.621 *ProP*  | 504    GKGRQRR|PL  0.645 *ProP*  | 1960    DEERHRR|DL  0.657 *ProP*  | </t>
  </si>
  <si>
    <t>AGAP003738-RA</t>
  </si>
  <si>
    <t>The third cupredoxin domain of the insect laccases similar to laccase 2 in Tribolium castaneum - signalP detected - GPI anchored</t>
  </si>
  <si>
    <t>detox/ox/gpi</t>
  </si>
  <si>
    <t>AGAP003738-PA</t>
  </si>
  <si>
    <t xml:space="preserve"> trq8i8y2q8i8y2 anoga laccase os-ox-76 pe-2 sv - signalP detected - GPI anchored</t>
  </si>
  <si>
    <t xml:space="preserve"> 38-39</t>
  </si>
  <si>
    <t>ExpAA=22.41 First60=18.51 PredHel=1 Topology=i13-35o</t>
  </si>
  <si>
    <t>Cryptococcus neoformans var. grubii serotype A (strain H99 / ATCC 208821 / CBS 10515 / FGSC 9487)</t>
  </si>
  <si>
    <t>cd13905, CuRO_3_tcLLC2_insect_like, The third cupredoxin domain of the insect laccases similar to laccase 2 in Tribolium castaneum.  This multicopper oxidase (MCO) family includes the majority of insect laccases. One member of the family is laccase 2 from Tribolium castaneum. Laccase 2 is required for beetle cuticle tanning. Laccase (polyphenol oxidase EC 1.10.3.2) is a blue multi-copper enzyme that catalyzes the oxidation of a variety of organic substrates coupled to the reduction of molecular oxygen to water. It displays broad substrate specificity, catalyzing the oxidation of a wide variety of aromatic - notably phenolic and inorganic substances. Laccase has been implicated in a wide spectrum of biological activities and, in particular, plays a key role in morphogenesis, development and lignin metabolism in fungi, plants and insects. Although MCOs have diverse functions, majority of them have three cupredoxin domain repeats that include one mononuclear and one trinuclear copper center. The copper ions are bound in several sites: Type 1, Type 2, and/or Type 3. The ensemble of types 2 and 3 copper is called a trinuclear cluster. MCOs oxidize their substrate by accepting electrons at a mononuclear copper center and transferring them to the active site trinuclear copper center. The cupredoxin domain 3 of 3-domain MCOs contains the Type 1 (T1) copper binding site and part the trinuclear copper binding site, which is located at the interface of domains 1 and 3.</t>
  </si>
  <si>
    <t>CuRO_3_tcLLC2_insect_like 9e-064| CuRO_1_tcLCC2_insect_like 2e-059| CuRO_2_tcLCC_insect_like 7e-044| Cu-oxidase_3 3e-041| CuRO_1_LCC_like 4e-039| L-ascorbate_oxidase 2e-038| CuRO_1_Diphenol_Ox 6e-037| CuRO_1_MaLCC_like 3e-034| PLN02604 8e-034| PLN02191 9e-033|</t>
  </si>
  <si>
    <t>KOG1263, KOG1263, KOG1263, Multicopper oxidases [Secondary metabolites biosynthesis, transport and catabolism].</t>
  </si>
  <si>
    <t>pfam07732, Cu-oxidase_3, Multicopper oxidase.  This entry contains many divergent copper oxidase-like domains that are not recognized by the pfam00394 model.</t>
  </si>
  <si>
    <t>smart00214, VWC, von Willebrand factor (vWF) type C domain.</t>
  </si>
  <si>
    <t xml:space="preserve"> AgamP4_2R:42793477-42801646(-) </t>
  </si>
  <si>
    <t xml:space="preserve">2 | 580    VRHRTKR|QS  0.768 *ProP*  | 907    LPRRLKR|AP  0.616 *ProP*  | </t>
  </si>
  <si>
    <t>AGAP001515-RA</t>
  </si>
  <si>
    <t>actin-binding Rho-activating protein isoform X1</t>
  </si>
  <si>
    <t>AGAP001515-PA</t>
  </si>
  <si>
    <t xml:space="preserve"> actin-binding rho-activating protein isoform x1</t>
  </si>
  <si>
    <t>ExpAA=0.03 First60=0.00 PredHel=0 Topology=o</t>
  </si>
  <si>
    <t>pfam14705, Costars, Costars.  This domain is found both alone and at the C-terminus of actin-binding Rho-activating protein (ABRA). It binds to actin, and in muscle regulates the actin cytoskeleton and cell motility. It has a winged helix-like fold consisting of three alpha-helices and four antiparallel beta strands. Unlike typical winged helix proteins it does not bind to DNA, but contains a hydrophobic groove which may be responsible for interaction with other proteins.</t>
  </si>
  <si>
    <t>Costars 1e-023| PLN00127 | PRK11402 | ceo_syn | SCP_CRISP | NYD-SP12_N | PHA02869 | PRK04128 | Trimethylamine-N-oxide_reductase_1 | PvdE |</t>
  </si>
  <si>
    <t>KOG3376, KOG3376, KOG3376, Uncharacterized conserved protein [Function unknown].</t>
  </si>
  <si>
    <t xml:space="preserve">Function unknown </t>
  </si>
  <si>
    <t>smart00434, TOP4c, DNA Topoisomerase IV.  Bacterial DNA topoisomerase IV, GyrA, ParC.</t>
  </si>
  <si>
    <t xml:space="preserve"> AgamP4_2R:5746501-5757790(-) </t>
  </si>
  <si>
    <t>AGAP004119-RA</t>
  </si>
  <si>
    <t xml:space="preserve">cGMP-specific 3', 5'-cyclic phosphodiesterase </t>
  </si>
  <si>
    <t>cGMP-specific 3', 5'-cyclic phosphodiesterase</t>
  </si>
  <si>
    <t>Cyclic GMP phosphodiesterase - probable fragment</t>
  </si>
  <si>
    <t>AGAP004119-PA</t>
  </si>
  <si>
    <t xml:space="preserve"> gnlcdd231621 cyclic nucleotide phosphodiesterase signal transduction mechanism</t>
  </si>
  <si>
    <t>pfam00233, PDEase_I, 3'5'-cyclic nucleotide phosphodiesterase.</t>
  </si>
  <si>
    <t>PDEase_I 1e-092| GAF 2e-018| GAF 2e-012| HDc 8e-011| HDc 1e-010| GAF_2 7e-005| FhlA 5e-004| COG1956 0.006| Cas10_III 0.062| PtsP 0.067|</t>
  </si>
  <si>
    <t xml:space="preserve"> AgamP4_2R:50271906-50309017(+) </t>
  </si>
  <si>
    <t>AGAP005305-RA</t>
  </si>
  <si>
    <t>agap005305-pa - 16 OH-glycosylation sites -  16 NetOglyc sites</t>
  </si>
  <si>
    <t>AGAP005305-PA</t>
  </si>
  <si>
    <t xml:space="preserve"> spry domain in heteroproteinous nuclear ribonucleoprotein u - 16 OH-glycosylation sites -  16 NetOglyc sites</t>
  </si>
  <si>
    <t>ExpAA=0.00 First60=0.00 PredHel=0 Topology=o</t>
  </si>
  <si>
    <t>Eimeria maxima</t>
  </si>
  <si>
    <t>cd12884, SPRY_hnRNP, SPRY domain in heterogeneous nuclear ribonucleoprotein U-like (hnRNP) protein 1.  This domain, consisting of the distinct N-terminal PRY subdomain followed by the SPRY subdomain, is found at the C-terminus of heterogeneous nuclear ribonucleoprotein U-like (hnRNP) protein 1 (also known as HNRPUL1 ) which is a major constituent of nuclear matrix or scaffold and binds directly to DNA sequences through the N-terminal acidic region named serum amyloid P (SAP). Its function is specifically modulated by E1B-55kDa in adenovirus-infected cells. HNRPUL1 also participates in ATR protein kinase signaling pathways during adenovirus infection. Two transcript variants encoding different isoforms have been found for this gene. When associated with bromodomain-containing protein 7 (BRD7), it activates transcription of glucocorticoid-responsive promoter in the absence of ligand-stimulation.</t>
  </si>
  <si>
    <t>SPRY_hnRNP 9e-059| SPRY_DDX1 9e-031| AAA_33 1e-025| SPRY_Ash2 7e-013| SPRY 4e-012| rne 2e-011| SPRY 3e-011| SPRY 6e-011| SPRY_RanBP_like 1e-010| PRK07003 1e-009|</t>
  </si>
  <si>
    <t>KOG0349, KOG0349, KOG0349, Putative DEAD-box RNA helicase DDX1 [RNA processing and modification].</t>
  </si>
  <si>
    <t>pfam13671, AAA_33, AAA domain.  This family of domains contain only a P-loop motif, that is characteristic of the AAA superfamily. Many of the proteins in this family are just short fragments so there is no Walker B motif.</t>
  </si>
  <si>
    <t>smart00449, SPRY, Domain in SPla and the RYanodine Receptor. Domain of unknown function. Distant homologues are domains in butyrophilin/marenostrin/pyrin homologues.</t>
  </si>
  <si>
    <t xml:space="preserve"> AgamP4_2L:13900618-13906397(+) </t>
  </si>
  <si>
    <t xml:space="preserve">1 | 1025    ARRRDRR|GY  0.546 *ProP*  | </t>
  </si>
  <si>
    <t>AGAP000009-RB</t>
  </si>
  <si>
    <t xml:space="preserve">syntaxin-binding protein </t>
  </si>
  <si>
    <t>syntaxin-binding protein</t>
  </si>
  <si>
    <t>Tomosyn</t>
  </si>
  <si>
    <t>AGAP000009-PB</t>
  </si>
  <si>
    <t xml:space="preserve"> tomosyn</t>
  </si>
  <si>
    <t>ExpAA=0.07 First60=0.00 PredHel=0 Topology=o</t>
  </si>
  <si>
    <t>pfam08366, LLGL, LLGL2.  This domain is found in lethal giant larvae homolog 2 (LLGL2) proteins and syntaxin-binding proteins like tomosyn. It has been identified in eukaryotes and tends to be found together with WD repeats (pfam00400).</t>
  </si>
  <si>
    <t>LLGL 6e-035| R-SNARE_STXBP5_6 3e-015| R-SNARE_STXBP6 3e-007| Synaptobrevin 7e-007| COG2319 5e-006| R-SNARE_STXBP5 7e-006| R-SNARE 8e-006| 7WD40 8e-005| PLN03138 1e-004| R-SNARE_VAMP2 2e-004|</t>
  </si>
  <si>
    <t>KOG1983, KOG1983, KOG1983, Tomosyn and related SNARE-interacting proteins [Intracellular trafficking, secretion, and vesicular transport].</t>
  </si>
  <si>
    <t xml:space="preserve">Intracellular trafficking, secretion, and vesicular transport </t>
  </si>
  <si>
    <t>smart00157, PRP, Major prion protein.  The prion protein is a major component of scrapie-associated fibrils in Creutzfeldt-Jakob disease, kuru, Gerstmann-Straussler syndrome and bovine spongiform encephalopathy.</t>
  </si>
  <si>
    <t xml:space="preserve"> AgamP4_X:98087-114021(-) </t>
  </si>
  <si>
    <t xml:space="preserve">1 | 778    DSVRKSR|SQ  0.506 *ProP*  | </t>
  </si>
  <si>
    <t>THR</t>
  </si>
  <si>
    <t>AGAP012141-RB</t>
  </si>
  <si>
    <t xml:space="preserve">ankyrin repeat-rich membrane spanning protein </t>
  </si>
  <si>
    <t>ankyrin repeat-rich membrane spanning protein</t>
  </si>
  <si>
    <t>Ankyrin - probable fragment - 5 predicted membrane helices</t>
  </si>
  <si>
    <t>extmat membrane</t>
  </si>
  <si>
    <t>AGAP012141-PB</t>
  </si>
  <si>
    <t>Conserved plasma membrane protein - 5 predicted membrane helices</t>
  </si>
  <si>
    <t>ExpAA=90.17 First60=0.00 PredHel=4 Topology=o569-591i593-615o728-750i762-784o</t>
  </si>
  <si>
    <t>Aedes albopictus</t>
  </si>
  <si>
    <t>Trichomonas vaginalis G3</t>
  </si>
  <si>
    <t>pfam07693, KAP_NTPase, KAP family P-loop domain.  The KAP (after Kidins220/ARMS and PifA) family of predicted NTPases are sporadically distributed across a wide phylogenetic range in bacteria and in animals. Many of the prokaryotic KAP NTPases are encoded in plasmids and tend to undergo disruption to form pseudogenes. A unique feature of all eukaryotic and certain bacterial KAP NTPases is the presence of two or four transmembrane helices inserted into the P-loop NTPase domain. These transmembrane helices anchor KAP NTPases in the membrane such that the P-loop domain is located on the intracellular side.</t>
  </si>
  <si>
    <t>KAP_NTPase 1e-034| ANK 4e-030| ANK 1e-024| PHA02874 7e-024| PHA03095 3e-023| PHA03100 3e-022| PHA02876 2e-019| Ank_2 5e-018| Arp 4e-016| PHA02875 1e-014|</t>
  </si>
  <si>
    <t>KOG4177, KOG4177, KOG4177, Ankyrin [Cell wall/membrane/envelope biogenesis].</t>
  </si>
  <si>
    <t>smart00248, ANK, ankyrin repeats.  Ankyrin repeats are about 33 amino acids long and occur in at least four consecutive copies. They are involved in protein-protein interactions. The core of the repeat seems to be an helix-loop-helix structure.</t>
  </si>
  <si>
    <t xml:space="preserve"> AgamP4_3L:38016044-38040172(+) </t>
  </si>
  <si>
    <t xml:space="preserve">1 | 1555    GSGRHSR|SH  0.505 *ProP*  | </t>
  </si>
  <si>
    <t>AGAP003926-RA</t>
  </si>
  <si>
    <t xml:space="preserve">Aminopeptidase [Source:UniProtKB/TrEMBL;Acc:Q7Q2B5] </t>
  </si>
  <si>
    <t>Aminopeptidase</t>
  </si>
  <si>
    <t>Puromycin-sensitive aminopeptidase - signalP detected</t>
  </si>
  <si>
    <t>met/aa/secreted Puromycin-sensitive</t>
  </si>
  <si>
    <t>AGAP003926-PA</t>
  </si>
  <si>
    <t xml:space="preserve"> pepn - signalP detected</t>
  </si>
  <si>
    <t xml:space="preserve">met/aa/secreted </t>
  </si>
  <si>
    <t xml:space="preserve"> 19-20</t>
  </si>
  <si>
    <t>ExpAA=13.09 First60=12.99 PredHel=0 Topology=o</t>
  </si>
  <si>
    <t>cd09601, M1_APN_2, Peptidase M1 Aminopeptidase N family incudes tricorn interacting factor F3, Endoplasmic reticulum aminopeptidase 1 (ERAP1), Aminopeptidase Q (APQ).  This M1 peptidase family includes eukaryotic and bacterial members: aminopeptidase N (APN), aminopeptidase Q (APQ, laeverin), endoplasmic reticulum aminopeptidase 1 (ERAP1) as well as tricorn interacting factor F3. Aminopeptidase N (APN; CD13; Alanyl aminopeptidase; EC 3.4.11.2), a Type II integral membrane protease, consists of a small N-terminal cytoplasmic domain, a single transmembrane domain and a large extracellular ectodomain that contains the active site. It preferentially cleaves neutral amino acids from the N-terminus of oligopeptides and is present in a variety of human tissues and cell types (leukocyte, fibroblast, endothelial and epithelial cells). APN expression is dysregulated in inflammatory diseases such as chronic pain, rheumatoid arthritis, multiple sclerosis, systemic sclerosis, systemic lupus erythematosus, polymyositis/dermatomyosytis and pulmonary sarcoidosis, and is enhanced in tumor cells such as melanoma, renal, prostate, pancreas, colon, gastric and thyroid cancers. It is considered a marker of differentiation since it is predominantly expressed on stem cells and on cells of the granulocytic and monocytic lineages at distinct stages of differentiation. Thus, APN inhibition may lead to the development of anti-cancer and anti-inflammatory drugs. ERAP1 also known as endoplasmic reticulum aminopeptidase associated with antigen processing (ERAAP), adipocyte derived leucine aminopeptidase (A-LAP) or aminopeptidase regulating tumor necrosis factor receptor I (THFRI) shedding (ARTS-1), associates with the closely related ER aminopeptidase ERAP2, for the final trimming of peptides within the ER for presentation by MHC class I molecules. ERAP1 is associated with ankylosing spondylitis (AS), an inflammatory arthritis that predominantly affects the spine. ERAP1 also aids in the shedding of membrane-bound cytokine receptors. The tricorn interacting factor F3, together with factors F1 and F2, degrades the tricorn protease products, producing free amino acids, thus completing the proteasomal degradation pathway. F3 is homologous to F2, but not F1, and shows a strong preference for glutamate in the P1' position. APQ, also known as laeverin, is specifically expressed in human embryo-derived extravillous trophoblasts (EVTs) that invade the uterus during early placentation. It cleaves the N-terminal amino acid of various peptides such as angiotensin III, endokinin C, and kisspeptin-10, all expressed in the placenta in large quantities. APN is a receptor for coronaviruses, although the virus receptor interaction site seems to be distinct from the enzymatic site and aminopeptidase activity is not necessary for viral infection. APNs are also putative Cry toxin receptors. Cry1 proteins are pore-forming toxins that bind to the midgut epithelial cell membrane of susceptible insect larvae, causing extensive damage. Several different toxins, including Cry1Aa, Cry1Ab, Cry1Ac, Cry1Ba, Cry1Ca and Cry1Fa, have been shown to bind to APNs; however, a direct role of APN in cytotoxicity has been yet to be firmly established.</t>
  </si>
  <si>
    <t>M1_APN_2 e-126| Peptidase_M1 3e-083| PepN 7e-079| M1_APN_3 1e-061| M1_APN_4 2e-049| Aminopeptidase_N 5e-040| M1 2e-038| M1_APN_5 1e-015| ERAP1_C 2e-015| M1_LTA4H 1e-014|</t>
  </si>
  <si>
    <t>KOG1046, KOG1046, KOG1046, Puromycin-sensitive aminopeptidase and related aminopeptidases [Amino acid transport and metabolism, Posttranslational modification, protein turnover, chaperones].</t>
  </si>
  <si>
    <t xml:space="preserve">Amino acid transport and metabolism, Posttranslational modification, protein turnover, chaperones </t>
  </si>
  <si>
    <t>pfam01433, Peptidase_M1, Peptidase family M1.  Members of this family are aminopeptidases. The members differ widely in specificity, hydrolysing acidic, basic or neutral N-terminal residues. This family includes leukotriene-A4 hydrolase, this enzyme also has an aminopeptidase activity.</t>
  </si>
  <si>
    <t>smart00878, Biotin_carb_C, Biotin carboxylase C-terminal domain. Biotin carboxylase is a component of the acetyl-CoA carboxylase multi-component enzyme which catalyses the first committed step in fatty acid synthesis in animals, plants and bacteria. Most of the active site residues reported in reference are in this C-terminal domain.</t>
  </si>
  <si>
    <t>AGAP000448-RA</t>
  </si>
  <si>
    <t xml:space="preserve">solute carrier family 25 (mitochondrial ornithine transporter) member 2/15 </t>
  </si>
  <si>
    <t>solute carrier family 25 (mitochondrial ornithine transporter) member 2/15</t>
  </si>
  <si>
    <t>Mitochondrial carrier protein - 3 predicted membrane helices</t>
  </si>
  <si>
    <t>met/energy membrane</t>
  </si>
  <si>
    <t>AGAP000448-PA</t>
  </si>
  <si>
    <t xml:space="preserve"> mitochondrial ornithine transporter 1-like protein - 3 predicted membrane helices</t>
  </si>
  <si>
    <t>ExpAA=77.50 First60=19.04 PredHel=3 Topology=o13-31i218-237o265-287i</t>
  </si>
  <si>
    <t>Acanthamoeba castellanii str. Neff</t>
  </si>
  <si>
    <t>pfam00153, Mito_carr, Mitochondrial carrier protein.</t>
  </si>
  <si>
    <t>Mito_carr 2e-016| PTZ00168 1e-007| PTZ00169 | CE4_SpCDA1 | permease_CysT | PRK09866 | HetN_like_SDR_c | Fe-ADH5 | M20_Acy1_like2 |</t>
  </si>
  <si>
    <t>KOG0763, KOG0763, KOG0763, Mitochondrial ornithine transporter [Energy production and conversion].</t>
  </si>
  <si>
    <t xml:space="preserve">Energy production and conversion </t>
  </si>
  <si>
    <t>smart00452, STI, Soybean trypsin inhibitor (Kunitz) family of protease inhibitors.</t>
  </si>
  <si>
    <t xml:space="preserve"> AgamP4_X:7854216-7855196(-) </t>
  </si>
  <si>
    <t>AGAP005345.R51</t>
  </si>
  <si>
    <t>RNA-binding protein - probable fragment - 16 OH-glycosylation sites</t>
  </si>
  <si>
    <t>AGAP005345-PA</t>
  </si>
  <si>
    <t xml:space="preserve"> tra0a82hmg0a0a82hmg0 anoar hth la rna-binding domain-containing protein - 16 OH-glycosylation sites -  16 NetOglyc sites</t>
  </si>
  <si>
    <t>cd08033, LARP_6, La RNA-binding domain of La-related protein 6. This domain is found in animal and plant proteins related to the La autoantigen. A variety of La-related proteins (LARPs or La ribonucleoproteins), with differing domain architecture, appear to function as RNA-binding proteins in eukaryotic cellular processes.</t>
  </si>
  <si>
    <t>LARP_6 6e-032| RRM_LARP6 1e-027| LA 5e-023| LAM 8e-021| La 6e-019| LARP_1_2 9e-012| LARP_7 1e-011| LA_like_fungal 3e-011| LA_like_plant 3e-011| LARP_3 3e-011|</t>
  </si>
  <si>
    <t>KOG1855, KOG1855, KOG1855, Predicted RNA-binding protein [General function prediction only].</t>
  </si>
  <si>
    <t>pfam05383, La, La domain.  This presumed domain is found at the N-terminus of La RNA-binding proteins as well as other proteins. The function of this region is uncertain.</t>
  </si>
  <si>
    <t>smart00715, LA, Domain in the RNA-binding Lupus La protein; unknown function.</t>
  </si>
  <si>
    <t xml:space="preserve"> AgamP4_2L:14340826-14343510(+) </t>
  </si>
  <si>
    <t>AGAP005345-RA</t>
  </si>
  <si>
    <t xml:space="preserve">1 | 541    DRFRMRR|GS  0.579 *ProP*  | </t>
  </si>
  <si>
    <t>AGAP000367-RA</t>
  </si>
  <si>
    <t xml:space="preserve">glyoxalase domain-containing protein 4 </t>
  </si>
  <si>
    <t>glyoxalase domain-containing protein 4</t>
  </si>
  <si>
    <t>glyoxalase</t>
  </si>
  <si>
    <t>met/carb</t>
  </si>
  <si>
    <t>AGAP000367-PA</t>
  </si>
  <si>
    <t xml:space="preserve"> glyoxalase</t>
  </si>
  <si>
    <t>cd08358, GLOD4_N, N-terminal domain of human glyoxalase domain-containing protein 4 and similar proteins. Uncharacterized subfamily of the vicinal oxygen chelate (VOC) superfamily contains human glyoxalase domain-containing protein 4 and similar proteins. VOC is composed of structurally related proteins with paired beta.alpha.beta.beta.beta motifs that provide a metal coordination environment with two or three open or readily accessible coordination sites to promote direct electrophilic participation of the metal ion in catalysis. VOC domain is found in a variety of structurally related metalloproteins, including the bleomycin resistance protein, glyoxalase I, and type I ring-cleaving dioxygenases. A bound metal ion is required for protein activities for the members of this superfamily. A variety of metal ions have been found in the catalytic centers of these proteins including Fe(II), Mn(II), Zn(II), Ni(II) and Mg(II). The protein superfamily contains members with or without domain swapping. The proteins of this family share three conserved metal binding amino acids with the type I extradiol dioxygenases, which shows no domain swapping.</t>
  </si>
  <si>
    <t>GLOD4_N 3e-060| GLOD4_C 4e-043| PLN02300 5e-025| GlxI_Ni 3e-020| Lactoylglutathione_lyase 2e-018| PRK10291 1e-013| VOC 7e-006| GlxI_Zn 1e-004| Glyoxalase 3e-004| BphC5-RrK37_N_like 0.025|</t>
  </si>
  <si>
    <t>KOG2943, KOG2943, KOG2943, Predicted glyoxalase [Carbohydrate transport and metabolism].</t>
  </si>
  <si>
    <t xml:space="preserve">Carbohydrate transport and metabolism </t>
  </si>
  <si>
    <t>pfam00903, Glyoxalase, Glyoxalase/Bleomycin resistance protein/Dioxygenase superfamily.</t>
  </si>
  <si>
    <t>smart00218, ZU5, Domain present in ZO-1 and Unc5-like netrin receptors.  Domain of unknown function.</t>
  </si>
  <si>
    <t xml:space="preserve"> AgamP4_X:6773292-6774331(-) </t>
  </si>
  <si>
    <t>AGAP000785-RA</t>
  </si>
  <si>
    <t xml:space="preserve">Synaptic vesicle protein </t>
  </si>
  <si>
    <t>Synaptic vesicle protein</t>
  </si>
  <si>
    <t>synaptic vesicle protein SV2 - probable fragment - 12 predicted membrane helices</t>
  </si>
  <si>
    <t>pe membrane</t>
  </si>
  <si>
    <t>AGAP000785-PA</t>
  </si>
  <si>
    <t xml:space="preserve"> synaptic vesicle glycoprotein 2b isoform x2 - 12 predicted membrane helices</t>
  </si>
  <si>
    <t>ExpAA=259.43 First60=0.05 PredHel=12 Topology=i65-87o102-123i130-152o156-178i190-212o227-249i334-356o396-418i425-444o448-470i483-505o510-532i</t>
  </si>
  <si>
    <t>TIGR01299, synaptic_vesicle_protein_2C, synaptic vesicle protein SV2.  This model describes a tightly conserved subfamily of the larger family of sugar (and other) transporters described by pfam00083. Members of this subfamily include closely related forms SV2A and SV2B of synaptic vesicle protein from vertebrates and a more distantly related homolog (below trusted cutoff) from Drosophila melanogaster. Members are predicted to have two sets of six transmembrane helices.</t>
  </si>
  <si>
    <t>synaptic_vesicle_protein_2C 1e-036| organic_anion_transporter 6e-036| Sugar_tr 7e-014| Membrane_transporter 2e-013| MFS_1 2e-012| MFS 3e-012| transport_protein 9e-011| Chromaffin_granule_amine_transporter 3e-006| Glycerol-3-phosphate_transporter 1e-005| AraJ 1e-004|</t>
  </si>
  <si>
    <t>KOG0255, KOG0255, KOG0255, Synaptic vesicle transporter SVOP and related transporters (major facilitator superfamily) [General function prediction only].</t>
  </si>
  <si>
    <t>smart00105, ArfGap, Putative GTP-ase activating proteins for the small GTPase, ARF.  Putative zinc fingers with GTPase activating proteins (GAPs) towards the small GTPase, Arf. The GAP of ARD1 stimulates GTPase hydrolysis for ARD1 but not ARFs.</t>
  </si>
  <si>
    <t xml:space="preserve"> AgamP4_X:14279868-14289701(-) </t>
  </si>
  <si>
    <t>AGAP004744.R444</t>
  </si>
  <si>
    <t xml:space="preserve">succinyl-CoA ligase beta subunit </t>
  </si>
  <si>
    <t>skap: succinyl-CoA ligase beta subunit</t>
  </si>
  <si>
    <t>GTP-specific succinyl-CoA synthetase beta subunit</t>
  </si>
  <si>
    <t>met/energy</t>
  </si>
  <si>
    <t>AGAP004744-PA</t>
  </si>
  <si>
    <t>ExpAA=0.17 First60=0.00 PredHel=0 Topology=o</t>
  </si>
  <si>
    <t>PLN00124, PLN00124, succinyl-CoA ligase [GDP-forming] subunit beta; Provisional.</t>
  </si>
  <si>
    <t>PLN00124 e-143| sucC e-140| SucC e-125| Succinyl-CoA_ligase_subunit_beta e-112| PRK14046 e-102| ATP-grasp_2 2e-062| Ligase_CoA 3e-028| GARS_A 5e-006| PurD 5e-004| Uncharacterized_protein_MJ0590 0.004|</t>
  </si>
  <si>
    <t>KOG2799, KOG2799, KOG2799, Succinyl-CoA synthetase, beta subunit [Energy production and conversion].</t>
  </si>
  <si>
    <t>pfam08442, ATP-grasp_2, ATP-grasp domain.</t>
  </si>
  <si>
    <t>smart00937, PCRF, This domain is found in peptide chain release factors.</t>
  </si>
  <si>
    <t xml:space="preserve"> AgamP4_2L:3021924-3025400(+) </t>
  </si>
  <si>
    <t>AGAP004744-RA</t>
  </si>
  <si>
    <t>AGAP012308-RA</t>
  </si>
  <si>
    <t xml:space="preserve">ornithine decarboxylase </t>
  </si>
  <si>
    <t>ornithine decarboxylase</t>
  </si>
  <si>
    <t>Ornithine decarboxylase</t>
  </si>
  <si>
    <t>met/aa</t>
  </si>
  <si>
    <t>AGAP012308-PA</t>
  </si>
  <si>
    <t xml:space="preserve"> ornithine decarboxylase</t>
  </si>
  <si>
    <t>ExpAA=0.73 First60=0.00 PredHel=0 Topology=o</t>
  </si>
  <si>
    <t>Trypanosoma brucei gambiense DAL972</t>
  </si>
  <si>
    <t>cd00622, PLPDE_III_ODC, Type III Pyridoxal 5-phosphate (PLP)-Dependent Enzyme Ornithine Decarboxylase.  This subfamily is composed mainly of eukaryotic ornithine decarboxylases (ODC, EC 4.1.1.17) and ODC-like enzymes from prokaryotes represented by Vibrio vulnificus LysineOrnithine decarboxylase. These are fold type III PLP-dependent enzymes that differ from most bacterial ODCs which are fold type I PLP-dependent enzymes. ODC participates in the formation of putrescine by catalyzing the decarboxylation of ornithine, the first step in polyamine biosynthesis. Members of this subfamily contain an N-terminal PLP-binding TIM-barrel domain and a C-terminal beta-sandwich domain, similar to bacterial alanine racemases. They exist as homodimers with active sites that lie at the interface between the TIM barrel domain of one subunit and the beta-sandwich domain of the other subunit. Homodimer formation and the presence of the PLP cofactor are required for catalytic activity. Also members of this subfamily are proteins with homology to ODC but do not possess any catalytic activity, the Antizyme inhibitor (AZI) and ODC-paralogue (ODC-p). AZI binds to the regulatory protein Antizyme with a higher affinity than ODC and prevents ODC degradation. ODC-p is a novel ODC-like protein, present only in mammals, that is specifically exressed in the brain and testes. ODC-p may function as a tissue-specific antizyme inhibitory protein.</t>
  </si>
  <si>
    <t>PLPDE_III_ODC e-139| PLPDE_III_ODC_like_AZI 6e-075| PLPDE_III_ODC_DapDC_like 1e-072| LysA 1e-071| Orn_Arg_deC_N 1e-060| PLPDE_III_DapDC 3e-053| PLPDE_III_Btrk_like 2e-042| Diaminopimelate_decarboxylase 8e-040| PLPDE_III_MccE_like 3e-033| PLPDE_III 4e-030|</t>
  </si>
  <si>
    <t>KOG0622, KOG0622, KOG0622, Ornithine decarboxylase [Amino acid transport and metabolism].</t>
  </si>
  <si>
    <t>pfam02784, Orn_Arg_deC_N, Pyridoxal-dependent decarboxylase, pyridoxal binding domain.  These pyridoxal-dependent decarboxylases acting on ornithine, lysine, arginine and related substrates This domain has a TIM barrel fold.</t>
  </si>
  <si>
    <t>smart01079, CHASE, This domain is found in the extracellular portion of receptor-like proteins - such as serine/threonine kinases and adenylyl cyclases. Predicted to be a ligand binding domain.</t>
  </si>
  <si>
    <t xml:space="preserve"> AgamP4_3L:40063125-40064923(+) </t>
  </si>
  <si>
    <t>AGAP003927-RA</t>
  </si>
  <si>
    <t xml:space="preserve">Insulin-like peptide 5 </t>
  </si>
  <si>
    <t>Insulin-like peptide 5</t>
  </si>
  <si>
    <t>Conserved secreted protein precursor</t>
  </si>
  <si>
    <t>s/ucs</t>
  </si>
  <si>
    <t>AGAP003927-PA</t>
  </si>
  <si>
    <t>ExpAA=0.04 First60=0.03 PredHel=0 Topology=o</t>
  </si>
  <si>
    <t>Plasmodium fragile</t>
  </si>
  <si>
    <t>cd04365, IlGF_relaxin_like, IlGF_like family, relaxin_like subgroup, specific to vertebrates. Members include a number of active peptides including (pro)relaxin, mammalian Leydig cell-specific insulin-like peptide (gene INSL3), early placenta insulin-like peptide (ELIP; gene INSL4), and insulin-like peptides 5 (INSL5) and 6 (INSL6). Members of this subgroup are widely expressed in testes (INSL3, INSL6), decidua, placenta, prostate, corpus luteum, brain (various relaxins), GI tract, and kidney (INSL5) where they serve a variety of functions in parturition and development. Typically, the active forms of these peptide hormones are composed of two chains (A and B) linked by two disulfide bonds; the arrangement of four cysteines is conserved in the "A" chain:  Cys1 is linked by a disulfide bond to Cys3, Cys2 and Cys4 are linked by interchain disulfide bonds to cysteines in the "B" chain. This alignment contains both chains, plus the intervening linker region, arranged as found in the propeptide form. Propeptides are cleaved to yield two separate chains linked covalently by the two disulfide bonds.</t>
  </si>
  <si>
    <t>IlGF_relaxin_like 6e-007| IlGF_like 0.029| IlGF_insulin_bombyxin_like | Rhamno_transf | Glyco_hydro_45 | PRK12387 | CoA_transf_3 |</t>
  </si>
  <si>
    <t>KOG4163, KOG4163, KOG4163, Prolyl-tRNA synthetase [Translation, ribosomal structure and biogenesis].</t>
  </si>
  <si>
    <t xml:space="preserve">Translation, ribosomal structure and biogenesis </t>
  </si>
  <si>
    <t>pfam11316, Rhamno_transf, Putative rhamnosyl transferase.  Most members of this family are uncharacterized, but one is a putative side-chain-rhamnosyl transferase.</t>
  </si>
  <si>
    <t>smart00078, IlGF, Insulin / insulin-like growth factor / relaxin family.  Family of proteins including insulin, relaxin, and IGFs. Insulin decreases blood glucose concentration.</t>
  </si>
  <si>
    <t xml:space="preserve"> AgamP4_2R:46365756-46366232(+) </t>
  </si>
  <si>
    <t>W(3.94)</t>
  </si>
  <si>
    <t>AGAP003005-RB</t>
  </si>
  <si>
    <t xml:space="preserve">serine/threonine-protein kinase SIK </t>
  </si>
  <si>
    <t>serine/threonine-protein kinase SIK</t>
  </si>
  <si>
    <t>Catalytic domain of the Serine/Threonine Kinases - 11 OH-glycosylation sites -  11 NetOglyc sites</t>
  </si>
  <si>
    <t>AGAP003005-PB</t>
  </si>
  <si>
    <t xml:space="preserve"> camk/camkl/mark protein kinase - 11 OH-glycosylation sites -  11 NetOglyc sites</t>
  </si>
  <si>
    <t>ExpAA=3.27 First60=1.35 PredHel=0 Topology=o</t>
  </si>
  <si>
    <t>cd14071, STKc_SIK, Catalytic domain of the Serine/Threonine Kinases, Salt-Inducible kinases.  STKs catalyze the transfer of the gamma-phosphoryl group from ATP to serine/threonine residues on protein substrates. SIKs are part of a complex network that regulates Na,K-ATPase to maintain sodium homeostasis and blood pressure. Vertebrates contain three forms of SIKs (SIK1-3) from three distinct genes, which display tissue-specific effects. SIK1, also called SNF1LK, controls steroidogenic enzyme production in adrenocortical cells. In the brain, both SIK1 and SIK2 regulate energy metabolism. SIK2, also called QIK or SNF1LK2, is involved in the regulation of gluconeogenesis in the liver and lipogenesis in adipose tissues, where it phosphorylates the insulin receptor substrate-1. In the liver, SIK3 (also called QSK) regulates cholesterol and bile acid metabolism. In addition, SIK2 plays an important role in the initiation of mitosis and regulates the localization of C-Nap1, a centrosome linker protein. The SIK subfamily is part of a larger superfamily that includes the catalytic domains of other STKs, protein tyrosine kinases, RIO kinases, aminoglycoside phosphotransferase, choline kinase, and phosphoinositide 3-kinase.</t>
  </si>
  <si>
    <t>STKc_SIK e-165| STKc_AMPK-like e-126| STKc_MARK e-120| STKc_CAMK e-101| STKc_AMPK_alpha e-100| STKc_BRSK1_2 9e-097| S_TKc 1e-092| STKc_NUAK 1e-089| STKc_NIM1 2e-087| STKc_MELK 1e-084|</t>
  </si>
  <si>
    <t>KOG0586, KOG0586, KOG0586, Serine/threonine protein kinase [General function prediction only].</t>
  </si>
  <si>
    <t>pfam00069, Pkinase, Protein kinase domain.</t>
  </si>
  <si>
    <t>smart00220, S_TKc, Serine/Threonine protein kinases, catalytic domain.  Phosphotransferases. Serine or threonine-specific kinase subfamily.</t>
  </si>
  <si>
    <t xml:space="preserve"> AgamP4_2R:30985240-30999183(-) </t>
  </si>
  <si>
    <t>AGAP002224-RA</t>
  </si>
  <si>
    <t xml:space="preserve">open rectifier potassium channel protein 1 </t>
  </si>
  <si>
    <t>open rectifier potassium channel protein 1</t>
  </si>
  <si>
    <t>open rectifier potassium channel protein 1 - 7 predicted membrane helices</t>
  </si>
  <si>
    <t>AGAP002224-PA</t>
  </si>
  <si>
    <t xml:space="preserve"> open rectifier potassium channel protein 1 - 7 predicted membrane helices</t>
  </si>
  <si>
    <t>ExpAA=129.15 First60=21.73 PredHel=6 Topology=o5-27i93-112o122-144i178-200o210-228i240-262o</t>
  </si>
  <si>
    <t>pfam07885, Ion_trans_2, Ion channel.  This family includes the two membrane helix type ion channels found in bacteria.</t>
  </si>
  <si>
    <t>Ion_trans_2 3e-014| PRK10537 5e-005| FAM53 1e-004| PHA03247 5e-004| KAR9 8e-004| PHA03307 0.001| Ion_trans 0.001| hypothetical_protein 0.003| SOBP 0.004| Retinal 0.004|</t>
  </si>
  <si>
    <t>KOG1418, KOG1418, KOG1418, Tandem pore domain K+ channel [Inorganic ion transport and metabolism].</t>
  </si>
  <si>
    <t xml:space="preserve">Inorganic ion transport and metabolism </t>
  </si>
  <si>
    <t>smart00793, AgrB, Accessory gene regulator B.  The accessory gene regulator (agr) of Staphylococcus aureus is the central regulatory system that controls the gene expression for a large set of virulence factors. The arg locus consists of two transcripts: RNAII and RNAIII. RNAII encodes four genes (agrA, B, C, and D) whose gene products assemble a quorum sensing system. At low cell density, the agr genes are continuously expressed at basal levels. A signal molecule, autoinducing peptide (AIP), produced and secreted by the bacteria, accumulates outside of the cells. When the cell density increases and the AIP concentration reaches a threshold, it activates the agr response, i.e. activation of secreted protein gene expression and subsequent repression of cell wall-associated protein genes. AgrB and AgrD are essential for the production of the autoinducing peptide which functions as a signal for quorum sensing. AgrB is a transmembrane protein. AgrB is involved in the proteolytic processing of AgrD and may have both proteolytic enzyme activity and a transporter facilitating the export of the processed AgrD peptide.</t>
  </si>
  <si>
    <t xml:space="preserve"> AgamP4_2R:17723896-17731527(+) </t>
  </si>
  <si>
    <t xml:space="preserve">1 | 355    PTIRRKR|AN  0.666 *ProP*  | </t>
  </si>
  <si>
    <t>AGAP006403-RA</t>
  </si>
  <si>
    <t xml:space="preserve">polycomb group RING finger protein 4 </t>
  </si>
  <si>
    <t>polycomb group RING finger protein 4</t>
  </si>
  <si>
    <t>agap006403-pa - 125 OH-glycosylation sites -  125 NetOglyc sites</t>
  </si>
  <si>
    <t>AGAP006403-PA</t>
  </si>
  <si>
    <t xml:space="preserve"> polycomb complex protein bmi-1-b - 125 OH-glycosylation sites -  125 NetOglyc sites</t>
  </si>
  <si>
    <t>prot</t>
  </si>
  <si>
    <t>ExpAA=0.05 First60=0.00 PredHel=0 Topology=o</t>
  </si>
  <si>
    <t>Leishmania braziliensis MHOM/BR/75/M2904</t>
  </si>
  <si>
    <t>cd16525, RING-HC_PCGF, RING finger, HC subclass, found in Polycomb Group RING finger homologs (PCGF1, 2, 3, 4, 5 and 6), and similar proteins.  The family includes six Polycomb Group (PcG) RING finger homologs (PCGF1/NSPc1, PCGF2/Mel-18, PCGF3, PCGF4/BMI1, PCGF5, and PCGF6/MBLR) that use epigenetic mechanisms to maintain or repress expression of their target genes. They were first discovered in fruit flies that can remodel chromatin such that epigenetic silencing of genes takes place, and are well known for silencing Hox genes through modulation of chromatin structure during embryonic development in fruit flies. PCGF homologs play important roles in cell proliferation, differentiation, and tumorigenesis. They all have been found to associate with ring finger protein 2 (RNF2). The RNF2-PCGF heterodimer is catalytically competent as an E3 ubiquitin transferase and is the scaffold for the assembly of additional components. Moreover, PCGF homologs are critical components in the assembly of distinct Polycomb Repression Complex 1 (PRC1) related complexes which is involved in the maintenance of gene repression and target different genes through distinct mechanisms. The Drosophila PRC1 core complex is formed by the Polycomb (Pc), Polyhomeotic (Ph), Posterior sex combs (Psc), and Sex combs extra (Sce, also known as Ring) subunits. In mammals, the composition of PRC1 is much more diverse and varies depending on the cellular context. All PRC1 complexes contain homologs of the Drosophila Ring protein. Ring1A/RNF1 and Ring1B/RNF2 are E3 ubiquitin ligases that mark lysine 119 of histone H2A with a single ubiquitin group (H2AK119ub). Mammalian homologs of the Drosophila Psc protein, such as PCGF2/Mel-18 or PCGF4/BMI1, regulate PRC1 enzymatic activity. PRC1 complexes can be divided into at least two classes according to the presence or absence of CBX proteins, which are homologs of Drosophila Pc. Canonical PRC1 complexes contain CBX proteins that recognize and bind H3K27me3, the mark deposited by PRC2. Therefore, canonical PRC1 complexes and PRC2 can act together to repress gene transcription and maintain this repression through cell division. Non-canonical PRC1 complexes, containing RYBP (together with additional proteins, such as L3mbtl2 or Kdm2b) rather than the CBX proteins have recently been described in mammals. PCGF homologs contain a C3HC4-type RING-HC finger.</t>
  </si>
  <si>
    <t>RING-HC_PCGF 6e-021| RING-HC_PCGF3 5e-020| RAWUL 8e-020| RING-HC_PCGF5 2e-016| PHA03247 2e-016| RING-HC_PCGF4 3e-016| RING-HC_PCGF1 4e-016| RING-HC_PCGF2 1e-015| RING-HC_PCGF6 2e-015| PHA03307 6e-008|</t>
  </si>
  <si>
    <t>KOG2660, KOG2660, KOG2660, Locus-specific chromosome binding proteins [Function unknown].</t>
  </si>
  <si>
    <t>pfam16207, RAWUL, RAWUL domain RING finger- and WD40-associated ubiquitin-like.  The RAWUL domain is found at the C-terminus of poly-comb group RING finger proteins. It is a ubiquitin-like domain. RAWUL binds directly to PUFD, a domain on BCOR proteins (BCL6 corepressor). BCOR has emerged as an important player in development and health.</t>
  </si>
  <si>
    <t>smart00184, RING, Ring finger.  E3 ubiquitin-protein ligase activity is intrinsic to the RING domain of c-Cbl and is likely to be a general function of this domain; Various RING fingers exhibit binding activity towards E2 ubiquitin-conjugating enzymes (Ubc' s).</t>
  </si>
  <si>
    <t xml:space="preserve"> AgamP4_2L:31264159-31292788(+) </t>
  </si>
  <si>
    <t xml:space="preserve">1 | 460    KSKRKRK|DA  0.583 *ProP*  | </t>
  </si>
  <si>
    <t>AGAP001200-RB</t>
  </si>
  <si>
    <t xml:space="preserve">glycogen debranching enzyme </t>
  </si>
  <si>
    <t>glycogen debranching enzyme</t>
  </si>
  <si>
    <t>Alpha amylase</t>
  </si>
  <si>
    <t>AGAP001200-PB</t>
  </si>
  <si>
    <t xml:space="preserve"> gnl</t>
  </si>
  <si>
    <t>Canis lupus familiaris</t>
  </si>
  <si>
    <t>TIGR01531, Includes:_Amylo-alpha-16-glucosidase, glycogen debranching enzymye.  glycogen debranching enzyme possesses two different catalytic activities; oligo-1,4--==&gt; 1,4-glucantransferase (EC 2.4.1.25) and amylo-1,6-glucosidase (EC 3.2.1.33). Site directed mutagenesis studies in S. cerevisiae indicate that the transferase and glucosidase activities are independent and located in different regions of the polypeptide chain. Proteins in this model belong to the larger alpha-amylase family. The model covers eukaryotic proteins with a seed composed of human, nematode and yeast sequences. Yeast seed sequence is well characterized. The model is quite rigorous; either query sequence yields large bit score or it fails to hit the model altogether. There doesn't appear to be any middle ground. [Energy metabolism, Biosynthesis and degradation of polysaccharides].</t>
  </si>
  <si>
    <t>Includes:_Amylo-alpha-16-glucosidase | AmyAc_Glg_debranch_2 | hDGE_amylase e-173| GDE_C e-126| hGDE_central 3e-075| GDB1 3e-028| hGDE_N 1e-018| glycogen_debranching_enzyme 1e-017| AmyAc_arch_bac_AmyA 3e-004| AmyAc_Amylosucrase 0.041|</t>
  </si>
  <si>
    <t>KOG3625, KOG3625, KOG3625, Alpha amylase [Carbohydrate transport and metabolism].</t>
  </si>
  <si>
    <t>pfam14701, hDGE_amylase, Glycogen debranching enzyme, glucanotransferase domain.  This is a glucanotransferase catalytic domain of the eukaryotic variant of the glycogen debranching enzyme (GDE). The eukaryotic GDEs performs two functions: 4-alpha-D-glucanotransferase, EC:2.4.1.25, and Amylo-alpha-1,6-glucosidase, EC:3.2.1.33, performed by the, respectively N- and C- terminal halves of eukaryotic GDE enzymes. The domain is a catalytic domain responsible for the glucanotransferase function. It belongs to the alpha-amylase clan and is predicted to have a structure of a 8-stranded alpha/beta barrel (TIM barrel) where strands are interrupted by long loops and additional mini-domains. In most other amylases, the catalytic domain is followed by a beta- barrel substrate binding domain, but presence of such a domain cannot be verified in the human (and other eukaryotic) GDE enzymes.</t>
  </si>
  <si>
    <t>smart00642, Aamy, Alpha-amylase domain.</t>
  </si>
  <si>
    <t xml:space="preserve"> AgamP4_2R:1285928-1291040(+) </t>
  </si>
  <si>
    <t>AGAP010961-RB</t>
  </si>
  <si>
    <t>CYP6AK1: cytochrome P450</t>
  </si>
  <si>
    <t>Cytochrome P450</t>
  </si>
  <si>
    <t>AGAP010961-PB</t>
  </si>
  <si>
    <t xml:space="preserve"> cytochrome p450 6k1-like protein</t>
  </si>
  <si>
    <t xml:space="preserve"> 33-34</t>
  </si>
  <si>
    <t>ExpAA=22.86 First60=20.58 PredHel=1 Topology=i13-35o</t>
  </si>
  <si>
    <t>Tetrahymena thermophila SB210</t>
  </si>
  <si>
    <t>p450 3e-071| CypX 2e-042| PLN02290 1e-029| PTZ00404 9e-026| PLN02655 3e-023| PLN02936 4e-022| PLN02302 1e-020| PLN02738 5e-020| PLN02987 5e-020| PLN00110 3e-019|</t>
  </si>
  <si>
    <t>smart01038, Bgal_small_N, Beta galactosidase small chain.  This domain comprises the small chain of dimeric beta-galactosidases EC:3.2.1.23. This domain is also found in single chain beta-galactosidase.</t>
  </si>
  <si>
    <t xml:space="preserve"> AgamP4_3L:13839199-13844349(-) </t>
  </si>
  <si>
    <t>AGAP000718-RA</t>
  </si>
  <si>
    <t>Monocarboxylate transporter - probable fragment - 10 predicted membrane helices</t>
  </si>
  <si>
    <t>AGAP000718-PA</t>
  </si>
  <si>
    <t xml:space="preserve"> monocarboxylate transporter 12-b-like protein - 10 predicted membrane helices</t>
  </si>
  <si>
    <t>ExpAA=216.98 First60=0.00 PredHel=9 Topology=i137-155o160-182i194-216o221-243i487-509o524-546i567-589o614-636i648-667o</t>
  </si>
  <si>
    <t>Guillardia theta CCMP2712</t>
  </si>
  <si>
    <t>TIGR00892, Monocarboxylate_transporter_2, monocarboxylate transporter 1.  [Transport and binding proteins, Carbohydrates, organic alcohols, and acids].</t>
  </si>
  <si>
    <t>Monocarboxylate_transporter_2 4e-016| MFS 2e-010| MFS_1 2e-009| Uncharacterized_MFS-type_transporter_Y...    50   5e-006 5e-006| Uncharacterized_MFS-type_transporter_Y...    49   1e-005 1e-005| Probable_glucarate_transporter 2e-004| CynX 0.007| oxalate:formate_antiport_protein 0.012| Inner_membrane_transport_protein_YeaN 0.019| ProP 0.027|</t>
  </si>
  <si>
    <t>KOG2504, KOG2504, KOG2504, Monocarboxylate transporter [Carbohydrate transport and metabolism].</t>
  </si>
  <si>
    <t>pfam07690, MFS_1, Major Facilitator Superfamily.</t>
  </si>
  <si>
    <t>smart00613, PAW, domain present in PNGases and other hypothetical proteins.  present in several copies in proteins with unknown function in C. elegans.</t>
  </si>
  <si>
    <t xml:space="preserve"> AgamP4_X:13057069-13066946(+) </t>
  </si>
  <si>
    <t>AGAP007521-RA</t>
  </si>
  <si>
    <t xml:space="preserve">ubiquitin carboxyl-terminal hydrolase 36/42 </t>
  </si>
  <si>
    <t>ubiquitin carboxyl-terminal hydrolase 36/42</t>
  </si>
  <si>
    <t>ubiquitin carboxyl-terminal hydrolase 36-like isoform X1 - 19 OH-glycosylation sites -  19 NetOglyc sites</t>
  </si>
  <si>
    <t>AGAP007521-PA</t>
  </si>
  <si>
    <t xml:space="preserve"> dusp36 type peptidase - 19 OH-glycosylation sites -  19 NetOglyc sites</t>
  </si>
  <si>
    <t>pm/protease</t>
  </si>
  <si>
    <t>Monosiga brevicollis MX1</t>
  </si>
  <si>
    <t>cd02661, Peptidase_C19E, A subfamily of Peptidase C19. Peptidase C19 contains ubiquitinyl hydrolases. They are intracellular peptidases that remove ubiquitin molecules from polyubiquinated peptides by cleavage of isopeptide bonds. They hydrolyze bonds involving the carboxyl group of the C-terminal Gly residue of ubiquitin. The purpose of the de-ubiquitination is thought to be editing of the ubiquitin conjugates, which could rescue them from degradation, as well as recycling of the ubiquitin. The ubiquitin/proteasome system is responsible for most protein turnover in the mammalian cell, and with over 50 members, family C19 is one of the largest families of peptidases in the human genome.</t>
  </si>
  <si>
    <t>Peptidase_C19E e-106| UCH 5e-066| Peptidase_C19D 9e-054| Peptidase_C19 2e-052| peptidase_C19C 6e-044| Peptidase_C19R 1e-037| Peptidase_C19K 2e-036| Peptidase_C19G 2e-034| Peptidase_C19B 6e-032| Peptidase_C19L 4e-029|</t>
  </si>
  <si>
    <t>KOG1865, KOG1865, KOG1865, Ubiquitin carboxyl-terminal hydrolase [Posttranslational modification, protein turnover, chaperones].</t>
  </si>
  <si>
    <t>pfam00443, UCH, Ubiquitin carboxyl-terminal hydrolase.</t>
  </si>
  <si>
    <t>smart00784, SPT2, SPT2 chromatin protein.  This entry includes the Saccharomyces cerevisiae protein SPT2 which is a chromatin protein involved in transcriptional regulation.</t>
  </si>
  <si>
    <t xml:space="preserve"> AgamP4_2L:47135284-47141337(-) </t>
  </si>
  <si>
    <t>AGAP002324-RA</t>
  </si>
  <si>
    <t xml:space="preserve">mitochondrial sodium/hydrogen exchanger NHA2 </t>
  </si>
  <si>
    <t>mitochondrial sodium/hydrogen exchanger NHA2</t>
  </si>
  <si>
    <t>mitochondrial sodium/hydrogen exchanger 9B2-like isoform X1 - 13 OH-glycosylation sites -  13 NetOglyc sites - 10 predicted membrane helices</t>
  </si>
  <si>
    <t>AGAP002324-PA</t>
  </si>
  <si>
    <t xml:space="preserve"> mitochondrial sodium/hydrogen exchanger 9b2-like protein - 13 OH-glycosylation sites -  13 NetOglyc sites - 10 predicted membrane helices</t>
  </si>
  <si>
    <t xml:space="preserve"> 145-146</t>
  </si>
  <si>
    <t>ExpAA=233.89 First60=0.00 PredHel=10 Topology=i130-148o158-180i187-204o209-227i234-256o266-288i301-323o343-365i457-479o527-549i</t>
  </si>
  <si>
    <t>COG0025, NhaP, NhaP-type Na+/H+ and K+/H+ antiporters [Inorganic ion transport and metabolism].</t>
  </si>
  <si>
    <t>NhaP 1e-023| Na_H_Exchanger 5e-022| KefB 5e-013| Na+/H+_antiporter 7e-006| COG3263 1e-005| PRK05326 1e-004| SBF | DUF3488 |</t>
  </si>
  <si>
    <t>KOG3826, KOG3826, KOG3826, Na+/H+ antiporter [Inorganic ion transport and metabolism].</t>
  </si>
  <si>
    <t>pfam00999, Na_H_Exchanger, Sodium/hydrogen exchanger family.  Na/H antiporters are key transporters in maintaining the pH of actively metabolising cells. The molecular mechanisms of antiport are unclear. These antiporters contain 10-12 transmembrane regions (M) at the amino-terminus and a large cytoplasmic region at the carboxyl terminus. The transmembrane regions M3-M12 share identity with other members of the family. The M6 and M7 regions are highly conserved. Thus, this is thought to be the region that is involved in the transport of sodium and hydrogen ions. The cytoplasmic region has little similarity throughout the family.</t>
  </si>
  <si>
    <t>smart00830, CM_2, Chorismate mutase type II.  Chorismate mutase, catalyses the conversion of chorismate to prephenate in the pathway of tyrosine and phenylalanine biosynthesis. This enzyme is negatively regulated by tyrosine, tryptophan and phenylalanine..</t>
  </si>
  <si>
    <t xml:space="preserve"> AgamP4_2R:19568162-19574792(+) </t>
  </si>
  <si>
    <t>AGAP029978.R817</t>
  </si>
  <si>
    <t>VectorBase: AGAP029978</t>
  </si>
  <si>
    <t>AGAP009099-RA</t>
  </si>
  <si>
    <t xml:space="preserve">Transglutaminase [Source:UniProtKB/TrEMBL;Acc:D2K8K8] </t>
  </si>
  <si>
    <t>TG3: Transglutaminase</t>
  </si>
  <si>
    <t>transglutaminase</t>
  </si>
  <si>
    <t>AGAP009099-PA</t>
  </si>
  <si>
    <t>protein-glutamine gamma-glutamyltransferase k-like isoform x6</t>
  </si>
  <si>
    <t>Schistocerca americana</t>
  </si>
  <si>
    <t>pfam00868, Transglut_N, Transglutaminase family.</t>
  </si>
  <si>
    <t>Transglut_N 2e-024| TGc 1e-014| Transglut_core 1e-011| COG1305 6e-005| Transglut_C 0.043| DUF3707 | PH_PLC_ELMO1 | PRCH | WASH-7_C | Cas7_I |</t>
  </si>
  <si>
    <t>KOG0909, KOG0909, KOG0909, Peptide:N-glycanase [Posttranslational modification, protein turnover, chaperones].</t>
  </si>
  <si>
    <t>smart00460, TGc, Transglutaminase/protease-like homologues. Transglutaminases are enzymes that establish covalent links between proteins. A subset of transglutaminase homologues appear to catalyse the reverse reaction, the hydrolysis of peptide bonds. Proteins with this domain are both extracellular and intracellular, and it is likely that the eukaryotic intracellular proteins are involved in signalling events.</t>
  </si>
  <si>
    <t>AGAP000023-RA</t>
  </si>
  <si>
    <t>AGAP000023-PA</t>
  </si>
  <si>
    <t>ExpAA=0.05 First60=0.01 PredHel=0 Topology=o</t>
  </si>
  <si>
    <t>Blastocystis hominis</t>
  </si>
  <si>
    <t>pfam03417, AAT, Acyl-coenzyme A:6-aminopenicillanic acid acyl-transferase.</t>
  </si>
  <si>
    <t>AAT 1e-053| PLN02532 | PRK10137 | PRK09775 | PRK12428 | chromosome_segregation_protein_related...    28   5.3   | PRK02427 |</t>
  </si>
  <si>
    <t>KOG4278, KOG4278, KOG4278, Protein tyrosine kinase [Signal transduction mechanisms].</t>
  </si>
  <si>
    <t xml:space="preserve"> AgamP4_X:320251-323017(-) </t>
  </si>
  <si>
    <t>AGAP012251-RB</t>
  </si>
  <si>
    <t xml:space="preserve">inorganic phosphate cotransporter </t>
  </si>
  <si>
    <t>inorganic phosphate cotransporter</t>
  </si>
  <si>
    <t>Permease of the major facilitator superfamily - 8 predicted membrane helices</t>
  </si>
  <si>
    <t>AGAP012251-PB</t>
  </si>
  <si>
    <t xml:space="preserve"> gnlcdd129972 sodium-dependent phosphate transport protein 1 - 8 predicted membrane helices</t>
  </si>
  <si>
    <t>ExpAA=205.07 First60=20.59 PredHel=8 Topology=i38-60o103-125i134-153o226-248i328-350o389-411i423-445o460-479i</t>
  </si>
  <si>
    <t>TIGR00894, Sodium-dependent_phosphate_transport_protein_1, Na(+)-dependent inorganic phosphate cotransporter. [Transport and binding proteins, Anions].</t>
  </si>
  <si>
    <t>Sodium-dependent_phosphate_transport_p...   488   e-138 e-138| MFS 1e-035| Probable_glucarate_transporter 3e-033| MFS_1 3e-033| Glycerol-3-phosphate_transporter 1e-019| transport_protein 4e-013| UhpC 2e-009| AraJ 1e-008| Uncharacterized_MFS-type_transporter_Y...    56   4e-008 4e-008| Chromaffin_granule_amine_transporter 5e-008|</t>
  </si>
  <si>
    <t>KOG2532, KOG2532, KOG2532, Permease of the major facilitator superfamily [Carbohydrate transport and metabolism].</t>
  </si>
  <si>
    <t>smart00797, AHS2, Allophanate hydrolase subunit 2.  This domain represents subunit 2 of allophanate hydrolase (AHS2).</t>
  </si>
  <si>
    <t xml:space="preserve"> AgamP4_3L:39324436-39328207(+) </t>
  </si>
  <si>
    <t>AGAP007390-RA</t>
  </si>
  <si>
    <t xml:space="preserve">peptide-N4-(N-acetyl-beta-glucosaminyl)asparagine amidase </t>
  </si>
  <si>
    <t>peptide-N4-(N-acetyl-beta-glucosaminyl)asparagine amidase</t>
  </si>
  <si>
    <t>N-glycanase</t>
  </si>
  <si>
    <t>AGAP007390-PA</t>
  </si>
  <si>
    <t xml:space="preserve"> peptide-n4-n-acetyl-beta-glucosaminylasparagine amidase</t>
  </si>
  <si>
    <t>ExpAA=0.09 First60=0.00 PredHel=0 Topology=o</t>
  </si>
  <si>
    <t>Drosophila pseudoobscura pseudoobscura</t>
  </si>
  <si>
    <t>pfam04721, PAW, PNGase C-terminal domain, mannose-binding module PAW.  The PAW domain is found at the C-terminus of PGNase, or peptide-N-glycanase, enzymes. It was named for 'domain present in PNGases and other worm proteins'. PNGase catalyzes the deglycosylation of several misfolded N-linked glycoproteins by cleaving off the bulky glycan chain before these proteins are degraded by the proteasome. PNGase specifically acts on the unfolded form of high-mannose type N-glycosylated proteins, and this domain appears to be the mannose-binding domain, which contributes to the oligosaccharide-binding specificity of PNGase.</t>
  </si>
  <si>
    <t>PAW 4e-071| PUB 1e-016| PUB 2e-016| PUB_PNGase 2e-015| Transglut_core 3e-014| TGc 7e-013| PUB_UBXD1 6e-008| Rad4 5e-007| COG1305 1e-006| PUB_WLM 2e-006|</t>
  </si>
  <si>
    <t xml:space="preserve"> AgamP4_2L:46277483-46279749(-) </t>
  </si>
  <si>
    <t xml:space="preserve">2 | 447    AKLRTKR|RA  0.518 *ProP*  | 488    AAEREGR|SS  0.542 *ProP*  | </t>
  </si>
  <si>
    <t>AGAP029897-RA</t>
  </si>
  <si>
    <t>uk</t>
  </si>
  <si>
    <t>AGAP029897-PA</t>
  </si>
  <si>
    <t xml:space="preserve"> first calponin similarity</t>
  </si>
  <si>
    <t xml:space="preserve"> AgamP4_3R:36050238-36127260(-) </t>
  </si>
  <si>
    <t>ExpAA=4.87 First60=0.00 PredHel=0 Topology=o</t>
  </si>
  <si>
    <t>AGAP010961-RA</t>
  </si>
  <si>
    <t>AGAP010961-PA</t>
  </si>
  <si>
    <t>ExpAA=22.80 First60=20.40 PredHel=1 Topology=i13-35o</t>
  </si>
  <si>
    <t>p450 3e-071| CypX 3e-042| PLN02290 1e-029| PTZ00404 7e-026| PLN02655 3e-023| PLN02936 4e-022| PLN02302 1e-020| PLN02987 4e-020| PLN02738 5e-020| PLN00110 3e-019|</t>
  </si>
  <si>
    <t xml:space="preserve"> AgamP4_3L:13839199-13854044(-) </t>
  </si>
  <si>
    <t>AGAP001751-RE</t>
  </si>
  <si>
    <t xml:space="preserve">Oxidation resistance protein </t>
  </si>
  <si>
    <t>Oxidation resistance protein</t>
  </si>
  <si>
    <t>AGAP001751-PE</t>
  </si>
  <si>
    <t xml:space="preserve"> nuclear receptor coactivator 7 isoform x1</t>
  </si>
  <si>
    <t>Cavenderia fasciculata</t>
  </si>
  <si>
    <t>smart00584, TLDc, domain in TBC and LysM domain containing proteins.</t>
  </si>
  <si>
    <t>TLDc 8e-060| TLD 7e-037| OXR1 7e-024| LysM 9e-010| LysM 9e-007| LysM 4e-006| mltD 2e-004| LytE 6e-004| Stage_VI_sporulation_protein_D 0.002| COG3858 0.003|</t>
  </si>
  <si>
    <t>KOG2372, KOG2372, KOG2372, Oxidation resistance protein [Replication, recombination and repair].</t>
  </si>
  <si>
    <t xml:space="preserve">Replication, recombination and repair </t>
  </si>
  <si>
    <t>pfam07534, TLD, TLD.  This domain is predicted to be an enzyme and is often found associated with pfam01476. It's structure consists of a beta-sandwich surrounded by two helices and two one-turn helices.</t>
  </si>
  <si>
    <t xml:space="preserve"> AgamP4_2R:9305752-9397252(+) </t>
  </si>
  <si>
    <t xml:space="preserve">2 | 562    DQSSSRR|SL  0.517 *ProP*  | 958    SPSKDGR|SA  0.546 *ProP*  | </t>
  </si>
  <si>
    <t>AGAP011421-RA</t>
  </si>
  <si>
    <t xml:space="preserve">IQ motif and SEC7 domain-containing protein </t>
  </si>
  <si>
    <t>IQ motif and SEC7 domain-containing protein</t>
  </si>
  <si>
    <t>guanine nucleotide exchange factor contains Sec7 domain - probable fragment</t>
  </si>
  <si>
    <t>AGAP011421-PA</t>
  </si>
  <si>
    <t xml:space="preserve"> iq motif and sec7 domain-containing protein</t>
  </si>
  <si>
    <t>pfam01369, Sec7, Sec7 domain.  The Sec7 domain is a guanine-nucleotide-exchange-factor (GEF) for the pfam00025 family.</t>
  </si>
  <si>
    <t>Sec7 2e-079| Sec7 4e-073| IQ_SEC7_PH 5e-068| PH_IQSEC 4e-066| Sec7 6e-060| PLN03076 4e-047| COG5307 2e-043| PH1_FGD5_FGD6 0.001| PAT1 0.008| PHA03307 |</t>
  </si>
  <si>
    <t>KOG0931, KOG0931, KOG0931, Predicted guanine nucleotide exchange factor, contains Sec7 domain [Intracellular trafficking, secretion, and vesicular transport].</t>
  </si>
  <si>
    <t>smart00222, Sec7, Sec7 domain.  Domain named after the S. cerevisiae SEC7 gene product, which is required for proper protein transport through the Golgi. The domain facilitates guanine nucleotide exchange on the small GTPases, ARFs (ADP ribosylation factors).</t>
  </si>
  <si>
    <t xml:space="preserve"> AgamP4_3L:24374584-24403117(+) </t>
  </si>
  <si>
    <t>AGAP001209-RA</t>
  </si>
  <si>
    <t xml:space="preserve">ubiquitin carboxyl-terminal hydrolase 6/32 </t>
  </si>
  <si>
    <t>ubiquitin carboxyl-terminal hydrolase 6/32</t>
  </si>
  <si>
    <t>ubiquitin carboxyl-terminal hydrolase 32-like isoform X5</t>
  </si>
  <si>
    <t>AGAP001209-PA</t>
  </si>
  <si>
    <t xml:space="preserve"> ubiquitin carboxyl-terminal hydrolase 32 isoform x1</t>
  </si>
  <si>
    <t>COG5560, UBP12, Ubiquitin C-terminal hydrolase [Posttranslational modification, protein turnover, chaperones].</t>
  </si>
  <si>
    <t>UBP12 1e-052| UCH 2e-038| UBP5 3e-030| Peptidase_C19R 2e-026| Peptidase_C19D 4e-021| Peptidase_C19E 8e-019| Peptidase_C19 6e-015| Peptidase_C19K 3e-014| Peptidase_C19H 3e-012| Peptidase_C19M 7e-012|</t>
  </si>
  <si>
    <t>KOG1870, KOG1870, KOG1870, Ubiquitin C-terminal hydrolase [Posttranslational modification, protein turnover, chaperones].</t>
  </si>
  <si>
    <t>smart00695, DUSP, Domain in ubiquitin-specific proteases.</t>
  </si>
  <si>
    <t xml:space="preserve"> AgamP4_2R:1570811-1583778(-) </t>
  </si>
  <si>
    <t xml:space="preserve">2 | 34    IKDAFKR|SA  0.597 *ProP*  | 587    EGGRLKR|DL  0.658 *ProP*  | </t>
  </si>
  <si>
    <t>AGAP009387-RA</t>
  </si>
  <si>
    <t>Haemolymph juvenile hormone binding protein - signalP detected</t>
  </si>
  <si>
    <t>AGAP009387-PA</t>
  </si>
  <si>
    <t xml:space="preserve"> hemolymph juvenile hormone binding protein - signalP detected</t>
  </si>
  <si>
    <t>s/hormone</t>
  </si>
  <si>
    <t>ExpAA=15.93 First60=15.92 PredHel=1 Topology=i7-29o</t>
  </si>
  <si>
    <t>Arabidopsis thaliana</t>
  </si>
  <si>
    <t>pfam06585, JHBP, Haemolymph juvenile hormone binding protein (JHBP).  This family consists of several insect-specific haemolymph juvenile hormone binding proteins (JHBP). Juvenile hormone regulates embryogenesis, maintains the status quo of larval development and stimulates reproductive maturation in the adult insect. JH is transported from the sites of its synthesis to target tissues by a haemolymph carrier called juvenile hormone-binding protein (JHBP). JHBP protects the JH molecules from hydrolysis by non-specific esterases present in the insect haemolymph. The crystal structure of the JHBP from Galleria mellonella shows an unusual fold consisting of a long alpha-helix wrapped in a much curved antiparallel beta-sheet. The folding pattern for this structure closely resembles that found in some tandem-repeat mammalian lipid-binding and bactericidal permeability-increasing proteins, with a similar organisation of the major cavity and a disulfide bond linking the long helix and the beta-sheet. It would appear that JHBP forms two cavities, only one of which, the one near the N- and C-termini, binds the hormone; binding induces a conformational change, of unknown significance. This family now includes DUF233, pfam03027.</t>
  </si>
  <si>
    <t>JHBP 2e-015| JHBP 2e-009| Pil1 0.082| prot_M_MG281 | DUF4377 | MtrB_PioB | Menin | BPI1 | PI-PLC-C1 | lacZ |</t>
  </si>
  <si>
    <t>KOG2145, KOG2145, KOG2145, Cytoplasmic tryptophanyl-tRNA synthetase [Translation, ribosomal structure and biogenesis].</t>
  </si>
  <si>
    <t>smart00700, JHBP, Juvenile hormone binding protein domains in insects.  The juvenile hormone exerts pleiotropic functions during insect life cycles and its binding proteins regulate these functions.</t>
  </si>
  <si>
    <t xml:space="preserve"> AgamP4_3R:31916188-31918757(-) </t>
  </si>
  <si>
    <t>AGAP029978.R815</t>
  </si>
  <si>
    <t>AGAP004199-RB</t>
  </si>
  <si>
    <t xml:space="preserve">solute carrier family 5 (sodium-coupled monocarboxylate transporter), member 8 </t>
  </si>
  <si>
    <t>solute carrier family 5 (sodium-coupled monocarboxylate transporter), member 8</t>
  </si>
  <si>
    <t>sodium/solute symporter - signalP detected - 13 predicted membrane helices</t>
  </si>
  <si>
    <t>AGAP004199-PB</t>
  </si>
  <si>
    <t xml:space="preserve"> sodium-dependent multivitamin transporter-like isoform x3 - signalP detected - 13 predicted membrane helices</t>
  </si>
  <si>
    <t>ExpAA=286.09 First60=34.77 PredHel=13 Topology=o5-27i48-70o80-102i123-145o160-182i189-211o235-254i275-297o336-358i379-401o406-428i441-458o511-533i</t>
  </si>
  <si>
    <t>cd11492, SLC5sbd_NIS-SMVT, Na(+)/iodide (NIS) and Na(+)/multivitamin (SMVT) cotransporters, and related proteins; solute binding domain.  NIS (encoded by the SLC5A5 gene) transports I-, and other anions including ClO4-, SCN-, and Br-. SMVT (encoded by the SLC5A6 gene) transports biotin, pantothenic acid and lipoate. This subfamily also includes SMCT1 and -2. SMCT1(encoded by the SLC5A8 gene) is a high-affinity transporter of various monocarboxylates including lactate and pyruvate, short-chain fatty acids, ketone bodies, nicotinate and its structural analogs, pyroglutamate, benzoate and its derivatives, and iodide. SMCT2 (encoded by the SLC5A12 gene) is a low-affinity transporter for short-chain fatty acids, lactate, pyruvate, and nicotinate. This subgroup belongs to the solute carrier 5 (SLC5) transporter family.</t>
  </si>
  <si>
    <t>SLC5sbd_NIS-SMVT | SLC5sbd_SMVT e-143| SLC5sbd_SMCT1 e-142| SLC5sbd_SMCT e-137| SLC5sbd_SMCT2 e-127| SLC5sbd_NIS e-119| SLC5sbd_NIS-like_u3 1e-084| SLC5sbd_NIS-like 8e-082| SLC5sbd_NIS-like_u2 2e-079| Sodium/glucose_cotransporter_1 2e-072|</t>
  </si>
  <si>
    <t>KOG2349, KOG2349, KOG2349, Na+:iodide/myo-inositol/multivitamin symporters [Inorganic ion transport and metabolism].</t>
  </si>
  <si>
    <t>pfam00474, SSF, Sodium:solute symporter family.</t>
  </si>
  <si>
    <t>smart00762, Cog4, COG4 transport protein.  This region is found in yeast oligomeric golgi complex component 4 which is involved in ER to Golgi and intra Golgi transport.</t>
  </si>
  <si>
    <t xml:space="preserve"> AgamP4_2R:51699190-51701888(-) </t>
  </si>
  <si>
    <t>AGAP011351-RA</t>
  </si>
  <si>
    <t xml:space="preserve">Rab6-interacting </t>
  </si>
  <si>
    <t>Rab6-interacting</t>
  </si>
  <si>
    <t>Uncharacterized conserved protein contains DENN and RUN - 12 OH-glycosylation sites -  12 NetOglyc sites</t>
  </si>
  <si>
    <t>AGAP011351-PA</t>
  </si>
  <si>
    <t xml:space="preserve"> lateral signaling target - 12 OH-glycosylation sites -  12 NetOglyc sites</t>
  </si>
  <si>
    <t>ExpAA=0.62 First60=0.00 PredHel=0 Topology=o</t>
  </si>
  <si>
    <t>smart00799, DENN, Domain found in a variety of signalling proteins, always encircled by uDENN and dDENN.  The DENN domain is found in a variety of signalling proteins involved in Rab-mediated processes or regulation of MAPKs signalling pathways. The DENN domain is always encircled on both sides by more divergent domains, called uDENN (for upstream DENN) and dDENN (for downstream DENN). The function of the DENN domain remains to date unclear, although it appears to represent a good candidate for a GTP/GDP exchange activity.</t>
  </si>
  <si>
    <t>DENN 5e-049| DENN 3e-042| PLAT_RAB6IP1 1e-041| RUN 4e-022| PLAT_repeat 6e-020| uDENN 7e-019| RUN 1e-016| dDENN 5e-016| PLAT_polycystin 6e-015| PLAT 1e-012|</t>
  </si>
  <si>
    <t>KOG2080, KOG2080, KOG2080, Uncharacterized conserved protein, contains DENN and RUN domains [Signal transduction mechanisms].</t>
  </si>
  <si>
    <t>pfam02141, DENN, DENN (AEX-3) domain.  DENN (after differentially expressed in neoplastic vs normal cells) is a domain which occurs in several proteins involved in Rab- mediated processes or regulation of MAPK signalling pathways.</t>
  </si>
  <si>
    <t xml:space="preserve"> AgamP4_3L:21618592-21647771(+) </t>
  </si>
  <si>
    <t xml:space="preserve">1 | 954    SKSRERK|SL  0.717 *ProP*  | </t>
  </si>
  <si>
    <t>AGAP008915-RA</t>
  </si>
  <si>
    <t xml:space="preserve">gamma-glutamyltranspeptidase </t>
  </si>
  <si>
    <t>gamma-glutamyltranspeptidase</t>
  </si>
  <si>
    <t>Gamma-glutamyltransferase - signalP detected</t>
  </si>
  <si>
    <t>met/aa/secreted Gamma-glutamyltransferase</t>
  </si>
  <si>
    <t>AGAP008915-PA</t>
  </si>
  <si>
    <t xml:space="preserve"> gamma-glutamyltransferase - signalP detected</t>
  </si>
  <si>
    <t xml:space="preserve"> 25-26</t>
  </si>
  <si>
    <t>ExpAA=24.89 First60=22.23 PredHel=1 Topology=i12-31o</t>
  </si>
  <si>
    <t>pfam01019, G_glu_transpept, Gamma-glutamyltranspeptidase.</t>
  </si>
  <si>
    <t>G_glu_transpept e-162| Ggt e-120| Contains:_Gamma-glutamyltranspeptidase...   349   2e-096 2e-096| PLN02180 4e-093| PLN02198 3e-091| ggt 2e-077| Glycosylasparaginase | ETRAMP | CooF_like | lipase_Pla1_cef |</t>
  </si>
  <si>
    <t>KOG2410, KOG2410, KOG2410, Gamma-glutamyltransferase [Amino acid transport and metabolism].</t>
  </si>
  <si>
    <t>smart00771, ZipA_C, ZipA, C-terminal domain (FtsZ-binding). C-terminal domain of ZipA, a component of cell division in E.coli. It interacts with the FtsZ protein in one of the initial steps of septum formation. The structure of this domain is composed of three alpha-helices and a beta-sheet consisting of six antiparallel beta-strands.</t>
  </si>
  <si>
    <t xml:space="preserve"> AgamP4_3R:20767278-20774654(+) </t>
  </si>
  <si>
    <t>AGAP028613-RA</t>
  </si>
  <si>
    <t xml:space="preserve">solute carrier family 7 (cationic amino acid transporter, y+ system) </t>
  </si>
  <si>
    <t>solute carrier family 7 (cationic amino acid transporter, y+ system)</t>
  </si>
  <si>
    <t>Amino acid transporters - 14 predicted membrane helices</t>
  </si>
  <si>
    <t>AGAP028613-PA</t>
  </si>
  <si>
    <t xml:space="preserve"> cationic amino acid transporter - 14 predicted membrane helices</t>
  </si>
  <si>
    <t>ExpAA=304.85 First60=22.02 PredHel=14 Topology=i32-54o64-86i98-120o166-183i188-210o235-257i278-300o329-351i372-391o396-418i457-479o489-511i523-542o547-566i</t>
  </si>
  <si>
    <t>TIGR00906, Low_affinity_cationic_amino_acid_transporter_2, cationic amino acid transport permease.  [Transport and binding proteins, Amino acids, peptides and amines].</t>
  </si>
  <si>
    <t>Low_affinity_cationic_amino_acid_trans...   559   e-159 e-159| putative_amino_acid_transporter 2e-067| PotE 4e-047| AA_permease_2 2e-033| AA_permease 2e-027| High-affinity_methionine_permease 2e-022| frlA 2e-021| putative_ethanolamine_permease 1e-020| AnsP 6e-019| AA_permease_C 2e-018|</t>
  </si>
  <si>
    <t>KOG1286, KOG1286, KOG1286, Amino acid transporters [Amino acid transport and metabolism].</t>
  </si>
  <si>
    <t>pfam13520, AA_permease_2, Amino acid permease.</t>
  </si>
  <si>
    <t>smart00638, LPD_N, Lipoprotein N-terminal Domain.</t>
  </si>
  <si>
    <t xml:space="preserve"> AgamP4_3L:6389695-6391736(+) </t>
  </si>
  <si>
    <t>AGAP029913-RA</t>
  </si>
  <si>
    <t>AGAP029913-PA</t>
  </si>
  <si>
    <t xml:space="preserve"> AgamP4_2L:45832729-45878475(+) </t>
  </si>
  <si>
    <t xml:space="preserve">1 | 258    THRRKLR|LL  0.618 *ProP*  | </t>
  </si>
  <si>
    <t>ExpAA=246.10 First60=0.00 PredHel=11 Topology=i263-285o317-339i352-369o379-401i410-432o442-464i566-583o593-615i624-646o661-683i690-707o</t>
  </si>
  <si>
    <t>AGAP008100-RA</t>
  </si>
  <si>
    <t xml:space="preserve">Spire [Source:UniProtKB/TrEMBL;Acc:A0A1S4GX95] </t>
  </si>
  <si>
    <t>Spire</t>
  </si>
  <si>
    <t>kinase non-catalytic C-lobe domain</t>
  </si>
  <si>
    <t>AGAP008100-PA</t>
  </si>
  <si>
    <t xml:space="preserve"> protein spire</t>
  </si>
  <si>
    <t>Dictyostelium purpureum</t>
  </si>
  <si>
    <t>pfam16474, KIND, Kinase non-catalytic C-lobe domain.  The KIND domain (kinase non-catalytic C-lobe domain) evolved from a catalytic protein kinase fold and functions as an interaction domain. In SPIRE1 (protein spire homolog 1) this domain interacts with FMN2 (formin-2).</t>
  </si>
  <si>
    <t>KIND 2e-040| KIND 4e-019| FYVE_SPIR1 1e-010| FYVE_SPIR 4e-008| FYVE_SPIR2 2e-007| FYVE_ZFY26 8e-004| PRK15310 0.001| FYVE_RUFY4 0.006| FYVE_Slp5 0.007| FYVE_like_SF 0.011|</t>
  </si>
  <si>
    <t>KOG1984, KOG1984, KOG1984, Vesicle coat complex COPII, subunit SFB3 [Intracellular trafficking, secretion, and vesicular transport].</t>
  </si>
  <si>
    <t>smart00750, KIND, kinase non-catalytic C-lobe domain.  It is an interaction domain identified as being similar to the C-terminal protein kinase catalytic fold (C lobe). Its presence at the N terminus of signalling proteins and the absence of the active-site residues in the catalytic and activation loops suggest that it folds independently and is likely to be non-catalytic. The occurrence of KIND only in metazoa implies that it has evolved from the catalytic protein kinase domain into an interaction domain possibly by keeping the substrate-binding features.</t>
  </si>
  <si>
    <t xml:space="preserve">1 | 427    IPPRVKK|DA  0.691 *ProP*  | </t>
  </si>
  <si>
    <t>AGAP029450-RA</t>
  </si>
  <si>
    <t>Ypt/Rab GTPase activating protein</t>
  </si>
  <si>
    <t>AGAP029450-PA</t>
  </si>
  <si>
    <t xml:space="preserve"> rab gtpase-activating protein 1 isoform x1</t>
  </si>
  <si>
    <t>ExpAA=21.98 First60=0.00 PredHel=0 Topology=o</t>
  </si>
  <si>
    <t>Pongo abelii</t>
  </si>
  <si>
    <t>smart00164, TBC, Domain in Tre-2, BUB2p, and Cdc16p. Probable Rab-GAPs.  Widespread domain present in Gyp6 and Gyp7, thereby giving rise to the notion that it performs a GTP-activator activity on Rab-like GTPases.</t>
  </si>
  <si>
    <t>TBC 1e-060| RabGAP-TBC 2e-058| PTB_Rab6GAP 5e-058| COG5210 5e-047| DUF3694 2e-024| Smc 3e-005| PTB 4e-005| DUF4200 8e-005| PTB 9e-004| TPH 0.001|</t>
  </si>
  <si>
    <t>KOG1102, KOG1102, KOG1102, Rab6 GTPase activator GAPCenA and related TBC domain proteins [General function prediction only].</t>
  </si>
  <si>
    <t>pfam00566, RabGAP-TBC, Rab-GTPase-TBC domain.  Identification of a TBC domain in GYP6_YEAST and GYP7_YEAST, which are GTPase activator proteins of yeast Ypt6 and Ypt7, implies that these domains are GTPase activator proteins of Rab-like small GTPases.</t>
  </si>
  <si>
    <t xml:space="preserve"> AgamP4_2L:45600564-45606192(+) </t>
  </si>
  <si>
    <t xml:space="preserve">1 | 624    SPGRIVR|QA  0.553 *ProP*  | </t>
  </si>
  <si>
    <t>AGAP005281-RA</t>
  </si>
  <si>
    <t>Transcription factor BarH - 25 OH-glycosylation sites -  25 NetOglyc sites</t>
  </si>
  <si>
    <t>AGAP005281-PA</t>
  </si>
  <si>
    <t xml:space="preserve"> transcription factor zerknullt - 25 OH-glycosylation sites -  25 NetOglyc sites</t>
  </si>
  <si>
    <t>Leishmania mexicana MHOM/GT/2001/U1103</t>
  </si>
  <si>
    <t>Caenorhabditis elegans</t>
  </si>
  <si>
    <t>pfam00046, Homeobox, Homeobox domain.</t>
  </si>
  <si>
    <t>Homeobox 6e-019| HOX 3e-018| homeodomain 3e-018| COG5576 9e-008| PHA03307 0.039| PHA03247 | PRK10431 | PRK07764 | CiPC | DUF566 |</t>
  </si>
  <si>
    <t>KOG0488, KOG0488, KOG0488, Transcription factor BarH and related HOX domain proteins [General function prediction only].</t>
  </si>
  <si>
    <t>smart00389, HOX, Homeodomain.  DNA-binding factors that are involved in the transcriptional regulation of key developmental processes.</t>
  </si>
  <si>
    <t xml:space="preserve"> AgamP4_2L:13589239-13600295(-) </t>
  </si>
  <si>
    <t xml:space="preserve">1 | 383    SHHRRKK|KA  0.558 *ProP*  | </t>
  </si>
  <si>
    <t>AGAP005762-RB</t>
  </si>
  <si>
    <t>AGAP005762-PB</t>
  </si>
  <si>
    <t xml:space="preserve"> tra0neh4a0neh4 anoga os-ox-76 gn-27643 pe-4 sv-2</t>
  </si>
  <si>
    <t>ExpAA=0.17 First60=0.17 PredHel=0 Topology=o</t>
  </si>
  <si>
    <t>Trypanosoma brucei brucei TREU927</t>
  </si>
  <si>
    <t>TIGR01642, Splicing_factor_U2AF_59_kDa_subunit, U2 snRNP auxilliary factor, large subunit, splicing factor.  These splicing factors consist of an N-terminal arginine-rich low complexity domain followed by three tandem RNA recognition motifs (pfam00076). The well-characterized members of this family are auxilliary components of the U2 small nuclear ribonuclearprotein splicing factor (U2AF). These proteins are closely related to the CC1-like subfamily of splicing factors (TIGR01622). Members of this subfamily are found in plants, metazoa and fungi.</t>
  </si>
  <si>
    <t>Splicing_factor_U2AF_59_kDa_subunit 0.003| PRK12678 0.033| CDC45 | FAM60A | rne | PTZ00266 | PRK05035 | DUF3584 | DUF1509 |</t>
  </si>
  <si>
    <t>KOG0415, KOG0415, KOG0415, Predicted peptidyl prolyl cis-trans isomerase [Posttranslational modification, protein turnover, chaperones].</t>
  </si>
  <si>
    <t>pfam02724, CDC45, CDC45-like protein.  CDC45 is an essential gene required for initiation of DNA replication in S. cerevisiae, forming a complex with MCM5/CDC46. homologs of CDC45 have been identified in human, mouse and smut fungus, among others.</t>
  </si>
  <si>
    <t>smart01101, CRISPR_assoc, This domain forms an anti-parallel beta strand structure with flanking alpha helical regions.</t>
  </si>
  <si>
    <t xml:space="preserve"> AgamP4_2L:20339589-20344225(-) </t>
  </si>
  <si>
    <t xml:space="preserve">2 | 179    HRRRSRR|RS  0.779 *ProP*  | 254    QRSRQRR|SP  0.773 *ProP*  | </t>
  </si>
  <si>
    <t>AGAP007279-RA</t>
  </si>
  <si>
    <t>Zn-finger transcription factor</t>
  </si>
  <si>
    <t>AGAP007279-PA</t>
  </si>
  <si>
    <t xml:space="preserve"> zinc finger miz domain-containing protein 1</t>
  </si>
  <si>
    <t>ExpAA=0.64 First60=0.00 PredHel=0 Topology=o</t>
  </si>
  <si>
    <t>Leishmania panamensis</t>
  </si>
  <si>
    <t>cd16791, SP-RING_ZMIZ, SP-RING finger found in zinc finger MIZ domain-containing protein Zmiz1, Zmiz2, and similar proteins.  This family includes Zmiz1 (Zimp10) and its homolog Zmiz2 (Zimp7), both of which were initially identified in humans as androgen receptor (AR) interacting proteins and function as transcriptional co-activators. They interact with BRG1, the catalytic subunit of the SWI-SNF remodeling complex. They also associate with other hormone nuclear receptors and transcription factors, such as p53 and Smad3/Smad4, and regulate transcription of specific target genes by altering their chromatin structure. The family also includes tonalli (Tna), an ortholog identified in Drosophila. It genetically interacts with the ATP-dependent SWI/SNF and Mediator complexes, suggesting a potential role for the Zmiz proteins in chromatin remodeling. Zmiz proteins contain a highly conserved Siz/PIAS (protein inhibitor of activated signal transducer and activator of transcription) RING (SP-RING) finger, also known as msx-interacting zinc finger (Miz domain), and a strong transactivation domain within the C-terminus. The SP-RING/Miz domain is highly conserved in members of the PIAS family and confers SUMO-conjugating activity. It is a variant of RING finger, which lacks the second, fifth, and sixth zinc-binding residues of the consensus C3H2C3-/C3HC4-type RING fingers. The strong intrinsic transactivation domain facilitates Zmiz proteins to augment the transcriptional activity of nuclear hormone receptors and other transcriptional factors. They may act as transcriptional co-regulators.</t>
  </si>
  <si>
    <t>SP-RING_ZMIZ 1e-025| SP-RING_ZMIZ1 3e-021| SP-RING_ZMIZ2 4e-021| zf-MIZ 5e-021| SP-RING_PIAS_like 7e-020| SP-RING_PIAS 7e-012| SP-RING_ScSiz_like 8e-012| SP-RING_PIAS4 3e-009| PTZ00146 3e-008| Med15 4e-008|</t>
  </si>
  <si>
    <t>KOG2169, KOG2169, KOG2169, Zn-finger transcription factor [Transcription].</t>
  </si>
  <si>
    <t>pfam02891, zf-MIZ, MIZ/SP-RING zinc finger.  This domain has SUMO (small ubiquitin-like modifier) ligase activity and is involved in DNA repair and chromosome organisation.</t>
  </si>
  <si>
    <t xml:space="preserve"> AgamP4_2L:44979581-44984097(+) </t>
  </si>
  <si>
    <t>Anopheles albimanus</t>
  </si>
  <si>
    <t>AGAP003186-RA</t>
  </si>
  <si>
    <t xml:space="preserve">upstream stimulatory factor </t>
  </si>
  <si>
    <t>upstream stimulatory factor</t>
  </si>
  <si>
    <t>upstream transcription factor</t>
  </si>
  <si>
    <t>AGAP003186-PA</t>
  </si>
  <si>
    <t xml:space="preserve"> upstream stimulatory factor 2</t>
  </si>
  <si>
    <t>pfam00010, HLH, Helix-loop-helix DNA-binding domain.</t>
  </si>
  <si>
    <t>HLH 8e-009| HLH 9e-007| HLH 6e-006| conserved_hypothetical_protein | PRK11091 | PRK12678 | PRK13922 | FAM76 | Smc | hypothetical_protein |</t>
  </si>
  <si>
    <t>KOG1318, KOG1318, KOG1318, Helix loop helix transcription factor EB [Transcription].</t>
  </si>
  <si>
    <t>smart00353, HLH, helix loop helix domain.</t>
  </si>
  <si>
    <t xml:space="preserve"> AgamP4_2R:33655095-33666264(+) </t>
  </si>
  <si>
    <t xml:space="preserve">1 | 142    EIERRRR|DK  0.509 *ProP*  | </t>
  </si>
  <si>
    <t>AGAP029487-RA</t>
  </si>
  <si>
    <t xml:space="preserve">Phosphodiesterase [Source:UniProtKB/TrEMBL;Acc:Q7PQX7] </t>
  </si>
  <si>
    <t>Phosphodiesterase</t>
  </si>
  <si>
    <t>3'5'-cyclic nucleotide phosphodiesterases - probable fragment - 10 OH-glycosylation sites</t>
  </si>
  <si>
    <t>AGAP029487-PA</t>
  </si>
  <si>
    <t xml:space="preserve"> cyclic gmp phosphodiesterase - 10 OH-glycosylation sites</t>
  </si>
  <si>
    <t>PDEase_I 2e-094| HDc 1e-012| HDc 8e-010| GP38 4e-004| PTZ00265 0.004| PRK13914 0.005| PRK06958 0.008| VAR1 0.010| Gly_rich 0.012| NST1 0.012|</t>
  </si>
  <si>
    <t>smart00471, HDc, Metal dependent phosphohydrolases with conserved 'HD' motif.  Includes eukaryotic cyclic nucleotide phosphodiesterases (PDEc). This profile/HMM does not detect HD homologues in bacterial glycine aminoacyl-tRNA synthetases (beta subunit).</t>
  </si>
  <si>
    <t xml:space="preserve">4 | 200    SRARAKR|TK  0.721 *ProP*  | 420    QNRRLRR|RL  0.520 *ProP*  | 923    KGSREKR|PS  0.767 *ProP*  | 995    HHQRQHR|SL  0.585 *ProP*  | </t>
  </si>
  <si>
    <t>AGAP013226-RA</t>
  </si>
  <si>
    <t>RFX DNA-binding domain - 28 OH-glycosylation sites -  28 NetOglyc sites</t>
  </si>
  <si>
    <t>AGAP013226-PA</t>
  </si>
  <si>
    <t xml:space="preserve"> dna-binding protein rfx5 - 28 OH-glycosylation sites -  28 NetOglyc sites</t>
  </si>
  <si>
    <t>ExpAA=2.59 First60=2.58 PredHel=0 Topology=o</t>
  </si>
  <si>
    <t>pfam02257, RFX_DNA_binding, RFX DNA-binding domain.  RFX is a regulatory factor which binds to the X box of MHC class II genes and is essential for their expression. The DNA-binding domain of RFX is the central domain of the protein and binds ssDNA as either a monomer or homodimer. It recognize X-boxes (DNA of the sequence 5'-GTNRCC(0-3N)RGYAAC-3', where N is any nucleotide, R is a purine and Y is a pyrimidine) using a highly conserved 76-residue DNA-binding domain (DBD).</t>
  </si>
  <si>
    <t>RFX_DNA_binding 2e-031| DUF4175 3e-007| tolA 5e-006| PAT1 7e-006| PHA03247 3e-005| PRK10263 3e-005| Activator_LAG-3 5e-005| EIF4E-T 1e-004| TAF61 5e-004| AAI_SS 6e-004|</t>
  </si>
  <si>
    <t>KOG3712, KOG3712, KOG3712, RFX family transcription factor [Transcription].</t>
  </si>
  <si>
    <t xml:space="preserve"> AgamP4_2R:24315093-24324822(-) </t>
  </si>
  <si>
    <t>AGAP029123-RA</t>
  </si>
  <si>
    <t>tropomyosin</t>
  </si>
  <si>
    <t>AGAP029123-PA</t>
  </si>
  <si>
    <t xml:space="preserve"> ring e3 ubiquitin transferase</t>
  </si>
  <si>
    <t>ExpAA=22.91 First60=0.00 PredHel=1 Topology=o1079-1101i</t>
  </si>
  <si>
    <t>Oryctolagus cuniculus</t>
  </si>
  <si>
    <t>cd00060, FHA, Forkhead associated domain (FHA); found in eukaryotic and prokaryotic proteins. Putative nuclear signalling domain. FHA domains may bind phosphothreonine, phosphoserine and sometimes phosphotyrosine. In eukaryotes, many FHA domain-containing proteins localize to the nucleus, where they participate in establishing or maintaining cell cycle checkpoints, DNA repair, or transcriptional regulation. Members of the FHA family include: Dun1, Rad53,  Cds1, Mek1, KAPP(kinase-associated protein phosphatase),and Ki-67 (a human nuclear protein related to cell proliferation).</t>
  </si>
  <si>
    <t>FHA 1e-015| FHA 5e-013| FHA 3e-008| COG1716 3e-007| Smc 3e-006| rne 3e-006| Chromosome_partition_protein_Smc 6e-006| PRK07003 4e-005| chromosome_segregation_protein_related...    46   8e-005 8e-005| Ribosomal_P2 1e-004|</t>
  </si>
  <si>
    <t>KOG0161, KOG0161, KOG0161, Myosin class II heavy chain [Cytoskeleton].</t>
  </si>
  <si>
    <t>pfam00498, FHA, FHA domain.  The FHA (Forkhead-associated) domain is a phosphopeptide binding motif.</t>
  </si>
  <si>
    <t>smart00240, FHA, Forkhead associated domain.  Found in eukaryotic and prokaryotic proteins. Putative nuclear signalling domain.</t>
  </si>
  <si>
    <t xml:space="preserve"> AgamP4_3L:31050710-31055246(-) </t>
  </si>
  <si>
    <t>ExpAA=22.91 First60=0.00 PredHel=1 Topology=o1076-1098i</t>
  </si>
  <si>
    <t>AGAP009303.R209</t>
  </si>
  <si>
    <t>GTPase-activating protein CdGAPr-like - 14 OH-glycosylation sites -  14 NetOglyc sites</t>
  </si>
  <si>
    <t>AGAP009303-PA</t>
  </si>
  <si>
    <t xml:space="preserve"> rho gtpase-activating protein 32 - 14 OH-glycosylation sites -  14 NetOglyc sites</t>
  </si>
  <si>
    <t>ExpAA=0.04 First60=0.00 PredHel=0 Topology=o</t>
  </si>
  <si>
    <t>cd04384, RhoGAP_CdGAP, RhoGAP_CdGAP: RhoGAP (GTPase-activator protein [GAP] for Rho-like small GTPases) domain of CdGAP-like proteins; CdGAP contains an N-terminal RhoGAP domain and a C-terminal proline-rich region, and it is active on both Cdc42 and Rac1 but not RhoA. CdGAP is recruited to focal adhesions via the interaction with the scaffold protein actopaxin (alpha-parvin). Small GTPases cluster into distinct families, and all act as molecular switches, active in their GTP-bound form but inactive when GDP-bound. The Rho family of GTPases activates effectors involved in a wide variety of developmental processes, including regulation of cytoskeleton formation, cell proliferation and the JNK signaling pathway. GTPases generally have a low intrinsic GTPase hydrolytic activity but there are family-specific groups of GAPs that enhance the rate of GTP hydrolysis by several orders of magnitude.</t>
  </si>
  <si>
    <t>RhoGAP_CdGAP 2e-087| RhoGAP 1e-046| RhoGAP 4e-046| RhoGAP 1e-044| RhoGAP_fRGD1 6e-036| RhoGAP_chimaerin 7e-035| RhoGAP_ARHGAP27_15_12_9 4e-033| RhoGAP_nadrin 5e-032| RhoGAP_ARHGAP21 5e-029| RhoGAP_GMIP_PARG1 4e-027|</t>
  </si>
  <si>
    <t>KOG1450, KOG1450, KOG1450, Predicted Rho GTPase-activating protein [Signal transduction mechanisms].</t>
  </si>
  <si>
    <t>pfam00620, RhoGAP, RhoGAP domain.  GTPase activator proteins towards Rho/Rac/Cdc42-like small GTPases.</t>
  </si>
  <si>
    <t xml:space="preserve"> AgamP4_3R:30941498-30951052(-) </t>
  </si>
  <si>
    <t>AGAP009303-RA</t>
  </si>
  <si>
    <t xml:space="preserve">4 | 258    EQQRMER|ST  0.532 *ProP*  | 822    KETDHRR|SV  0.550 *ProP*  | 1506    EYQRERR|SI  0.652 *ProP*  | 2212    GPIRTRR|IS  0.648 *ProP*  | </t>
  </si>
  <si>
    <t>AGAP003638-RA</t>
  </si>
  <si>
    <t>agap003638-pa - 25 OH-glycosylation sites -  25 NetOglyc sites</t>
  </si>
  <si>
    <t>AGAP003638-PA</t>
  </si>
  <si>
    <t xml:space="preserve"> mucin-17 - 25 OH-glycosylation sites -  25 NetOglyc sites</t>
  </si>
  <si>
    <t>Staphylococcus aureus</t>
  </si>
  <si>
    <t>PHA03247, PHA03247, large tegument protein UL36; Provisional.</t>
  </si>
  <si>
    <t>PHA03247 1e-008| PRK14951 2e-005| PRK11633 2e-004| PRK12323 3e-004| PHA01929 3e-004| PRK14960 0.001| PTZ00121 0.002| PRK14950 0.002| SOG2 0.004| DUF4813 0.006|</t>
  </si>
  <si>
    <t>KOG0307, KOG0307, KOG0307, Vesicle coat complex COPII, subunit SEC31 [Intracellular trafficking, secretion, and vesicular transport].</t>
  </si>
  <si>
    <t>pfam10428, SOG2, RAM signalling pathway protein.  SOG2 proteins in Saccharomyces cerevisiae are involved in cell separation and cytokinesis.</t>
  </si>
  <si>
    <t>smart00787, Spc7, Spc7 kinetochore protein.  This domain is found in cell division proteins which are required for kinetochore-spindle association.</t>
  </si>
  <si>
    <t xml:space="preserve"> AgamP4_2R:40870723-40876194(+) </t>
  </si>
  <si>
    <t xml:space="preserve">1 | 232    APTRKKR|LA  0.580 *ProP*  | </t>
  </si>
  <si>
    <t>AGAP003873-RA</t>
  </si>
  <si>
    <t xml:space="preserve">protein crumbs </t>
  </si>
  <si>
    <t>protein crumbs</t>
  </si>
  <si>
    <t>Fibrillins - signalP detected - 2 predicted membrane helices</t>
  </si>
  <si>
    <t>st membrane</t>
  </si>
  <si>
    <t>AGAP003873-PA</t>
  </si>
  <si>
    <t xml:space="preserve"> fibrillin - signalP detected - 2 predicted membrane helices</t>
  </si>
  <si>
    <t xml:space="preserve"> 31-32</t>
  </si>
  <si>
    <t>ExpAA=42.84 First60=19.82 PredHel=2 Topology=i7-29o2064-2086i</t>
  </si>
  <si>
    <t>pfam00054, Laminin_G_1, Laminin G domain.</t>
  </si>
  <si>
    <t>Laminin_G_1 1e-019| LamG 8e-015| LamG 2e-014| Laminin_G_2 3e-012| EGF_CA 8e-007| EGF_CA 2e-005| EGF 0.003| EGF 0.003| EGF 0.007| EGF_CA 0.012|</t>
  </si>
  <si>
    <t>KOG4289, KOG4289, KOG4289, Cadherin EGF LAG seven-pass G-type receptor [Signal transduction mechanisms].</t>
  </si>
  <si>
    <t>smart00282, LamG, Laminin G domain.</t>
  </si>
  <si>
    <t xml:space="preserve"> AgamP4_2R:44864356-44895109(-) </t>
  </si>
  <si>
    <t xml:space="preserve">2 | 1273    VARRAIR|SV  0.554 *ProP*  | 2092    VMARNKR|AT  0.540 *ProP*  | </t>
  </si>
  <si>
    <t>C(5.07)</t>
  </si>
  <si>
    <t>AGAP029525-RB</t>
  </si>
  <si>
    <t>echinoderm microtubule-associated protein-like 2 isoform X1</t>
  </si>
  <si>
    <t>AGAP029525-PB</t>
  </si>
  <si>
    <t xml:space="preserve"> echinoderm microtubule-associated protein-like 1 isoform x4</t>
  </si>
  <si>
    <t>ExpAA=0.31 First60=0.00 PredHel=0 Topology=o</t>
  </si>
  <si>
    <t>pfam03451, HELP, HELP motif.  The founding member of the EMAP protein family is the 75 kDa Echinoderm Microtubule-Associated Protein, so-named for its abundance in sea urchin, sand dollar and starfish eggs. The Hydrophobic EMAP-Like Protein (HELP) motif was identified initially in the human EMAP-Like Protein 2 (EML2) and subsequently in the entire EMAP Protein family. The HELP motif is approximately 60-70 amino acids in length and is conserved amongst metazoans. Although the HELP motif is hydrophobic, there is no evidence that EMAP-Like Proteins are membrane-associated. All members of the EMAP-Like Protein family, identified to-date, are constructed with an amino terminal HELP motif followed by a WD domain. In C. elegans, EMAP-Like Protein-1 (ELP-1) is required for touch sensation indicating that ELP-1 may play a role in mechanosensation. The localization of ELP-1 to microtubules and adhesion sites implies that ELP-1 may transmit forces between the body surface and the touch receptor neurons.</t>
  </si>
  <si>
    <t>HELP 6e-027| COG2319 2e-021| WD40 5e-020| 7WD40 1e-015| PLN00181 0.001| WD40 0.003| HOOK 0.007| FAM76 0.017| WD40 0.052| PHA03307 |</t>
  </si>
  <si>
    <t>KOG2106, KOG2106, KOG2106, Uncharacterized conserved protein, contains HELP and WD40 domains [Function unknown].</t>
  </si>
  <si>
    <t>smart00320, WD40, WD40 repeats.  Note that these repeats are permuted with respect to the structural repeats (blades) of the beta propeller domain.</t>
  </si>
  <si>
    <t xml:space="preserve"> AgamP4_3L:40901306-40906152(-) </t>
  </si>
  <si>
    <t>AGAP012674-RA</t>
  </si>
  <si>
    <t>AGAP012674-PA</t>
  </si>
  <si>
    <t>ExpAA=19.97 First60=19.97 PredHel=1 Topology=i19-41o</t>
  </si>
  <si>
    <t>Neospora caninum Liverpool</t>
  </si>
  <si>
    <t>JHBP 4e-014| JHBP 2e-008| Pil1 0.061| Molybdopterin-Binding | DUF4377 | MopB_3 | lacZ | prot_M_MG281 | Menin | PI-PLC-C1 |</t>
  </si>
  <si>
    <t xml:space="preserve"> AgamP4_UNKN:23086078-23087007(+) </t>
  </si>
  <si>
    <t>AGAP001427-RA</t>
  </si>
  <si>
    <t>Protein phosphatase 1 regulatory subunit 37 - probable fragment - 81 OH-glycosylation sites</t>
  </si>
  <si>
    <t>AGAP001427-PA</t>
  </si>
  <si>
    <t xml:space="preserve"> mucin-19 - 81 OH-glycosylation sites -  81 NetOglyc sites</t>
  </si>
  <si>
    <t>Staphylococcus haemolyticus (strain JCSC1435)</t>
  </si>
  <si>
    <t>cd00116, LRR_RI, 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t>
  </si>
  <si>
    <t>LRR_RI 9e-017| PAT1 2e-009| Amelogenin 9e-007| PHA03247 2e-006| LRR_RI 6e-006| DUF1421 2e-005| Polyadenylate-binding_protein_3 4e-005| rne 6e-005| Activator_LAG-3 2e-004| PHA03307 3e-004|</t>
  </si>
  <si>
    <t>KOG1908, KOG1908, KOG1908, Ribonuclease inhibitor type leucine-rich repeat proteins [RNA processing and modification].</t>
  </si>
  <si>
    <t>pfam09770, PAT1, Topoisomerase II-associated protein PAT1.  Members of this family are necessary for accurate chromosome transmission during cell division.</t>
  </si>
  <si>
    <t xml:space="preserve"> AgamP4_2R:4761983-4771036(-) </t>
  </si>
  <si>
    <t>AGAP001601-RA</t>
  </si>
  <si>
    <t xml:space="preserve">Ser/Thr protein phosphatase/nucleotidase </t>
  </si>
  <si>
    <t>Ser/Thr protein phosphatase/nucleotidase</t>
  </si>
  <si>
    <t>CD73 ecto-5'-nucleotidase and related protein - signalP detected</t>
  </si>
  <si>
    <t>s/met/nuc CD73</t>
  </si>
  <si>
    <t>AGAP001601-PA</t>
  </si>
  <si>
    <t xml:space="preserve"> usha - signalP detected</t>
  </si>
  <si>
    <t>met/nuc</t>
  </si>
  <si>
    <t xml:space="preserve"> 26-27</t>
  </si>
  <si>
    <t>ExpAA=10.21 First60=9.72 PredHel=0 Topology=o</t>
  </si>
  <si>
    <t>Tabanus yao</t>
  </si>
  <si>
    <t>cd07409, MPP_CD73_N, CD73 ecto-5'-nucleotidase and related proteins, N-terminal metallophosphatase domain.  CD73 is a mammalian ecto-5'-nucleotidase expressed in endothelial cells and lymphocytes that catalyzes the conversion of 5'-AMP to adenosine in the final step of a pathway that generates adenosine from ATP.  This pathway also includes a CD39 nucleoside triphosphate dephosphorylase that mediates the dephosphorylation of ATP to ADP and then to 5'-AMP.  These enzymes all have an N-terminal metallophosphatase domain and a C-terminal 5'nucleotidase domain.  The N-terminal metallophosphatase domain belongs to a large superfamily of distantly related metallophosphatases (MPPs) that includes: Mre11/SbcD-like exonucleases, Dbr1-like RNA lariat debranching enzymes, YfcE-like phosphodiesterases, purple acid phosphatases (PAPs), YbbF-like UDP-2,3-diacylglucosamine hydrolases, and acid sphingomyelinases (ASMases).  MPPs are functionally diverse, but all share a conserved domain with an active site consisting of two metal ions (usually manganese, iron, or zinc) coordinated with octahedral geometry by a cage of histidine, aspartate, and asparagine residues. The conserved domain is a double beta-sheet sandwich with a di-metal active site made up of residues located at the C-terminal side of the sheets. This domain is thought to allow for productive metal coordination.</t>
  </si>
  <si>
    <t>MPP_CD73_N e-120| UshA 8e-073| PRK09419 1e-059| Probable_5'-nucleotidase 1e-059| MPP_UshA_N_like 4e-048| ushA 2e-042| 5_nucleotid_C 2e-037| MPP_CG11883_N 3e-032| Sulfur_oxidation_protein_SoxB 7e-025| MPP_CpdB_N 1e-023|</t>
  </si>
  <si>
    <t>KOG4419, KOG4419, KOG4419, 5' nucleotidase [Nucleotide transport and metabolism].</t>
  </si>
  <si>
    <t xml:space="preserve">Nucleotide transport and metabolism </t>
  </si>
  <si>
    <t>pfam02872, 5_nucleotid_C, 5'-nucleotidase, C-terminal domain.</t>
  </si>
  <si>
    <t>smart00854, PGA_cap, Bacterial capsule synthesis protein PGA_cap. This protein is a putative poly-gamma-glutamate capsule biosynthesis protein found in bacteria. Poly-gamma-glutamate is a natural polymer that may be involved in virulence and may help bacteria survive in high salt concentrations. It is a surface-associated protein.</t>
  </si>
  <si>
    <t xml:space="preserve"> AgamP4_2R:6634530-6636230(+) </t>
  </si>
  <si>
    <t>AGAP029720-RA</t>
  </si>
  <si>
    <t xml:space="preserve">Aa_trans domain-containing protein [Source:UniProtKB/TrEMBL;Acc:A0A453Z0F9] </t>
  </si>
  <si>
    <t>Proton-coupled amino acid transporter</t>
  </si>
  <si>
    <t>Amino acid transporters - 11 predicted membrane helices</t>
  </si>
  <si>
    <t>AGAP029720-PA</t>
  </si>
  <si>
    <t xml:space="preserve"> amino acid transporter - 11 predicted membrane helices</t>
  </si>
  <si>
    <t>ExpAA=229.71 First60=2.20 PredHel=10 Topology=o82-104i145-167o182-199i206-228o243-265i278-300o327-349i370-387o397-419i428-450o</t>
  </si>
  <si>
    <t>pfam01490, Aa_trans, Transmembrane amino acid transporter protein. This transmembrane region is found in many amino acid transporters including UNC-47 and MTR. UNC-47 encodes a vesicular amino butyric acid (GABA) transporter, (VGAT). UNC-47 is predicted to have 10 transmembrane domains. MTR is a N system amino acid transporter system protein involved in methyltryptophan resistance. Other members of this family include proline transporters and amino acid permeases.</t>
  </si>
  <si>
    <t>Aa_trans 2e-048| SdaC 1e-021| PTZ00206 1e-009| PRK15132 0.048| Trp_Tyr_perm 0.099| Tyrosine-specific_transport_protein | AA_permease_2 | PLN03074 | PRK10459 |</t>
  </si>
  <si>
    <t>KOG1304, KOG1304, KOG1304, Amino acid transporters [Amino acid transport and metabolism].</t>
  </si>
  <si>
    <t>smart00127, IL7, Interleukin-7 and interleukin-9 family.  IL-7 is a cytokine that acts as a growth factor for early lymphoid cells of both B- and T-cell lineages. IL-9 is a multifunctional cytokine that, although originally described as a T-cell growth factor, its function in T-cell response remains unclear.</t>
  </si>
  <si>
    <t>AGAP029115-RA</t>
  </si>
  <si>
    <t>5-hydroxytryptamine receptor 1A-like - 17 OH-glycosylation sites -  17 NetOglyc sites - 7 predicted membrane helices</t>
  </si>
  <si>
    <t>AGAP029115-PA</t>
  </si>
  <si>
    <t xml:space="preserve"> glucose-dependent insulinotropic receptor-like isoform x2 - 17 OH-glycosylation sites -  17 NetOglyc sites - 7 predicted membrane helices</t>
  </si>
  <si>
    <t>ExpAA=163.49 First60=0.42 PredHel=7 Topology=o62-84i96-118o128-150i171-193o213-235i383-405o425-447i</t>
  </si>
  <si>
    <t>Eimeria acervulina</t>
  </si>
  <si>
    <t>Takifugu rubripes</t>
  </si>
  <si>
    <t>cd00637, 7tm_classA_rhodopsin-like, rhodopsin receptor-like class A family of the seven-transmembrane G protein-coupled receptor superfamily.  Class A rhodopsin-like receptors constitute about 90% of all GPCRs. The class A GPCRs include the light-sensitive rhodopsin as well as receptors for biogenic amines, lipids, nucleotides, odorants, peptide hormones, and a variety of other ligands. All GPCRs have a common structural architecture comprising of seven-transmembrane (TM) alpha-helices interconnected by three extracellular and three intracellular loops. A general feature of GPCR signaling is agonist-induced conformational changes in the receptors, leading to activation of the heterotrimeric G proteins, which consist of the guanine nucleotide-binding G-alpha subunit and the dimeric G-beta-gamma subunits. The activated G proteins then bind to and activate numerous downstream effector proteins, which generate second messengers that mediate a broad range of cellular and physiological processes. Based on sequence similarity, GPCRs can be divided into six major classes: class A (rhodopsin-like family), class B (Methuselah-like, adhesion and secretin-like receptor family), class C (metabotropic glutamate receptor family), class D (fungal mating pheromone receptors), class E (cAMP receptor family), and class F (frizzled/smoothened receptor family). Nearly 800 human GPCR genes have been identified and are involved essentially in all major physiological processes. Approximately 40% of clinically marketed drugs mediate their effects through modulation of GPCR function for the treatment of a variety of human diseases including bacterial infections.</t>
  </si>
  <si>
    <t>7tm_classA_rhodopsin-like 3e-026| 7tmA_EDG-like 1e-024| 7tmA_amine_R-like 1e-022| 7tm_1 2e-022| 7tm_GPCRs 1e-021| 7tmA_GPR119_R_insulinotropic_receptor 1e-017| 7tmA_Ap5-HTB1-like 2e-016| 7tmA_Adenosine_R 4e-016| 7tmA_Cannabinoid_R 1e-015| 7tmA_alpha2_AR 2e-015|</t>
  </si>
  <si>
    <t>KOG4220, KOG4220, KOG4220, Muscarinic acetylcholine receptor [Signal transduction mechanisms].</t>
  </si>
  <si>
    <t>pfam00001, 7tm_1, 7 transmembrane receptor (rhodopsin family). This family contains, amongst other G-protein-coupled receptors (GCPRs), members of the opsin family, which have been considered to be typical members of the rhodopsin superfamily. They share several motifs, mainly the seven transmembrane helices, GCPRs of the rhodopsin superfamily. All opsins bind a chromophore, such as 11-cis-retinal. The function of most opsins other than the photoisomerases is split into two steps: light absorption and G-protein activation. Photoisomerases, on the other hand, are not coupled to G-proteins - they are thought to generate and supply the chromophore that is used by visual opsins.</t>
  </si>
  <si>
    <t>smart00156, PP2Ac, Protein phosphatase 2A homologues, catalytic domain.  Large family of serine/threonine phosphatases, that includes PP1, PP2A and PP2B (calcineurin) family members.</t>
  </si>
  <si>
    <t xml:space="preserve"> AgamP4_2R:25568803-25577739(+) </t>
  </si>
  <si>
    <t xml:space="preserve">1 | 254    KASRELR|GV  0.619 *ProP*  | </t>
  </si>
  <si>
    <t>AGAP013178-RA</t>
  </si>
  <si>
    <t>Forkhead box protein N3 - probable fragment - 43 OH-glycosylation sites</t>
  </si>
  <si>
    <t>AGAP013178-PA</t>
  </si>
  <si>
    <t xml:space="preserve"> forkhead box protein n3 - 43 OH-glycosylation sites -  43 NetOglyc sites</t>
  </si>
  <si>
    <t>ExpAA=0.06 First60=0.00 PredHel=0 Topology=o</t>
  </si>
  <si>
    <t>Sus scrofa</t>
  </si>
  <si>
    <t>pfam00250, Forkhead, Forkhead domain.</t>
  </si>
  <si>
    <t>Forkhead 2e-035| FH 2e-032| FH 3e-032| COG5025 9e-015| Med3 1e-005| Macoilin 9e-004| PAT1 0.006| G_path_suppress 0.042| Activator_LAG-3 0.054| Med15 |</t>
  </si>
  <si>
    <t>KOG3562, KOG3562, KOG3562, Forkhead/HNF-3-related transcription factor [Transcription].</t>
  </si>
  <si>
    <t>smart00339, FH, FORKHEAD.  FORKHEAD, also known as a "winged helix".</t>
  </si>
  <si>
    <t xml:space="preserve"> AgamP4_2R:14204097-14210392(+) </t>
  </si>
  <si>
    <t>AGAP001786-RB</t>
  </si>
  <si>
    <t>AGAP001786-PB</t>
  </si>
  <si>
    <t xml:space="preserve"> swi/snf-like complex subunit - 49 OH-glycosylation sites -  49 NetOglyc sites</t>
  </si>
  <si>
    <t xml:space="preserve"> AgamP4_2R:10444045-10457721(+) </t>
  </si>
  <si>
    <t xml:space="preserve">1 | 1699    MTSRKGR|PV  0.609 *ProP*  | </t>
  </si>
  <si>
    <t>AGAP002323-RA</t>
  </si>
  <si>
    <t>E3 ubiquitin-protein ligase sinah - probable fragment - 14 OH-glycosylation sites</t>
  </si>
  <si>
    <t>AGAP002323-PA</t>
  </si>
  <si>
    <t xml:space="preserve"> ring finger - 14 OH-glycosylation sites -  14 NetOglyc sites</t>
  </si>
  <si>
    <t>cd16571, RING-HC_SIAHs, RING finger, HC subclass, found in Drosophila melanogaster protein Seven-in-Absentia (sina) and its homologs.  The family includes the Drosophila melanogaster protein Seven-in-Absentia (sina), its mammalian orthologs, SIAH1 and SIAH2, plant SINA-related proteins, and similar proteins. The Drosophila homolog sina plays an important role in the phyllopod-dependent degradation of the transcriptional repressor tramtrack as for the formation of the R7 photoreceptor in the developing eye of Drosophila melanogaster. Both of SIAH1 and SIAH2 are E3 ubiquitin-protein ligases, mediating the ubiquitinylation and subsequent proteasomal degradation of biologically important target proteins that regulate general functions, such as cell cycle control, apoptosis, and DNA repair. They are inducible by the tumor suppressor and transcription factor p53. SIAH2 can also be regulated by sex hormones and cytokine signaling. Moreover, they share high sequence similarity, but possess contrary roles in cancer, with Siah1 more often acting as a tumor suppressor while Siah2 functions as a proto-oncogene. Plant SINAT1-5 are putative E3 ubiquitin ligase involved in the regulation of stress responses. All family members possess two characteristic domains, an N-terminal C3HC4-type RING-HC finger and a C-terminal tumor necrosis factor (TNF) receptor associated factor (TRAF)-like substrate-binding domain (SBD).</t>
  </si>
  <si>
    <t>RING-HC_SIAHs 9e-010| RING-HC_SIAH1 2e-007| PDZ_signaling 8e-007| RING-HC_SIAH2 1e-006| RING-HC_CYHR1 2e-005| PDZ 4e-005| PDZ 6e-005| PDZ_CTP_protease 7e-005| mRING-HC-C3HC3D_TRAF6 0.001| RING-HC_COP1 0.001|</t>
  </si>
  <si>
    <t>KOG3002, KOG3002, KOG3002, Zn finger protein [General function prediction only].</t>
  </si>
  <si>
    <t>pfam00097, zf-C3HC4, Zinc finger, C3HC4 type (RING finger).  The C3HC4 type zinc-finger (RING finger) is a cysteine-rich domain of 40 to 60 residues that coordinates two zinc ions, and has the consensus sequence: C-X2-C-X(9-39)-C-X(1-3)-H-X(2-3)-C-X2-C-X(4-48)-C-X2-C where X is any amino acid. Many proteins containing a RING finger play a key role in the ubiquitination pathway.</t>
  </si>
  <si>
    <t>smart00228, PDZ, Domain present in PSD-95, Dlg, and ZO-1/2.  Also called DHR (Dlg homologous region) or GLGF (relatively well conserved tetrapeptide in these domains). Some PDZs have been shown to bind C-terminal polypeptides; others appear to bind internal (non-C-terminal) polypeptides. Different PDZs possess different binding specificities.</t>
  </si>
  <si>
    <t xml:space="preserve"> AgamP4_2R:19547045-19549777(-) </t>
  </si>
  <si>
    <t xml:space="preserve">2 | 129    RRVRSRR|SS  0.776 *ProP*  | 132    RSRRSSR|SA  0.700 *ProP*  | </t>
  </si>
  <si>
    <t>AGAP001563-RA</t>
  </si>
  <si>
    <t xml:space="preserve">glycerol kinase </t>
  </si>
  <si>
    <t>glycerol kinase</t>
  </si>
  <si>
    <t>Ribulose kinase</t>
  </si>
  <si>
    <t>AGAP001563-PA</t>
  </si>
  <si>
    <t xml:space="preserve"> xylb</t>
  </si>
  <si>
    <t>ExpAA=21.90 First60=0.00 PredHel=1 Topology=o530-552i</t>
  </si>
  <si>
    <t>Bos taurus</t>
  </si>
  <si>
    <t>cd07792, FGGY_GK1-3_metazoa, Metazoan glycerol kinase 1 and 3-like proteins; belongs to the FGGY family of carbohydrate kinases.  This subgroup corresponds to a group of metazoan glycerol kinases (GKs), coded by X chromosome-linked GK genes, and glycerol kinase (GK)-like proteins, coded by autosomal testis-specific GK-like genes (GK-like genes, GK1 and GK3).  Sequence comparison shows that metazoan GKs and GK-like proteins in this family are closely related to the bacterial GKs, which catalyze the Mg-ATP dependent phosphorylation of glycerol to yield glycerol 3-phosphate (G3P). The metazoan GKs do have GK enzymatic activity. However, the GK-like metazoan proteins do not exhibit GK activity and their biological functions are not yet clear. Some of them lack important functional residues involved in the binding of ADP and Mg2+, which may result in the loss of GK catalytic function. Others that have conserved catalytic residues have lost their GK activity as well; the reason remains unclear. It has been suggested the conserved catalytic residues might facilitate them performing a distinct function. GKs belong to the FGGY family of carbohydrate kinases, the monomers of which contain two large domains, which are separated by a deep cleft that forms the active site. This model includes both the N-terminal domain, which adopts a ribonuclease H-like fold, and the structurally related C-terminal domain.</t>
  </si>
  <si>
    <t>FGGY_GK1-3_metazoa | Glycerol_kinase | FGGY_GK | PTZ00294 | glpK | GlpK | PLN02295 e-180| FGGY_EcGK_like e-178| FGGY_CsGK_like e-178| FGGY_ScGut1p_like e-169|</t>
  </si>
  <si>
    <t>KOG2517, KOG2517, KOG2517, Ribulose kinase and related carbohydrate kinases [Carbohydrate transport and metabolism].</t>
  </si>
  <si>
    <t>pfam00370, FGGY_N, FGGY family of carbohydrate kinases, N-terminal domain.  This domain adopts a ribonuclease H-like fold and is structurally related to the C-terminal domain.</t>
  </si>
  <si>
    <t>smart00160, RanBD, Ran-binding domain.  Domain of apporximately 150 residues that stabilises the GTP-bound form of Ran (the Ras-like nuclear small GTPase).</t>
  </si>
  <si>
    <t xml:space="preserve"> AgamP4_2R:6276757-6280676(-) </t>
  </si>
  <si>
    <t xml:space="preserve">1 | 170    KACRERR|CY  0.500 *ProP*  | </t>
  </si>
  <si>
    <t>AGAP003645-RA</t>
  </si>
  <si>
    <t xml:space="preserve">kelch-like protein 19 </t>
  </si>
  <si>
    <t>kelch-like protein 19</t>
  </si>
  <si>
    <t>Protein containing BTB/POZ and Kelch - 32 OH-glycosylation sites -  32 NetOglyc sites</t>
  </si>
  <si>
    <t>AGAP003645-PA</t>
  </si>
  <si>
    <t xml:space="preserve"> gnlcdd232370 - 32 OH-glycosylation sites -  32 NetOglyc sites</t>
  </si>
  <si>
    <t>ExpAA=0.28 First60=0.26 PredHel=0 Topology=o</t>
  </si>
  <si>
    <t>PHA03098, PHA03098, kelch-like protein; Provisional.</t>
  </si>
  <si>
    <t>PHA03098 1e-074| Kelch 1e-049| BACK 8e-036| BACK 4e-033| BTB 2e-028| BTB 2e-027| PHA02790 8e-022| BACK_Kelch 2e-020| PHA02713 4e-018| Kelch 4e-012|</t>
  </si>
  <si>
    <t>KOG4441, KOG4441, KOG4441, Proteins containing BTB/POZ and Kelch domains, involved in regulatory/signal transduction processes [Signal transduction mechanisms, General function prediction only].</t>
  </si>
  <si>
    <t xml:space="preserve">Signal transduction mechanisms, General function prediction only </t>
  </si>
  <si>
    <t>pfam07707, BACK, BTB And C-terminal Kelch.  This domain is found associated with pfam00651 and pfam01344. The BACK domain is found juxtaposed to the BTB domain; they are separated by as little as two residues. This family appears to be closely related to the BTB domain (Finn RD, personal observation).</t>
  </si>
  <si>
    <t>smart00875, BACK, BTB And C-terminal Kelch.  The BACK domain is found juxtaposed to the BTB domain; they are separated by as little as two residues.</t>
  </si>
  <si>
    <t xml:space="preserve"> AgamP4_2R:40927085-40930289(-) </t>
  </si>
  <si>
    <t xml:space="preserve">1 | 847    CRQRSKR|CS  0.806 *ProP*  | </t>
  </si>
  <si>
    <t>AGAP005536.R238</t>
  </si>
  <si>
    <t xml:space="preserve">Phosphodiesterase [Source:UniProtKB/TrEMBL;Acc:Q7PNP5] </t>
  </si>
  <si>
    <t>3'5'-cyclic nucleotide phosphodiesterases - probable fragment</t>
  </si>
  <si>
    <t>AGAP005536-PA</t>
  </si>
  <si>
    <t xml:space="preserve"> high affinity camp-specific 3'5'-cyclic phosphodiesterase 7a</t>
  </si>
  <si>
    <t>PDEase_I 3e-084| HDc 3e-007| HDc 2e-005| VID27 | Treacle | Mak16 | RX-CC_like | SDA1 | PRK13875 | Mpp10 |</t>
  </si>
  <si>
    <t>AGAP005536-RA</t>
  </si>
  <si>
    <t xml:space="preserve">3 | 551    SLHRGAR|GS  0.520 *ProP*  | 859    KKAIRRR|SS  0.530 *ProP*  | 898    AWYRIKR|DS  0.729 *ProP*  | </t>
  </si>
  <si>
    <t>AGAP001535-RA</t>
  </si>
  <si>
    <t xml:space="preserve">histone-lysine N-methyltransferase ASH1L </t>
  </si>
  <si>
    <t>histone-lysine N-methyltransferase ASH1L</t>
  </si>
  <si>
    <t>Clathrin coat binding protein/Huntingtin interacting protein HIP1 - probable fragment - 42 OH-glycosylation sites</t>
  </si>
  <si>
    <t>AGAP001535-PA</t>
  </si>
  <si>
    <t xml:space="preserve"> histone-lysine n-methyltransferase ash1l - 42 OH-glycosylation sites -  42 NetOglyc sites</t>
  </si>
  <si>
    <t>Leishmania major strain Friedlin</t>
  </si>
  <si>
    <t>cd04717, BAH_polybromo, BAH, or Bromo Adjacent Homology domain, as present in polybromo and yeast RSC1/2. The human polybromo protein (BAF180) is a component of the SWI/SNF chromatin-remodeling complex PBAF. It is thought that polybromo participates in transcriptional regulation. Saccharomyces cerevisiae RSC1 and RSC2 are part of the 15-subunit nucleosome remodeling RSC complex. BAH domains are found in a variety of proteins playing roles in transcriptional silencing and the remodeling of chromatin. It is assumed that in most or all of these instances the BAH domain mediates protein-protein interactions.</t>
  </si>
  <si>
    <t>BAH_polybromo 2e-050| SET 1e-038| Bromo_ASH1 3e-033| SET 6e-027| PHD_ASH1L 5e-023| BAH 2e-021| COG2940 1e-020| Bromodomain 4e-017| BAH 3e-016| Bromodomain 1e-015|</t>
  </si>
  <si>
    <t>KOG4442, KOG4442, KOG4442, Clathrin coat binding protein/Huntingtin interacting protein HIP1, involved in regulation of endocytosis [Intracellular trafficking, secretion, and vesicular transport].</t>
  </si>
  <si>
    <t>pfam00856, SET, 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t>
  </si>
  <si>
    <t>smart00317, SET, SET (Su(var)3-9, Enhancer-of-zeste, Trithorax) domain.  Putative methyl transferase, based on outlier plant homologues.</t>
  </si>
  <si>
    <t xml:space="preserve"> AgamP4_2R:5943295-5955493(+) </t>
  </si>
  <si>
    <t xml:space="preserve">16 | 245    TKARKRR|SS  0.863 *ProP*  | 260    SAGRTKK|SV  0.762 *ProP*  | 804    PRGPKKR|GV  0.520 *ProP*  | 915    FSSRSRR|SC  0.835 *ProP*  | 951    KQVRRKR|RK  0.541 *ProP*  | 952    QVRRKRR|KK  0.615 *ProP*  | 954    RRKRRKK|IG  0.571 *ProP*  | 1379    CSKRSRR|KS  0.557 *ProP*  | 1408    GKIRQRR|LS  0.583 *ProP*  | 1435    MRRRKKR|LR  0.761 *ProP*  | 1538    KGHQTKR|SV  0.549 *ProP*  | 1543    KRSVKKR|KA  0.639 *ProP*  | 1591    GKRRNKK|TV  0.553 *ProP*  | 2132    TGGRGRK|SV  0.547 *ProP*  | 2492    IPTRLKR|GK  0.682 *ProP*  | 2532    AAHLSKR|SA  0.522 *ProP*  | </t>
  </si>
  <si>
    <t>AGAP012236-RA</t>
  </si>
  <si>
    <t>Trichohyalin-plectin-homology domain - 32 OH-glycosylation sites</t>
  </si>
  <si>
    <t>AGAP012236-PA</t>
  </si>
  <si>
    <t xml:space="preserve"> mucin-19 - 32 OH-glycosylation sites -  32 NetOglyc sites</t>
  </si>
  <si>
    <t>ExpAA=0.14 First60=0.02 PredHel=0 Topology=o</t>
  </si>
  <si>
    <t>Streptococcus gordonii</t>
  </si>
  <si>
    <t>cd15550, PHD_MLL5, PHD finger found in mixed lineage leukemia 5 (MLL5).  MLL5 is a histone methyltransferase that plays a key role in hematopoiesis, spermatogenesis and cell cycle progression. It contains a single plant homeodomain (PHD) finger followed by a catalytic SET domain. MLL5 can be recruited to E2F1-responsive promoters to stimulate H3K4 trimethylation and transcriptional activation by binding to the cell cycle regulator host cell factor (HCF-1), thereby facilitating the cell cycle G1 to S phase transition. It is also involved in mitotic fidelity and genomic integrity by modulating the stability of the chromosomal passenger complex (CPC) via the interaction with Borealin. Moreover, MLL5 is a component of a complex associated with retinoic acid receptor that requires GlcN Acylation of its SET domain in order to activate its histone lysine methyltransferase activity. It also participates in the camptothecin (CPT)-induced p53 activation. Furthermore, MLL5 indirectly regulates H3K4 methylation, represses cyclin A2 (CycA) expression, and promotes myogenic differentiation.</t>
  </si>
  <si>
    <t>PHD_MLL5 1e-026| SET 5e-015| rne 2e-013| PHD_ASH1L 9e-013| PHD 7e-012| PHD_PHF20 7e-011| SbcC 8e-011| PHD_PHF20L1 1e-010| PHD_MMD1_like 2e-010| PHD_PHF3_like 2e-010|</t>
  </si>
  <si>
    <t>pfam00628, PHD, PHD-finger.  PHD folds into an interleaved type of Zn-finger chelating 2 Zn ions in a similar manner to that of the RING and FYVE domains. Several PHD fingers have been identified as binding modules of methylated histone H3.</t>
  </si>
  <si>
    <t xml:space="preserve"> AgamP4_3L:39191593-39203284(+) </t>
  </si>
  <si>
    <t xml:space="preserve">5 | 1320    GKSGTKR|SL  0.614 *ProP*  | 1811    TSSPVKR|SS  0.702 *ProP*  | 1838    SASKSKK|SS  0.576 *ProP*  | 1907    VPGSKRR|SI  0.526 *ProP*  | 1988    GGKRKIR|SS  0.626 *ProP*  | </t>
  </si>
  <si>
    <t>AGAP028559.R757</t>
  </si>
  <si>
    <t>conserved hypothetical protein - 12 OH-glycosylation sites -  12 NetOglyc sites</t>
  </si>
  <si>
    <t>AGAP028559-PA</t>
  </si>
  <si>
    <t xml:space="preserve"> protein - 12 OH-glycosylation sites -  12 NetOglyc sites</t>
  </si>
  <si>
    <t>ExpAA=0.68 First60=0.00 PredHel=0 Topology=o</t>
  </si>
  <si>
    <t>Culex quinquefasciatus</t>
  </si>
  <si>
    <t>PRK12323, PRK12323, DNA polymerase III subunits gamma and tau; Provisional.</t>
  </si>
  <si>
    <t>PRK12323 0.015| PRK14971 0.031| putative_dihydrolipoamide_acyltransfer...    36   0.16  | RAP1 | fliF | PRK07764 | COG5309 | PRK14951 | Nucleoporin_FG2 | DUF4106 |</t>
  </si>
  <si>
    <t>KOG3741, KOG3741, KOG3741, Poly(A) ribonuclease subunit [RNA processing and modification].</t>
  </si>
  <si>
    <t>pfam07218, RAP1, Rhoptry-associated protein 1 (RAP-1).  This family consists of several rhoptry-associated protein 1 (RAP-1) sequences which appear to be specific to Plasmodium falciparum.</t>
  </si>
  <si>
    <t>smart00689, DM6, Cysteine-rich domain currently specific to Drosophila.</t>
  </si>
  <si>
    <t xml:space="preserve"> AgamP4_3R:18601454-18607302(+) </t>
  </si>
  <si>
    <t>AGAP028559-RA</t>
  </si>
  <si>
    <t xml:space="preserve">2 | 358    HRRRPGR|SG  0.644 *ProP*  | 584    PVDRDER|SV  0.522 *ProP*  | </t>
  </si>
  <si>
    <t>AGAP010687.R644</t>
  </si>
  <si>
    <t xml:space="preserve">phospholipase D1/2 </t>
  </si>
  <si>
    <t>phospholipase D1/2</t>
  </si>
  <si>
    <t>Phospholipase D1 - probable fragment</t>
  </si>
  <si>
    <t>AGAP010687-PA</t>
  </si>
  <si>
    <t xml:space="preserve"> phospholipase d1-like protein</t>
  </si>
  <si>
    <t>ExpAA=0.03 First60=0.02 PredHel=0 Topology=o</t>
  </si>
  <si>
    <t>PLN02866, PLN02866, phospholipase D.</t>
  </si>
  <si>
    <t>PLN02866 2e-091| PLDc_vPLD1_2_yPLD_like_2 2e-087| PLDc_vPLD1_2_yPLD_like_1 2e-074| PLDc_vPLD1_1 1e-062| PLDc_vPLD2_1 3e-062| PLDc_vPLD1_2 2e-059| PLDc_vPLD2_2 3e-057| PX_PLD 3e-047| PH_PLD 3e-037| PLN02352 6e-031|</t>
  </si>
  <si>
    <t>KOG1329, KOG1329, KOG1329, Phospholipase D1 [Lipid transport and metabolism].</t>
  </si>
  <si>
    <t>pfam13091, PLDc_2, PLD-like domain.</t>
  </si>
  <si>
    <t>smart00312, PX, PhoX homologous domain, present in p47phox and p40phox.  Eukaryotic domain of unknown function present in phox proteins, PLD isoforms, a PI3K isoform.</t>
  </si>
  <si>
    <t xml:space="preserve"> AgamP4_3L:8391799-8399019(+) </t>
  </si>
  <si>
    <t>AGAP010687-RA</t>
  </si>
  <si>
    <t>AGAP009638-RA</t>
  </si>
  <si>
    <t>Chitinase</t>
  </si>
  <si>
    <t>extmat</t>
  </si>
  <si>
    <t>AGAP009638-PA</t>
  </si>
  <si>
    <t xml:space="preserve"> titin</t>
  </si>
  <si>
    <t>PRK13735, PRK13735, conjugal transfer mating pair stabilization protein TraG; Provisional.</t>
  </si>
  <si>
    <t>PRK13735 2e-010| PHA03247 1e-007| PRK08581 3e-005| PTZ00121 2e-004| dnaA 6e-004| PRK15376 0.001| ROM1 0.002| Macoilin 0.003| DUF755 0.028| CiPC 0.035|</t>
  </si>
  <si>
    <t>KOG4701, KOG4701, KOG4701, Chitinase [Cell wall/membrane/envelope biogenesis].</t>
  </si>
  <si>
    <t>pfam04888, SseC, Secretion system effector C (SseC) like family. SseC is a secreted protein that forms a complex together with SecB and SecD on the surface of Salmonella. All these proteins are secreted by the type III secretion system. Many mucosal pathogens use type III secretion systems for the injection of effector proteins into target cells. SecB, SseC and SecD are inserted into the target cell membrane. where they form a small pore or translocon. In addition to SseC, this family includes the bacterial secreted proteins PopB, PepB, YopB and EspD which are thought to be directly involved in pore formation, and type III secretion system translocon.</t>
  </si>
  <si>
    <t>smart00283, MA, Methyl-accepting chemotaxis-like domains (chemotaxis sensory transducer).  Thought to undergo reversible methylation in response to attractants or repellants during bacterial chemotaxis.</t>
  </si>
  <si>
    <t xml:space="preserve"> AgamP4_3R:37406310-37422931(+) </t>
  </si>
  <si>
    <t>AGAP005918-RB</t>
  </si>
  <si>
    <t>AGAP005918-PB</t>
  </si>
  <si>
    <t xml:space="preserve"> zinc transporter 1 - signalP detected - 6 predicted membrane helices</t>
  </si>
  <si>
    <t xml:space="preserve"> AgamP4_2L:23666845-23669670(+) </t>
  </si>
  <si>
    <t xml:space="preserve"> 29-30</t>
  </si>
  <si>
    <t>ExpAA=123.17 First60=40.05 PredHel=6 Topology=i9-31o36-58i79-98o113-132i204-223o233-255i</t>
  </si>
  <si>
    <t>AGAP004112-RA</t>
  </si>
  <si>
    <t xml:space="preserve">Protein kinase domain-containing protein [Source:UniProtKB/TrEMBL;Acc:A0A1S4GK54] </t>
  </si>
  <si>
    <t>Catalytic domain of the Dual-specificity protein kinase - 14 OH-glycosylation sites -  14 NetOglyc sites</t>
  </si>
  <si>
    <t>AGAP004112-PA</t>
  </si>
  <si>
    <t xml:space="preserve"> dual specificity testis-specific protein kinase 2 - 14 OH-glycosylation sites -  14 NetOglyc sites</t>
  </si>
  <si>
    <t>cd14155, PKc_TESK, Catalytic domain of the Dual-specificity protein kinase, Testicular protein kinase.  Dual-specificity PKs catalyze the transfer of the gamma-phosphoryl group from ATP to serine/threonine as well as tyrosine residues on protein substrates. TESK proteins phosphorylate cofilin and induce actin cytoskeletal reorganization. In the Drosphila eye, TESK is required for epithelial cell organization. Mammals contain two TESK proteins, TESK1 and TESK2, which are highly expressed in testis and play roles in spermatogenesis. TESK1 is found in testicular germ cells while TESK2 is expressed mainly in nongerminal Sertoli cells. TESK1 is stimulated by integrin-mediated signaling pathways. It regulates cell spreading and focal adhesion formation. The TESK subfamily is part of a larger superfamily that includes the catalytic domains of other protein serine/threonine PKs, protein tyrosine kinases, RIO kinases, aminoglycoside phosphotransferase, choline kinase, and phosphoinositide 3-kinase.</t>
  </si>
  <si>
    <t>PKc_TESK e-120| PKc_LIMK_like 1e-087| PKc_LIMK_like_unk 5e-073| STKc_LIMK 3e-067| STKc_MAP3K-like 2e-057| STKc_LIMK1 7e-057| STKc_LIMK2 1e-055| STYKc 9e-044| TyrKc 3e-043| Pkinase 6e-042|</t>
  </si>
  <si>
    <t>KOG0192, KOG0192, KOG0192, Tyrosine kinase specific for activated (GTP-bound) p21cdc42Hs [Signal transduction mechanisms].</t>
  </si>
  <si>
    <t>smart00221, STYKc, Protein kinase; unclassified specificity. Phosphotransferases. The specificity of this class of kinases can not be predicted. Possible dual-specificity Ser/Thr/Tyr kinase.</t>
  </si>
  <si>
    <t xml:space="preserve">1 | 536    RNAREGR|SC  0.636 *ProP*  | </t>
  </si>
  <si>
    <t>AGAP011099-RA</t>
  </si>
  <si>
    <t xml:space="preserve">myosin III </t>
  </si>
  <si>
    <t>myosin III</t>
  </si>
  <si>
    <t>Myosin class I heavy chain</t>
  </si>
  <si>
    <t>AGAP011099-PA</t>
  </si>
  <si>
    <t>cd01379, MYSc_Myo3, class III myosin, motor domain.  Myosin III has been shown to play a role in the vision process in insects and in hearing in mammals. Myosin III, an unconventional myosin, does not form dimers. The catalytic (head) domain has ATPase activity and belongs to the larger group of P-loop NTPases. They are characterized by an N-terminal protein kinase domain and several IQ domains.  Some members also contain WW, SH2, PH, and Y-phosphatase domains.  Myosins are actin-dependent molecular motors that play important roles in muscle contraction, cell motility, and organelle transport. The head domain is a molecular motor, which utilizes ATP hydrolysis to generate directed movement toward the plus end along actin filaments. A cyclical interaction between myosin and actin provides the driving force. Rates of ATP hydrolysis and consequently the speed of movement along actin filaments vary widely, from about 0.04 micrometer per second for myosin I to 4.5 micrometer per second for myosin II in skeletal muscle. Myosin II moves in discrete steps about 5-10 nm long and generates 1-5 piconewtons of force. Upon ATP binding, the myosin head dissociates from an actin filament. ATP hydrolysis causes the head to pivot and associate with a new actin subunit. The release of Pi causes the head to pivot and move the filament (power stroke). Release of ADP completes the cycle. CyMoBase classifications were used to confirm and identify the myosins in this hierarchy. .</t>
  </si>
  <si>
    <t>MYSc_Myo3 | MYSc | MYSc | MYSc_Myo36 e-180| Myosin_head e-179| MYSc_Myo7 e-178| MYSc_Myo28 e-172| COG5022 e-172| MYSc_Myo22 e-165| MYSc_Myo9 e-162|</t>
  </si>
  <si>
    <t>KOG4229, KOG4229, KOG4229, Myosin VII, myosin IXB and related myosins [Cell motility].</t>
  </si>
  <si>
    <t xml:space="preserve">Cell motility </t>
  </si>
  <si>
    <t>pfam00063, Myosin_head, Myosin head (motor domain).</t>
  </si>
  <si>
    <t>smart00242, MYSc, Myosin. Large ATPases.  ATPase; molecular motor. Muscle contraction consists of a cyclical interaction between myosin and actin. The core of the myosin structure is similar in fold to that of kinesin.</t>
  </si>
  <si>
    <t xml:space="preserve"> AgamP4_3L:16874850-16888797(-) </t>
  </si>
  <si>
    <t xml:space="preserve">1 | 795    EESRFPR|ST  0.678 *ProP*  | </t>
  </si>
  <si>
    <t>AGAP029897-RC</t>
  </si>
  <si>
    <t>AGAP029897-PC</t>
  </si>
  <si>
    <t xml:space="preserve"> AgamP4_3R:36053963-36135383(-) </t>
  </si>
  <si>
    <t>ExpAA=4.29 First60=0.00 PredHel=0 Topology=o</t>
  </si>
  <si>
    <t>AGAP011139-RA</t>
  </si>
  <si>
    <t>Plexins (functional semaphorin receptors) - signalP detected - 3 predicted membrane helices</t>
  </si>
  <si>
    <t>AGAP011139-PA</t>
  </si>
  <si>
    <t xml:space="preserve"> plexin cytoplasmic rasgap domain protein - signalP detected - 3 predicted membrane helices</t>
  </si>
  <si>
    <t>ExpAA=41.91 First60=0.21 PredHel=2 Topology=o1382-1404i1549-1566o</t>
  </si>
  <si>
    <t>pfam08337, Plexin_cytopl, Plexin cytoplasmic RasGAP domain.  This family features the C-terminal regions of various plexins. Plexins are receptors for semaphorins, and plexin signalling is important in path finding and patterning of both neurons and developing blood vessels. The cytoplasmic region, which has been called a SEX domain in some members of this family, is involved in downstream signalling pathways, by interaction with proteins such as Rac1, RhoD, Rnd1 and other plexins. This domain acts as a RasGAP domain.</t>
  </si>
  <si>
    <t>Plexin_cytopl e-143| Sema_plexin_like e-119| RasGAP_plexin e-102| RasGAP_plexin_A 9e-090| RasGAP_plexin_B 4e-077| RasGAP_plexin_B3 3e-072| RasGAP_plexin_B1 2e-071| RasGAP_plexin_D1 3e-070| RasGAP_plexin_B2 6e-068| Sema_plexin_A2 3e-066|</t>
  </si>
  <si>
    <t>KOG3610, KOG3610, KOG3610, Plexins (functional semaphorin receptors) [Signal transduction mechanisms].</t>
  </si>
  <si>
    <t>smart00630, Sema, semaphorin domain.</t>
  </si>
  <si>
    <t xml:space="preserve"> AgamP4_3L:17826217-17835376(-) </t>
  </si>
  <si>
    <t xml:space="preserve">1 | 1131    NDERLNR|SI  0.520 *ProP*  | </t>
  </si>
  <si>
    <t>AGAP029504-RA</t>
  </si>
  <si>
    <t>AGAP007185-PA partial</t>
  </si>
  <si>
    <t>AGAP029504-PA</t>
  </si>
  <si>
    <t xml:space="preserve"> os-coluzzii ox-834 pe-4 sv</t>
  </si>
  <si>
    <t>TIGR00927, retinal_rod, K+-dependent Na+/Ca+ exchanger.  [Transport and binding proteins, Cations and iron carrying compounds].</t>
  </si>
  <si>
    <t>retinal_rod 0.029| PRK10590 | NCU-G1 | PRK06958 | RNAP_I_RPA1_N | PRK10636 |</t>
  </si>
  <si>
    <t>KOG2129, KOG2129, KOG2129, Uncharacterized conserved protein H4 [Function unknown].</t>
  </si>
  <si>
    <t>pfam15065, NCU-G1, Lysosomal transcription factor, NCU-G1.  NCU-G1 is a set of highly conserved nuclear proteins rich in proline with a molecular weight of approximately 44 kDa. Especially high levels are detected in human prostate, liver and kidney. NCU-G1 is a dual-function family capable of functioning as a transcription factor as well as a nuclear receptor co-activator by stimulating the transcriptional activity of peroxisome proliferator-activated receptor-alpha (PPAR-alpha).</t>
  </si>
  <si>
    <t>smart00864, Tubulin, Tubulin/FtsZ family, GTPase domain.  This domain is found in all tubulin chains, as well as the bacterial FtsZ family of proteins. These proteins are involved in polymer formation. Tubulin is the major component of microtubules, while FtsZ is the polymer-forming protein of bacterial cell division, it is part of a ring in the middle of the dividing cell that is required for constriction of cell membrane and cell envelope to yield two daughter cells. FtsZ and tubulin are GTPases, this entry is the GTPase domain. FtsZ can polymerise into tubes, sheets, and rings in vitro and is ubiquitous in bacteria and archaea.</t>
  </si>
  <si>
    <t xml:space="preserve"> AgamP4_2L:44103096-44107762(-) </t>
  </si>
  <si>
    <t xml:space="preserve">1 | 70    IVARPRR|AQ  0.538 *ProP*  | </t>
  </si>
  <si>
    <t>AGAP010042-RA</t>
  </si>
  <si>
    <t xml:space="preserve">solute carrier organic anion transporter family member </t>
  </si>
  <si>
    <t>solute carrier organic anion transporter family member</t>
  </si>
  <si>
    <t>Organic anion transporter - probable fragment - 12 predicted membrane helices</t>
  </si>
  <si>
    <t>AGAP010042-PA</t>
  </si>
  <si>
    <t xml:space="preserve"> organic anion transporter - 12 predicted membrane helices</t>
  </si>
  <si>
    <t xml:space="preserve"> 108-109</t>
  </si>
  <si>
    <t>ExpAA=269.43 First60=22.87 PredHel=12 Topology=i26-48o63-85i92-114o168-190i211-233o253-275i358-380o395-417i428-450o706-728i748-770o798-820i</t>
  </si>
  <si>
    <t>pfam03137, OATP, Organic Anion Transporter Polypeptide (OATP) family.  This family consists of several eukaryotic Organic-Anion-Transporting Polypeptides (OATPs). Several have been identified mostly in human and rat. Different OATPs vary in tissue distribution and substrate specificity. Since the numbering of different OATPs in particular species was based originally on the order of discovery, similarly numbered OATPs in humans and rats did not necessarily correspond in function, tissue distribution and substrate specificity (in spite of the name, some OATPs also transport organic cations and neutral molecules). Thus, Tamai et al. initiated the current scheme of using digits for rat OATPs and letters for human ones. Prostaglandin transporter (PGT) proteins are also considered to be OATP family members. In addition, the methotrexate transporter OATK is closely related to OATPs. This family also includes several predicted proteins from Caenorhabditis elegans and Drosophila melanogaster. This similarity was not previously noted. Note: Members of this family are described (in the Swiss-Prot database) as belonging to the SLC21 family of transporters.</t>
  </si>
  <si>
    <t>OATP e-100| oat 1e-078| KAZAL_SLC21 8e-016| MFS_1 9e-006| MFS 1e-005| KAZAL_FS 0.004| Kazal_2 0.010| PRK12772 0.037| PRK13661 0.055| PRK11281 |</t>
  </si>
  <si>
    <t>KOG3626, KOG3626, KOG3626, Organic anion transporter [Secondary metabolites biosynthesis, transport and catabolism].</t>
  </si>
  <si>
    <t>smart00262, GEL, Gelsolin homology domain.  Gelsolin/severin/villin homology domain. Calcium-binding and actin-binding. Both intra- and extracellular domains.</t>
  </si>
  <si>
    <t xml:space="preserve"> AgamP4_3R:48139858-48144077(-) </t>
  </si>
  <si>
    <t xml:space="preserve">1 | 667    SSRRRRR|LA  0.694 *ProP*  | </t>
  </si>
  <si>
    <t>AGAP005011-RA</t>
  </si>
  <si>
    <t xml:space="preserve">Iroquois-class homeodomain protein irx </t>
  </si>
  <si>
    <t>Iroquois-class homeodomain protein irx</t>
  </si>
  <si>
    <t>Transcription factor MEIS1 - probable fragment - 34 OH-glycosylation sites -  34 NetOglyc sites</t>
  </si>
  <si>
    <t>AGAP005011-PA</t>
  </si>
  <si>
    <t xml:space="preserve"> homeobox protein araucan - 34 OH-glycosylation sites -  34 NetOglyc sites</t>
  </si>
  <si>
    <t>ExpAA=0.21 First60=0.00 PredHel=0 Topology=o</t>
  </si>
  <si>
    <t>pfam05920, Homeobox_KN, Homeobox KN domain.  This is a homeobox transcription factor KN domain conserved from fungi to human and plants. They were first identified as TALE homeobox genes in eukaryotes, (including KNOX and MEIS genes). They have been recently classified.</t>
  </si>
  <si>
    <t>Homeobox_KN 3e-015| homeodomain 2e-012| HOX 1e-010| Homeobox 3e-005| COG5576 1e-004| UV_excision_repair_protein_RAD23_homol...    37   0.023 0.023| PRK14951 0.070| PRK12323 0.087| PRK14991 | PRK07764 |</t>
  </si>
  <si>
    <t>KOG0773, KOG0773, KOG0773, Transcription factor MEIS1 and related HOX domain proteins [Transcription].</t>
  </si>
  <si>
    <t xml:space="preserve"> AgamP4_2L:8078288-8136322(+) </t>
  </si>
  <si>
    <t>AGAP009889-RA</t>
  </si>
  <si>
    <t xml:space="preserve">cabut </t>
  </si>
  <si>
    <t>cabut</t>
  </si>
  <si>
    <t>Transcription factor Sp9 - probable fragment - 43 OH-glycosylation sites</t>
  </si>
  <si>
    <t>AGAP009889-PA</t>
  </si>
  <si>
    <t xml:space="preserve"> zinc finger protein - 43 OH-glycosylation sites -  43 NetOglyc sites</t>
  </si>
  <si>
    <t>sd00017, ZF_C2H2, Zinc finger, C2H2 type.  The C2H2 zinc finger is a classical zinc finger domain. C2H2-type zinc fingers are ubiquitous; more than 1% of all mammalian proteins are predicted to contain at least one zinc finger. They often function as DNA or protein binding structural motifs, such as in eukaryotic transcription factors, and therefore they play important roles in cellular processes such as development, differentiation, and oncosuppression. C2H2 zinc finger proteins contain from 1 to more than 30 zinc finger repeats.</t>
  </si>
  <si>
    <t>ZF_C2H2 2e-031| ZF_C2H2 2e-016| zf-H2C2_2 3e-004| PAT1 0.001| ZF_C2H2 0.005| COG5048 0.006| zf-C2H2 0.023| PHA03247 0.024| PHA00733 0.025| PTZ00449 |</t>
  </si>
  <si>
    <t>KOG2462, KOG2462, KOG2462, C2H2-type Zn-finger protein [Transcription].</t>
  </si>
  <si>
    <t>pfam13465, zf-H2C2_2, Zinc-finger double domain.</t>
  </si>
  <si>
    <t>smart00355, ZnF_C2H2, zinc finger.</t>
  </si>
  <si>
    <t xml:space="preserve"> AgamP4_3R:44773770-44778295(-) </t>
  </si>
  <si>
    <t xml:space="preserve">3 | 440    CGRRFSR|SD  0.513 *ProP*  | 449    ELSRHKR|TH  0.653 *ProP*  | 468    CERRFMR|SD  0.522 *ProP*  | </t>
  </si>
  <si>
    <t>AGAP010017-RA</t>
  </si>
  <si>
    <t xml:space="preserve">TNF receptor-associated factor 4 </t>
  </si>
  <si>
    <t>TNF receptor-associated factor 4</t>
  </si>
  <si>
    <t>TNF receptor-associated factor - 22 OH-glycosylation sites -  22 NetOglyc sites</t>
  </si>
  <si>
    <t>AGAP010017-PA</t>
  </si>
  <si>
    <t xml:space="preserve"> tnf receptor-associated factor 4 isoform x2 - 22 OH-glycosylation sites -  22 NetOglyc sites</t>
  </si>
  <si>
    <t>cd03781, MATH_TRAF4, Tumor Necrosis Factor Receptor (TNFR)-Associated Factor (TRAF) family, TRAF4 subfamily, TRAF domain, C-terminal MATH subdomain; composed of proteins with similarity to human TRAF4, including the Drosophila protein DTRAF1. TRAF molecules serve as adapter proteins that link TNFRs and downstream kinase cascades resulting in the activation of transcription factors and the regulation of cell survival, proliferation and stress responses. TRAF4 is highly expressed during embryogenesis, especially in the central and peripheral nervous system. Studies using TRAF4-deficient mice show that TRAF4 is required for neurogenesis, as well as the development of the trachea and the axial skeleton. In addition, TRAF4 augments nuclear factor-kappaB activation triggered by GITR (glucocorticoid-induced TNFR), a receptor expressed in T-cells, B-cells and macrophages. It also participates in counteracting the signaling mediated by Toll-like receptors through its association with TRAF6 and TRIF. DTRAF1 plays a pivotal role in the development of eye imaginal discs and photosensory neuron arrays in Drosophila. TRAF4 contains a RING finger domain, seven zinc finger domains, and a TRAF domain. The TRAF domain can be divided into a more divergent N-terminal alpha helical region (TRAF-N), and a highly conserved C-terminal MATH subdomain (TRAF-C) with an eight-stranded beta-sandwich structure. TRAF-N mediates trimerization while TRAF-C interacts with receptors.</t>
  </si>
  <si>
    <t>MATH_TRAF4 2e-073| MATH_TRAF_C 2e-058| MATH_TRAF3 1e-039| MATH_TRAF5 7e-035| MATH_TRAF2 2e-029| MATH_TRAF1 3e-029| MATH_TRAF6 6e-023| MATH 7e-013| zf-TRAF 8e-009| MATH_Meprin 1e-008|</t>
  </si>
  <si>
    <t>KOG0297, KOG0297, KOG0297, TNF receptor-associated factor [Signal transduction mechanisms].</t>
  </si>
  <si>
    <t>pfam02176, zf-TRAF, TRAF-type zinc finger.</t>
  </si>
  <si>
    <t>smart00061, MATH, meprin and TRAF homology.</t>
  </si>
  <si>
    <t xml:space="preserve"> AgamP4_3R:47742575-47751274(+) </t>
  </si>
  <si>
    <t>AGAP004159-RA</t>
  </si>
  <si>
    <t>malate dehydrogenase (oxaloacetate-decarboxylating)(NADP+)</t>
  </si>
  <si>
    <t>NADP+-dependent malic enzyme</t>
  </si>
  <si>
    <t>AGAP004159-PA</t>
  </si>
  <si>
    <t xml:space="preserve"> oxaloacetate-decarboxylating malate dehydrogenase</t>
  </si>
  <si>
    <t>Phytophthora parasitica INRA-310</t>
  </si>
  <si>
    <t>Anas platyrhynchos</t>
  </si>
  <si>
    <t>PLN03129, PLN03129, NADP-dependent malic enzyme; Provisional.</t>
  </si>
  <si>
    <t>PLN03129 | PRK13529 | PTZ00317 | NAD_bind_1_malic_enz e-114| Malic_M e-105| SfcA 1e-094| malic 7e-091| NAD_bind_malic_enz 5e-086| Malic_M 3e-075| PRK12862 5e-025|</t>
  </si>
  <si>
    <t>KOG1257, KOG1257, KOG1257, NADP+-dependent malic enzyme [Energy production and conversion].</t>
  </si>
  <si>
    <t>pfam03949, Malic_M, Malic enzyme, NAD binding domain.</t>
  </si>
  <si>
    <t>smart00919, Malic_M, Malic enzyme, NAD binding domain.  Malic enzymes (malate oxidoreductases) catalyse the oxidative decarboxylation of malate to form pyruvate.</t>
  </si>
  <si>
    <t xml:space="preserve"> AgamP4_2R:50948265-50952404(-) </t>
  </si>
  <si>
    <t>ExpAA=0.51 First60=0.00 PredHel=0 Topology=o</t>
  </si>
  <si>
    <t>AGAP007308-RA</t>
  </si>
  <si>
    <t xml:space="preserve">C2H2-type domain-containing protein [Source:UniProtKB/TrEMBL;Acc:A0A1S4GVF6] </t>
  </si>
  <si>
    <t>AGAP007308-PA</t>
  </si>
  <si>
    <t xml:space="preserve"> zinc finger protein aiolos</t>
  </si>
  <si>
    <t>st/apoptosis</t>
  </si>
  <si>
    <t>sd00019, ZF_C2H2, Zinc finger, C2H2 type.  The C2H2 zinc finger is a classical zinc finger domain. C2H2-type zinc fingers are ubiquitous; more than 1% of all mammalian proteins are predicted to contain at least one zinc finger. They often function as DNA or protein binding structural motifs, such as in eukaryotic transcription factors, and therefore they play important roles in cellular processes such as development, differentiation, and oncosuppression. C2H2 zinc finger proteins contain from 1 to more than 30 zinc finger repeats.</t>
  </si>
  <si>
    <t>ZF_C2H2 0.004| ZF_C2H2 0.067| AKAP95 | salivary_gland_growth_factor-2 | PriA | COG1561 | Primosomal_protein_N' | PRK05691 | PRP9 | CDC39 |</t>
  </si>
  <si>
    <t>KOG3608, KOG3608, KOG3608, Zn finger proteins [General function prediction only].</t>
  </si>
  <si>
    <t>pfam04988, AKAP95, A-kinase anchoring protein 95 (AKAP95). A-kinase (or PKA)-anchoring protein AKAP95 is implicated in mitotic chromosome condensation by acting as a targeting molecule for the condensin complex. The protein contains two zinc fingers which are thought to mediate the binding of AKAP95 to DNA.</t>
  </si>
  <si>
    <t xml:space="preserve">1 | 175    SRRRVQK|SY  0.565 *ProP*  | </t>
  </si>
  <si>
    <t>AGAP006360-RB</t>
  </si>
  <si>
    <t xml:space="preserve">glutamate synthase (NADPH/NADH) </t>
  </si>
  <si>
    <t>glutamate synthase (NADPH/NADH)</t>
  </si>
  <si>
    <t>Glutamate synthase</t>
  </si>
  <si>
    <t>AGAP006360-PB</t>
  </si>
  <si>
    <t>PRK11750, gltB, glutamate synthase subunit alpha; Provisional.</t>
  </si>
  <si>
    <t>gltB | gltD | Glutamate_synthase | GltB | GATase_2 | GltS | Glu_synthase e-162| GltD e-146| GltS_FMN e-145| Glu_syn_central e-132|</t>
  </si>
  <si>
    <t>KOG0399, KOG0399, KOG0399, Glutamate synthase [Amino acid transport and metabolism].</t>
  </si>
  <si>
    <t>pfam00310, GATase_2, Glutamine amidotransferases class-II.</t>
  </si>
  <si>
    <t>smart01002, AlaDh_PNT_C, Alanine dehydrogenase/PNT, C-terminal domain.  Alanine dehydrogenase catalyzes the NAD-dependent reversible reductive amination of pyruvate into alanine.</t>
  </si>
  <si>
    <t xml:space="preserve"> AgamP4_2L:30472728-30489533(+) </t>
  </si>
  <si>
    <t xml:space="preserve">1 | 976    DPQHNRR|SA  0.510 *ProP*  | </t>
  </si>
  <si>
    <t>AGAP012389-RA</t>
  </si>
  <si>
    <t xml:space="preserve">Pangolin </t>
  </si>
  <si>
    <t>Pangolin</t>
  </si>
  <si>
    <t>Transcription factor TCF-4 - probable fragment - 51 OH-glycosylation sites -  51 NetOglyc sites</t>
  </si>
  <si>
    <t>AGAP012389-PA</t>
  </si>
  <si>
    <t xml:space="preserve"> transcription factor tcf-4 - 51 OH-glycosylation sites -  51 NetOglyc sites</t>
  </si>
  <si>
    <t>cd01388, SOX-TCF_HMG-box, SOX-TCF_HMG-box, class I member of the HMG-box superfamily of DNA-binding proteins. These proteins contain a single HMG box, and bind the minor groove of DNA in a highly sequence-specific manner. Members include SRY and its homologs in insects and vertebrates, and transcription factor-like proteins, TCF-1, -3, -4, and LEF-1. They appear to bind the minor groove of the A/T C A A A G/C-motif.</t>
  </si>
  <si>
    <t>SOX-TCF_HMG-box 8e-030| HMG_box 6e-019| HMG-box 2e-018| HMG 2e-016| HMGB-UBF_HMG-box 3e-012| MATA_HMG-box 2e-010| SOG2 6e-006| E_Pc_C 8e-006| PHA03307 3e-005| Herpes_BLLF1 6e-005|</t>
  </si>
  <si>
    <t>KOG3248, KOG3248, KOG3248, Transcription factor TCF-4 [Transcription].</t>
  </si>
  <si>
    <t>pfam00505, HMG_box, HMG (high mobility group) box.</t>
  </si>
  <si>
    <t>smart00398, HMG, high mobility group.</t>
  </si>
  <si>
    <t xml:space="preserve"> AgamP4_3L:41628559-41631381(+) </t>
  </si>
  <si>
    <t xml:space="preserve">1 | 481    PCRRKKK|CI  0.561 *ProP*  | </t>
  </si>
  <si>
    <t>AGAP009285.R789</t>
  </si>
  <si>
    <t>mitogen-activated protein kinase-binding protein 1-like isoform X2 - 11 OH-glycosylation sites -  11 NetOglyc sites</t>
  </si>
  <si>
    <t>AGAP009285-PA</t>
  </si>
  <si>
    <t xml:space="preserve"> mitogen-activated protein - 11 OH-glycosylation sites -  11 NetOglyc sites</t>
  </si>
  <si>
    <t>ExpAA=0.20 First60=0.19 PredHel=0 Topology=o</t>
  </si>
  <si>
    <t>cd00200, WD40, 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t>
  </si>
  <si>
    <t>WD40 2e-032| COG2319 1e-023| 7WD40 2e-023| WD40 3e-004| WD40 8e-004| ANAPC4_WD40 0.002| PHA03247 0.018| Rab_eff_C | PHA03307 | Lactonase |</t>
  </si>
  <si>
    <t>KOG1408, KOG1408, KOG1408, WD40 repeat protein [Function unknown].</t>
  </si>
  <si>
    <t>pfam00400, WD40, WD domain, G-beta repeat.</t>
  </si>
  <si>
    <t xml:space="preserve"> AgamP4_3R:30753436-30784848(+) </t>
  </si>
  <si>
    <t>AGAP009285-RA</t>
  </si>
  <si>
    <t xml:space="preserve">3 | 1570    LFGRIRR|DH  0.639 *ProP*  | 1849    PPVAHRR|SA  0.531 *ProP*  | 2271    TRNTPKR|ST  0.667 *ProP*  | </t>
  </si>
  <si>
    <t>AGAP008098-RA</t>
  </si>
  <si>
    <t>agap008098-pa partial - 42 OH-glycosylation sites -  42 NetOglyc sites</t>
  </si>
  <si>
    <t>AGAP008098-PA</t>
  </si>
  <si>
    <t xml:space="preserve"> transmembrane protein - 42 OH-glycosylation sites -  42 NetOglyc sites</t>
  </si>
  <si>
    <t>vir/</t>
  </si>
  <si>
    <t>ExpAA=1.71 First60=0.26 PredHel=0 Topology=o</t>
  </si>
  <si>
    <t>pfam12371, TMEM131_like, Transmembrane protein 131-like. TMEM131_like is a family of bacterial, plant and other metazoa transmembrane proteins. Many of the members are multi-pass transmembrane proteins.</t>
  </si>
  <si>
    <t>TMEM131_like 4e-019| PHA03307 3e-010| PAP1 4e-007| Herpes_BLLF1 4e-007| SR-25 3e-006| ROM1 4e-006| Activator_LAG-3 2e-005| Macoilin 2e-005| PRK08581 3e-005| COG5099 1e-004|</t>
  </si>
  <si>
    <t>KOG3620, KOG3620, KOG3620, Uncharacterized conserved protein [Function unknown].</t>
  </si>
  <si>
    <t xml:space="preserve"> AgamP4_3R:5644147-5659696(-) </t>
  </si>
  <si>
    <t xml:space="preserve">2 | 1178    QWYRKLR|SE  0.617 *ProP*  | 1479    AASRFNR|SW  0.700 *ProP*  | </t>
  </si>
  <si>
    <t>AGAP002484-RA</t>
  </si>
  <si>
    <t xml:space="preserve">Epidermal retinal dehydrogenase [Source:UniProtKB/TrEMBL;Acc:A0A1S4GF86] </t>
  </si>
  <si>
    <t>epidermal retinal dehydrogenase</t>
  </si>
  <si>
    <t>Hydroxysteroid 17-beta dehydrogenase 11</t>
  </si>
  <si>
    <t>AGAP002484-PA</t>
  </si>
  <si>
    <t xml:space="preserve"> 17-beta-hydroxysteroid dehydrogenase 13-like protein</t>
  </si>
  <si>
    <t>ExpAA=22.71 First60=22.23 PredHel=1 Topology=i5-27o</t>
  </si>
  <si>
    <t>cd05339, 17beta-HSDXI-like_SDR_c, human 17-beta-hydroxysteroid dehydrogenase XI-like, classical (c) SDRs. 17-beta-hydroxysteroid dehydrogenases (17betaHSD) are a group of isozymes that catalyze activation and inactivation of estrogen and androgens. 17betaHSD type XI, a classical SDR, preferentially converts 3alpha-adiol to androsterone but not numerous other tested steroids. This subgroup of classical SDRs also includes members identified as retinol dehydrogenases, which convert retinol to retinal, a property that overlaps with 17betaHSD activity.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have a 3-glycine N-terminal NAD(P)(H)-binding pattern (typically, TGxxxGxG in classical SDRs and TGxxGxxG in extended SDRs), while substrate binding is in the C-terminal region. A critical catalytic Tyr residue (Tyr-151, human 15-hydroxyprostaglandin dehydrogenase (15-PGDH) numbering), is often found in a conserved YXXXK pattern. In addition to the Tyr and Lys, there is often an upstream Ser (Ser-138, 15-PGDH numbering) and/or an Asn (Asn-107, 15-PGDH numbering) or additional Ser, contributing to the active site. Substrates for these enzymes include sugars, steroids, alcohols, and aromatic compounds. The standard reaction mechanism is a proton relay involving the conserved Tyr and Lys, as well as Asn (or Ser). Some SDR family members, including 17 beta-hydroxysteroid dehydrogenase contain an additional helix-turn-helix motif that is not generally found among SDRs.</t>
  </si>
  <si>
    <t>17beta-HSDXI-like_SDR_c 2e-032| SDR_c 1e-021| adh_short 3e-021| PRK07825 9e-019| SDR_c6 5e-017| KDSR-like_SDR_c 1e-016| PRK12826 3e-016| fabG 5e-016| PRK12939 6e-016| PRK06841 6e-016|</t>
  </si>
  <si>
    <t>KOG1201, KOG1201, KOG1201, Hydroxysteroid 17-beta dehydrogenase 11 [Secondary metabolites biosynthesis, transport and catabolism].</t>
  </si>
  <si>
    <t>AGAP001446-RB</t>
  </si>
  <si>
    <t xml:space="preserve">AMP-activated protein kinase, gamma regulatory subunit </t>
  </si>
  <si>
    <t>AMP-activated protein kinase, gamma regulatory subunit</t>
  </si>
  <si>
    <t>5'-AMP-activated protein kinase gamma subunit</t>
  </si>
  <si>
    <t>AGAP001446-PB</t>
  </si>
  <si>
    <t xml:space="preserve"> protein kinase</t>
  </si>
  <si>
    <t>cd04641, CBS_pair_28, 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</si>
  <si>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CBS_pair_28 1e-047| CBS_pair_5 3e-037| CBS_pair_18 4e-013| CBS_pair 5e-013| CBS_pair_15 3e-011| CBS_pair_29 2e-009| CBS_pair_ACT_assoc2 9e-009| CBS_pair_CAP-ED_DUF294_assoc_arch 2e-008| CBS_pair_14 4e-008| COG0517 6e-008|</t>
  </si>
  <si>
    <t>KOG1764, KOG1764, KOG1764, 5'-AMP-activated protein kinase, gamma subunit [Energy production and conversion].</t>
  </si>
  <si>
    <t>pfam00571, CBS, CBS domain.  CBS domains are small intracellular modules that pair together to form a stable globular domain. This family represents a single CBS domain. Pairs of these domains have been termed a Bateman domain. CBS domains have been shown to bind ligands with an adenosyl group such as AMP, ATP and S-AdoMet. CBS domains are found attached to a wide range of other protein domains suggesting that CBS domains may play a regulatory role making proteins sensitive to adenosyl carrying ligands. The region containing the CBS domains in Cystathionine-beta synthase is involved in regulation by S-AdoMet. CBS domain pairs from AMPK bind AMP or ATP. The CBS domains from IMPDH and the chloride channel CLC2 bind ATP.</t>
  </si>
  <si>
    <t>smart00116, CBS, Domain in cystathionine beta-synthase and other proteins.  Domain present in all 3 forms of cellular life. Present in two copies in inosine monophosphate dehydrogenase, of which one is disordered in the crystal structure. A number of disease states are associated with CBS-containing proteins including homocystinuria, Becker's and Thomsen disease.</t>
  </si>
  <si>
    <t xml:space="preserve"> AgamP4_2R:5140730-5184852(-) </t>
  </si>
  <si>
    <t xml:space="preserve">2 | 70    NARRMAR|DM  0.561 *ProP*  | 81    AKRRMKK|RV  0.616 *ProP*  | </t>
  </si>
  <si>
    <t>AGAP004689.R217</t>
  </si>
  <si>
    <t>Extracellular protein TEM7 contains PSI domain (tumor endothelial marker in humans) - signalP detected</t>
  </si>
  <si>
    <t>AGAP004689-PA</t>
  </si>
  <si>
    <t xml:space="preserve"> extracellular protein tem7 - signalP detected</t>
  </si>
  <si>
    <t>ExpAA=26.48 First60=3.88 PredHel=1 Topology=o548-570i</t>
  </si>
  <si>
    <t>Xenopus laevis</t>
  </si>
  <si>
    <t>smart00423, PSI, domain found in Plexins, Semaphorins and Integrins.</t>
  </si>
  <si>
    <t>PSI 7e-006| PSI 0.001| DUF3487 | DUF4409 | DUF5113 | 7tmA_TSH-R | Aph-1 | CytB-hydogenase | Sema_7A | COG4587 |</t>
  </si>
  <si>
    <t>KOG3848, KOG3848, KOG3848, Extracellular protein TEM7, contains PSI domain (tumor endothelial marker in humans) [Extracellular structures].</t>
  </si>
  <si>
    <t xml:space="preserve">Extracellular structures </t>
  </si>
  <si>
    <t>pfam01437, PSI, Plexin repeat.  A cysteine rich repeat found in several different extracellular receptors. The function of the repeat is unknown. Three copies of the repeat are found Plexin. Two copies of the repeat are found in mahogany protein. A related C. elegans protein contains four copies of the repeat. The Met receptor contains a single copy of the repeat. The Pfam alignment shows 6 conserved cysteine residues that may form three conserved disulphide bridges, whereas shows 8 conserved cysteines. The pattern of conservation suggests that cysteines 5 and 7 (that are not absolutely conserved) form a disulphide bridge (Personal observation. A Bateman).</t>
  </si>
  <si>
    <t xml:space="preserve"> AgamP4_2L:1052326-1056900(+) </t>
  </si>
  <si>
    <t>AGAP004689-RA</t>
  </si>
  <si>
    <t>AGAP002741-RA</t>
  </si>
  <si>
    <t xml:space="preserve">histone-lysine N-methyltransferase MLL1 </t>
  </si>
  <si>
    <t>histone-lysine N-methyltransferase MLL1</t>
  </si>
  <si>
    <t>Histone H3 (Lys4) methyltransferase complex subunit SET1 - probable fragment - 29 OH-glycosylation sites</t>
  </si>
  <si>
    <t>AGAP002741-PA</t>
  </si>
  <si>
    <t xml:space="preserve"> histone-lysine n-methyltransferase 2b-like protein - 29 OH-glycosylation sites -  29 NetOglyc sites</t>
  </si>
  <si>
    <t>ExpAA=5.46 First60=0.00 PredHel=0 Topology=o</t>
  </si>
  <si>
    <t>cd15664, ePHD_KMT2A_like, Extended PHD finger found in histone-lysine N-methyltransferase 2A (KMT2A) and 2B (KMT2B).  The extended plant homeodomain (ePHD) zinc finger is characterized as Cys2HisCys5HisCys2His. This subfamily includes the ePHD finger of histone-lysine N-methyltransferase trithorax (Trx) like proteins, KMT2A/MLL1 and KMT2B/MLL2. KMT2A and KMT2B comprise the mammalian Trx branch of COMPASS family, and are both essential for mammalian embryonic development. KMT2A regulates chromatin-mediated transcription through the catalysis of methylation of histone 3 lysine 4 (H3K4), and is frequently rearranged in acute leukemia. KMT2A functions as the catalytic subunit in the MLL1 complex. KMT2B is a second human homolog of Drosophila trithorax, located on chromosome 19 and functions as the catalytic subunit in the MLL2 complex. It plays a critical role in memory formation by mediating hippocampal H3K4 di- and trimethylation. It is also required for RNA polymerase II association and protection from DNA methylation at the MagohB CpG island promoter. Both KMT2A and KMT2B contain a CxxC (x for any residue) zinc finger domain, three PHD fingers, this extended PHD (ePHD) finger, two FY (phenylalanine tyrosine)-rich domains, and a SET (Suppressor of variegation, Enhancer of zeste, Trithorax) domain.</t>
  </si>
  <si>
    <t>ePHD_KMT2A_like 6e-051| SET 2e-042| ePHD2_KMT2C_like 3e-036| ePHD_KMT2A 2e-033| ePHD_KMT2B 3e-033| SET 2e-031| PHD3_KMT2A_like 1e-028| COG2940 9e-024| ePHD 1e-023| ePHD2_KMT2C 5e-023|</t>
  </si>
  <si>
    <t>KOG1080, KOG1080, KOG1080, Histone H3 (Lys4) methyltransferase complex, subunit SET1 and related methyltransferases [Chromatin structure and dynamics, Transcription].</t>
  </si>
  <si>
    <t xml:space="preserve">Chromatin structure and dynamics, Transcription </t>
  </si>
  <si>
    <t xml:space="preserve"> AgamP4_2R:26448416-26563250(-) </t>
  </si>
  <si>
    <t>AGAP006434-RA</t>
  </si>
  <si>
    <t>chondroitin proteoglycan 2 isoform X1 - probable fragment - signalP detected</t>
  </si>
  <si>
    <t>AGAP006434-PA</t>
  </si>
  <si>
    <t xml:space="preserve"> peritrophin-1 - signalP detected</t>
  </si>
  <si>
    <t>ExpAA=0.26 First60=0.26 PredHel=0 Topology=o</t>
  </si>
  <si>
    <t>Fonticula alba</t>
  </si>
  <si>
    <t>pfam01607, CBM_14, Chitin binding Peritrophin-A domain.  This domain is called the Peritrophin-A domain and is found in chitin binding proteins particularly peritrophic matrix proteins of insects and animal chitinases. Copies of the domain are also found in some baculoviruses. Relevant references that describe proteins with this domain include. It is an extracellular domain that contains six conserved cysteines that probably form three disulphide bridges. Chitin binding has been demonstrated for a protein containing only two of these domains.</t>
  </si>
  <si>
    <t>CBM_14 1e-008| ChtBD2 4e-008| Usher 0.038| gatY | PI3Kc_I | Macoilin | PRK15376 | PI3Kc | PrfB |</t>
  </si>
  <si>
    <t>KOG0112, KOG0112, KOG0112, Large RNA-binding protein (RRM superfamily) [General function prediction only].</t>
  </si>
  <si>
    <t>smart00494, ChtBD2, Chitin-binding domain type 2.</t>
  </si>
  <si>
    <t xml:space="preserve"> AgamP4_2L:31793430-31795063(+) </t>
  </si>
  <si>
    <t>C(3.27)</t>
  </si>
  <si>
    <t>AGAP000926.R695</t>
  </si>
  <si>
    <t xml:space="preserve">inositol hexakisphosphate/diphosphoinositol-pentakisphosphate kinase </t>
  </si>
  <si>
    <t>inositol hexakisphosphate/diphosphoinositol-pentakisphosphate kinase</t>
  </si>
  <si>
    <t>Arp2/3 complex-interacting protein VIP1/Asp1 involved in regulation of actin cytoskeleton - 10 OH-glycosylation sites</t>
  </si>
  <si>
    <t>AGAP000926-PA</t>
  </si>
  <si>
    <t xml:space="preserve"> arp2/3 complex-interacting protein vip1/asp1 - 10 OH-glycosylation sites</t>
  </si>
  <si>
    <t>ExpAA=0.25 First60=0.08 PredHel=0 Topology=o</t>
  </si>
  <si>
    <t>pfam00328, His_Phos_2, Histidine phosphatase superfamily (branch 2). The histidine phosphatase superfamily is so named because catalysis centers on a conserved His residue that is transiently phosphorylated during the catalytic cycle. Other conserved residues contribute to a 'phosphate pocket' and interact with the phospho group of substrate before, during and after its transfer to the His residue. Structure and sequence analyses show that different families contribute different additional residues to the 'phosphate pocket' and, more surprisingly, differ in the position, in sequence and in three dimensions, of a catalytically essential acidic residue. The superfamily may be divided into two main branches.The smaller branch 2 contains predominantly eukaryotic proteins. The catalytic functions in members include phytase, glucose-1-phosphatase and multiple inositol polyphosphate phosphatase. The in vivo roles of the mammalian acid phosphatases in branch 2 are not fully understood, although activity against lysophosphatidic acid and tyrosine-phosphorylated proteins has been demonstrated.</t>
  </si>
  <si>
    <t>His_Phos_2 2e-055| HP_HAP_like 1e-014| Activator_LAG-3 4e-005| Loricrin 7e-005| SelP_N 7e-005| PRK10019 1e-004| PAT1 2e-004| OATP 0.001| Herpes_BLLF1 0.001| PRK13875 0.001|</t>
  </si>
  <si>
    <t>KOG1057, KOG1057, KOG1057, Arp2/3 complex-interacting protein VIP1/Asp1, involved in regulation of actin cytoskeleton [Cytoskeleton].</t>
  </si>
  <si>
    <t>smart00855, PGAM, Phosphoglycerate mutase family.  Phosphoglycerate mutase (PGAM) and bisphosphoglycerate mutase (BPGM) are structurally related enzymes that catalyse reactions involving the transfer of phospho groups between the three carbon atoms of phosphoglycerate... Both enzymes can catalyse three different reactions with different specificities, the isomerization of 2-phosphoglycerate (2-PGA) to 3-phosphoglycerate (3-PGA) with 2,3-diphosphoglycerate (2,3-DPG) as the primer of the reaction, the synthesis of 2,3-DPG from 1,3-DPG with 3-PGA as a primer and the degradation of 2,3-DPG to 3-PGA (phosphatase activity). In mammals, PGAM is a dimeric protein with two isoforms, the M (muscle) and B (brain) forms. In yeast, PGAM is a tetrameric protein.</t>
  </si>
  <si>
    <t xml:space="preserve"> AgamP4_X:17449006-17471498(-) </t>
  </si>
  <si>
    <t>AGAP000926-RA</t>
  </si>
  <si>
    <t xml:space="preserve">3 | 32    AGQRDRR|RA  0.598 *ProP*  | 1472    AKHRARR|TL  0.525 *ProP*  | 1520    SMHRRSR|SL  0.533 *ProP*  | </t>
  </si>
  <si>
    <t>AGAP001600-RA</t>
  </si>
  <si>
    <t>AGAP001600-PA</t>
  </si>
  <si>
    <t xml:space="preserve"> 20-21</t>
  </si>
  <si>
    <t>ExpAA=0.32 First60=0.26 PredHel=0 Topology=o</t>
  </si>
  <si>
    <t>MPP_CD73_N e-111| UshA 9e-070| PRK09419 1e-065| MPP_UshA_N_like 2e-047| Probable_5'-nucleotidase 8e-043| 5_nucleotid_C 9e-041| ushA 5e-037| Sulfur_oxidation_protein_SoxB 6e-026| MPP_CG11883_N 2e-024| MPP_CpdB_N 5e-023|</t>
  </si>
  <si>
    <t xml:space="preserve"> AgamP4_2R:6631784-6633490(-) </t>
  </si>
  <si>
    <t>AGAP007537-RA</t>
  </si>
  <si>
    <t>nascent polypeptide-associated complex subunit alpha muscle-specific form-like - 51 OH-glycosylation sites -  51 NetOglyc sites</t>
  </si>
  <si>
    <t>AGAP007537-PA</t>
  </si>
  <si>
    <t xml:space="preserve"> mucin-12-like protein - 51 OH-glycosylation sites -  51 NetOglyc sites</t>
  </si>
  <si>
    <t>cd14259, PUFD_like, PCGF Ub-like fold discriminator and related domains.  The PUFD domain binds the RAWUL (RING finger and WD40-associated ubiquitin-like) domain of the polycomb-group RING finger homologs PCGF1 and PCGF3. PUFD was characterized as a domain of the BCL6 corepressor BCOR. It does not appear to bind to PCGF2 and PCGF4. PCGF1 is a component of the Polycomb group (PcG) multi-protein BCOR complex, which is involved in repressing the transcription of BCL6 and CDKN1A. The BCL-6 corepressor (BCOR) is a transcriptional repressor required for germinal center formation and is possibly involved in apoptosis.</t>
  </si>
  <si>
    <t>PUFD_like 1e-031| ANK 1e-025| ANK 9e-022| Ank_2 4e-016| PHA03247 5e-012| Arp 6e-010| PAT1 7e-010| PRK07764 3e-008| PRK14949 4e-008| rne 1e-007|</t>
  </si>
  <si>
    <t>KOG0509, KOG0509, KOG0509, Ankyrin repeat and DHHC-type Zn-finger domain containing proteins [General function prediction only].</t>
  </si>
  <si>
    <t>pfam12796, Ank_2, Ankyrin repeats (3 copies).</t>
  </si>
  <si>
    <t xml:space="preserve"> AgamP4_2L:47330832-47343167(+) </t>
  </si>
  <si>
    <t>AGAP008963.R148</t>
  </si>
  <si>
    <t>Alpha-amylase - signalP detected</t>
  </si>
  <si>
    <t>met/carb/secreted Alpha-amylase</t>
  </si>
  <si>
    <t>AGAP008963-PA</t>
  </si>
  <si>
    <t xml:space="preserve"> protein - signalP detected</t>
  </si>
  <si>
    <t>ExpAA=23.17 First60=5.86 PredHel=0 Topology=o</t>
  </si>
  <si>
    <t>Drosophila virilis</t>
  </si>
  <si>
    <t>cd11328, AmyAc_maltase, Alpha amylase catalytic domain found in maltase (also known as alpha glucosidase) and related proteins.  Maltase (EC 3.2.1.20) hydrolyzes the terminal, non-reducing (1-==&gt; 4)-linked alpha-D-glucose residues in maltose, releasing alpha-D-glucose. In most cases, maltase is equivalent to alpha-glucosidase, but the term "maltase" emphasizes the disaccharide nature of the substrate from which glucose is cleaved, and the term "alpha-glucosidase" emphasizes the bond, whether the substrate is a disaccharide or polysaccharide.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C is the C-terminal extension characterized by a Greek key. The majority of the enzymes have an active site cleft found between domains A and B where a triad of catalytic residues (Asp, Glu and Asp) performs catalysis. Other members of this family have lost the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t>
  </si>
  <si>
    <t>AmyAc_maltase | AmyAc_SLC3A1 e-170| AmyAc_OligoGlu_like e-155| AmyAc_SI_OligoGlu_DGase e-155| AmyAc_OligoGlu e-124| Trehalose-6-phosphate_hydrolase e-116| AmyAc_OligoGlu_TS e-113| Alpha-amylase e-099| PRK10933 3e-099| AmyAc_bac2_AmyA 2e-097|</t>
  </si>
  <si>
    <t>KOG0471, KOG0471, KOG0471, Alpha-amylase [Carbohydrate transport and metabolism].</t>
  </si>
  <si>
    <t>pfam00128, Alpha-amylase, Alpha amylase, catalytic domain.  Alpha amylase is classified as family 13 of the glycosyl hydrolases. The structure is an 8 stranded alpha/beta barrel containing the active site, interrupted by a ~70 a.a. calcium-binding domain protruding between beta strand 3 and alpha helix 3, and a carboxyl-terminal Greek key beta-barrel domain.</t>
  </si>
  <si>
    <t xml:space="preserve"> AgamP4_3R:22245220-22247102(-) </t>
  </si>
  <si>
    <t>AGAP008963-RA</t>
  </si>
  <si>
    <t xml:space="preserve">1 | 373    IASRYGR|DL  0.530 *ProP*  | </t>
  </si>
  <si>
    <t>AGAP006825-RA</t>
  </si>
  <si>
    <t xml:space="preserve">transient receptor potential for cation channel </t>
  </si>
  <si>
    <t>Trpm: transient receptor potential for cation channel</t>
  </si>
  <si>
    <t>transient receptor potential cation channel trpm isoform X7 - 5 predicted membrane helices</t>
  </si>
  <si>
    <t>AGAP006825-PA</t>
  </si>
  <si>
    <t xml:space="preserve"> transient receptor potential cation channel subfamily protein m member 3 isoform x14 - 5 predicted membrane helices</t>
  </si>
  <si>
    <t>ExpAA=121.12 First60=0.04 PredHel=4 Topology=o910-932i952-971o981-1003i1062-1084o</t>
  </si>
  <si>
    <t>pfam00520, Ion_trans, Ion transport protein.  This family contains sodium, potassium and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t>
  </si>
  <si>
    <t>Ion_trans 4e-015| Short_transient_receptor_potential_cha...    73   1e-012 1e-012| TRPM_tetra 4e-011| PRK12704 0.062| PRK03918 | Loricrin | PTZ00341 | 7TMR-DISM_7TM | 7TM_GPCR_Srh | PRK12705 |</t>
  </si>
  <si>
    <t>KOG3614, KOG3614, KOG3614, Ca2+/Mg2+-permeable cation channels (LTRPC family) [Inorganic ion transport and metabolism, Signal transduction mechanisms].</t>
  </si>
  <si>
    <t xml:space="preserve">Inorganic ion transport and metabolism, Signal transduction mechanisms </t>
  </si>
  <si>
    <t>smart01087, COG6, Conserved oligomeric complex COG6.  COG6 is a component of the conserved oligomeric golgi complex, which is composed of eight different subunits and is required for normal golgi morphology and localisation.</t>
  </si>
  <si>
    <t xml:space="preserve"> AgamP4_2L:38981365-39030002(+) </t>
  </si>
  <si>
    <t xml:space="preserve">5 | 11    SEHRQGR|NI  0.504 *ProP*  | 39    VPRRTAR|SW  0.670 *ProP*  | 208    GQQRSGR|VV  0.549 *ProP*  | 1015    ASWRLVR|DV  0.522 *ProP*  | 1860    KPPRSAR|FT  0.546 *ProP*  | </t>
  </si>
  <si>
    <t>AGAP001281-RA</t>
  </si>
  <si>
    <t xml:space="preserve">potassium inwardly-rectifying channel subfamily J </t>
  </si>
  <si>
    <t>potassium inwardly-rectifying channel subfamily J</t>
  </si>
  <si>
    <t>G protein-activated inward rectifier potassium channel 3 isoform X4 - 2 predicted membrane helices</t>
  </si>
  <si>
    <t>AGAP001281-PA</t>
  </si>
  <si>
    <t xml:space="preserve"> g protein-activated inward rectifier potassium channel 2 - 2 predicted membrane helices</t>
  </si>
  <si>
    <t>ExpAA=46.24 First60=0.00 PredHel=2 Topology=i123-145o203-225i</t>
  </si>
  <si>
    <t>Gallus gallus</t>
  </si>
  <si>
    <t>pfam01007, IRK, Inward rectifier potassium channel.</t>
  </si>
  <si>
    <t>IRK e-160| Ion_trans 0.021| Ion_trans_2 | PRK10537 | Spc7_N | DUF3329 | PLN03192 | ATS | DUF2339 | LPG_synthase_TM |</t>
  </si>
  <si>
    <t>KOG3827, KOG3827, KOG3827, Inward rectifier K+ channel [Inorganic ion transport and metabolism].</t>
  </si>
  <si>
    <t>smart00044, CYCc, Adenylyl- / guanylyl cyclase, catalytic domain. Present in two copies in mammalian adenylyl cyclases. Eubacterial homologues are known. Two residues (Asn, Arg) are thought to be involved in catalysis. These cyclases have important roles in a diverse range of cellular processes.</t>
  </si>
  <si>
    <t xml:space="preserve"> AgamP4_2R:2271816-2274193(+) </t>
  </si>
  <si>
    <t>AGAP001775-RA</t>
  </si>
  <si>
    <t xml:space="preserve">ATP-binding cassette transporter (ABC transporter) family C member 2 </t>
  </si>
  <si>
    <t>ABCC2: ATP-binding cassette transporter (ABC transporter) family C member 2</t>
  </si>
  <si>
    <t>ABC transporter C family member - 12 predicted membrane helices</t>
  </si>
  <si>
    <t>AGAP001775-PA</t>
  </si>
  <si>
    <t xml:space="preserve"> protein - 12 predicted membrane helices</t>
  </si>
  <si>
    <t>imm membrane</t>
  </si>
  <si>
    <t xml:space="preserve"> 36-37</t>
  </si>
  <si>
    <t>ExpAA=247.01 First60=0.22 PredHel=11 Topology=i88-110o130-152i201-223o227-249i313-335o345-367i763-785o835-857i917-949o1019-1041i1050-1068o</t>
  </si>
  <si>
    <t>TIGR00957, Multidrug_resistance-associated_protein_1, multi drug resistance-associated protein (MRP).  This model describes multi drug resistance-associated protein (MRP) in eukaryotes. The multidrug resistance-associated protein is an integral membrane protein that causes multidrug resistance when overexpressed in mammalian cells. It belongs to ABC transporter superfamily. The protein topology and function was experimentally demonstrated by epitope tagging and immunofluorescence. Insertion of tags in the critical regions associated with drug efflux, abrogated its function. The C-terminal domain seem to highly conserved. [Transport and binding proteins, Other].</t>
  </si>
  <si>
    <t>Multidrug_resistance-associated_protei...   849   0.0   | PLN03130 | PLN03232 | PTZ00243 | ABCC_MRP_domain2 e-103| CFTR_protein e-101| ABCC_MRP_domain1 9e-092| MdlB 5e-089| ABCC_NFT1 9e-075| SunT 6e-069|</t>
  </si>
  <si>
    <t>KOG0054, KOG0054, KOG0054, Multidrug resistance-associated protein/mitoxantrone resistance protein, ABC superfamily [Secondary metabolites biosynthesis, transport and catabolism].</t>
  </si>
  <si>
    <t>pfam00005, ABC_tran, ABC transporter.  ABC transporters for a large family of proteins responsible for translocation of a variety of compounds across biological membranes. ABC transporters are the largest family of proteins in many completely sequenced bacteria. ABC transporters are composed of two copies of this domain and two copies of a transmembrane domain pfam00664. These four domains may belong to a single polypeptide as in CFTR, or belong in different polypeptide chains.</t>
  </si>
  <si>
    <t>smart00382, AAA, ATPases associated with a variety of cellular activities.  AAA - ATPases associated with a variety of cellular activities. This profile/alignment only detects a fraction of this vast family. The poorly conserved N-terminal helix is missing from the alignment.</t>
  </si>
  <si>
    <t xml:space="preserve"> AgamP4_2R:10155931-10164783(-) </t>
  </si>
  <si>
    <t xml:space="preserve">1 | 715    GDRRSRR|DS  0.748 *ProP*  | </t>
  </si>
  <si>
    <t>AGAP004175-RA</t>
  </si>
  <si>
    <t xml:space="preserve">uridine monophosphate synthetase </t>
  </si>
  <si>
    <t>uridine monophosphate synthetase</t>
  </si>
  <si>
    <t>Uridine 5'- monophosphate synthase/orotate phosphoribosyltransferase</t>
  </si>
  <si>
    <t>AGAP004175-PA</t>
  </si>
  <si>
    <t xml:space="preserve"> orotidine 5'-monophosphate decarboxylase</t>
  </si>
  <si>
    <t>ExpAA=0.50 First60=0.00 PredHel=0 Topology=o</t>
  </si>
  <si>
    <t>PRK13809, PRK13809, orotate phosphoribosyltransferase; Provisional.</t>
  </si>
  <si>
    <t>PRK13809 1e-048| OMPdecase 2e-047| PyrE 2e-044| Orotidine_5'-phosphate_decarboxylase 8e-042| OMP_decarboxylase_like 5e-041| pyrE 4e-039| OMPdecase 3e-035| PRK05500 5e-034| PRK13812 3e-029| PyrF 3e-028|</t>
  </si>
  <si>
    <t>KOG1377, KOG1377, KOG1377, Uridine 5'- monophosphate synthase/orotate phosphoribosyltransferase [Nucleotide transport and metabolism].</t>
  </si>
  <si>
    <t>pfam00215, OMPdecase, Orotidine 5'-phosphate decarboxylase / HUMPS family.  This family includes Orotidine 5'-phosphate decarboxylase enzymes EC:4.1.1.23 that are involved in the final step of pyrimidine biosynthesis. The family also includes enzymes such as hexulose-6-phosphate synthase. This family appears to be distantly related to pfam00834.</t>
  </si>
  <si>
    <t>smart00934, OMPdecase, Orotidine 5'-phosphate decarboxylase / HUMPS family.  Orotidine 5'-phosphate decarboxylase (OMPdecase) catalyzes the last step in the de novo biosynthesis of pyrimidines, the decarboxylation of OMP into UMP. In higher eukaryotes OMPdecase is part, with orotate phosphoribosyltransferase, of a bifunctional enzyme, while the prokaryotic and fungal OMPdecases are monofunctional protein.</t>
  </si>
  <si>
    <t xml:space="preserve"> AgamP4_2R:51225139-51226810(-) </t>
  </si>
  <si>
    <t>AGAP002079-RA</t>
  </si>
  <si>
    <t xml:space="preserve">Arrestin_C domain-containing protein [Source:UniProtKB/TrEMBL;Acc:A0A1S4GEG1] </t>
  </si>
  <si>
    <t>Arrestin - probable fragment</t>
  </si>
  <si>
    <t>AGAP002079-PA</t>
  </si>
  <si>
    <t xml:space="preserve"> arrestin</t>
  </si>
  <si>
    <t>Locusta migratoria</t>
  </si>
  <si>
    <t>smart01017, Arrestin_C, Arrestin (or S-antigen), C-terminal domain. Ig-like beta-sandwich fold. Scop reports duplication with N-terminal domain. Arrestins comprise a family of closely-related proteins that includes beta-arrestin-1 and -2, which regulate the function of beta-adrenergic receptors by binding to their phosphorylated forms, impairing their capacity to activate G(S) proteins; Cone photoreceptors C-arrestin (arrestin-X). which could bind to phosphorylated red/green opsins; and Drosophila phosrestins I and II, which undergo light-induced phosphorylation, and probably play a role in photoreceptor transduction.</t>
  </si>
  <si>
    <t>Arrestin_C 1e-019| Arrestin_C 8e-014| Arrestin_N 2e-007| Glyco_hydro_100 | T6SS_TssG | PLN02703 | flgK | DUF5006 | PLN02927 | COG4995 |</t>
  </si>
  <si>
    <t>KOG3865, KOG3865, KOG3865, Arrestin [Signal transduction mechanisms].</t>
  </si>
  <si>
    <t>pfam02752, Arrestin_C, Arrestin (or S-antigen), C-terminal domain. Ig-like beta-sandwich fold. Scop reports duplication with N-terminal domain.</t>
  </si>
  <si>
    <t>AGAP001296-RA</t>
  </si>
  <si>
    <t xml:space="preserve">E3 ubiquitin-protein ligase TRIP12 </t>
  </si>
  <si>
    <t>E3 ubiquitin-protein ligase TRIP12</t>
  </si>
  <si>
    <t>AGAP001296-PA</t>
  </si>
  <si>
    <t xml:space="preserve"> e3 ubiquitin-protein ligase trip12</t>
  </si>
  <si>
    <t>Xenopus tropicalis</t>
  </si>
  <si>
    <t>pfam00632, HECT, HECT-domain (ubiquitin-transferase).  The name HECT comes from Homologous to the E6-AP Carboxyl Terminus.</t>
  </si>
  <si>
    <t>HECT 5e-083| HECTc 1e-078| HECTc 1e-074| HUL4 3e-064| WWE 1e-022| WWE 8e-018| DUF1421 2e-008| Loricrin 3e-007| PHA03307 6e-007| PAT1 2e-006|</t>
  </si>
  <si>
    <t>KOG0168, KOG0168, KOG0168, Putative ubiquitin fusion degradation protein [Posttranslational modification, protein turnover, chaperones].</t>
  </si>
  <si>
    <t>smart00119, HECTc, Domain Homologous to E6-AP Carboxyl Terminus with. E3 ubiquitin-protein ligases. Can bind to E2 enzymes.</t>
  </si>
  <si>
    <t xml:space="preserve"> AgamP4_2R:2634398-2644334(+) </t>
  </si>
  <si>
    <t xml:space="preserve">1 | 2573    RLDRRKR|AI  0.651 *ProP*  | </t>
  </si>
  <si>
    <t>AGAP002732-RA</t>
  </si>
  <si>
    <t>GRAM domain</t>
  </si>
  <si>
    <t>AGAP002732-PA</t>
  </si>
  <si>
    <t xml:space="preserve"> gram domain-containing protein</t>
  </si>
  <si>
    <t>ExpAA=26.51 First60=0.00 PredHel=1 Topology=o634-656i</t>
  </si>
  <si>
    <t>Schizosaccharomyces pombe (strain 972 / ATCC 24843)</t>
  </si>
  <si>
    <t>cd13220, PH-GRAM_GRAMDC, GRAM domain-containing protein (GRAMDC) Pleckstrin Homology-Glucosyltransferases, Rab-like GTPase activators and Myotubularins (PH-GRAM) domain. The GRAMDC proteins are membrane proteins. Nothing is known about its function. Members include: GRAMDC1A, GRAMDC1B, GRAMDC1C, GRAMDC2, GRAMDC3, GRAMDC4, and GRAMDC-like proteins. All of the members, except for GRAMDC4 are included in this hierarchy. Each contains a single PH-GRAM domain at their N-terminus. The GRAM domain is found in glucosyltransferases, myotubularins and other putative membrane-associated proteins. The GRAM domain is part of a larger motif with a pleckstrin homology (PH) domain fold.</t>
  </si>
  <si>
    <t>PH-GRAM_GRAMDC 4e-038| GRAM 6e-015| PH-GRAM1_TCB1D9_TCB1D9B 2e-011| GRAM 2e-011| PH-GRAM1_TCB1D8_TCB1D9_family 3e-008| PH-GRAM1_TBC1D8 3e-008| PH-GRAM_C2-GRAM 2e-007| PH-GRAM1_TBC1D8B 4e-007| PH-GRAM 2e-005| PH-GRAM2_AGT26 8e-004|</t>
  </si>
  <si>
    <t>KOG1032, KOG1032, KOG1032, Uncharacterized conserved protein, contains GRAM domain [Function unknown].</t>
  </si>
  <si>
    <t>pfam02893, GRAM, GRAM domain.  The GRAM domain is found in in glucosyltransferases, myotubularins and other putative membrane-associated proteins. Note the alignment is lacking the last two beta strands and alpha helix.</t>
  </si>
  <si>
    <t>smart00568, GRAM, domain in glucosyltransferases, myotubularins and other putative membrane-associated proteins.</t>
  </si>
  <si>
    <t xml:space="preserve"> AgamP4_2R:26314514-26332411(+) </t>
  </si>
  <si>
    <t xml:space="preserve">2 | 170    GGARGKR|PV  0.698 *ProP*  | 215    GAGRHRR|VH  0.670 *ProP*  | </t>
  </si>
  <si>
    <t>AGAP010158-RA</t>
  </si>
  <si>
    <t>myosin-G heavy chain-like - 34 OH-glycosylation sites -  34 NetOglyc sites</t>
  </si>
  <si>
    <t>AGAP010158-PA</t>
  </si>
  <si>
    <t xml:space="preserve"> 11 - 34 OH-glycosylation sites -  34 NetOglyc sites</t>
  </si>
  <si>
    <t>ExpAA=11.87 First60=7.09 PredHel=0 Topology=o</t>
  </si>
  <si>
    <t>cd09579, SAM_Samd7,11, SAM domain of Samd7,11 subfamily of Polycomb group.  SAM (sterile alpha motif) domain is a protein-protein interaction domain. Phylogenetic analysis suggests that proteins of this subfamily are most closely related to SAM-Ph1,2,3 subfamily of Polycomb group. They are predicted transcriptional repressors in photoreceptor cells and pinealocytes of vertebrates. SAM domain containing protein 11 is also known as Mr-s (major retinal SAM) protein. In mouse, it is predominantly expressed in developing retinal photoreceptors and in adult pineal gland. The SAM domain is involved in homooligomerization of whole proteins (it was shown based on immunoprecipitation assay and mutagenesis), however its repression activity is not due to SAM/SAM interactions but to the C-terminal region.</t>
  </si>
  <si>
    <t>SAM_Samd7 4e-029| SAM_Polycomb 4e-022| SAM_Ph1 1e-016| SAM_Scm-like-3MBT3 6e-011| SAM_Scm-like-4MBT 2e-009| SAM 2e-008| SAM_Atherin-like 5e-008| SAM_Scm 6e-008| SAM_Scm-like-4MBT1 8e-008| SAM_Samd9_Samd9L 9e-008|</t>
  </si>
  <si>
    <t>KOG3678, KOG3678, KOG3678, SARM protein (with sterile alpha and armadillo motifs) [Extracellular structures].</t>
  </si>
  <si>
    <t>pfam00536, SAM_1, SAM domain (Sterile alpha motif).  It has been suggested that SAM is an evolutionarily conserved protein binding domain that is involved in the regulation of numerous developmental processes in diverse eukaryotes. The SAM domain can potentially function as a protein interaction module through its ability to homo- and heterooligomerise with other SAM domains.</t>
  </si>
  <si>
    <t>smart00454, SAM, Sterile alpha motif.  Widespread domain in signalling and nuclear proteins. In EPH-related tyrosine kinases, appears to mediate cell-cell initiated signal transduction via the binding of SH2-containing proteins to a conserved tyrosine that is phosphorylated. In many cases mediates homodimerisation.</t>
  </si>
  <si>
    <t xml:space="preserve"> AgamP4_3R:49599773-49642193(-) </t>
  </si>
  <si>
    <t xml:space="preserve">1 | 124    ERRRVKR|KS  0.720 *ProP*  | </t>
  </si>
  <si>
    <t>AGAP001557-RA</t>
  </si>
  <si>
    <t xml:space="preserve">solute carrier family 12 (sodium/potassium/chloride transporter), member 2 </t>
  </si>
  <si>
    <t>solute carrier family 12 (sodium/potassium/chloride transporter), member 2</t>
  </si>
  <si>
    <t>K+/Cl- cotransporter KCC1 - 12 predicted membrane helices</t>
  </si>
  <si>
    <t>AGAP001557-PA</t>
  </si>
  <si>
    <t xml:space="preserve"> solute carrier family 12 member 9 - 12 predicted membrane helices</t>
  </si>
  <si>
    <t>ExpAA=243.68 First60=0.00 PredHel=11 Topology=i198-220o224-246i267-289o309-331i338-360o397-419i432-454o496-518i549-566o570-592i612-634o</t>
  </si>
  <si>
    <t>Manduca sexta</t>
  </si>
  <si>
    <t>TIGR00930, Solute_carrier_family_12_member_1, K-Cl cotransporter. [Transport and binding proteins, Other].</t>
  </si>
  <si>
    <t>Solute_carrier_family_12_member_1 | SLC12 e-107| AA_permease e-106| PotE 2e-030| AA_permease_2 3e-017| putative_amino_acid_transporter 2e-012| Aa_trans 2e-005| Low_affinity_cationic_amino_acid_trans...    46   8e-005 8e-005| hypothetical_protein_HMPREF9690_04798 1e-004| putative_ethanolamine_permease 0.001|</t>
  </si>
  <si>
    <t>KOG2083, KOG2083, KOG2083, Na+/K+ symporter [Inorganic ion transport and metabolism].</t>
  </si>
  <si>
    <t>pfam03522, SLC12, Solute carrier family 12.</t>
  </si>
  <si>
    <t>smart00730, PSN, Presenilin, signal peptide peptidase, family. Presenilin 1 and presenilin 2 are polytopic membrane proteins, whose genes are mutated in some individuals with Alzheimer's disease. Distant homologues, present in eukaryotes and archaea, also contain conserved aspartic acid residues which are predicted to contribute to catalysis. At least one member of this family has been shown to possess signal peptide peptidase activity.</t>
  </si>
  <si>
    <t xml:space="preserve"> AgamP4_2R:6186490-6193122(+) </t>
  </si>
  <si>
    <t>AGAP005971-RA</t>
  </si>
  <si>
    <t xml:space="preserve">Phospholipase B-like [Source:UniProtKB/TrEMBL;Acc:Q7Q692] </t>
  </si>
  <si>
    <t>Phospholipase B-like</t>
  </si>
  <si>
    <t>Phospholipase B - probable fragment</t>
  </si>
  <si>
    <t>AGAP005971-PA</t>
  </si>
  <si>
    <t xml:space="preserve"> phospholipase b</t>
  </si>
  <si>
    <t>ExpAA=21.09 First60=21.05 PredHel=1 Topology=i13-32o</t>
  </si>
  <si>
    <t>pfam04916, Phospholip_B, Phospholipase B.  Phospholipase B (PLB) catalyzes the hydrolytic cleavage of both acylester bonds of glycerophospholipids. This family of PLB enzymes has been identified in mammals, flies and nematodes but not in yeast. In Drosophila this protein was named LAMA for laminin ancestor since it is expressed in the neuronal and glial precursors that surround the lamina.</t>
  </si>
  <si>
    <t>Phospholip_B e-114| PRK12396 | ATP-dependent_helicase/nuclease_subuni...    31   1.5   | COG2302 | BAT2_N | Includes:_Gamma-glutamyl_phosphate_red...    29   7.6   | lolE_release |</t>
  </si>
  <si>
    <t>KOG3774, KOG3774, KOG3774, Uncharacterized conserved protein Lama [Signal transduction mechanisms].</t>
  </si>
  <si>
    <t>smart01045, BURP, The BURP domain is found at the C-terminus of several different plant proteins.  It was named after the proteins in which it was first identified: the BNM2 clone-derived protein from Brassica napus; USPs and USP-like proteins; RD22 from Arabidopsis thaliana; and PG1beta from Lycopersicon esculentum. This domain is around 230 amino acid residues long. It possesses the following conserved features: two phenylalanine residues at its N-terminus; two cysteine residues; and four repeated cysteine-histidine motifs, arranged as: CH-X(10)-CH-X(25-27)-CH-X(25-26)-CH, where X can be any amino acid. The function of this domain is unknown.</t>
  </si>
  <si>
    <t xml:space="preserve">1 | 332    SGRRQHR|LV  0.540 *ProP*  | </t>
  </si>
  <si>
    <t>AGAP001780-RA</t>
  </si>
  <si>
    <t>E3 ubiquitin-protein ligase EDD1</t>
  </si>
  <si>
    <t>E3 ubiquitin-protein ligase hyd isoform X3 - 10 OH-glycosylation sites</t>
  </si>
  <si>
    <t>AGAP001780-PA</t>
  </si>
  <si>
    <t xml:space="preserve"> e3 ubiquitin-protein ligase ubr5 isoform x1 - 10 OH-glycosylation sites</t>
  </si>
  <si>
    <t>HECTc 9e-097| HECTc 2e-082| HECT 5e-071| HUL4 1e-046| E3_UbLigase_EDD 2e-022| ZnF_UBR1 3e-022| CUE_UBR5 1e-020| PABP 2e-020| PolyA 2e-019| Polyadenylate-binding_protein_3 2e-013|</t>
  </si>
  <si>
    <t>KOG0943, KOG0943, KOG0943, Predicted ubiquitin-protein ligase/hyperplastic discs protein, HECT superfamily [Posttranslational modification, protein turnover, chaperones].</t>
  </si>
  <si>
    <t xml:space="preserve"> AgamP4_2R:10216145-10230335(+) </t>
  </si>
  <si>
    <t xml:space="preserve">2 | 793    SHKRPKR|MT  0.754 *ProP*  | 1640    VARRFVR|SV  0.680 *ProP*  | </t>
  </si>
  <si>
    <t>AGAP007336-RA</t>
  </si>
  <si>
    <t>agap007336-pa - 10 OH-glycosylation sites</t>
  </si>
  <si>
    <t>AGAP007336-PA</t>
  </si>
  <si>
    <t xml:space="preserve"> myosin-4 - 10 OH-glycosylation sites</t>
  </si>
  <si>
    <t>COG1196, Smc, Chromosome segregation ATPases [Cell division and chromosome partitioning].</t>
  </si>
  <si>
    <t>Smc 5e-011| Chromosome_partition_protein_Smc 4e-008| chromosome_segregation_protein_related...    57   5e-008 5e-008| SbcC 1e-006| Macoilin 2e-006| PHA03307 2e-005| SMC_N 6e-005| CALCOCO1 7e-005| ERM 3e-004| Golgin_A5 7e-004|</t>
  </si>
  <si>
    <t>pfam09726, Macoilin, Transmembrane protein.  This entry is a highly conserved protein present in eukaryotes.</t>
  </si>
  <si>
    <t xml:space="preserve"> AgamP4_2L:45691133-45697436(+) </t>
  </si>
  <si>
    <t xml:space="preserve">1 | 471    PRRRKER|SA  0.730 *ProP*  | </t>
  </si>
  <si>
    <t>AGAP011030-RA</t>
  </si>
  <si>
    <t xml:space="preserve">microtubule-associated serine/threonine kinase </t>
  </si>
  <si>
    <t>microtubule-associated serine/threonine kinase</t>
  </si>
  <si>
    <t>Microtubule-associated serine/threonine kinase - probable fragment - 41 OH-glycosylation sites</t>
  </si>
  <si>
    <t>AGAP011030-PA</t>
  </si>
  <si>
    <t xml:space="preserve"> microtubule-associated serine/threonine-protein kinase 3 - 41 OH-glycosylation sites -  41 NetOglyc sites</t>
  </si>
  <si>
    <t>cd05609, STKc_MAST, Catalytic domain of the Protein Serine/Threonine Kinase, Microtubule-associated serine/threonine kinase. STKs catalyze the transfer of the gamma-phosphoryl group from ATP to serine/threonine residues on protein substrates. MAST kinases contain an N-terminal domain of unknown function, a central catalytic domain, and a C-terminal PDZ domain that mediates protein-protein interactions. There are four mammalian MAST kinases, named MAST1-MAST4. MAST1 is also called syntrophin-associated STK (SAST) while MAST2 is also called MAST205. MAST kinases are cytoskeletal associated kinases of unknown function that are also expressed at neuromuscular junctions and postsynaptic densities. MAST1, MAST2, and MAST3 bind and phosphorylate the tumor suppressor PTEN, and may contribute to the regulation and stabilization of PTEN. MAST2 is involved in the regulation of the Fc-gamma receptor of the innate immune response in macrophages, and may also be involved in the regulation of the Na+/H+ exchanger NHE3. The MAST kinase subfamily is part of a larger superfamily that includes the catalytic domains of other STKs, protein tyrosine kinases, RIO kinases, aminoglycoside phosphotransferase, choline kinase, and phosphoinositide 3-kinase.</t>
  </si>
  <si>
    <t>STKc_MAST | STKc_MAST_like e-129| STKc_AGC e-104| DUF1908 e-102| STKc_ROCK_NDR_like e-100| STKc_NDR_like 1e-097| STKc_PKA_like 5e-092| S_TKc 5e-089| STKc_Rim15_like 4e-088| STKc_phototropin_like 9e-085|</t>
  </si>
  <si>
    <t>KOG0606, KOG0606, KOG0606, Microtubule-associated serine/threonine kinase and related proteins [Signal transduction mechanisms, General function prediction only].</t>
  </si>
  <si>
    <t>pfam08926, DUF1908, Domain of unknown function (DUF1908).  This domain is found in a set of hypothetical/structural eukaryotic proteins.</t>
  </si>
  <si>
    <t xml:space="preserve"> AgamP4_3L:14626518-14633447(-) </t>
  </si>
  <si>
    <t>AGAP029492-RA</t>
  </si>
  <si>
    <t>Cadherin EGF LAG seven-pass G-type receptor - probable fragment - signalP detected</t>
  </si>
  <si>
    <t>AGAP029492-PA</t>
  </si>
  <si>
    <t xml:space="preserve"> cadherin egf lag seven-pass g receptor fmi - signalP detected</t>
  </si>
  <si>
    <t xml:space="preserve"> 30-31</t>
  </si>
  <si>
    <t>ExpAA=26.55 First60=4.77 PredHel=1 Topology=o3560-3582i</t>
  </si>
  <si>
    <t>cd11304, Cadherin_repeat, Cadherin tandem repeat domain.  Cadherins are glycoproteins involved in Ca2+-mediated cell-cell adhesion. The cadherin repeat domains occur as tandem repeats in the extracellular regions, which are thought to mediate cell-cell contact when bound to calcium. They play numerous roles in cell fate, signalling, proliferation, differentiation, and migration; members include E-, N-, P-, T-, VE-, CNR-, proto-, and FAT-family cadherin, desmocollin, and desmoglein, a large variety of domain architectures with varying repeat copy numbers. Cadherin-repeat containing proteins exist as monomers, homodimers, or heterodimers.</t>
  </si>
  <si>
    <t>Cadherin_repeat 3e-027| Laminin_G_2 5e-024| LamG 7e-021| CA 8e-021| Cadherin 1e-020| LamG 2e-019| Laminin_G_1 6e-013| EGF_CA 8e-010| EGF_CA 1e-008| EGF 9e-006|</t>
  </si>
  <si>
    <t>KOG1219, KOG1219, KOG1219, Uncharacterized conserved protein, contains laminin, cadherin and EGF domains [Signal transduction mechanisms].</t>
  </si>
  <si>
    <t>pfam02210, Laminin_G_2, Laminin G domain.  This family includes the Thrombospondin N-terminal-like domain, a Laminin G subfamily.</t>
  </si>
  <si>
    <t>smart00112, CA, Cadherin repeats.  Cadherins are glycoproteins involved in Ca2+-mediated cell-cell adhesion. Cadherin domains occur as repeats in the extracellular regions which are thought to mediate cell-cell contact when bound to calcium.</t>
  </si>
  <si>
    <t xml:space="preserve"> AgamP4_3L:26517530-26634001(-) </t>
  </si>
  <si>
    <t>ExpAA=26.55 First60=4.77 PredHel=1 Topology=o3561-3583i</t>
  </si>
  <si>
    <t>AGAP003312-RA</t>
  </si>
  <si>
    <t>PACS-1 cytosolic sorting protein</t>
  </si>
  <si>
    <t>AGAP003312-PA</t>
  </si>
  <si>
    <t xml:space="preserve"> phosphofurin acidic cluster sorting protein 2-like isoform x1</t>
  </si>
  <si>
    <t>ExpAA=1.68 First60=0.05 PredHel=0 Topology=o</t>
  </si>
  <si>
    <t>pfam10254, Pacs-1, PACS-1 cytosolic sorting protein.  PACS-1 is a cytosolic sorting protein that directs the localization of membrane proteins in the trans-Golgi network (TGN)/endosomal system. PACS-1 connects the clathrin adaptor AP-1 to acidic cluster sorting motifs contained in the cytoplasmic domain of cargo proteins such as furin, the cation-independent mannose-6-phosphate receptor and in viral proteins such as human immunodeficiency virus type 1 Nef.</t>
  </si>
  <si>
    <t>Pacs-1 e-150| Keratin_2_head 1e-004| PLN03138 0.005| PRK06958 0.006| III 0.007| PTZ00146 0.008| Gly-zipper_YMGG 0.009| Uncharacterized_lipoprotein_lpp 0.019| GP38 0.021| COG1512 0.026|</t>
  </si>
  <si>
    <t>KOG3709, KOG3709, KOG3709, PACS-1 cytosolic sorting protein [Intracellular trafficking, secretion, and vesicular transport].</t>
  </si>
  <si>
    <t xml:space="preserve"> AgamP4_2R:35775459-35813820(-) </t>
  </si>
  <si>
    <t xml:space="preserve">1 | 365    PALRGKR|DL  0.654 *ProP*  | </t>
  </si>
  <si>
    <t>AGAP006165-RB</t>
  </si>
  <si>
    <t xml:space="preserve">E1A-binding protein p400 </t>
  </si>
  <si>
    <t>E1A-binding protein p400</t>
  </si>
  <si>
    <t>SNF2 family DNA-dependent ATPase - probable fragment - 11 OH-glycosylation sites</t>
  </si>
  <si>
    <t>AGAP006165-PB</t>
  </si>
  <si>
    <t xml:space="preserve"> protein - 11 OH-glycosylation sites -  11 NetOglyc sites</t>
  </si>
  <si>
    <t>PLN03142 1e-087| SNF2_N 2e-083| HepA 7e-077| Helicase_C 1e-027| HELICc 7e-026| DEXDc 6e-025| Mpp10 5e-021| DEXDc 4e-020| MDN1 7e-020| HSA 8e-020|</t>
  </si>
  <si>
    <t>KOG0391, KOG0391, KOG0391, SNF2 family DNA-dependent ATPase [General function prediction only].</t>
  </si>
  <si>
    <t xml:space="preserve"> AgamP4_2L:27445437-27467836(+) </t>
  </si>
  <si>
    <t xml:space="preserve">3 | 792    LDERRKK|AL  0.587 *ProP*  | 1055    ANDRKRR|RT  0.540 *ProP*  | 1058    RKRRRTR|SQ  0.541 *ProP*  | </t>
  </si>
  <si>
    <t>AGAP011242-RA</t>
  </si>
  <si>
    <t xml:space="preserve">E3 ubiquitin ligase SMURF1/2 </t>
  </si>
  <si>
    <t>E3 ubiquitin ligase SMURF1/2</t>
  </si>
  <si>
    <t>E3 ubiquitin-protein ligase SMURF2</t>
  </si>
  <si>
    <t>AGAP011242-PA</t>
  </si>
  <si>
    <t xml:space="preserve"> gnlcdd227354</t>
  </si>
  <si>
    <t>ExpAA=0.10 First60=0.00 PredHel=0 Topology=o</t>
  </si>
  <si>
    <t>cd00078, HECTc, HECT domain; C-terminal catalytic domain of a subclass of Ubiquitin-protein ligase (E3). It binds specific ubiquitin-conjugating enzymes (E2), accepts ubiquitin from E2, transfers ubiquitin to substrate lysine side chains, and transfers additional ubiquitin molecules to the end of growing ubiquitin chains.</t>
  </si>
  <si>
    <t>HECTc e-137| HUL4 e-134| HECTc e-123| HECT e-111| C2_Smurf-like 5e-041| C2 2e-015| C2 4e-013| C2 3e-011| C2_Calpain 4e-010| WW 3e-008|</t>
  </si>
  <si>
    <t>KOG0940, KOG0940, KOG0940, Ubiquitin protein ligase RSP5/NEDD4 [Posttranslational modification, protein turnover, chaperones].</t>
  </si>
  <si>
    <t xml:space="preserve"> AgamP4_3L:19938159-19973849(-) </t>
  </si>
  <si>
    <t xml:space="preserve">3 | 600    HRTRSGR|HA  0.509 *ProP*  | 617    SRDRPPR|PL  0.507 *ProP*  | 1070    VNYRFMR|GI  0.563 *ProP*  | </t>
  </si>
  <si>
    <t>AGAP029568-RB</t>
  </si>
  <si>
    <t>Focal adhesion protein Tensin contains PTB domain - 12 OH-glycosylation sites -  12 NetOglyc sites</t>
  </si>
  <si>
    <t>AGAP029568-PB</t>
  </si>
  <si>
    <t xml:space="preserve"> gnlcdd229869 - 12 OH-glycosylation sites -  12 NetOglyc sites</t>
  </si>
  <si>
    <t>ExpAA=1.63 First60=1.62 PredHel=0 Topology=o</t>
  </si>
  <si>
    <t>cd01213, PTB_tensin, Tensin Phosphotyrosine-binding (PTB) domain. Tensin is a a focal adhesion protein, which contains a C-terminal SH2 domain followed by a PTB domain. PTB domains have a common PH-like fold and are found in various eukaryotic signaling molecules. This domain was initially shown to binds peptides with a NPXY motif with differing requirements for phosphorylation of the tyrosine, although more recent studies have found that some types of PTB domains can bind to peptides lack tyrosine residues altogether. In contrast to SH2 domains, which recognize phosphotyrosine and adjacent carboxy-terminal residues, PTB-domain binding specificity is conferred by residues amino-terminal to the phosphotyrosine. PTB domains are classified into three groups: phosphotyrosine-dependent Shc-like, phosphotyrosine-dependent IRS-like, and phosphotyrosine-independent Dab-like PTB domains. This cd is part of the Dab-like subgroup.</t>
  </si>
  <si>
    <t>PTB_tensin 4e-064| SH2_Tensin_like 1e-049| PTB 1e-028| PTEN_C2 8e-024| PTB 1e-015| SH2 3e-012| SH2 2e-011| PTB 2e-011| PHA03247 5e-007| SH2 1e-006|</t>
  </si>
  <si>
    <t>KOG1930, KOG1930, KOG1930, Focal adhesion protein Tensin, contains PTB domain [Signal transduction mechanisms, Cytoskeleton].</t>
  </si>
  <si>
    <t xml:space="preserve">Signal transduction mechanisms, Cytoskeleton </t>
  </si>
  <si>
    <t>pfam08416, PTB, Phosphotyrosine-binding domain.  The phosphotyrosine-binding domain (PTB, also phosphotyrosine-interaction or PI domain) in the protein tensin tends to be found at the C-terminus. Tensin is a multi-domain protein that binds to actin filaments and functions as a focal-adhesion molecule (focal adhesions are regions of plasma membrane through which cells attach to the extracellular matrix). Human tensin has actin-binding sites, an SH2 (pfam00017) domain and a region similar to the tumor suppressor PTEN. The PTB domain interacts with the cytoplasmic tails of beta integrin by binding to an NPXY motif.</t>
  </si>
  <si>
    <t>smart00462, PTB, Phosphotyrosine-binding domain, phosphotyrosine-interaction (PI) domain.  PTB/PI domain structure similar to those of pleckstrin homology (PH) and IRS-1-like PTB domains.</t>
  </si>
  <si>
    <t xml:space="preserve"> AgamP4_2R:8060888-8140801(-) </t>
  </si>
  <si>
    <t xml:space="preserve">1 | 8    DVSRKAR|YT  0.651 *ProP*  | </t>
  </si>
  <si>
    <t>AGAP004188-RA</t>
  </si>
  <si>
    <t xml:space="preserve">polyhomeotic-like protein 1 </t>
  </si>
  <si>
    <t>D</t>
  </si>
  <si>
    <t>polyhomeotic-like protein 1</t>
  </si>
  <si>
    <t>polyhomeotic-proximal chromatin protein-like isoform X3 - 51 OH-glycosylation sites -  51 NetOglyc sites</t>
  </si>
  <si>
    <t>AGAP004188-PA</t>
  </si>
  <si>
    <t xml:space="preserve"> polyhomeotic-proximal chromatin protein - 51 OH-glycosylation sites -  51 NetOglyc sites</t>
  </si>
  <si>
    <t>ExpAA=0.28 First60=0.00 PredHel=0 Topology=o</t>
  </si>
  <si>
    <t>cd09577, SAM_Ph1,2,3, SAM domain of Ph (polyhomeotic) proteins of Polycomb group.  SAM (sterile alpha motif) domain of Ph (polyhomeotic) proteins of Polycomb group is a protein-protein interaction domain. Ph1,2,3 proteins are members of PRC1 complex. This complex is involved in transcriptional repression of Hox (Homeobox) cluster genes. It is recruited through methylated H3Lys27 and supports the repression state by mediating monoubiquitination of histone H2A. Proteins of the Ph1,2,3 subfamily contribute to anterior-posterior neural tissue specification during embryogenesis. Additionally, the P2 protein of zebrafish is known to be involved in epiboly and tailbud formation. SAM domains of Ph proteins may interact with each other, forming homooligomers, as well as with SAM domains of other proteins, in particular with the SAM domain of Scm (sex comb on midleg) proteins, forming heterooligomers. Homooligomers are similar to the ones formed by SAM Pointed domains of the TEL proteins. Such SAM/SAM oligomers apparently play a role in transcriptional repression through polymerization along the chromosome.</t>
  </si>
  <si>
    <t>SAM_Ph1 3e-029| SAM_Polycomb 6e-025| SAM_Samd7 6e-019| SAM_Scm-like-3MBT3 4e-016| DUF4175 1e-013| PAT1 1e-009| PRK11281 1e-009| COG3264 3e-009| PRK11637 1e-008| tolA 3e-007|</t>
  </si>
  <si>
    <t>pfam13779, DUF4175, Domain of unknown function (DUF4175).</t>
  </si>
  <si>
    <t xml:space="preserve"> AgamP4_2R:51542036-51550960(-) </t>
  </si>
  <si>
    <t>Q(3.63)</t>
  </si>
  <si>
    <t>AGAP010893-RA</t>
  </si>
  <si>
    <t xml:space="preserve">oxysterol-binding protein 1 </t>
  </si>
  <si>
    <t>oxysterol-binding protein 1</t>
  </si>
  <si>
    <t>Oxysterol-binding protein</t>
  </si>
  <si>
    <t>AGAP010893-PA</t>
  </si>
  <si>
    <t xml:space="preserve"> oxysterol-binding protein 2 isoform x1</t>
  </si>
  <si>
    <t>ExpAA=2.73 First60=2.66 PredHel=0 Topology=o</t>
  </si>
  <si>
    <t>pfam01237, Oxysterol_BP, Oxysterol-binding protein.</t>
  </si>
  <si>
    <t>Oxysterol_BP e-111| PH_OSBP_ORP4 2e-033| PH_Osh1p_Osh2p_yeast 7e-012| PH_FAPP1_FAPP2 4e-010| PH_GPBP 4e-009| PH_ORP10_ORP11 4e-006| PH_ORP_plant 4e-006| PH_ORP9 5e-006| PH 6e-006| PH 1e-005|</t>
  </si>
  <si>
    <t>KOG1737, KOG1737, KOG1737, Oxysterol-binding protein [Lipid transport and metabolism].</t>
  </si>
  <si>
    <t xml:space="preserve"> AgamP4_3L:12684029-12704997(+) </t>
  </si>
  <si>
    <t xml:space="preserve">1 | 836    RARRRQR|EA  0.525 *ProP*  | </t>
  </si>
  <si>
    <t>AGAP007163-RB</t>
  </si>
  <si>
    <t xml:space="preserve">3',5'-cyclic-nucleotide phosphodiesterase </t>
  </si>
  <si>
    <t>3',5'-cyclic-nucleotide phosphodiesterase</t>
  </si>
  <si>
    <t>AGAP007163-PB</t>
  </si>
  <si>
    <t xml:space="preserve"> cyclic gmp phosphodiesterase</t>
  </si>
  <si>
    <t>Ichthyophthirius multifiliis</t>
  </si>
  <si>
    <t>PDEase_I 6e-078| HDc 5e-008| PAS 5e-005| HDc 4e-004| PAS_9 0.004| PAS 0.009| PAS_4 0.024| PAS 0.051| Sensor_protein_FixL | PRK08166 |</t>
  </si>
  <si>
    <t>KOG1229, KOG1229, KOG1229, 3'5'-cyclic nucleotide phosphodiesterases [Signal transduction mechanisms].</t>
  </si>
  <si>
    <t xml:space="preserve"> AgamP4_2L:43619548-43627337(-) </t>
  </si>
  <si>
    <t>AGAP009560-RA</t>
  </si>
  <si>
    <t>Guanine nucleotide exchange factor for Ras-like small GTPases</t>
  </si>
  <si>
    <t>AGAP009560-PA</t>
  </si>
  <si>
    <t xml:space="preserve"> sh2 domain-containing protein 3c</t>
  </si>
  <si>
    <t>cd10337, SH2_BCAR3, Src homology 2 (SH2) domain in the Breast Cancer Anti-estrogen Resistance protein 3.  BCAR3 is part of a growing family of guanine nucleotide exchange factors is responsible for activation of Ras-family GTPases, including Sos1 and 2, GRF1 and 2, CalDAG-GEF/GRP1-4, C3G, cAMP-GEF/Epac 1 and 2, PDZ-GEFs, MR-GEF, RalGDS family members, RalGPS, RasGEF, Smg GDS, and phospholipase C(epsilon). 12102558  21262352  BCAR3 binds to the carboxy-terminus of BCAR1/p130Cas, a focal adhesion adapter protein.  Over expression of BCAR1 (p130Cas) and BCAR3 induces estrogen independent growth in normally estrogen-dependent cell lines. They have been linked to resistance to anti-estrogens in breast cancer, Rac activation, and cell motility, though the BCAR3/p130Cas complex is not required for this activity in BCAR3.  Many BCAR3-mediated signaling events in epithelial and mesenchymal cells are independent of p130Cas association. Structurally these proteins contain a single SH2 domain upstream of their RasGEF domain, which is responsible for the ability of BCAR3 to enhance p130Cas over-expression-induced migration. In general SH2 domains are involved in signal transduction. They typically bind pTyr-containing ligands via two surface pockets, a pTyr and hydrophobic binding pocket, allowing proteins with SH2 domains to localize to tyrosine phosphorylated sites.</t>
  </si>
  <si>
    <t>SH2_BCAR3 3e-053| RasGEF 7e-019| RasGEF 2e-017| SH2 2e-015| SH2 6e-015| SH2_Fps_family 2e-014| SH2_SHC 9e-013| SH2 1e-011| SH2_Nterm_shark_like 4e-011| SH2_CRK_like 1e-010|</t>
  </si>
  <si>
    <t>KOG4792, KOG4792, KOG4792, Crk family adapters [Signal transduction mechanisms].</t>
  </si>
  <si>
    <t>pfam00017, SH2, SH2 domain.</t>
  </si>
  <si>
    <t>smart00147, RasGEF, Guanine nucleotide exchange factor for Ras-like small GTPases.</t>
  </si>
  <si>
    <t xml:space="preserve"> AgamP4_3R:36152800-36184254(-) </t>
  </si>
  <si>
    <t xml:space="preserve">2 | 30    TASRRKK|HA  0.568 *ProP*  | 367    SPPRTKR|ET  0.625 *ProP*  | </t>
  </si>
  <si>
    <t>AGAP003643-RA</t>
  </si>
  <si>
    <t xml:space="preserve">ubiquitin carboxyl-terminal hydrolase 34 </t>
  </si>
  <si>
    <t>ubiquitin carboxyl-terminal hydrolase 34</t>
  </si>
  <si>
    <t>ubiquitin carboxyl-terminal hydrolase 34 - 18 OH-glycosylation sites -  18 NetOglyc sites</t>
  </si>
  <si>
    <t>AGAP003643-PA</t>
  </si>
  <si>
    <t xml:space="preserve"> ubiquitin carboxyl-terminal hydrolase 34 isoform x1 - 18 OH-glycosylation sites -  18 NetOglyc sites</t>
  </si>
  <si>
    <t>ExpAA=0.30 First60=0.00 PredHel=0 Topology=o</t>
  </si>
  <si>
    <t>cd02659, peptidase_C19C, A subfamily of Peptidase C19. Peptidase C19 contains ubiquitinyl hydrolases. They are intracellular peptidases that remove ubiquitin molecules from polyubiquinated peptides by cleavage of isopeptide bonds. They hydrolyze bonds involving the carboxyl group of the C-terminal Gly residue of ubiquitin. The purpose of the de-ubiquitination is thought to be editing of the ubiquitin conjugates, which could rescue them from degradation, as well as recycling of the ubiquitin. The ubiquitin/proteasome system is responsible for most protein turnover in the mammalian cell, and with over 50 members, family C19 is one of the largest families of peptidases in the human genome.</t>
  </si>
  <si>
    <t>peptidase_C19C 1e-088| Peptidase_C19L 1e-042| UCH 2e-042| Peptidase_C19 3e-030| Peptidase_C19E 6e-027| COG5077 5e-025| Peptidase_C19D 3e-024| Peptidase_C19H 1e-021| Peptidase_C19K 4e-017| UBP14 2e-016|</t>
  </si>
  <si>
    <t>KOG1866, KOG1866, KOG1866, Ubiquitin carboxyl-terminal hydrolase [Posttranslational modification, protein turnover, chaperones].</t>
  </si>
  <si>
    <t>smart00802, UME, Domain in UVSB PI-3 kinase, MEI-41 and ESR-1. Characteristic domain in UVSP PI-3 kinase, MEI-41 and ESR-1. Found in nucleolar proteins. Associated with FAT, FATC, PI3_PI4_kinase modules.</t>
  </si>
  <si>
    <t xml:space="preserve"> AgamP4_2R:40907220-40922822(+) </t>
  </si>
  <si>
    <t>AGAP002651-RA</t>
  </si>
  <si>
    <t xml:space="preserve">inhibitor of apoptosis 6 </t>
  </si>
  <si>
    <t>IAP6: inhibitor of apoptosis 6</t>
  </si>
  <si>
    <t>Baculoviral IAP repeat-containing protein 6 - 31 OH-glycosylation sites -  31 NetOglyc sites</t>
  </si>
  <si>
    <t>AGAP002651-PA</t>
  </si>
  <si>
    <t xml:space="preserve"> ring e3 ubiquitin transferase - 31 OH-glycosylation sites -  31 NetOglyc sites</t>
  </si>
  <si>
    <t>ExpAA=0.65 First60=0.00 PredHel=0 Topology=o</t>
  </si>
  <si>
    <t>pfam12356, BIRC6, Baculoviral IAP repeat-containing protein 6.  BIRC6 is an anti-apoptotic protein which can regulate cell death by controlling caspases and by acting as an E3 ubiquitin-protein ligase.</t>
  </si>
  <si>
    <t>BIRC6 4e-056| UQ_con 3e-029| UBCc 2e-027| BIR 5e-024| BIR 1e-023| BIR 3e-022| UBCc 7e-022| COG5078 1e-017| PTZ00390 1e-008| PLN00172 1e-006|</t>
  </si>
  <si>
    <t>KOG0895, KOG0895, KOG0895, Ubiquitin-conjugating enzyme [Posttranslational modification, protein turnover, chaperones].</t>
  </si>
  <si>
    <t>smart00238, BIR, Baculoviral inhibition of apoptosis protein repeat.  Domain found in inhibitor of apoptosis proteins (IAPs) and other proteins. Acts as a direct inhibitor of caspase enzymes.</t>
  </si>
  <si>
    <t xml:space="preserve"> AgamP4_2R:25142459-25161648(-) </t>
  </si>
  <si>
    <t>AGAP009511-RB</t>
  </si>
  <si>
    <t xml:space="preserve">E3 ubiquitin-protein ligase HECTD1 </t>
  </si>
  <si>
    <t>E3 ubiquitin-protein ligase HECTD1</t>
  </si>
  <si>
    <t>E3 ubiquitin-protein ligase HECTD1 isoform X4 - 13 OH-glycosylation sites -  13 NetOglyc sites</t>
  </si>
  <si>
    <t>AGAP009511-PB</t>
  </si>
  <si>
    <t xml:space="preserve"> e3 ubiquitin-protein ligase hectd1 isoform x6 - 13 OH-glycosylation sites -  13 NetOglyc sites</t>
  </si>
  <si>
    <t>HECTc 2e-094| HECTc 1e-076| HECT 4e-068| HUL4 4e-038| MIB_HERC2 1e-021| ANK 5e-019| ANK 4e-015| Sad1_UNC 1e-013| Ank_2 4e-012| FhaB 3e-008|</t>
  </si>
  <si>
    <t>KOG0170, KOG0170, KOG0170, E3 ubiquitin protein ligase [Posttranslational modification, protein turnover, chaperones].</t>
  </si>
  <si>
    <t xml:space="preserve"> AgamP4_3R:34991195-35004059(-) </t>
  </si>
  <si>
    <t xml:space="preserve">2 | 380    LAPRVRR|AD  0.553 *ProP*  | 1375    DGARVVR|GV  0.537 *ProP*  | </t>
  </si>
  <si>
    <t>AGAP010981-RA</t>
  </si>
  <si>
    <t>C2H2-type Zn-finger protein - probable fragment</t>
  </si>
  <si>
    <t>AGAP010981-PA</t>
  </si>
  <si>
    <t xml:space="preserve"> zinc finger and btb domain-containing protein 41</t>
  </si>
  <si>
    <t>ZF_C2H2 8e-011| ZF_C2H2 3e-009| retinal_rod 8e-009| Mpp10 3e-008| MDN1 6e-008| zf-AD 2e-007| Activator_LAG-3 5e-007| PAT1 5e-007| CDC45 6e-007| Med3 8e-007|</t>
  </si>
  <si>
    <t>pfam04006, Mpp10, Mpp10 protein.  This family includes proteins related to Mpp10 (M phase phosphoprotein 10). The U3 small nucleolar ribonucleoprotein (snoRNP) is required for three cleavage events that generate the mature 18S rRNA from the pre-rRNA. In Saccharomyces cerevisiae, depletion of Mpp10, a U3 snoRNP-specific protein, halts 18S rRNA production and impairs cleavage at the three U3 snoRNP-dependent sites.</t>
  </si>
  <si>
    <t>smart00868, zf-AD, Zinc-finger associated domain (zf-AD).  The zf-AD domain, also known as ZAD, forms an atypical treble-cleft-like zinc co-ordinating fold. The zf-AD domain is thought to be involved in mediating dimer formation, but does not bind to DNA.</t>
  </si>
  <si>
    <t xml:space="preserve"> AgamP4_3L:14450348-14460384(-) </t>
  </si>
  <si>
    <t xml:space="preserve">4 | 579    SDQPRKR|SV  0.669 *ProP*  | 1441    GEKRPKR|AK  0.608 *ProP*  | 1496    QFRRHKR|VH  0.697 *ProP*  | 1834    PPTRRRR|TG  0.540 *ProP*  | </t>
  </si>
  <si>
    <t>AGAP002458-RA</t>
  </si>
  <si>
    <t>AGAP002458-PA</t>
  </si>
  <si>
    <t xml:space="preserve"> os-arabiensis ox-773 pe-4 sv</t>
  </si>
  <si>
    <t>ExpAA=0.08 First60=0.00 PredHel=0 Topology=o</t>
  </si>
  <si>
    <t>Macoilin | PRK07003 | Joubert | PLN03237 | PAP1 |</t>
  </si>
  <si>
    <t>KOG1989, KOG1989, KOG1989, ARK protein kinase family [Signal transduction mechanisms].</t>
  </si>
  <si>
    <t xml:space="preserve"> AgamP4_2R:21595989-21598094(-) </t>
  </si>
  <si>
    <t>AGAP000577-RD</t>
  </si>
  <si>
    <t xml:space="preserve">AMP deaminase </t>
  </si>
  <si>
    <t>AMP deaminase</t>
  </si>
  <si>
    <t>Adenosine monophosphate deaminase</t>
  </si>
  <si>
    <t>AGAP000577-PD</t>
  </si>
  <si>
    <t xml:space="preserve"> adenosine monophosphate deaminase</t>
  </si>
  <si>
    <t>ExpAA=0.71 First60=0.00 PredHel=0 Topology=o</t>
  </si>
  <si>
    <t>Theileria orientalis strain Shintoku</t>
  </si>
  <si>
    <t>cd01319, AMPD, AMP deaminase (AMPD) catalyzes the hydrolytic deamination of adensosine monophosphate (AMP) at position 6 of the adenine nucleotide ring. AMPD is a diverse and highly regulated eukaryotic key enzyme of the adenylate catabolic pathway.</t>
  </si>
  <si>
    <t>AMPD | AMP_deaminase_3 | PLN03055 | PLN02768 | PTZ00310 e-165| A_deaminase 1e-083| Add 2e-067| ADA_AMPD 6e-060| PRK09358 5e-013| ADA 2e-011|</t>
  </si>
  <si>
    <t>KOG1096, KOG1096, KOG1096, Adenosine monophosphate deaminase [Nucleotide transport and metabolism].</t>
  </si>
  <si>
    <t>pfam00962, A_deaminase, Adenosine/AMP deaminase.</t>
  </si>
  <si>
    <t>smart00153, VHP, Villin headpiece domain.</t>
  </si>
  <si>
    <t xml:space="preserve"> AgamP4_X:10149615-10156281(-) </t>
  </si>
  <si>
    <t>AGAP009278.R784</t>
  </si>
  <si>
    <t xml:space="preserve">phosphorylase kinase alpha/beta subunit </t>
  </si>
  <si>
    <t>phosphorylase kinase alpha/beta subunit</t>
  </si>
  <si>
    <t>Phosphorylase kinase</t>
  </si>
  <si>
    <t>AGAP009278-PA</t>
  </si>
  <si>
    <t xml:space="preserve"> phosphorylase b kinase regulatory subunit beta isoform x1</t>
  </si>
  <si>
    <t>ExpAA=18.81 First60=0.00 PredHel=0 Topology=o</t>
  </si>
  <si>
    <t>pfam00723, Glyco_hydro_15, Glycosyl hydrolases family 15.  In higher organisms this family is represented by phosphorylase kinase subunits.</t>
  </si>
  <si>
    <t>Glyco_hydro_15 4e-050| 2A5CPDO_B | Beta-lactamase | PLN02265 | PRK06209 | FANC | PHP_HisPPase_Hisj_like | PRK09752 | RAMP_I_III | DnaX |</t>
  </si>
  <si>
    <t>KOG3635, KOG3635, KOG3635, Phosphorylase kinase [Carbohydrate transport and metabolism].</t>
  </si>
  <si>
    <t>smart00813, Alpha-L-AF_C, Alpha-L-arabinofuranosidase C-terminus. This entry represents the C terminus (approximately 200 residues) of bacterial and eukaryotic alpha-L-arabinofuranosidase. This catalyses the hydrolysis of non-reducing terminal alpha-L-arabinofuranosidic linkages in L-arabinose-containing polysaccharides.</t>
  </si>
  <si>
    <t xml:space="preserve"> AgamP4_3R:30568591-30575667(-) </t>
  </si>
  <si>
    <t>AGAP009278-RA</t>
  </si>
  <si>
    <t xml:space="preserve">1 | 532    LTGRPPR|PV  0.552 *ProP*  | </t>
  </si>
  <si>
    <t>AGAP009662-RA</t>
  </si>
  <si>
    <t>C2H2-type Zn-finger protein - probable fragment - 31 OH-glycosylation sites -  31 NetOglyc sites</t>
  </si>
  <si>
    <t>AGAP009662-PA</t>
  </si>
  <si>
    <t xml:space="preserve"> zinc finger protein 1 - 31 OH-glycosylation sites -  31 NetOglyc sites</t>
  </si>
  <si>
    <t>Toxoplasma gondii ME49</t>
  </si>
  <si>
    <t>ZF_C2H2 4e-031| ZF_C2H2 6e-017| PAT1 8e-007| zf-H2C2_2 8e-005| PRK10263 9e-005| ZF_C2H2 1e-004| SFP1 8e-004| retinal_rod 0.001| Amelogenin 0.001| COG5048 0.002|</t>
  </si>
  <si>
    <t xml:space="preserve"> AgamP4_3R:37749296-37752319(+) </t>
  </si>
  <si>
    <t>AGAP011770-RA</t>
  </si>
  <si>
    <t xml:space="preserve">low density lipoprotein receptor-related protein </t>
  </si>
  <si>
    <t>low density lipoprotein receptor-related protein</t>
  </si>
  <si>
    <t>Low-density lipoprotein receptors containing Ca2+-binding EGF-like - 12 OH-glycosylation sites -  12 NetOglyc sites - 2 predicted membrane helices</t>
  </si>
  <si>
    <t>AGAP011770-PA</t>
  </si>
  <si>
    <t xml:space="preserve"> low-density lipoprotein receptor-related protein 6 - 12 OH-glycosylation sites -  12 NetOglyc sites - 2 predicted membrane helices</t>
  </si>
  <si>
    <t>storage/ membrane</t>
  </si>
  <si>
    <t>ExpAA=61.64 First60=21.72 PredHel=2 Topology=i31-53o1579-1598i</t>
  </si>
  <si>
    <t>cd00112, LDLa, Low Density Lipoprotein Receptor Class A domain, a cysteine-rich repeat that plays a central role in mammalian cholesterol metabolism; the receptor protein binds LDL and transports it into cells by endocytosis; 7 successive cysteine-rich repeats of about 40 amino acids are present in the N-terminal of this multidomain membrane protein; other homologous domains occur in related receptors, including the very low-density lipoprotein receptor and the LDL receptor-related protein/alpha 2-macroglobulin receptor, and in proteins which are functionally unrelated, such as the C9 component of complement; the binding of calcium is required for in vitro formation of the native disulfide isomer and is necessary in establishing and maintaining the modular structure.</t>
  </si>
  <si>
    <t>LDLa 4e-010| LY 7e-010| FXa_inhibition 6e-009| Ldl_recept_a 2e-008| LDLa 2e-007| Ldl_recept_b 6e-006| PHA03307 6e-005| NHL_like_5 7e-005| NHL 5e-004| Dsh_C 0.002|</t>
  </si>
  <si>
    <t>KOG1215, KOG1215, KOG1215, Low-density lipoprotein receptors containing Ca2+-binding EGF-like domains [Signal transduction mechanisms].</t>
  </si>
  <si>
    <t>pfam14670, FXa_inhibition, Coagulation Factor Xa inhibitory site. This short domain on coagulation enzyme factor Xa is found to be the target for a potent inhibitor of coagulation, TAK-442.</t>
  </si>
  <si>
    <t>smart00135, LY, Low-density lipoprotein-receptor YWTD domain.  Type "B" repeats in low-density lipoprotein (LDL) receptor that plays a central role in mammalian cholesterol metabolism. Also present in a variety of molecules similar to gp300/megalin.</t>
  </si>
  <si>
    <t xml:space="preserve"> AgamP4_3L:33079221-33110437(-) </t>
  </si>
  <si>
    <t xml:space="preserve">1 | 1743    KSNRSQR|GG  0.698 *ProP*  | </t>
  </si>
  <si>
    <t>AGAP005711-RA</t>
  </si>
  <si>
    <t xml:space="preserve">clock </t>
  </si>
  <si>
    <t>CLK: clock</t>
  </si>
  <si>
    <t>Aryl-hydrocarbon receptor nuclear translocator</t>
  </si>
  <si>
    <t>AGAP005711-PA</t>
  </si>
  <si>
    <t xml:space="preserve"> histone acetyltransferase</t>
  </si>
  <si>
    <t>pfam08447, PAS_3, PAS fold.  The PAS fold corresponds to the structural domain that has previously been defined as PAS and PAC motifs. The PAS fold appears in archaea, eubacteria and eukarya.</t>
  </si>
  <si>
    <t>PAS_3 8e-016| PAT1 1e-014| PAS_11 3e-014| PAS 7e-013| PRK10263 1e-011| DUF1421 9e-009| PRK03427 8e-008| DUF4175 3e-007| EIF4E-T 5e-007| Activator_LAG-3 7e-007|</t>
  </si>
  <si>
    <t>KOG3561, KOG3561, KOG3561, Aryl-hydrocarbon receptor nuclear translocator [Transcription].</t>
  </si>
  <si>
    <t>smart00091, PAS, PAS domain.  PAS motifs appear in archaea, eubacteria and eukarya. Probably the most surprising identification of a PAS domain was that in EAG-like K+-channels.</t>
  </si>
  <si>
    <t xml:space="preserve"> AgamP4_2L:19271916-19275432(+) </t>
  </si>
  <si>
    <t>Q(3.52)</t>
  </si>
  <si>
    <t>AGAP029474-RB</t>
  </si>
  <si>
    <t>mediator of RNA polymerase II transcription subunit 24 - 30 OH-glycosylation sites -  30 NetOglyc sites</t>
  </si>
  <si>
    <t>AGAP029474-PB</t>
  </si>
  <si>
    <t xml:space="preserve"> leucine repeat adapter protein - 30 OH-glycosylation sites -  30 NetOglyc sites</t>
  </si>
  <si>
    <t>PAT1 8e-007| LURAP 2e-006| SelP_N 3e-004| PRK10019 0.002| PHA03420 0.005| GREB1 0.008| ROM1 0.012| BAF1_ABF1 0.017| Macoilin 0.019| PHA03307 0.041|</t>
  </si>
  <si>
    <t>KOG1883, KOG1883, KOG1883, Cofactor required for Sp1 transcriptional activation, subunit 3 [Transcription].</t>
  </si>
  <si>
    <t xml:space="preserve"> AgamP4_3R:6581449-6627065(+) </t>
  </si>
  <si>
    <t>AGAP003283-RA</t>
  </si>
  <si>
    <t xml:space="preserve">atrial natriuretic peptide receptor A </t>
  </si>
  <si>
    <t>atrial natriuretic peptide receptor A</t>
  </si>
  <si>
    <t>Ligand binding domain of natriuretic peptide receptor - signalP detected</t>
  </si>
  <si>
    <t>st/secreted Ligand</t>
  </si>
  <si>
    <t>AGAP003283-PA</t>
  </si>
  <si>
    <t xml:space="preserve"> rgc/rgc protein kinase - signalP detected</t>
  </si>
  <si>
    <t xml:space="preserve">st/secreted </t>
  </si>
  <si>
    <t xml:space="preserve"> 28-29</t>
  </si>
  <si>
    <t>ExpAA=17.86 First60=13.57 PredHel=0 Topology=o</t>
  </si>
  <si>
    <t>cd06373, PBP1_NPR_like, Ligand binding domain of natriuretic peptide receptor (NPR) family.  Ligand binding domain of natriuretic peptide receptor (NPR) family which consists of three different subtypes: type A natriuretic peptide receptor (NPR-A, or GC-A), type B natriuretic peptide receptors (NPR-B, or GC-B), and type C natriuretic peptide receptor (NPR-C). There are three types of natriuretic peptide (NP) ligands specific to the receptors: atrial NP (ANP), brain or B-type NP (BNP), and C-type NP (CNP). The NP family is thought to have arisen through gene duplication during evolution and plays an essential role in cardiovascular and body fluid homeostasis. ANP and BNP bind mainly to NPR-A, while CNP binds specifically to NPR-B. Both NPR-A and NPR-B have guanylyl cyclase catalytic activity and produces intracellular secondary messenger cGMP in response to peptide-ligand binding. Consequently, the NPR-A activation results in vasodilation and inhibition of vascular smooth muscle cell proliferation. NPR-C acts as the receptor for all the three members of NP family, and functions as a clearance receptor. Unlike NPR-A and -B, NPR-C lacks an intracellular guanylyl cyclase domain and is thought to exert biological actions by sequestration of released natriuretic peptides and/or inhibition of adenylyl cyclase.</t>
  </si>
  <si>
    <t>PBP1_NPR_like e-140| PK_GC-A_B e-123| PBP1_NPR_GC_like e-103| PK_GC 2e-078| CYCc 9e-076| Guanylate_cyc 9e-075| PBP1_NPR_A 3e-063| PK_GC-2D 1e-060| PBP1_NPR_C_like 4e-060| CHD 1e-058|</t>
  </si>
  <si>
    <t>KOG1023, KOG1023, KOG1023, Natriuretic peptide receptor, guanylate cyclase [Signal transduction mechanisms].</t>
  </si>
  <si>
    <t>pfam00211, Guanylate_cyc, Adenylate and Guanylate cyclase catalytic domain.</t>
  </si>
  <si>
    <t xml:space="preserve"> AgamP4_2R:34877570-34916668(-) </t>
  </si>
  <si>
    <t xml:space="preserve">1 | 153    SKNRDIR|IL  0.504 *ProP*  | </t>
  </si>
  <si>
    <t>AGAP009798-RA</t>
  </si>
  <si>
    <t xml:space="preserve">protein kinase, cGMP-dependent </t>
  </si>
  <si>
    <t>protein kinase, cGMP-dependent</t>
  </si>
  <si>
    <t>Catalytic domain of the Serine/Threonine Kinase - 11 OH-glycosylation sites -  11 NetOglyc sites</t>
  </si>
  <si>
    <t>AGAP009798-PA</t>
  </si>
  <si>
    <t xml:space="preserve"> agc protein kinase - 11 OH-glycosylation sites -  11 NetOglyc sites</t>
  </si>
  <si>
    <t>ExpAA=0.13 First60=0.00 PredHel=0 Topology=o</t>
  </si>
  <si>
    <t>cd05572, STKc_cGK, Catalytic domain of the Serine/Threonine Kinase, cGMP-dependent protein kinase (cGK or PKG).  STKs catalyze the transfer of the gamma-phosphoryl group from ATP to serine/threonine residues on protein substrates. Mammals have two cGK isoforms from different genes, cGKI and cGKII. cGKI exists as two splice variants, cGKI-alpha and cGKI-beta. cGK consists of an N-terminal regulatory domain containing a dimerization and an autoinhibitory pseudosubstrate region, two cGMP-binding domains, and a C-terminal catalytic domain. Binding of cGMP to both binding sites releases the inhibition of the catalytic center by the pseudosubstrate region, allowing autophosphorylation and activation of the kinase. cGKI is a  soluble protein expressed in all smooth muscles, platelets, cerebellum, and kidney. It is also expressed at lower concentrations in other tissues. cGKII is a membrane-bound protein that is most abundantly expressed in the intestine. It is also present in the brain nuclei, adrenal cortex, kidney, lung, and prostate. cGKI is involved in the regulation of smooth muscle tone, smooth cell proliferation, and platelet activation. cGKII plays a role in the regulation of secretion, such as renin secretion by the kidney and aldosterone secretion by the adrenal. It also regulates bone growth and the circadian rhythm. The cGK subfamily is part of a larger superfamily that includes the catalytic domains of other STKs, protein tyrosine kinases, RIO kinases, aminoglycoside phosphotransferase, choline kinase, and phosphoinositide 3-kinase.</t>
  </si>
  <si>
    <t>STKc_cGK e-127| STKc_PKA_like e-101| STKc_AGC 2e-091| STKc_PRKX_like 2e-084| STKc_PKA 1e-082| PTZ00263 4e-082| S_TKc 1e-075| Pkinase 1e-074| STKc_PKC 7e-073| STKc_MAST_like 2e-071|</t>
  </si>
  <si>
    <t>KOG0614, KOG0614, KOG0614, cGMP-dependent protein kinase [Signal transduction mechanisms].</t>
  </si>
  <si>
    <t xml:space="preserve"> AgamP4_3R:43564933-43572961(-) </t>
  </si>
  <si>
    <t>AGAP000090-RA</t>
  </si>
  <si>
    <t xml:space="preserve">adenylate cyclase </t>
  </si>
  <si>
    <t>adenylate cyclase</t>
  </si>
  <si>
    <t>Adenylyl- / guanylyl cyclase - 10 predicted membrane helices</t>
  </si>
  <si>
    <t>AGAP000090-PA</t>
  </si>
  <si>
    <t xml:space="preserve"> adenylate cyclase type 9 isoform x1 - 10 predicted membrane helices</t>
  </si>
  <si>
    <t>ExpAA=256.66 First60=0.00 PredHel=9 Topology=i98-116o121-143i156-175o185-207i289-311o1199-1221i1226-1245o1280-1302i1315-1337o</t>
  </si>
  <si>
    <t>Guanylate_cyc 2e-058| CYCc 1e-057| CHD 3e-047| Nucleotidyl_cyc_III 7e-034| CyaA 5e-023| PHA03307 0.001| Sporozoite_P67 0.002| DUF63 0.015| 7TMR-DISM_7TM 0.023| DUF3413 0.040|</t>
  </si>
  <si>
    <t>KOG3618, KOG3618, KOG3618, Adenylyl cyclase [General function prediction only].</t>
  </si>
  <si>
    <t xml:space="preserve"> AgamP4_X:1516817-1527203(+) </t>
  </si>
  <si>
    <t xml:space="preserve">1 | 1022    IRSNSRR|SS  0.608 *ProP*  | </t>
  </si>
  <si>
    <t>AGAP029051-RG</t>
  </si>
  <si>
    <t>Ca2+-binding actin-bundling protein (spectrin) alpha chain (EF-Hand protein superfamily) - 18 OH-glycosylation sites -  18 NetOglyc sites</t>
  </si>
  <si>
    <t>AGAP029051-PG</t>
  </si>
  <si>
    <t xml:space="preserve"> microtubule-actin cross-linking factor 1-like protein - 18 OH-glycosylation sites -  18 NetOglyc sites</t>
  </si>
  <si>
    <t>ExpAA=0.07 First60=0.04 PredHel=0 Topology=o</t>
  </si>
  <si>
    <t>GAS2 3e-034| GAS2 4e-034| SPEC 1e-029| Smc 3e-013| SPEC 8e-013| Spectrin 2e-012| Chromosome_partition_protein_Smc 6e-012| SbcC 8e-010| PHA03307 9e-009| PRK02224 5e-007|</t>
  </si>
  <si>
    <t xml:space="preserve"> AgamP4_3L:23602431-23643434(-) </t>
  </si>
  <si>
    <t>AGAP001765-RA</t>
  </si>
  <si>
    <t xml:space="preserve">golgin subfamily A member 1 </t>
  </si>
  <si>
    <t>golgin subfamily A member 1</t>
  </si>
  <si>
    <t>AGAP001765-PA</t>
  </si>
  <si>
    <t xml:space="preserve"> tra0as4gdk9a0as4gdk9 anoga golgin subfamily protein a member os-ox-76 pe-4 sv</t>
  </si>
  <si>
    <t>Smc 1e-011| Chromosome_partition_protein_Smc 4e-011| chromosome_segregation_protein_related...    66   5e-011 5e-011| Grip 4e-010| PRK02224 4e-008| SbcC 9e-007| mukB 5e-006| PRK03918 3e-005| Nuclease_SbcCD_subunit_C 4e-004| CALCOCO1 6e-004|</t>
  </si>
  <si>
    <t>KOG0992, KOG0992, KOG0992, Uncharacterized conserved protein [Function unknown].</t>
  </si>
  <si>
    <t>pfam01465, GRIP, GRIP domain.  The GRIP (golgin-97, RanBP2alpha,Imh1p and p230/golgin-245) domain is found in many large coiled-coil proteins. It has been shown to be sufficient for targeting to the Golgi. The GRIP domain contains a completely conserved tyrosine residue. At least some of these domains have been shown to bind to GTPase Arl1, see structures in.</t>
  </si>
  <si>
    <t xml:space="preserve">smart00755, Grip, golgin-97, RanBP2alpha,Imh1p and p230/golgin-245. </t>
  </si>
  <si>
    <t xml:space="preserve"> AgamP4_2R:9532423-9535697(-) </t>
  </si>
  <si>
    <t>AGAP003726-RA</t>
  </si>
  <si>
    <t xml:space="preserve">BZIP domain-containing protein [Source:UniProtKB/TrEMBL;Acc:A0A1S4GJ06] </t>
  </si>
  <si>
    <t>CREB3 regulatory factor - probable fragment</t>
  </si>
  <si>
    <t>AGAP003726-PA</t>
  </si>
  <si>
    <t xml:space="preserve"> protein crebrf</t>
  </si>
  <si>
    <t>ExpAA=0.01 First60=0.01 PredHel=0 Topology=o</t>
  </si>
  <si>
    <t>cd14809, bZIP_AUREO-like, Basic leucine zipper (bZIP) domain of blue light (BL) receptor aureochrome (AUREO) and similar bZIP domains.  AUREO is a BL-activated transcription factor specific to phototrophic stramenopiles. It has a bZIP and a BL-sensing light-oxygen voltage (LOV) domain. It has been shown to mediate BL-induced branching and regulate the development of the sex organ in Vaucheria frigida.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 This subgroup also includes the Epstein-Barr virus (EBV) immediate-early transcription factor ZEBRA (BZLF1, Zta, Z, EB1). ZEBRA exhibits a variant of the bZIP fold, it has a unique dimer interface and a substantial hydrophobic pocket; it has a C-terminal moiety which stabilizes the coiled coil involved in dimer formation. ZEBRA functions to trigger the switch of EBV's biphasic infection cycle from latent to lytic infection. It activates the promoters of EBV lytic genes by binding ZEBRA response elements (ZREs) and inducing a cascade of expression of over 50 viral genes. It also down regulates latency-associated promoters, is an essential replication factor, induces host cell cycle arrest, and alters cellular immune responses and transcription factor activity.</t>
  </si>
  <si>
    <t>bZIP_AUREO-like 2e-009| bZIP 4e-005| BRLZ 4e-005| bZIP_CREB1 0.001| bZIP_ATF4 0.007| NOA36 0.014| bZIP_1 0.038| bZIP_2 0.046| bZIP_Fos_like 0.073| bZIP_Zip1 |</t>
  </si>
  <si>
    <t>KOG2357, KOG2357, KOG2357, Uncharacterized conserved protein [Function unknown].</t>
  </si>
  <si>
    <t>pfam06524, NOA36, NOA36 protein.  This family consists of several NOA36 proteins which contain 29 highly conserved cysteine residues. The function of this protein is unknown.</t>
  </si>
  <si>
    <t>AGAP003997-RA</t>
  </si>
  <si>
    <t xml:space="preserve">casein kinase 1, gamma </t>
  </si>
  <si>
    <t>casein kinase 1, gamma</t>
  </si>
  <si>
    <t>Catalytic domain of the Serine/Threonine protein kinase</t>
  </si>
  <si>
    <t>AGAP003997-PA</t>
  </si>
  <si>
    <t xml:space="preserve"> ck1/ck1/ck1-g protein kinase</t>
  </si>
  <si>
    <t>ExpAA=0.64 First60=0.64 PredHel=0 Topology=o</t>
  </si>
  <si>
    <t>cd14126, STKc_CK1_gamma, Catalytic domain of the Serine/Threonine protein kinase, Casein Kinase 1 gamma.  STKs catalyze the transfer of the gamma-phosphoryl group from ATP to serine/threonine residues on protein substrates. CK1 phosphorylates a variety of substrates including enzymes, transcription and splice factors, cytoskeletal proteins, viral oncogenes, receptors, and membrane-associated proteins. There are mutliple isoforms of CK1 and in mammals, seven isoforms (alpha, beta, gamma1-3, delta, and epsilon) have been characterized. These isoforms differ mainly in the length and structure of their C-terminal non-catalytic region. CK1gamma proteins are unique within the CK1 subfamily in that they are palmitoylated at the C-termini and are anchored to the plasma membrane. CK1gamma is involved in transducing the signaling of LDL-receptor-related protein 6 (LRP6) through direct phosphorylation following Wnt stimulation, resulting in the recruitment of the scaffold protein Axin. In Xenopus embryos, CK1gamma is required during anterio-posterior patterning. In higher vertebrates, three CK1gamma (gamma1-3) isoforms exist. In mammalian cells, CK1gamma2 has been implicated in regulating the synthesis of sphingomyelin, a phospholipid that is found in the outer leaflet of the plasma membrane, by hyperphosphorylating and inactivating the ceramide transfer protein CERT. CK1gamma2 also phosphorylates the transcription factor Smad-3 resulting in its ubiquitination and degradation. It inhibits Smad-3 mediated responses of Transforming Growth Factor-beta (TGF-beta) including cell growth arrest. The CK1 gamma subfamily is part of a larger superfamily that includes the catalytic domains of other protein STKs, protein tyrosine kinases, RIO kinases, aminoglycoside phosphotransferase, choline kinase, and phosphoinositide 3-kinase.</t>
  </si>
  <si>
    <t>STKc_CK1_gamma e-177| STKc_CK1 e-128| STKc_CK1_delta_epsilon e-119| STKc_CK1_fungal e-108| STKc_CK1_alpha 4e-096| STKc_TTBK 7e-056| STKc_VRK 3e-038| STKc_TTBK1 2e-035| STKc_TTBK2 7e-034| SPS1 3e-032|</t>
  </si>
  <si>
    <t>KOG1165, KOG1165, KOG1165, Casein kinase (serine/threonine/tyrosine protein kinase) [Signal transduction mechanisms].</t>
  </si>
  <si>
    <t>pfam12605, CK1gamma_C, Casein kinase 1 gamma C terminal.  This domain family is found in eukaryotes, and is typically between 54 and 99 amino acids in length. The family is found in association with pfam00069. CK1gamma is a membrane-bound member of the CK1 family. Gain-of-function and loss-of-function experiments show that CK1gamma is both necessary and sufficient to transduce LRP6 signalling in vertebrates and Drosophila cells.</t>
  </si>
  <si>
    <t xml:space="preserve"> AgamP4_2R:47693321-47730436(+) </t>
  </si>
  <si>
    <t>AGAP007181-RA</t>
  </si>
  <si>
    <t xml:space="preserve">supervillin </t>
  </si>
  <si>
    <t>supervillin</t>
  </si>
  <si>
    <t>Actin regulatory protein supervillin (gelsolin/villin family) - probable fragment</t>
  </si>
  <si>
    <t>AGAP007181-PA</t>
  </si>
  <si>
    <t xml:space="preserve"> actin regulatory protein supervillin gelsolin/villin family</t>
  </si>
  <si>
    <t>cd11289, gelsolin_S2_like, Gelsolin sub-domain 2-like domain found in gelsolin, severin, villin, and related proteins. Gelsolin repeats occur in gelsolin, severin, villin, advillin, villidin, supervillin, flightless, quail, fragmin, and other proteins, usually in several copies. They co-occur with villin headpiece domains, leucine-rich repeats, and several other domains. These gelsolin-related actin binding proteins (GRABPs) play regulatory roles in the assembly and disassembly of actin filaments; they are involved in F-actin capping, uncapping, severing, or the nucleation of actin filaments. Severing of actin filaments is Ca2+ dependent. Villins are also linked to generating bundles of F-actin with uniform filament polarity, which is most likely mediated by their extra villin headpiece domain. Many family members have also adopted functions in the nucleus, including the regulation of transcription. Supervillin, gelsolin, and flightless I are involved in intracellular signaling via nuclear hormone receptors. The gelsolin-like domain is distantly related to the actin depolymerizing domains found in cofilin and similar proteins.</t>
  </si>
  <si>
    <t>gelsolin_S2_like 2e-017| GEL 2e-006| gelsolin_like 2e-006| gelsolin_S3_like 9e-006| gelsolin_S5_like 0.002| gelsolin_S6_like 0.060| PAT1 0.081| Lamp | DAZAP2 | DUF1421 |</t>
  </si>
  <si>
    <t>KOG0445, KOG0445, KOG0445, Actin regulatory protein supervillin (gelsolin/villin family) [Cytoskeleton].</t>
  </si>
  <si>
    <t xml:space="preserve"> AgamP4_2L:44063407-44070813(-) </t>
  </si>
  <si>
    <t xml:space="preserve">3 | 497    TVGRQAR|DF  0.508 *ProP*  | 671    VPGRVRR|GW  0.572 *ProP*  | 694    GAVRARR|TV  0.699 *ProP*  | </t>
  </si>
  <si>
    <t>AGAP002161-RA</t>
  </si>
  <si>
    <t xml:space="preserve">RAC serine/threonine-protein kinase </t>
  </si>
  <si>
    <t>RAC serine/threonine-protein kinase</t>
  </si>
  <si>
    <t>Serine/threonine protein kinase - probable fragment</t>
  </si>
  <si>
    <t>AGAP002161-PA</t>
  </si>
  <si>
    <t xml:space="preserve"> agc/akt protein kinase</t>
  </si>
  <si>
    <t>ExpAA=0.37 First60=0.24 PredHel=0 Topology=o</t>
  </si>
  <si>
    <t>cd05571, STKc_PKB, Catalytic domain of the Serine/Threonine Kinase, Protein Kinase B.  STKs catalyze the transfer of the gamma-phosphoryl group from ATP to serine/threonine residues on protein substrates. There are three PKB isoforms from different genes, PKB-alpha (or Akt1), PKB-beta (or Akt2), and PKB-gamma (or Akt3). PKB contains an N-terminal pleckstrin homology (PH) domain and a C-terminal catalytic domain. It is activated downstream of phosphoinositide 3-kinase (PI3K) and plays important roles in diverse cellular functions including cell survival, growth, proliferation, angiogenesis, motility, and migration. PKB also has a central role in a variety of human cancers, having been implicated in tumor initiation, progression, and metastasis. The PKB subfamily is part of a larger superfamily that includes the catalytic domains of other STKs, protein tyrosine kinases, RIO kinases, aminoglycoside phosphotransferase, choline kinase, and PI3K.</t>
  </si>
  <si>
    <t>STKc_PKB | STKc_PKB_beta e-153| STKc_PKB_alpha e-149| STKc_PKB_gamma e-147| STKc_PKC e-141| STKc_SGK e-132| STKc_AGC e-121| STKc_PKN e-115| STKc_nPKC_theta_like e-114| STKc_cPKC e-113|</t>
  </si>
  <si>
    <t>KOG0690, KOG0690, KOG0690, Serine/threonine protein kinase [Signal transduction mechanisms].</t>
  </si>
  <si>
    <t xml:space="preserve"> AgamP4_2R:16629863-16635038(+) </t>
  </si>
  <si>
    <t>AGAP005563-RB</t>
  </si>
  <si>
    <t xml:space="preserve">facilitated trehalose transporter Tret1 </t>
  </si>
  <si>
    <t>Tret1: facilitated trehalose transporter Tret1</t>
  </si>
  <si>
    <t>MFS transporter - 12 predicted membrane helices</t>
  </si>
  <si>
    <t>AGAP005563-PB</t>
  </si>
  <si>
    <t>ExpAA=241.89 First60=0.29 PredHel=12 Topology=i340-362o392-414i421-443o448-465i477-496o501-523i588-610o625-644i651-673o683-705i718-738o753-772i</t>
  </si>
  <si>
    <t>Sugar_tr 2e-085| Membrane_transporter 2e-081| xylE 6e-062| organic_anion_transporter 5e-023| MFS_1 6e-021| MFS 2e-020| Putative_metabolite_transport_protein 2e-016| transport_protein 2e-014| ProP 9e-010| Probable_glucarate_transporter 8e-009|</t>
  </si>
  <si>
    <t>smart00935, OmpH, Outer membrane protein (OmpH-like).  This family includes outer membrane proteins such as OmpH among others. Skp (OmpH) has been characterized as a molecular chaperone that interacts with unfolded proteins as they emerge in the periplasm from the Sec translocation machinery.</t>
  </si>
  <si>
    <t xml:space="preserve"> AgamP4_2L:17067212-17080334(+) </t>
  </si>
  <si>
    <t xml:space="preserve">1 | 793    MMGRVRR|MS  0.637 *ProP*  | </t>
  </si>
  <si>
    <t>AGAP006652-RA</t>
  </si>
  <si>
    <t xml:space="preserve">ubiquitin carboxyl-terminal hydrolase 10 </t>
  </si>
  <si>
    <t>ubiquitin carboxyl-terminal hydrolase 10</t>
  </si>
  <si>
    <t>Ubiquitin-specific protease - 33 OH-glycosylation sites -  33 NetOglyc sites</t>
  </si>
  <si>
    <t>AGAP006652-PA</t>
  </si>
  <si>
    <t xml:space="preserve"> ubiquitin carboxyl-terminal hydrolase 10 - 33 OH-glycosylation sites -  33 NetOglyc sites</t>
  </si>
  <si>
    <t>UCH 7e-049| Peptidase_C19E 4e-040| Peptidase_C19 1e-039| Peptidase_C19G 3e-028| peptidase_C19C 6e-024| Peptidase_C19D 9e-024| Peptidase_C19R 9e-023| UBP5 7e-019| Peptidase_C19O 1e-016| DUF4175 1e-010|</t>
  </si>
  <si>
    <t>KOG1871, KOG1871, KOG1871, Ubiquitin-specific protease [Posttranslational modification, protein turnover, chaperones].</t>
  </si>
  <si>
    <t>smart00869, Autotransporter, Autotransporter beta-domain.  Secretion of protein products occurs by a number of different pathways in bacteria. One of these pathways known as the type IV pathway was first described for the IgA1 protease. The protein component that mediates secretion through the outer membrane is contained within the secreted protein itself, hence the proteins secreted in this way are called autotransporters. This family corresponds to the presumed integral membrane beta-barrel domain that transports the protein. This domain is found at the C-terminus of the proteins it occurs in. The N-terminus contains the variable passenger domain that is translocated across the membrane. Once the passenger domain is exported it is cleaved auto-catalytically in some proteins, in others a different peptidase is used and in some cases no cleavage occurs.</t>
  </si>
  <si>
    <t xml:space="preserve"> AgamP4_2L:35685960-35693306(+) </t>
  </si>
  <si>
    <t>AGAP011253-RA</t>
  </si>
  <si>
    <t>Transcription factor tinman/NKX2-3 contains HOX domain</t>
  </si>
  <si>
    <t>AGAP011253-PA</t>
  </si>
  <si>
    <t xml:space="preserve"> transcription factor tinman/nkx2-3</t>
  </si>
  <si>
    <t>Heterostelium album PN500</t>
  </si>
  <si>
    <t>cd00086, homeodomain, Homeodomain;  DNA binding domains involved in the transcriptional regulation of key eukaryotic developmental processes; may bind to DNA as monomers or as homo- and/or heterodimers, in a sequence-specific manner.</t>
  </si>
  <si>
    <t>homeodomain 2e-018| HOX 3e-018| Homeobox 4e-018| COG5576 3e-007| PAT1 | BAF1_ABF1 | SelP_N | UPF0560 | GREB1 | Activator_LAG-3 |</t>
  </si>
  <si>
    <t>KOG0842, KOG0842, KOG0842, Transcription factor tinman/NKX2-3, contains HOX domain [Transcription].</t>
  </si>
  <si>
    <t xml:space="preserve"> AgamP4_3L:20083218-20096895(-) </t>
  </si>
  <si>
    <t xml:space="preserve">1 | 343    HKKRKRR|IL  0.599 *ProP*  | </t>
  </si>
  <si>
    <t>AGAP004244-RA</t>
  </si>
  <si>
    <t xml:space="preserve">Rolling pebbles </t>
  </si>
  <si>
    <t>Rolling pebbles</t>
  </si>
  <si>
    <t>AGAP004244-PA</t>
  </si>
  <si>
    <t>protein tanc2-like isoform x1</t>
  </si>
  <si>
    <t>ExpAA=2.81 First60=0.00 PredHel=0 Topology=o</t>
  </si>
  <si>
    <t>cd00204, ANK, 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t>
  </si>
  <si>
    <t>ANK 2e-027| ANK 2e-023| Arp 4e-017| Ank_2 5e-017| PHA03100 1e-016| PHA02876 2e-015| PHA02874 3e-015| PHA03095 2e-014| PHA02875 5e-014| PLN03192 9e-012|</t>
  </si>
  <si>
    <t xml:space="preserve"> AgamP4_2R:53109725-53127099(+) </t>
  </si>
  <si>
    <t xml:space="preserve">2 | 407    TVRRSAR|SG  0.581 *ProP*  | 1424    NLSRCKR|KM  0.595 *ProP*  | </t>
  </si>
  <si>
    <t>AGAP007474-RA</t>
  </si>
  <si>
    <t xml:space="preserve">Talin-1 </t>
  </si>
  <si>
    <t>Talin-1</t>
  </si>
  <si>
    <t>Talin</t>
  </si>
  <si>
    <t>AGAP007474-PA</t>
  </si>
  <si>
    <t xml:space="preserve"> talin</t>
  </si>
  <si>
    <t>cd12150, talin-RS, rod-segment of the talin C-terminal domain.  The talin rod-segment characterize by this model interacts with its N-terminal FERM domain to mask its integrin-binding site and interferes with interactions between the FERM domain and the cellular membrane. Talin is a large and ubiquitous cytoskeletal protein concentrated at focal adhesion sites. It is involved in linking integrins to the actin cytoskeleton.</t>
  </si>
  <si>
    <t>talin-RS 4e-062| Talin_middle 6e-061| FERM_C_Talin 2e-048| I_LWEQ 1e-046| VBS 2e-046| B41 4e-046| ILWEQ 1e-044| FERM_f0 3e-035| FERM_M 5e-029| FERM_B-lobe 2e-022|</t>
  </si>
  <si>
    <t>KOG4261, KOG4261, KOG4261, Talin [Cytoskeleton].</t>
  </si>
  <si>
    <t>pfam09141, Talin_middle, Talin, middle domain.  Members of this family adopt a structure consisting of five alpha helices that fold into a bundle. They contain a Vinculin binding site (VBS) composed of a hydrophobic surface spanning five turns of helix four. Activation of the VBS causes subsequent recruitment of Vinculin, which enables maturation of small integrin/talin complexes into more stable adhesions. Formation of the complex between VBS and Vinculin requires prior unfolding of this middle domain: once released from the talin hydrophobic core, the VBS helix is then available to induce the 'bundle conversion' conformational change within the vinculin head domain thereby displacing the intramolecular interaction with the vinculin tail, allowing vinculin to bind actin.</t>
  </si>
  <si>
    <t>smart00295, B41, Band 4.1 homologues.  Also known as ezrin/radixin/moesin (ERM) protein domains. Present in myosins, ezrin, radixin, moesin, protein tyrosine phosphatases. Plasma membrane-binding domain. These proteins play structural and regulatory roles in the assembly and stabilization of specialized plasmamembrane domains. Some PDZ domain containing proteins bind one or more of this family. Now includes JAKs.</t>
  </si>
  <si>
    <t xml:space="preserve"> AgamP4_2L:46753021-46767650(-) </t>
  </si>
  <si>
    <t xml:space="preserve">1 | 1966    EISRGAR|DV  0.718 *ProP*  | </t>
  </si>
  <si>
    <t>AGAP001604.R582</t>
  </si>
  <si>
    <t xml:space="preserve">protein-tyrosine phosphatase </t>
  </si>
  <si>
    <t>protein-tyrosine phosphatase</t>
  </si>
  <si>
    <t>Phosphatidylinositol 3-phosphate 3-phosphatase myotubularin MTM1</t>
  </si>
  <si>
    <t>AGAP001604-PA</t>
  </si>
  <si>
    <t>protein tyrosine phosphatase-like domain of myotubularin related phosphoinositide phosphat</t>
  </si>
  <si>
    <t>Phytophthora infestans T30-4</t>
  </si>
  <si>
    <t>pfam06602, Myotub-related, Myotubularin-like phosphatase domain. This family represents the phosphatase domain within eukaryotic myotubularin-related proteins. Myotubularin is a dual-specific lipid phosphatase that dephosphorylates phosphatidylinositol 3-phosphate and phosphatidylinositol (3,5)-bi-phosphate. Mutations in gene encoding myotubularin-related proteins have been associated with disease.</t>
  </si>
  <si>
    <t>Myotub-related e-150| PH-GRAM_MTMR4 4e-029| FYVE_MTMR4 1e-026| PH-GRAM_MTMR3_MTMR4 5e-024| PH-GRAM_MTMR3 5e-021| FYVE 3e-020| FYVE 9e-020| FYVE_LST2 9e-020| FYVE_WDFY3 4e-018| FYVE_MTMR3 4e-017|</t>
  </si>
  <si>
    <t>KOG4471, KOG4471, KOG4471, Phosphatidylinositol 3-phosphate 3-phosphatase myotubularin MTM1 [Lipid transport and metabolism, Intracellular trafficking, secretion, and vesicular transport].</t>
  </si>
  <si>
    <t xml:space="preserve">Lipid transport and metabolism, Intracellular trafficking, secretion, and vesicular transport </t>
  </si>
  <si>
    <t>smart00064, FYVE, Protein present in Fab1, YOTB, Vac1, and EEA1.  The FYVE zinc finger is named after four proteins where it was first found: Fab1, YOTB/ZK632.12, Vac1, and EEA1. The FYVE finger has been shown to bind two Zn2+ ions. The FYVE finger has eight potential zinc coordinating cysteine positions. The FYVE finger is structurally related to the PHD finger and the RING finger. Many members of this family also include two histidines in a motif R+HHC+XCG, where + represents a charged residue and X any residue. The FYVE finger functions in the membrane recruitment of cytosolic proteins by binding to phosphatidylinositol 3-phosphate (PI3P), which is prominent on endosomes. The R+HHC+XCG motif is critical for PI3P binding.</t>
  </si>
  <si>
    <t xml:space="preserve"> AgamP4_2R:6670006-6679508(+) </t>
  </si>
  <si>
    <t>AGAP001604-RA</t>
  </si>
  <si>
    <t xml:space="preserve">2 | 1287    MPQRRRR|NS  0.692 *ProP*  | 1577    ERTRQKR|MA  0.586 *ProP*  | </t>
  </si>
  <si>
    <t>AGAP002647-RA</t>
  </si>
  <si>
    <t xml:space="preserve">phosphorylase kinase gamma subunit </t>
  </si>
  <si>
    <t>phosphorylase kinase gamma subunit</t>
  </si>
  <si>
    <t>Catalytic domain of the Serine/Threonine Kinase</t>
  </si>
  <si>
    <t>AGAP002647-PA</t>
  </si>
  <si>
    <t xml:space="preserve"> non-specific serine/threonine protein kinase</t>
  </si>
  <si>
    <t>ExpAA=7.62 First60=0.00 PredHel=0 Topology=o</t>
  </si>
  <si>
    <t>cd14093, STKc_PhKG, Catalytic domain of the Serine/Threonine Kinase, Phosphorylase kinase Gamma subunit.  STKs catalyze the transfer of the gamma-phosphoryl group from ATP to serine/threonine residues on protein substrates. Phosphorylase kinase (PhK) catalyzes the phosphorylation of inactive phosphorylase b to form the active phosphorylase a. It coordinates hormonal, metabolic, and neuronal signals to initiate the breakdown of glycogen stores, which enables the maintenance of blood-glucose homeostasis during fasting, and is also used as a source of energy for muscle contraction. PhK is one of the largest and most complex protein kinases, composed of a heterotetramer containing four molecules each of four subunit types: one catalytic (gamma) and three regulatory (alpha, beta, and delta). Each subunit has tissue-specific isoforms or splice variants. Vertebrates contain two isoforms of the gamma subunit (gamma 1 and gamma 2). The gamma subunit, when isolated, is constitutively active and does not require phosphorylation of the A-loop for activity. The regulatory subunits restrain this kinase activity until signals are received to relieve this inhibition. For example, the kinase is activated in response to hormonal stimulation, after autophosphorylation or phosphorylation by cAMP-dependent kinase of the alpha and beta subunits. The high-affinity binding of ADP to the beta subunit also stimulates kinase activity, whereas calcium relieves inhibition by binding to the delta (calmodulin) subunit. The PhKG subfamily is part of a larger superfamily that includes the catalytic domains of other STKs, protein tyrosine kinases, RIO kinases, aminoglycoside phosphotransferase, choline kinase, and phosphoinositide 3-kinase.</t>
  </si>
  <si>
    <t>STKc_PhKG e-156| STKc_PhKG2 e-111| STKc_PhKG1 e-109| STKc_CAMK e-100| S_TKc 5e-090| Pkinase 4e-083| STKc_AMPK-like 2e-078| STKc_CaMKII 2e-071| STKc_PLK 2e-070| STKc_MSK_C 1e-068|</t>
  </si>
  <si>
    <t>KOG0599, KOG0599, KOG0599, Phosphorylase kinase gamma subunit [Carbohydrate transport and metabolism].</t>
  </si>
  <si>
    <t xml:space="preserve"> AgamP4_2R:24962238-24972865(+) </t>
  </si>
  <si>
    <t>AGAP000017-RB</t>
  </si>
  <si>
    <t>Lysosomal trafficking regulator LYST - probable fragment</t>
  </si>
  <si>
    <t>AGAP000017-PB</t>
  </si>
  <si>
    <t xml:space="preserve"> neutral sphingomyelinase activation associated factor</t>
  </si>
  <si>
    <t>ExpAA=2.92 First60=0.00 PredHel=0 Topology=o</t>
  </si>
  <si>
    <t>pfam02138, Beach, Beige/BEACH domain.</t>
  </si>
  <si>
    <t>Beach e-163| Beach e-155| Beach e-138| DUF4704 e-117| DUF1088 9e-078| PH_BEACH 6e-035| PH_BEACH 3e-028| WD40 4e-019| 7WD40 6e-017| COG2319 2e-012|</t>
  </si>
  <si>
    <t>KOG1787, KOG1787, KOG1787, Kinase A-anchor protein Neurobeachin and related BEACH and WD40 repeat proteins [Intracellular trafficking, secretion, and vesicular transport].</t>
  </si>
  <si>
    <t>smart01026, Beach, Beige/BEACH domain.  The BEACH domain was described in the BEIGE protein (D1035670) and in the highly homologous CHS protein. The BEACH domain is usually followed by a series of WD repeats. The function of the BEACH domain is unknown.</t>
  </si>
  <si>
    <t xml:space="preserve"> AgamP4_X:212901-233263(+) </t>
  </si>
  <si>
    <t xml:space="preserve">1 | 2384    DARRRKR|MV  0.760 *ProP*  | </t>
  </si>
  <si>
    <t>AGAP009990-RA</t>
  </si>
  <si>
    <t>agap009990-pa partial - 86 OH-glycosylation sites -  86 NetOglyc sites</t>
  </si>
  <si>
    <t>AGAP009990-PA</t>
  </si>
  <si>
    <t xml:space="preserve"> rna recognition motif 4 - 86 OH-glycosylation sites -  86 NetOglyc sites</t>
  </si>
  <si>
    <t>cd12351, RRM4_SHARP, RNA recognition motif 4 in SMART/HDAC1-associated repressor protein (SHARP) and similar proteins.  This subfamily corresponds to the RRM of SHARP, also termed Msx2-interacting protein (MINT), or SPEN homolog, is an estrogen-inducible transcriptional repressor that interacts directly with the nuclear receptor corepressor SMRT, histone deacetylases (HDACs) and components of the NuRD complex. SHARP recruits HDAC activity and binds to the steroid receptor RNA coactivator SRA through four conserved N-terminal RNA recognition motifs (RRMs), also termed RBDs (RNA binding domains) or RNPs (ribonucleoprotein domains), further suppressing SRA-potentiated steroid receptor transcription activity. Thus, SHARP has the capacity to modulate both liganded and nonliganded nuclear receptors. SHARP also has been identified as a component of transcriptional repression complexes in Notch/RBP-Jkappa signaling pathways. In addition to the N-terminal RRMs, SHARP possesses a C-terminal SPOC domain (Spen paralog and ortholog C-terminal domain), which is highly conserved among Spen proteins. .</t>
  </si>
  <si>
    <t>RRM4_SHARP 2e-028| SPOC 3e-021| Med15 5e-011| PAT1 8e-010| Herpes_BLLF1 2e-008| COG5099 3e-008| ROM1 2e-007| PRK08581 3e-006| Activator_LAG-3 6e-005| COG5651 7e-004|</t>
  </si>
  <si>
    <t>pfam07744, SPOC, SPOC domain.  The SPOC (Spen paralogue and orthologue C-terminal) domain is involved in developmental signalling.</t>
  </si>
  <si>
    <t>smart00360, RRM, RNA recognition motif.</t>
  </si>
  <si>
    <t xml:space="preserve"> AgamP4_3R:47308166-47327239(+) </t>
  </si>
  <si>
    <t>AGAP001683-RA</t>
  </si>
  <si>
    <t xml:space="preserve">calcium/calmodulin-dependent serine protein kinase </t>
  </si>
  <si>
    <t>calcium/calmodulin-dependent serine protein kinase</t>
  </si>
  <si>
    <t>AGAP001683-PA</t>
  </si>
  <si>
    <t>cd14094, STKc_CASK, Catalytic domain of the Serine/Threonine Kinase, Calcium/calmodulin-dependent serine protein kinase.  STKs catalyze the transfer of the gamma-phosphoryl group from ATP to serine/threonine residues on protein substrates. CASK belongs to the MAGUK (membrane-associated guanylate kinase) protein family, which functions as multiple domain adaptor proteins and is characterized by the presence of a core of three domains: PDZ, SH3, and guanylate kinase (GuK). The enzymatically inactive GuK domain in MAGUK proteins mediates protein-protein interactions and associates intramolecularly with the SH3 domain. In addition, CASK contains a catalytic kinase and two L27 domains. It is highly expressed in the nervous system and plays roles in synaptic protein targeting, neural development, and regulation of gene expression. Binding partners include parkin (a Parkinson's disease molecule), neurexin (adhesion molecule), syndecans, calcium channel proteins, CINAP (nucleosome assembly protein), transcription factor Tbr-1, and the cytoplasmic adaptor proteins Mint1, Veli/mLIN-7/MALS, SAP97, caskin, and CIP98. Deletion or mutations in the CASK gene have been implicated in X-linked mental retardation. The CASK subfamily is part of a larger superfamily that includes the catalytic domains of other STKs, protein tyrosine kinases, RIO kinases, aminoglycoside phosphotransferase, choline kinase, and phosphoinositide 3-kinase.</t>
  </si>
  <si>
    <t>STKc_CASK e-155| STKc_CAMK 4e-084| STKc_CaMKII 7e-080| S_TKc 7e-070| Pkinase 3e-065| Guanylate_kin 1e-058| STKc_AMPK-like 1e-057| STKc_RSK_C 1e-053| STKc_Chk2 5e-050| STKc_CaMKIV 7e-050|</t>
  </si>
  <si>
    <t>KOG0609, KOG0609, KOG0609, Calcium/calmodulin-dependent serine protein kinase/membrane-associated guanylate kinase [Signal transduction mechanisms].</t>
  </si>
  <si>
    <t xml:space="preserve"> AgamP4_2R:8247460-8438563(-) </t>
  </si>
  <si>
    <t xml:space="preserve">1 | 704    IFSRKKK|QC  0.518 *ProP*  | </t>
  </si>
  <si>
    <t>AGAP008516-RB</t>
  </si>
  <si>
    <t xml:space="preserve">nicotinate phosphoribosyltransferase </t>
  </si>
  <si>
    <t>nicotinate phosphoribosyltransferase</t>
  </si>
  <si>
    <t>Nicotinic acid phosphoribosyltransferase</t>
  </si>
  <si>
    <t>met/int</t>
  </si>
  <si>
    <t>AGAP008516-PB</t>
  </si>
  <si>
    <t>ExpAA=1.20 First60=0.03 PredHel=0 Topology=o</t>
  </si>
  <si>
    <t>PLN02885, PLN02885, nicotinate phosphoribosyltransferase.</t>
  </si>
  <si>
    <t>PLN02885 | NAPRTase_A e-142| Nicotinate_phosphoribosyltransferase_p...   481   e-136 e-136| PRK09243 e-135| NAPRTase_PncB 1e-089| PRK12484 1e-088| PncB 2e-082| PRTase_typeII 5e-054| NAPRTase_B 8e-026| PRK08662 2e-019|</t>
  </si>
  <si>
    <t>KOG2511, KOG2511, KOG2511, Nicotinic acid phosphoribosyltransferase [Coenzyme transport and metabolism].</t>
  </si>
  <si>
    <t xml:space="preserve">Coenzyme transport and metabolism </t>
  </si>
  <si>
    <t>pfam04095, NAPRTase, Nicotinate phosphoribosyltransferase (NAPRTase) family.  Nicotinate phosphoribosyltransferase (EC:2.4.2.11) is the rate limiting enzyme that catalyzes the first reaction in the NAD salvage synthesis. This family also includes Pre-B cell enhancing factor that is a cytokine (NAMPT). This family is related to Quinolinate phosphoribosyltransferase pfam01729.</t>
  </si>
  <si>
    <t>smart00633, Glyco_10, Glycosyl hydrolase family 10.</t>
  </si>
  <si>
    <t xml:space="preserve"> AgamP4_3R:11698759-11717549(-) </t>
  </si>
  <si>
    <t>AGAP007342-RA</t>
  </si>
  <si>
    <t xml:space="preserve">homeodomain interacting protein kinase </t>
  </si>
  <si>
    <t>homeodomain interacting protein kinase</t>
  </si>
  <si>
    <t>AGAP007342-PA</t>
  </si>
  <si>
    <t xml:space="preserve"> homeodomain-interacting protein kinase 2 isoform x2</t>
  </si>
  <si>
    <t>Mesocricetus auratus</t>
  </si>
  <si>
    <t>cd14211, STKc_HIPK, Catalytic domain of the Serine/Threonine Kinase, Homeodomain-Interacting Protein Kinase.  STKs catalyze the transfer of the gamma-phosphoryl group from ATP to serine/threonine residues on protein substrates. HIPKs, originally identified by their ability to bind homeobox factors, are nuclear proteins containing catalytic kinase and homeobox-interacting domains as well as a PEST region overlapping with the speckle-retention signal (SRS). They show speckled localization in the nucleus, apart from the nucleoles. They play roles in the regulation of many nuclear pathways including gene transcription, cell survival, proliferation, differentiation, development, and DNA damage response. Vertebrates contain three HIPKs (HIPK1-3) and mammals harbor an additional family member HIPK4, which does not contain a homeobox-interacting domain and is localized in the cytoplasm. HIPK2, the most studied HIPK, is a coregulator of many transcription factors and cofactors and it regulates gene transcription during development and in DNA damage response. The HIPK subfamily is part of a larger superfamily that includes the catalytic domains of other STKs, protein tyrosine kinases, RIO kinases, aminoglycoside phosphotransferase, choline kinase, and phosphoinositide 3-kinase.</t>
  </si>
  <si>
    <t>STKc_HIPK | STKc_HIPK2 | STKc_HIPK1 | STKc_HIPK3 e-180| PKc_YAK1 e-111| PKc_DYRK_like e-106| PKc_DYRK 4e-093| PKc_DYRK1 7e-088| PKc_CLK 6e-075| STKc_PRP4 5e-071|</t>
  </si>
  <si>
    <t>KOG0667, KOG0667, KOG0667, Dual-specificity tyrosine-phosphorylation regulated kinase [General function prediction only].</t>
  </si>
  <si>
    <t xml:space="preserve"> AgamP4_2L:45911420-45932891(-) </t>
  </si>
  <si>
    <t xml:space="preserve">1 | 1016    SSGRQRK|ST  0.506 *ProP*  | </t>
  </si>
  <si>
    <t>AGAP007939-RA</t>
  </si>
  <si>
    <t xml:space="preserve">starch phosphorylase </t>
  </si>
  <si>
    <t>starch phosphorylase</t>
  </si>
  <si>
    <t>Glycogen phosphorylase</t>
  </si>
  <si>
    <t>AGAP007939-PA</t>
  </si>
  <si>
    <t xml:space="preserve"> glgp</t>
  </si>
  <si>
    <t>cd04300, GT1_Glycogen_Phosphorylase, This is a family of oligosaccharide phosphorylases. It includes yeast and mammalian glycogen phosphorylases, plant starch/glucan phosphorylase, as well as the maltodextrin phosphorylases of bacteria. The members of this family catalyze the breakdown of oligosaccharides into glucose-1-phosphate units. They are important allosteric enzymes in carbohydrate metabolism. The allosteric control mechanisms of yeast and mammalian members of this family are different from that of bacterial members. The members of this family belong to the GT-B structural superfamily of glycoslytransferases, which have characteristic N- and C-terminal domains each containing a typical Rossmann fold. The two domains have high structural homology despite minimal sequence homology.  The large cleft that separates the two domains includes the catalytic center and permits a high degree of flexibility.</t>
  </si>
  <si>
    <t>GT1_Glycogen_Phosphorylase | Phosphorylase | Glycogen_phosphorylase | PRK14986 | GlgP | PRK14985 | Glycogen_phosphorylase 8e-029| GT1_Glycogen_Phosphorylase_like 3e-019| Glycosyltransferase_GTB_type 8e-005| DnaG_DnaB_bind |</t>
  </si>
  <si>
    <t>KOG2099, KOG2099, KOG2099, Glycogen phosphorylase [Carbohydrate transport and metabolism].</t>
  </si>
  <si>
    <t>pfam00343, Phosphorylase, Carbohydrate phosphorylase.  The members of this family catalyze the formation of glucose 1-phosphate from one of the following polyglucoses; glycogen, starch, glucan or maltodextrin.</t>
  </si>
  <si>
    <t>smart00325, RhoGEF, Guanine nucleotide exchange factor for Rho/Rac/Cdc42-like GTPases.  Guanine nucleotide exchange factor for Rho/Rac/Cdc42-like GTPases Also called Dbl-homologous (DH) domain. It appears that PH domains invariably occur C-terminal to RhoGEF/DH domains. Improved coverage.</t>
  </si>
  <si>
    <t xml:space="preserve"> AgamP4_3R:3218295-3221971(-) </t>
  </si>
  <si>
    <t xml:space="preserve">1 | 593    LYNRIKR|DP  0.646 *ProP*  | </t>
  </si>
  <si>
    <t>AGAP028729-RA</t>
  </si>
  <si>
    <t xml:space="preserve">ATP-binding cassette transporter (ABC transporter) family G member 18 [Source:UniProtKB/TrEMBL;Acc:A0A1S4HFH3] </t>
  </si>
  <si>
    <t>ABCG18: ATP-binding cassette transporter (ABC transporter) family G member 18</t>
  </si>
  <si>
    <t>The Eye Pigment Precursor Transporter - 6 predicted membrane helices</t>
  </si>
  <si>
    <t>AGAP028729-PA</t>
  </si>
  <si>
    <t xml:space="preserve"> gnlcdd273361 protein white - 6 predicted membrane helices</t>
  </si>
  <si>
    <t>ExpAA=147.65 First60=0.05 PredHel=6 Topology=i365-383o393-415i435-457o472-494i501-523o584-606i</t>
  </si>
  <si>
    <t>TIGR00955, Protein_white, The Eye Pigment Precursor Transporter (EPP) Family protein.  [Transport and binding proteins, Other].</t>
  </si>
  <si>
    <t>Protein_white e-119| PLN03211 3e-065| ABCG_EPDR 3e-062| Multidrug_resistance_protein 7e-058| ABCG_White 1e-055| CcmA 3e-053| PLN03140 7e-048| ABC_cobalt_CbiO_domain1 2e-035| ABC_drug_resistance_like 2e-033| ABC_MJ0796_LolCDE_FtsE 2e-031|</t>
  </si>
  <si>
    <t>KOG0061, KOG0061, KOG0061, Transporter, ABC superfamily (Breast cancer resistance protein) [Secondary metabolites biosynthesis, transport and catabolism].</t>
  </si>
  <si>
    <t>pfam01061, ABC2_membrane, ABC-2 type transporter.</t>
  </si>
  <si>
    <t>AGAP000698-RA</t>
  </si>
  <si>
    <t>mitochondrial amidoxime-reducing component 1-like</t>
  </si>
  <si>
    <t>AGAP000698-PA</t>
  </si>
  <si>
    <t xml:space="preserve"> mitochondrial amidoxime reducing component 2-like protein</t>
  </si>
  <si>
    <t>ExpAA=11.53 First60=11.49 PredHel=0 Topology=o</t>
  </si>
  <si>
    <t>Nannochloropsis gaditana CCMP526</t>
  </si>
  <si>
    <t>COG3217, COG3217, Uncharacterized Fe-S protein [General function prediction only].</t>
  </si>
  <si>
    <t>COG3217 9e-050| PLN02724 5e-030| MOSC_N 1e-026| MOSC 9e-014| PRK10206 | fliF | Arena_RNA_pol | fliF | APH | PRK00054 |</t>
  </si>
  <si>
    <t>KOG2362, KOG2362, KOG2362, Uncharacterized Fe-S protein [General function prediction only].</t>
  </si>
  <si>
    <t>pfam03476, MOSC_N, MOSC N-terminal beta barrel domain.  This domain is found to the N-terminus of pfam03473. The function of this domain is unknown, however it is predicted to adopt a beta barrel fold.</t>
  </si>
  <si>
    <t>smart00972, SCPU, Spore Coat Protein U domain.  This domain is found in a bacterial family of spore coat proteins.as well as a family of secreted pili proteins involved in motility and biofilm formation.</t>
  </si>
  <si>
    <t xml:space="preserve"> AgamP4_X:12541490-12542613(+) </t>
  </si>
  <si>
    <t>AGAP029475-RA</t>
  </si>
  <si>
    <t>agap006122-pa partial - signalP detected</t>
  </si>
  <si>
    <t>AGAP029475-PA</t>
  </si>
  <si>
    <t xml:space="preserve"> cadherin-89d-like isoform x2 - signalP detected</t>
  </si>
  <si>
    <t>ExpAA=23.77 First60=0.86 PredHel=1 Topology=o692-714i</t>
  </si>
  <si>
    <t>Cadherin_repeat 8e-009| CA 1e-006| Cadherin 3e-006| BaxI_1 | T6SS_VipA | ETNK_euk | FGGY_AI-2K_like | PRK13301 | VgrG | Myo5p-like_CBD_fungal |</t>
  </si>
  <si>
    <t>pfam00028, Cadherin, Cadherin domain.</t>
  </si>
  <si>
    <t xml:space="preserve"> AgamP4_2L:27007168-27009849(+) </t>
  </si>
  <si>
    <t>AGAP005327-RA</t>
  </si>
  <si>
    <t xml:space="preserve">ribonuclease UK114 </t>
  </si>
  <si>
    <t>ribonuclease UK114</t>
  </si>
  <si>
    <t>translation initiation inhibitor UK114/IBM1</t>
  </si>
  <si>
    <t>ps</t>
  </si>
  <si>
    <t>AGAP005327-PA</t>
  </si>
  <si>
    <t xml:space="preserve"> rutc family protein</t>
  </si>
  <si>
    <t>ExpAA=0.19 First60=0.01 PredHel=0 Topology=o</t>
  </si>
  <si>
    <t>TIGR00004, RutC_family_protein, reactive intermediate/imine deaminase.  This protein was described initially as an inhibitor of protein synthesis intiation, then as an endoribonuclease active on single-stranded mRNA, endoribonuclease L-PSP. Members of this family, conserved in all domains of life and often with several members per bacterial genome, appear to catalyze a reaction that minimizes toxic by-products from reactions catalyzed by pyridoxal phosphate-dependent enzymes. [Cellular processes, Other].</t>
  </si>
  <si>
    <t>RutC_family_protein 1e-035| Ribonuc_L-PSP 1e-029| YjgF_YER057c_UK114_family 1e-026| TdcF 4e-026| PRK11401 2e-016| RutC 3e-013| YjgF_YER057c_UK114_like_2 4e-010| YjgF_YER057c_UK114_like_6 4e-010| eu_AANH_C_1 2e-008| YjgH_like 2e-008|</t>
  </si>
  <si>
    <t>KOG2317, KOG2317, KOG2317, Putative translation initiation inhibitor UK114/IBM1 [Translation, ribosomal structure and biogenesis].</t>
  </si>
  <si>
    <t>pfam01042, Ribonuc_L-PSP, Endoribonuclease L-PSP.  Endoribonuclease active on single-stranded mRNA. Inhibits protein synthesis by cleavage of mRNA. Previously thought to inhibit protein synthesis initiation. This protein may also be involved in the regulation of purine biosynthesis. YjgF (renamed RidA) family members are enamine/imine deaminases. They hydrolyze reactive intermediates released by PLP-dependent enzymes, including threonine dehydratase. YjgF also prevents inhibition of transaminase B (IlvE) in Salmonella.</t>
  </si>
  <si>
    <t>smart00880, CHAD, The CHAD domain is an alpha-helical domain functionally associated with some members of the adenylate cyclase family.  It has conserved histidines that may chelate metals.</t>
  </si>
  <si>
    <t xml:space="preserve"> AgamP4_2L:14114698-14115469(+) </t>
  </si>
  <si>
    <t>AGAP004845-RA</t>
  </si>
  <si>
    <t xml:space="preserve">scavenger receptor class B member </t>
  </si>
  <si>
    <t>scavenger receptor class B member</t>
  </si>
  <si>
    <t>Plasma membrane glycoprotein CD36 - 2 predicted membrane helices</t>
  </si>
  <si>
    <t>AGAP004845-PA</t>
  </si>
  <si>
    <t xml:space="preserve"> cd36 family - 2 predicted membrane helices</t>
  </si>
  <si>
    <t>ExpAA=44.06 First60=2.43 PredHel=2 Topology=i58-80o502-524i</t>
  </si>
  <si>
    <t>pfam01130, CD36, CD36 family.  The CD36 family is thought to be a novel class of scavenger receptors. There is also evidence suggesting a possible role in signal transduction. CD36 is involved in cell adhesion.</t>
  </si>
  <si>
    <t>CD36 e-138| DUF3810 | NCU-G1 | LeuT-like_sbd | PLN02408 | UPF0259 | COG2441 | Potassium-transporting_ATPase_alpha_ch...    29   4.7   | DUF1944 | PspC |</t>
  </si>
  <si>
    <t>KOG3776, KOG3776, KOG3776, Plasma membrane glycoprotein CD36 and related membrane receptors [Signal transduction mechanisms].</t>
  </si>
  <si>
    <t xml:space="preserve"> AgamP4_2L:4396407-4401900(+) </t>
  </si>
  <si>
    <t>AGAP013128-RA</t>
  </si>
  <si>
    <t>CYP6AA2: cytochrome P450</t>
  </si>
  <si>
    <t>AGAP013128-PA</t>
  </si>
  <si>
    <t xml:space="preserve"> cytochrome p450 - 3 predicted membrane helices</t>
  </si>
  <si>
    <t>ExpAA=36.82 First60=17.37 PredHel=2 Topology=o4-21i69-88o</t>
  </si>
  <si>
    <t>p450 1e-082| CypX 6e-043| PLN02290 1e-032| PTZ00404 7e-026| PLN02738 4e-023| PLN02183 6e-022| PLN02936 1e-021| PLN02655 1e-021| PLN02687 2e-021| PLN02302 5e-020|</t>
  </si>
  <si>
    <t>smart01063, CBM49, Carbohydrate binding domain CBM49.  This domain is found at the C terminal of cellulases and in vitro binding studies have shown it to binds to crystalline cellulose.</t>
  </si>
  <si>
    <t xml:space="preserve"> AgamP4_2R:28483301-28484868(-) </t>
  </si>
  <si>
    <t xml:space="preserve">1 | 27    RRYRYWR|DR  0.620 *ProP*  | </t>
  </si>
  <si>
    <t>AGAP012400-RA</t>
  </si>
  <si>
    <t xml:space="preserve">alpha-glucosidase </t>
  </si>
  <si>
    <t>alpha-glucosidase</t>
  </si>
  <si>
    <t>AGAP012400-PA</t>
  </si>
  <si>
    <t>ExpAA=14.60 First60=1.13 PredHel=0 Topology=o</t>
  </si>
  <si>
    <t>AmyAc_maltase | AmyAc_SLC3A1 e-154| AmyAc_OligoGlu_like e-143| AmyAc_SI_OligoGlu_DGase e-134| AmyAc_OligoGlu e-119| AmyAc_OligoGlu_TS e-101| Trehalose-6-phosphate_hydrolase e-100| AmyAc_TreS 1e-097| AmyAc_bac2_AmyA 4e-093| Alpha-amylase 3e-088|</t>
  </si>
  <si>
    <t xml:space="preserve"> AgamP4_3L:41725998-41728033(+) </t>
  </si>
  <si>
    <t>W(3.64)</t>
  </si>
  <si>
    <t>AGAP003580-RA</t>
  </si>
  <si>
    <t>Phosphatidylethanolamine-binding protein homolog F40A3.3</t>
  </si>
  <si>
    <t>AGAP003580-PA</t>
  </si>
  <si>
    <t xml:space="preserve"> family i51 unassigned peptidase inhibitor</t>
  </si>
  <si>
    <t>cd00866, PEBP_euk, PhosphatidylEthanolamine-Binding Protein (PEBP) domain present in eukaryotes. PhosphatidylEthanolamine-Binding Proteins (PEBPs) are represented in all three major phylogenetic divisions (eukaryotes, bacteria, archaea).  The members in this subgroup are present in eukaryotes.  Members here include those in plants such as Arabidopsis thaliana FLOWERING LOCUS (FT) and TERMINAL FLOWER1 (FT1) which function as a promoter and a repressor of the floral transitions, respectively as well as the mammalian Raf kinase inhibitory protein (RKIP) which inhibits MAP kinase (Raf-MEK-ERK), G protein-coupled receptor (GPCR) kinase and NFkappaB signaling cascades. Although their overall structures are similar, the members of the PEBP family have very different substrates and oligomerization states (monomer/dimer/tetramer).</t>
  </si>
  <si>
    <t>PEBP_euk 2e-034| PLN00169 2e-019| PBP 7e-013| PEBP 3e-010| COG1881 5e-005| PEBP_bact_arch 0.008| PRK04004 | Uncharacterized_protein_YxkA | geranylgeranyl_reductase_partial | PLN00093 |</t>
  </si>
  <si>
    <t>KOG3346, KOG3346, KOG3346, Phosphatidylethanolamine binding protein [General function prediction only].</t>
  </si>
  <si>
    <t>pfam01161, PBP, Phosphatidylethanolamine-binding protein.</t>
  </si>
  <si>
    <t>smart00425, TBOX, Domain first found in the mice T locus (Brachyury) protein.</t>
  </si>
  <si>
    <t xml:space="preserve"> AgamP4_2R:40287196-40287878(-) </t>
  </si>
  <si>
    <t>AGAP006227-RA</t>
  </si>
  <si>
    <t xml:space="preserve">alpha esterase </t>
  </si>
  <si>
    <t>alpha esterase</t>
  </si>
  <si>
    <t>AGAP006227-PA</t>
  </si>
  <si>
    <t>Culex pipiens</t>
  </si>
  <si>
    <t>COesterase e-116| Esterase_lipase 4e-099| PnbA 4e-074| Aes 1e-011| Abhydrolase_3 3e-007| DAP2 0.012| PLN00060 | COG0400 | COG5280 | psbC |</t>
  </si>
  <si>
    <t xml:space="preserve"> AgamP4_2L:28545568-28547787(-) </t>
  </si>
  <si>
    <t>AGAP002137-RA</t>
  </si>
  <si>
    <t>Juvenile hormone-inducible protein</t>
  </si>
  <si>
    <t>AGAP002137-PA</t>
  </si>
  <si>
    <t xml:space="preserve"> ecdysteroid kinase</t>
  </si>
  <si>
    <t>ExpAA=1.12 First60=0.00 PredHel=0 Topology=o</t>
  </si>
  <si>
    <t>Proteus mirabilis (strain HI4320)</t>
  </si>
  <si>
    <t>pfam02958, EcKinase, Ecdysteroid kinase.  This family includes ecdysteroid 22-kinase, an enzyme responsible for the phosphorylation of ecdysteroids (insect growth and moulting hormones) at C-22, to form physiologically inactive ecdysteroid 22-phosphates.</t>
  </si>
  <si>
    <t>EcKinase 2e-055| CHK 1e-027| APH 7e-008| DUF1679 6e-007| COG3173 0.004| APH_ChoK_like 0.006| ycfN 0.009| COG2334 0.015| PRK06128 0.023| Fb_sc_TIGR02172 0.079|</t>
  </si>
  <si>
    <t>KOG2268, KOG2268, KOG2268, Serine/threonine protein kinase [Signal transduction mechanisms, General function prediction only].</t>
  </si>
  <si>
    <t>smart00587, CHK, ZnF_C4 abd HLH domain containing kinases domain. subfamily of choline kinases.</t>
  </si>
  <si>
    <t xml:space="preserve"> AgamP4_2R:16392370-16393769(+) </t>
  </si>
  <si>
    <t>AGAP006660-RB</t>
  </si>
  <si>
    <t xml:space="preserve">Isocitrate dehydrogenase [NADP] [Source:UniProtKB/TrEMBL;Acc:Q7Q537] </t>
  </si>
  <si>
    <t xml:space="preserve">Isocitrate dehydrogenase </t>
  </si>
  <si>
    <t>NADP-dependent isocitrate dehydrogenase</t>
  </si>
  <si>
    <t>AGAP006660-PB</t>
  </si>
  <si>
    <t xml:space="preserve"> icd</t>
  </si>
  <si>
    <t>Microtus mexicanus</t>
  </si>
  <si>
    <t>PTZ00435, PTZ00435, isocitrate dehydrogenase; Provisional.</t>
  </si>
  <si>
    <t>PTZ00435 | PRK08299 | Isocitrate_dehydrogenase_cytoplasmic | PLN03065 | PLN00103 | Icd e-125| Iso_dh 4e-066| PLN00096 9e-039| 3-isopropylmalate_dehydrogenase 3e-006| LeuB 2e-005|</t>
  </si>
  <si>
    <t>KOG1526, KOG1526, KOG1526, NADP-dependent isocitrate dehydrogenase [Energy production and conversion].</t>
  </si>
  <si>
    <t>pfam00180, Iso_dh, Isocitrate/isopropylmalate dehydrogenase.</t>
  </si>
  <si>
    <t>smart00210, TSPN, Thrombospondin N-terminal -like domains. Heparin-binding and cell adhesion domain of thrombospondin.</t>
  </si>
  <si>
    <t>AGAP010050-RA</t>
  </si>
  <si>
    <t>serine/threonine-protein kinase nek3 - probable fragment - 17 OH-glycosylation sites</t>
  </si>
  <si>
    <t>AGAP010050-PA</t>
  </si>
  <si>
    <t xml:space="preserve"> protein - 17 OH-glycosylation sites -  17 NetOglyc sites</t>
  </si>
  <si>
    <t>PTZ00108, PTZ00108, DNA topoisomerase 2-like protein; Provisional.</t>
  </si>
  <si>
    <t>PTZ00108 7e-004| PRK07598 | Dicty_REP | MukF_N | PRK11637 | DUF5102 | FliA | mycoplas_twoTM | DUF3684 | predic_Ig_block |</t>
  </si>
  <si>
    <t>KOG3663, KOG3663, KOG3663, Nuclear factor I [Transcription].</t>
  </si>
  <si>
    <t>pfam05086, Dicty_REP, Dictyostelium (Slime Mold) REP protein.  This family consists of REP proteins from Dictyostelium (Slime molds). REP protein is likely involved in transcription regulation and control of DNA replication, specifically amplification of plasmid at low copy numbers. The formation of homomultimers may be required for their regulatory activity.</t>
  </si>
  <si>
    <t xml:space="preserve"> AgamP4_3R:48336898-48342010(+) </t>
  </si>
  <si>
    <t xml:space="preserve">3 | 249    TRTRTKR|RA  0.604 *ProP*  | 558    GNNDRRR|SV  0.630 *ProP*  | 561    DRRRSVR|DI  0.610 *ProP*  | </t>
  </si>
  <si>
    <t>AGAP002008-RA</t>
  </si>
  <si>
    <t>AGAP002008-PA</t>
  </si>
  <si>
    <t>ExpAA=0.27 First60=0.00 PredHel=0 Topology=o</t>
  </si>
  <si>
    <t>EcKinase 6e-067| CHK 4e-029| APH 1e-006| APH_ChoK_like 2e-005| COG2334 0.002| COG3173 0.004| HomoserineK_II 0.081| DUF1679 0.084| COG3178 0.091| ycfN |</t>
  </si>
  <si>
    <t>KOG4389, KOG4389, KOG4389, Acetylcholinesterase/Butyrylcholinesterase [Signal transduction mechanisms].</t>
  </si>
  <si>
    <t xml:space="preserve"> AgamP4_2R:13835964-13837467(+) </t>
  </si>
  <si>
    <t>AGAP003763-RA</t>
  </si>
  <si>
    <t xml:space="preserve">juvenile hormone-inducible protein </t>
  </si>
  <si>
    <t>juvenile hormone-inducible protein</t>
  </si>
  <si>
    <t>Ecdysteroid kinase</t>
  </si>
  <si>
    <t>AGAP003763-PA</t>
  </si>
  <si>
    <t>EcKinase 1e-048| CHK 1e-022| DUF1679 8e-007| APH 0.024| ACAD10_11_N-like | Peptidase_M49 | APH_ChoK_like_1 | MopB_PHLH | PRK13776 | PTZ00304 |</t>
  </si>
  <si>
    <t>KOG4750, KOG4750, KOG4750, Serine O-acetyltransferase [Amino acid transport and metabolism].</t>
  </si>
  <si>
    <t xml:space="preserve"> AgamP4_2R:43106517-43107945(-) </t>
  </si>
  <si>
    <t>AGAP005012.R48</t>
  </si>
  <si>
    <t xml:space="preserve">galactokinase </t>
  </si>
  <si>
    <t>galactokinase</t>
  </si>
  <si>
    <t>Galactokinase</t>
  </si>
  <si>
    <t>AGAP005012-PA</t>
  </si>
  <si>
    <t>ExpAA=0.63 First60=0.01 PredHel=0 Topology=o</t>
  </si>
  <si>
    <t>PLN02521, PLN02521, galactokinase.</t>
  </si>
  <si>
    <t>PLN02521 4e-091| GalK 1e-059| Protein_GAL3 3e-058| PRK05101 4e-037| PRK05322 2e-036| PRK03817 8e-036| PLN02865 3e-018| PRK00555 9e-017| GalKase_gal_bdg 7e-016| ERG12 3e-011|</t>
  </si>
  <si>
    <t>KOG0631, KOG0631, KOG0631, Galactokinase [Carbohydrate transport and metabolism].</t>
  </si>
  <si>
    <t>pfam10509, GalKase_gal_bdg, Galactokinase galactose-binding signature.  This is the highly conserved galactokinase signature sequence which appears to be present in all galactokinases irrespective of how many other ATP binding sites, etc that they carry. The function of this domain appears to be to bind galactose, and the domain is normally at the N-terminus of the enzymes, EC:2.7.1.6. This domain is associated with the families GHMP_kinases_C, pfam08544 and GHMP_kinases_N, pfam00288.</t>
  </si>
  <si>
    <t>smart00503, SynN, Syntaxin N-terminal domain.  Three-helix domain that (in Sso1p) slows the rate of its reaction with the SNAP-25 homologue Sec9p.</t>
  </si>
  <si>
    <t xml:space="preserve"> AgamP4_2L:8287007-8288868(+) </t>
  </si>
  <si>
    <t>AGAP005012-RA</t>
  </si>
  <si>
    <t>AGAP008501-RA</t>
  </si>
  <si>
    <t xml:space="preserve">glutaryl-CoA dehydrogenase </t>
  </si>
  <si>
    <t>glutaryl-CoA dehydrogenase</t>
  </si>
  <si>
    <t>Acyl-CoA dehydrogenases (Lipid metabolism)</t>
  </si>
  <si>
    <t>AGAP008501-PA</t>
  </si>
  <si>
    <t xml:space="preserve"> caia</t>
  </si>
  <si>
    <t>cd01151, GCD, Glutaryl-CoA dehydrogenase.  Glutaryl-CoA dehydrogenase (GCD). GCD is an acyl-CoA dehydrogenase, which catalyzes the oxidative decarboxylation of glutaryl-CoA to crotonyl-CoA and carbon dioxide in the catabolism of lysine, hydroxylysine, and tryptophan. It uses electron transfer flavoprotein (ETF) as an electron acceptor. GCD is a homotetramer. GCD deficiency leads to a severe neurological disorder in humans.</t>
  </si>
  <si>
    <t>GCD | CaiA 3e-079| PLN02526 7e-070| SCAD_SBCAD 2e-068| ACAD 8e-067| IVD 1e-055| VLCAD 2e-055| IBD 1e-041| LCAD 1e-040| PLN02519 1e-039|</t>
  </si>
  <si>
    <t>KOG0138, KOG0138, KOG0138, Glutaryl-CoA dehydrogenase [Amino acid transport and metabolism].</t>
  </si>
  <si>
    <t>pfam02771, Acyl-CoA_dh_N, Acyl-CoA dehydrogenase, N-terminal domain.  The N-terminal domain of Acyl-CoA dehydrogenase is an all-alpha domain.</t>
  </si>
  <si>
    <t>smart00033, CH, Calponin homology domain.  Actin binding domains present in duplicate at the N-termini of spectrin-like proteins (including dystrophin, alpha-actinin). These domains cross-link actin filaments into bundles and networks. A calponin homology domain is predicted in yeasst Cdc24p.</t>
  </si>
  <si>
    <t xml:space="preserve"> AgamP4_3R:11344022-11345831(-) </t>
  </si>
  <si>
    <t>AGAP010509-RA</t>
  </si>
  <si>
    <t xml:space="preserve">organic cation transporter 3 </t>
  </si>
  <si>
    <t>organic cation transporter 3</t>
  </si>
  <si>
    <t>cation transport protein - 12 predicted membrane helices</t>
  </si>
  <si>
    <t>AGAP010509-PA</t>
  </si>
  <si>
    <t xml:space="preserve"> organic cation transporter protein-like isoform x1 - 12 predicted membrane helices</t>
  </si>
  <si>
    <t>ExpAA=251.61 First60=22.32 PredHel=12 Topology=i26-48o134-156i165-184o189-211i224-246o250-269i341-358o368-390i397-419o424-446i453-475o485-504i</t>
  </si>
  <si>
    <t>Perkinsus marinus ATCC 50983</t>
  </si>
  <si>
    <t>TIGR00898, organic_anion_transporter, cation transport protein. [Transport and binding proteins, Cations and iron carrying compounds].</t>
  </si>
  <si>
    <t>organic_anion_transporter 2e-095| Sugar_tr 1e-024| Membrane_transporter 7e-021| transport_protein 4e-020| MFS 5e-012| MFS_1 1e-011| Inorganic_phosphate_transporter_PHO84 1e-008| synaptic_vesicle_protein_2C 2e-008| Carboxylic_acid_transporter_protein_ho...    55   1e-007 1e-007| xylE 2e-007|</t>
  </si>
  <si>
    <t>smart00796, AHS1, Allophanate hydrolase subunit 1.  This domain represents subunit 1 of allophanate hydrolase (AHS1).</t>
  </si>
  <si>
    <t xml:space="preserve"> AgamP4_3L:5244024-5247930(-) </t>
  </si>
  <si>
    <t>AGAP007480-RA</t>
  </si>
  <si>
    <t>CYP6AH1: cytochrome P450</t>
  </si>
  <si>
    <t>AGAP007480-PA</t>
  </si>
  <si>
    <t xml:space="preserve"> cytochrome p450 family 6 - signalP detected</t>
  </si>
  <si>
    <t>ExpAA=6.75 First60=6.39 PredHel=0 Topology=o</t>
  </si>
  <si>
    <t>p450 5e-072| CypX 4e-038| PLN02290 1e-022| PLN02655 3e-021| PTZ00404 3e-021| PLN00110 2e-017| PLN02394 2e-017| PLN02687 7e-017| P450_cycloAA_1 2e-016| PLN02302 5e-016|</t>
  </si>
  <si>
    <t xml:space="preserve"> AgamP4_2L:46846043-46847806(+) </t>
  </si>
  <si>
    <t>AGAP009193-RA</t>
  </si>
  <si>
    <t xml:space="preserve">glutathione S-transferase epsilon class 4 </t>
  </si>
  <si>
    <t>GSTE4: glutathione S-transferase epsilon class 4</t>
  </si>
  <si>
    <t>glutathione S-transferase 1</t>
  </si>
  <si>
    <t>AGAP009193-PA</t>
  </si>
  <si>
    <t xml:space="preserve"> glutathione s-transferase 1-like protein</t>
  </si>
  <si>
    <t>cd03177, GST_C_Delta_Epsilon, C-terminal, alpha helical domain of Class Delta and Epsilon Glutathione S-transferases. Glutathione S-transferase (GST) C-terminal domain family, Class Delta and Epsilon subfamily;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GSTs also show GSH peroxidase activity and are involved in the synthesis of prostaglandins and leukotrienes. The GST fold contains an N-terminal thioredoxin-fold domain and a C-terminal alpha helical domain, with an active site located in a cleft between the two domains. GSH binds to the N-terminal domain while the hydrophobic substrate occupies a pocket in the C-terminal domain. The class Delta and Epsilon subfamily is made up primarily of insect GSTs, which play major roles in insecticide resistance by facilitating reductive dehydrochlorination of insecticides or conjugating them with GSH to produce water-soluble metabolites that are easily excreted. They are also implicated in protection against cellular damage by oxidative stress.</t>
  </si>
  <si>
    <t>GST_C_Delta_Epsilon 5e-038| GST_N_Delta_Epsilon 5e-030| Gst 2e-023| GST_N_family 2e-013| Maleylacetoacetate_isomerase 3e-012| GST_N_Theta 7e-011| GST_N_4 7e-011| GST_N_Ure2p_like 7e-010| GST_N_GTT1_like 4e-008| GST_N_Zeta 4e-008|</t>
  </si>
  <si>
    <t>KOG0867, KOG0867, KOG0867, Glutathione S-transferase [Posttranslational modification, protein turnover, chaperones].</t>
  </si>
  <si>
    <t>pfam13409, GST_N_2, Glutathione S-transferase, N-terminal domain. This family is closely related to pfam02798.</t>
  </si>
  <si>
    <t>smart00664, DoH, Possible catecholamine-binding domain present in a variety of eukaryotic proteins.  A predominantly beta-sheet domain present as a regulatory N-terminal domain in dopamine beta-hydroxylase, mono-oxygenase X and SDR2. Its function remains unknown at present (Ponting, Human Molecular Genetics, in press).</t>
  </si>
  <si>
    <t xml:space="preserve"> AgamP4_3R:28596074-28596816(-) </t>
  </si>
  <si>
    <t>AGAP011600-RB</t>
  </si>
  <si>
    <t>protein scylla isoform X1</t>
  </si>
  <si>
    <t>AGAP011600-PB</t>
  </si>
  <si>
    <t>protein scylla-like isoform x2</t>
  </si>
  <si>
    <t>pfam07809, RTP801_C, RTP801 C-terminal region.  The members of this family are sequences similar to the C-terminal region of RTP801, the protein product of a hypoxia-inducible factor 1 (HIF-1)- responsive gene. Two members of this family expressed by Drosophila melanogaster, Scylla and Charybde, are designated by the GenBank as Hox targets. RTP801 is thought to be involved in various cellular processes. Its overexpression caused the apoptosis- resistant phenotype in cycling cells, and apoptosis sensitivity in growth arrested cells. Moreover, the protein product of the mouse homolog of RTP801 (dig2) is thought to be induced by diverse apoptotic signals, and also by dexamethasone treatment.</t>
  </si>
  <si>
    <t>RTP801_C 1e-045| PAT1 2e-006| tolA 3e-006| DUF4175 1e-005| TolA 2e-004| HemX 2e-004| GBP_C 5e-004| PRK11637 6e-004| mukB 0.001| Med15 0.003|</t>
  </si>
  <si>
    <t xml:space="preserve"> AgamP4_3L:28866535-28870315(-) </t>
  </si>
  <si>
    <t>Q(3.55)</t>
  </si>
  <si>
    <t>AGAP002520-RA</t>
  </si>
  <si>
    <t xml:space="preserve">short-chain dehydrogenease/reductase </t>
  </si>
  <si>
    <t>short-chain dehydrogenease/reductase</t>
  </si>
  <si>
    <t>Mitochondrial/plastidial beta-ketoacyl-ACP reductase</t>
  </si>
  <si>
    <t>AGAP002520-PA</t>
  </si>
  <si>
    <t>ExpAA=5.93 First60=5.62 PredHel=0 Topology=o</t>
  </si>
  <si>
    <t>Thermotoga maritima (strain ATCC 43589 / MSB8 / DSM 3109 / JCM 10099)</t>
  </si>
  <si>
    <t>cd05364, SDR_c11, classical (c) SDR, subgroup 11.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(15-PGDH) numbering). In addition to the Tyr and Lys, there is often an upstream Ser (Ser-138, 15-PGDH numbering) and/or an Asn (Asn-107, 15-PGDH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domains of fatty acid synthase have a GGXGXXG NAD(P)-binding motif and an altered active site motif (YXXXN). Fungal type ketoacyl reductases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t>
  </si>
  <si>
    <t>SDR_c11 8e-095| SDR_c 1e-062| fabG 3e-061| fabG 5e-059| fabG 9e-059| adh_short_C2 7e-056| FabG 4e-055| fabG 2e-054| fabG 7e-053| PRK12826 2e-052|</t>
  </si>
  <si>
    <t>KOG0725, KOG0725, KOG0725, Reductases with broad range of substrate specificities [General function prediction only].</t>
  </si>
  <si>
    <t>pfam13561, adh_short_C2, Enoyl-(Acyl carrier protein) reductase.</t>
  </si>
  <si>
    <t xml:space="preserve"> AgamP4_2R:22321444-22322202(+) </t>
  </si>
  <si>
    <t>AGAP012329-RA</t>
  </si>
  <si>
    <t>AGAP012329-PA</t>
  </si>
  <si>
    <t>ExpAA=0.04 First60=0.04 PredHel=0 Topology=o</t>
  </si>
  <si>
    <t>Sodalis glossinidius (strain morsitans)</t>
  </si>
  <si>
    <t>pfam03881, Fructosamin_kin, Fructosamine kinase.  This family includes eukaryotic fructosamine-3-kinase enzymes. The family also includes bacterial members that have not been characterized but probably have a similar or identical function.</t>
  </si>
  <si>
    <t>Fructosamin_kin | PTZ00175 | 7tmA_RXFP1_LGR7 | Alginate_exp | 7tmA_RXFP2_LGR8 | TraD_N | Diphthine_synthase | PRK07867 | CobQ | Caps_assemb_Wzi |</t>
  </si>
  <si>
    <t>KOG3123, KOG3123, KOG3123, Diphthine synthase [Translation, ribosomal structure and biogenesis].</t>
  </si>
  <si>
    <t>smart00560, LamGL, LamG-like jellyroll fold domain.</t>
  </si>
  <si>
    <t xml:space="preserve"> AgamP4_3L:40692012-40693082(+) </t>
  </si>
  <si>
    <t>AGAP002643-RA</t>
  </si>
  <si>
    <t>agap002643-pa - signalP detected - 2 predicted membrane helices - GPI anchored</t>
  </si>
  <si>
    <t>uc/memb/gpi</t>
  </si>
  <si>
    <t>AGAP002643-PA</t>
  </si>
  <si>
    <t>hypothetical protein - signalP detected - 2 predicted membrane helices - GPI anchored</t>
  </si>
  <si>
    <t>ExpAA=38.53 First60=17.00 PredHel=2 Topology=i7-26o132-154i</t>
  </si>
  <si>
    <t>TIGR03099, dCO2ase_PEP1, pyridoxal-dependent decarboxylase, exosortase A system-associated.  The sequences in this family contain the pyridoxal binding domain (pfam02784) and C-terminal sheet domain (pfam00278) of a family of Pyridoxal-dependent decarboxylases. Characterized enzymes in this family decarboxylate substrates such as ornithine, diaminopimelate and arginine. The genes of the family modeled here, with the exception of those observed in certain Burkholderia species, are all found in the context of exopolysaccharide biosynthesis loci containing the exosortase/PEP-CTERM protein sorting system. More specifically, these are characteristic of the type 1 exosortase system represented by the Genome Property GenProp0652. The substrate of these enzymes may be a precursor of the carrier or linker which is hypothesized to release the PEP-CTERM protein from the exosortase enzyme. These enzymes are apparently most closely related to the diaminopimelate decarboxylase modeled by TIGR01048 which may suggest a similarity (or identity) of substrate.</t>
  </si>
  <si>
    <t>dCO2ase_PEP1 | PHA01755 | HMG-CoA_reductase_classI |</t>
  </si>
  <si>
    <t>KOG0162, KOG0162, KOG0162, Myosin class I heavy chain [Cytoskeleton].</t>
  </si>
  <si>
    <t>pfam05147, LANC_like, Lanthionine synthetase C-like protein. Lanthionines are thioether bridges that are putatively generated by dehydration of Ser and Thr residues followed by addition of cysteine residues within the peptide. This family contains the lanthionine synthetase C-like proteins 1 and 2 which are related to the bacterial lanthionine synthetase components C (LanC). LANCL1 (P40 seven-transmembrane-domain protein) and LANCL2 (testes-specific adriamycin sensitivity protein) are thought to be peptide-modifying enzyme components in eukaryotic cells. Both proteins are produced in large quantities in the brain and testes and may have role in the immune surveillance of these organs. Lanthionines are found in lantibiotics, which are peptide-derived, post-translationally modified antimicrobials produced by several bacterial strains. This region contains seven internal repeats.</t>
  </si>
  <si>
    <t>smart00897, FIST, FIST N domain.  The FIST N domain is a novel sensory domain, which is present in signal transduction proteins from Bacteria, Archaea and Eukarya. Chromosomal proximity of FIST-encoding genes to those coding for proteins involved in amino acid metabolism and transport suggest that FIST domains bind small ligands, such as amino acids.</t>
  </si>
  <si>
    <t xml:space="preserve"> AgamP4_2R:24908371-24908938(-) </t>
  </si>
  <si>
    <t>C(3.88)</t>
  </si>
  <si>
    <t>AGAP028496.R183</t>
  </si>
  <si>
    <t>uncharacterized protein ddb_g0284459-like isoform x4 - 14 OH-glycosylation sites -  14 NetOglyc sites</t>
  </si>
  <si>
    <t>AGAP028496-PA</t>
  </si>
  <si>
    <t xml:space="preserve"> tra0a43yz7a0a43yz7 anoga os-ox-76 pe-4 sv - 14 OH-glycosylation sites -  14 NetOglyc sites</t>
  </si>
  <si>
    <t>Danio rerio</t>
  </si>
  <si>
    <t>pfam13913, zf-C2HC_2, zinc-finger of a C2HC-type.  This family contains a number of divergent C2H2 type zinc fingers.</t>
  </si>
  <si>
    <t>zf-C2HC_2 5e-004| Macoilin 0.002| PRK13914 0.003| SSP160 0.003| COG4487 0.006| ROM1 0.044| PRK08581 0.063| PTZ00265 0.086| PTZ00112 | COG5099 |</t>
  </si>
  <si>
    <t>KOG3940, KOG3940, KOG3940, Uncharacterized conserved protein [Function unknown].</t>
  </si>
  <si>
    <t xml:space="preserve"> AgamP4_3L:3138816-3166549(+) </t>
  </si>
  <si>
    <t>AGAP028496-RA</t>
  </si>
  <si>
    <t xml:space="preserve">2 | 125    DSSRQRR|EG  0.529 *ProP*  | 257    PQIRSKR|AL  0.534 *ProP*  | </t>
  </si>
  <si>
    <t>AGAP004380-RA</t>
  </si>
  <si>
    <t xml:space="preserve">glutathione S-transferase delta class 12 </t>
  </si>
  <si>
    <t>GSTD12: glutathione S-transferase delta class 12</t>
  </si>
  <si>
    <t>Glutathione S-transferase</t>
  </si>
  <si>
    <t>AGAP004380-PA</t>
  </si>
  <si>
    <t xml:space="preserve"> tra0a82iii0a0a82iii0 anoar glutathione s-transferase os-arabiensis ox-773 pe-4 sv</t>
  </si>
  <si>
    <t>ExpAA=0.13 First60=0.01 PredHel=0 Topology=o</t>
  </si>
  <si>
    <t>COG0625, Gst, Glutathione S-transferase [Posttranslational modification, protein turnover, chaperones].</t>
  </si>
  <si>
    <t>Gst 8e-027| GST_C_Delta_Epsilon 9e-026| GST_N_Delta_Epsilon 1e-025| GST_N_family 6e-015| GST_N_Theta 5e-010| GST_N_3 6e-009| PRK13972 1e-008| GST_N_2 3e-008| Maleylacetoacetate_isomerase 7e-008| GST_N_GTT1_like 9e-008|</t>
  </si>
  <si>
    <t xml:space="preserve">pfam13417, GST_N_3, Glutathione S-transferase, N-terminal domain. </t>
  </si>
  <si>
    <t>smart00368, LRR_RI, Leucine rich repeat, ribonuclease inhibitor type.</t>
  </si>
  <si>
    <t xml:space="preserve"> AgamP4_2R:55504583-55505297(-) </t>
  </si>
  <si>
    <t xml:space="preserve">1 | 130    HLAKVKR|GV  0.615 *ProP*  | </t>
  </si>
  <si>
    <t>AGAP012394-RA</t>
  </si>
  <si>
    <t xml:space="preserve">peptide-methionine (S)-S-oxide reductase </t>
  </si>
  <si>
    <t>peptide-methionine (S)-S-oxide reductase</t>
  </si>
  <si>
    <t>Peptide methionine sulfoxide reductase (Posttranslational modification</t>
  </si>
  <si>
    <t>AGAP012394-PA</t>
  </si>
  <si>
    <t xml:space="preserve"> peptide-methionine s-s-oxide reductase</t>
  </si>
  <si>
    <t>ExpAA=0.05 First60=0.05 PredHel=0 Topology=o</t>
  </si>
  <si>
    <t>pfam01625, PMSR, Peptide methionine sulfoxide reductase.  This enzyme repairs damaged proteins. Methionine sulfoxide in proteins is reduced to methionine.</t>
  </si>
  <si>
    <t>PMSR 2e-046| MsrA 9e-042| PRK14054 4e-041| PRK05550 4e-039| Peptide_methionine_sulfoxide_reductase...   147   6e-036 6e-036| PRK00058 2e-035| PRK13014 3e-035| PRK14018 2e-017| PRK05528 5e-004| COG4623 |</t>
  </si>
  <si>
    <t>KOG1635, KOG1635, KOG1635, Peptide methionine sulfoxide reductase [Posttranslational modification, protein turnover, chaperones].</t>
  </si>
  <si>
    <t>smart01046, c-SKI_SMAD_bind, c-SKI Smad4 binding domain.  c-SKI is an oncoprotein that inhibits TGF-beta signaling through interaction with Smad proteins. This domain binds to Smad4.</t>
  </si>
  <si>
    <t xml:space="preserve"> AgamP4_3L:41710273-41711473(-) </t>
  </si>
  <si>
    <t>AGAP012399-RA</t>
  </si>
  <si>
    <t xml:space="preserve">maltase </t>
  </si>
  <si>
    <t>maltase</t>
  </si>
  <si>
    <t>AGAP012399-PA</t>
  </si>
  <si>
    <t>ExpAA=19.93 First60=19.51 PredHel=1 Topology=i5-24o</t>
  </si>
  <si>
    <t>AmyAc_maltase | AmyAc_SLC3A1 e-150| AmyAc_OligoGlu_like e-139| AmyAc_SI_OligoGlu_DGase e-126| AmyAc_OligoGlu e-114| AmyAc_OligoGlu_TS 6e-092| Trehalose-6-phosphate_hydrolase 3e-091| AmyAc_TreS 8e-091| Alpha-amylase 6e-090| AmyAc_bac2_AmyA 7e-084|</t>
  </si>
  <si>
    <t xml:space="preserve"> AgamP4_3L:41723465-41725416(-) </t>
  </si>
  <si>
    <t>AGAP010056-RA</t>
  </si>
  <si>
    <t xml:space="preserve">hexosaminidase </t>
  </si>
  <si>
    <t>hexosaminidase</t>
  </si>
  <si>
    <t>Beta-N-acetylhexosaminidase</t>
  </si>
  <si>
    <t>AGAP010056-PA</t>
  </si>
  <si>
    <t>ExpAA=0.74 First60=0.65 PredHel=0 Topology=o</t>
  </si>
  <si>
    <t>cd06562, GH20_HexA_HexB-like, Beta-N-acetylhexosaminidases catalyze the removal of beta-1,4-linked N-acetyl-D-hexosamine residues from the non-reducing ends of N-acetyl-beta-D-hexosaminides including N-acetylglucosides and N-acetylgalactosides. The hexA and hexB genes encode the alpha- and beta-subunits of the two major beta-N-acetylhexosaminidase isoenzymes, N-acetyl-beta-D-hexosaminidase A (HexA) and beta-N-acetylhexosaminidase B  (HexB). Both the alpha and the beta catalytic subunits have a TIM-barrel fold and belong to the glycosyl hydrolase family 20 (GH20). The HexA enzyme is a heterodimer containing one alpha and one beta subunit while the HexB enzyme is a homodimer containing two beta-subunits.  Hexosaminidase mutations cause an inability to properly hydrolyze certain sphingolipids which accumulate in lysosomes within the brain, resulting in the lipid storage disorders Tay-Sachs and Sandhoff.  Mutations in the alpha subunit cause in a deficiency in the HexA enzyme and result in Tay-Sachs, mutations in the beta-subunit cause in a deficiency in both HexA and HexB enzymes and result in Sandhoff disease.  In both disorders GM(2) gangliosides accumulate in lysosomes. The GH20 hexosaminidases are thought to act via a catalytic mechanism in which the catalytic nucleophile is not provided by solvent or the enzyme, but by the substrate itself.</t>
  </si>
  <si>
    <t>GH20_HexA_HexB-like e-146| Glyco_hydro_20 2e-088| GH20_chitobiase-like_1 1e-075| GH20_hexosaminidase 1e-072| GH20_chitobiase-like 4e-066| Chb 1e-051| GH20_SpHex_like 2e-042| GH20_Sm-chitobiase-like 2e-030| GH20_DspB_LnbB-like 4e-020| Glycohydro_20b2 3e-016|</t>
  </si>
  <si>
    <t>KOG2499, KOG2499, KOG2499, Beta-N-acetylhexosaminidase [Carbohydrate transport and metabolism].</t>
  </si>
  <si>
    <t>pfam00728, Glyco_hydro_20, Glycosyl hydrolase family 20, catalytic domain.  This domain has a TIM barrel fold.</t>
  </si>
  <si>
    <t xml:space="preserve"> AgamP4_3R:48468733-48473896(+) </t>
  </si>
  <si>
    <t xml:space="preserve">1 | 166    HANRSWR|SD  0.545 *ProP*  | </t>
  </si>
  <si>
    <t>AGAP003692-RA</t>
  </si>
  <si>
    <t xml:space="preserve">Aminopeptidase [Source:UniProtKB/TrEMBL;Acc:A0A1S4GJH4] </t>
  </si>
  <si>
    <t>Puromycin-sensitive aminopeptidase - signalP detected - GPI anchored</t>
  </si>
  <si>
    <t>met/aa/gpi</t>
  </si>
  <si>
    <t>AGAP003692-PA</t>
  </si>
  <si>
    <t xml:space="preserve"> pepn - signalP detected - GPI anchored</t>
  </si>
  <si>
    <t xml:space="preserve"> 18-19</t>
  </si>
  <si>
    <t>ExpAA=20.13 First60=1.66 PredHel=1 Topology=o933-955i</t>
  </si>
  <si>
    <t>Plutella xylostella</t>
  </si>
  <si>
    <t>M1_APN_2 e-152| Peptidase_M1 e-100| PepN 8e-094| M1_APN_3 2e-061| ERAP1_C 3e-044| Aminopeptidase_N 6e-044| M1_APN_4 2e-042| M1 3e-038| M1_LTA4H 6e-024| M1_APN_1 9e-022|</t>
  </si>
  <si>
    <t xml:space="preserve">1 | 504    SIDRTKR|TL  0.634 *ProP*  | </t>
  </si>
  <si>
    <t>AGAP005091-RD</t>
  </si>
  <si>
    <t xml:space="preserve">protein GDAP2 homolog </t>
  </si>
  <si>
    <t>protein GDAP2 homolog</t>
  </si>
  <si>
    <t>CDC42 Rho GTPase-activating protein - probable fragment</t>
  </si>
  <si>
    <t>AGAP005091-PD</t>
  </si>
  <si>
    <t xml:space="preserve"> gnlcdd232335</t>
  </si>
  <si>
    <t>ExpAA=11.33 First60=0.00 PredHel=0 Topology=o</t>
  </si>
  <si>
    <t>pfam13716, CRAL_TRIO_2, Divergent CRAL/TRIO domain.  This family includes divergent members of the CRAL-TRIO domain family. This family includes ECM25 that contains a divergent CRAL-TRIO domain identified by Gallego and colleagues.</t>
  </si>
  <si>
    <t>CRAL_TRIO_2 5e-029| SEC14 4e-022| SEC14 5e-017| CRAL_TRIO 0.006| PLN02763 | Pyruvate_synthase_subunit_PorC | HAD_VSP | COG4642 | PRK14464 | DUF4349 |</t>
  </si>
  <si>
    <t>KOG4406, KOG4406, KOG4406, CDC42 Rho GTPase-activating protein [Signal transduction mechanisms, Cytoskeleton].</t>
  </si>
  <si>
    <t>smart00516, SEC14, Domain in homologues of a S. cerevisiae phosphatidylinositol transfer protein (Sec14p).  Domain in homologues of a S. cerevisiae phosphatidylinositol transfer protein (Sec14p) and in RhoGAPs, RhoGEFs and the RasGAP, neurofibromin (NF1). Lipid-binding domain. The SEC14 domain of Dbl is known to associate with G protein beta/gamma subunits.</t>
  </si>
  <si>
    <t xml:space="preserve"> AgamP4_2L:9932316-9941177(+) </t>
  </si>
  <si>
    <t>AGAP029733-RA</t>
  </si>
  <si>
    <t>Aldo/keto reductase family</t>
  </si>
  <si>
    <t>AGAP029733-PA</t>
  </si>
  <si>
    <t xml:space="preserve"> aldo-keto reductase family 1 member b1-like protein</t>
  </si>
  <si>
    <t>ExpAA=0.08 First60=0.01 PredHel=0 Topology=o</t>
  </si>
  <si>
    <t>Theileria equi</t>
  </si>
  <si>
    <t>COG0656, ARA1, Aldo/keto reductases, related to diketogulonate reductase [General function prediction only].</t>
  </si>
  <si>
    <t>ARA1 9e-083| Aldo_ket_red 5e-070| dkgA 5e-052| Aldo_ket_red 3e-045| dkgB 6e-041| Tas 4e-033| COG4989 1e-010| COG1453 5e-010| PRK10376 8e-006| potassium_channel_beta_2_subunit 0.001|</t>
  </si>
  <si>
    <t>KOG1577, KOG1577, KOG1577, Aldo/keto reductase family proteins [General function prediction only].</t>
  </si>
  <si>
    <t>pfam00248, Aldo_ket_red, Aldo/keto reductase family.  This family includes a number of K+ ion channel beta chain regulatory domains - these are reported to have oxidoreductase activity.</t>
  </si>
  <si>
    <t>smart00916, L51_S25_CI-B8, Mitochondrial ribosomal protein L51 / S25 / CI-B8 domain.  Proteins containing this domain are located in the mitochondrion and include ribosomal protein L51, and S25. This domain is also found in mitochondrial NADH-ubiquinone oxidoreductase B8 subunit (CI-B8) . It is not known whether all members of this family form part of the NADH-ubiquinone oxidoreductase and whether they are also all ribosomal proteins.</t>
  </si>
  <si>
    <t xml:space="preserve"> AgamP4_3L:15782020-15783130(+) </t>
  </si>
  <si>
    <t>AGAP004598-RA</t>
  </si>
  <si>
    <t xml:space="preserve">Phosphoserine aminotransferase [Source:UniProtKB/TrEMBL;Acc:Q5TRW7] </t>
  </si>
  <si>
    <t>Phosphoserine aminotransferase</t>
  </si>
  <si>
    <t>AGAP004598-PA</t>
  </si>
  <si>
    <t>ExpAA=8.64 First60=0.00 PredHel=0 Topology=o</t>
  </si>
  <si>
    <t>PRK05355, PRK05355, 3-phosphoserine/phosphohydroxythreonine aminotransferase; Provisional.</t>
  </si>
  <si>
    <t>PRK05355 e-157| PSAT_like e-155| Phosphoserine_aminotransferase e-144| PLN02452 e-135| SerC e-118| PRK12462 3e-083| Aminotran_5 4e-040| Putative_phosphoserine_aminotransferas...    66   2e-011 2e-011| PRK03080 4e-011| Phosphoserine_aminotransferase 7e-011|</t>
  </si>
  <si>
    <t>KOG2790, KOG2790, KOG2790, Phosphoserine aminotransferase [Coenzyme transport and metabolism, Amino acid transport and metabolism].</t>
  </si>
  <si>
    <t xml:space="preserve">Coenzyme transport and metabolism, Amino acid transport and metabolism </t>
  </si>
  <si>
    <t>pfam00266, Aminotran_5, Aminotransferase class-V.  This domain is found in amino transferases, and other enzymes including cysteine desulphurase EC:4.4.1.-.</t>
  </si>
  <si>
    <t>smart00102, ADF, Actin depolymerisation factor/cofilin -like domains.  Severs actin filaments and binds to actin monomers.</t>
  </si>
  <si>
    <t>AGAP011053-RA</t>
  </si>
  <si>
    <t>Voltage-gated shaker-like K+ channel subunit beta/KCNAB</t>
  </si>
  <si>
    <t>AGAP011053-PA</t>
  </si>
  <si>
    <t xml:space="preserve"> akr1d family of aldo-keto reductase</t>
  </si>
  <si>
    <t>ExpAA=0.03 First60=0.01 PredHel=0 Topology=o</t>
  </si>
  <si>
    <t>ARA1 1e-097| Aldo_ket_red 2e-081| dkgA 1e-058| Aldo_ket_red 2e-058| dkgB 2e-046| Tas 3e-040| COG4989 2e-021| COG1453 8e-015| PRK10376 6e-010| tas 9e-008|</t>
  </si>
  <si>
    <t xml:space="preserve"> AgamP4_3L:15784161-15785346(-) </t>
  </si>
  <si>
    <t>AGAP003902-RA</t>
  </si>
  <si>
    <t xml:space="preserve">anaphase-promoting complex subunit 7 </t>
  </si>
  <si>
    <t>anaphase-promoting complex subunit 7</t>
  </si>
  <si>
    <t>Anaphase-promoting complex (APC) subunit 7</t>
  </si>
  <si>
    <t>AGAP003902-PA</t>
  </si>
  <si>
    <t xml:space="preserve"> anaphase-promoting complex subunit 7</t>
  </si>
  <si>
    <t>TIGR02917, TPR_domain_protein, putative PEP-CTERM system TPR-repeat lipoprotein.  This protein family occurs in strictly within a subset of Gram-negative bacterial species with the proposed PEP-CTERM/exosortase system, analogous to the LPXTG/sortase system common in Gram-positive bacteria. This protein occurs in a species if and only if a transmembrane histidine kinase (TIGR02916) and a DNA-binding response regulator (TIGR02915) also occur. The present of tetratricopeptide repeats (TPR) suggests protein-protein interaction, possibly for the regulation of PEP-CTERM protein expression, since many PEP-CTERM proteins in these genomes are preceded by a proposed DNA binding site for the response regulator.</t>
  </si>
  <si>
    <t>TPR_domain_protein 9e-010| TPR 4e-006| ANAPC3 4e-005| NrfG 8e-005| Uncharacterized_protein_HI_0366 0.006| OM_YfiO 0.045| ComL 0.098| PGA_TPR_OMP 0.100| COG4783 | PRK11788 |</t>
  </si>
  <si>
    <t>KOG1174, KOG1174, KOG1174, Anaphase-promoting complex (APC), subunit 7 [Cell cycle control, cell division, chromosome partitioning, Posttranslational modification, protein turnover, chaperones].</t>
  </si>
  <si>
    <t xml:space="preserve">Cell cycle control, cell division, chromosome partitioning, Posttranslational modification, protein turnover, chaperones </t>
  </si>
  <si>
    <t>pfam12895, ANAPC3, Anaphase-promoting complex, cyclosome, subunit 3.  Apc3, otherwise known as Cdc27, is one of the subunits of the anaphase-promoting complex or cyclosome. The anaphase-promoting complex is a multiprotein subunit E3 ubiquitin ligase complex that controls segregation of chromosomes and exit from mitosis in eukaryotes. The protein members of this family contain TPR repeats just as those of Apc7 do, and it appears that these TPR units bind the C-termini of the APC co-activators CDH1 and CDC20.</t>
  </si>
  <si>
    <t>smart00028, TPR, Tetratricopeptide repeats.  Repeats present in 4 or more copies in proteins. Contain a minimum of 34 amino acids each and self-associate via a "knobs and holes" mechanism.</t>
  </si>
  <si>
    <t xml:space="preserve"> AgamP4_2R:45766001-45767992(-) </t>
  </si>
  <si>
    <t>AGAP007085-RA</t>
  </si>
  <si>
    <t>Conserved plasma membrane protein - 6 predicted membrane helices</t>
  </si>
  <si>
    <t>AGAP007085-PA</t>
  </si>
  <si>
    <t xml:space="preserve"> transmembrane protein - 6 predicted membrane helices</t>
  </si>
  <si>
    <t>ExpAA=135.49 First60=16.96 PredHel=5 Topology=i95-117o153-172i314-336o346-368i388-410o</t>
  </si>
  <si>
    <t>pfam15982, TMEM135_C_rich, N-terminal cysteine-rich region of Transmembrane protein 135.  TMEM135_C_rich is a family of putative peroxisomal membrane proteins found in eukaryotes. This is the highly conserved N-terminal region that has several highly conserved cysteine residues. The domain is associated with family Tim17, pfam02466.</t>
  </si>
  <si>
    <t>TMEM135_C_rich 9e-023| PLN02234 | OPA3 | Phytoene_desaturase_lycopene-forming | Lactoylglutathione_lyase |</t>
  </si>
  <si>
    <t>KOG1398, KOG1398, KOG1398, Uncharacterized conserved protein [Function unknown].</t>
  </si>
  <si>
    <t>smart00072, GuKc, Guanylate kinase homologues.  Active enzymes catalyze ATP-dependent phosphorylation of GMP to GDP. Structure resembles that of adenylate kinase. So-called membrane-associated guanylate kinase homologues (MAGUKs) do not possess guanylate kinase activities; instead at least some possess protein-binding functions.</t>
  </si>
  <si>
    <t xml:space="preserve"> AgamP4_2L:42284433-42286110(+) </t>
  </si>
  <si>
    <t>AGAP008648-RA</t>
  </si>
  <si>
    <t>Farnesoic acid 0-methyl transferase - signalP detected</t>
  </si>
  <si>
    <t>AGAP008648-PA</t>
  </si>
  <si>
    <t xml:space="preserve"> farnesoic acid 0-methyl transferase - signalP detected</t>
  </si>
  <si>
    <t xml:space="preserve"> 16-17</t>
  </si>
  <si>
    <t>ExpAA=0.10 First60=0.09 PredHel=0 Topology=o</t>
  </si>
  <si>
    <t>Phaeodactylum tricornutum CCAP 1055/1</t>
  </si>
  <si>
    <t>pfam12248, Methyltransf_FA, Farnesoic acid 0-methyl transferase. This domain family is found in bacteria and eukaryotes, and is approximately 110 amino acids in length.Farnesoic acid O-methyl transferase (FAMeT) is the enzyme that catalyzes the formation of methyl farnesoate (MF) from farnesoic acid (FA) in the biosynthetic pathway of juvenile hormone (JH).</t>
  </si>
  <si>
    <t>Methyltransf_FA 3e-022| Metal_hydrol | PRK15305 | DNA_ligase_A_M | Mfa_like_2 | PHA03325 | Adenylation_DNA_ligase | PRK05864 | PRK09120 | PRK15395 |</t>
  </si>
  <si>
    <t>KOG2275, KOG2275, KOG2275, Aminoacylase ACY1 and related metalloexopeptidases [Amino acid transport and metabolism].</t>
  </si>
  <si>
    <t>smart00174, RHO, Rho (Ras homology) subfamily of Ras-like small GTPases.  Members of this subfamily of Ras-like small GTPases include Cdc42 and Rac, as well as Rho isoforms.</t>
  </si>
  <si>
    <t xml:space="preserve"> AgamP4_3R:13985444-13986205(+) </t>
  </si>
  <si>
    <t>AGAP003498-RA</t>
  </si>
  <si>
    <t>zinc-dependent metalloprotease - 18 OH-glycosylation sites - Conserved membrane protein Zinc-dependent -  18 NetOglyc sites - 2 predicted membrane helices</t>
  </si>
  <si>
    <t>uc/memb Zinc-dependent</t>
  </si>
  <si>
    <t>AGAP003498-PA</t>
  </si>
  <si>
    <t xml:space="preserve"> disintegrin and metalloproteinase domain-containing protein 15-like isoform x5 - 18 OH-glycosylation sites - Conserved membrane protein  -  18 NetOglyc sites - 2 predicted membrane helices</t>
  </si>
  <si>
    <t xml:space="preserve">uc/memb </t>
  </si>
  <si>
    <t>ExpAA=56.18 First60=0.00 PredHel=2 Topology=i136-158o909-931i</t>
  </si>
  <si>
    <t>cd04269, ZnMc_adamalysin_II_like, Zinc-dependent metalloprotease; adamalysin_II_like subfamily. Adamalysin II is a snake venom zinc endopeptidase. This subfamily contains other snake venom metalloproteinases, as well as membrane-anchored metalloproteases belonging to the ADAM family. ADAMs (A Disintegrin And Metalloprotease) are glycoproteins, which play roles in cell signaling, cell fusion, and cell-cell interactions.</t>
  </si>
  <si>
    <t>ZnMc_adamalysin_II_like 4e-068| Reprolysin 3e-053| ACR 6e-030| ADAM_CR 3e-028| ZnMc_ADAM_like 7e-027| DISIN 1e-026| ZnMc_ADAMTS_like 2e-025| Disintegrin 1e-024| Pep_M12B_propep 4e-016| ZnMc 8e-011|</t>
  </si>
  <si>
    <t>KOG3607, KOG3607, KOG3607, Meltrins, fertilins and related Zn-dependent metalloproteinases of the ADAMs family [Posttranslational modification, protein turnover, chaperones].</t>
  </si>
  <si>
    <t>pfam01421, Reprolysin, Reprolysin (M12B) family zinc metalloprotease.  The members of this family are enzymes that cleave peptides. These proteases require zinc for catalysis. Members of this family are also known as adamalysins. Most members of this family are snake venom endopeptidases, but there are also some mammalian proteins and fertilin. Fertilin and closely related proteins appear to not have some active site residues and may not be active enzymes.</t>
  </si>
  <si>
    <t>smart00608, ACR, ADAM Cysteine-Rich Domain.</t>
  </si>
  <si>
    <t xml:space="preserve"> AgamP4_2R:38700987-38733747(+) </t>
  </si>
  <si>
    <t xml:space="preserve">3 | 87    ERRRKRR|KC  0.707 *ProP*  | 212    RHGRHKR|SL  0.814 *ProP*  | 390    APRREKR|AT  0.757 *ProP*  | </t>
  </si>
  <si>
    <t>AGAP004633.R100</t>
  </si>
  <si>
    <t xml:space="preserve">sodium-independent sulfate anion transporter </t>
  </si>
  <si>
    <t>sodium-independent sulfate anion transporter</t>
  </si>
  <si>
    <t>Sulfate/bicarbonate/oxalate exchanger SAT-1 - 10 predicted membrane helices</t>
  </si>
  <si>
    <t>AGAP004633-PA</t>
  </si>
  <si>
    <t xml:space="preserve"> sodium-independent sulfate anion transporter - 10 predicted membrane helices</t>
  </si>
  <si>
    <t>ExpAA=224.61 First60=3.55 PredHel=9 Topology=i84-106o110-129i150-172o176-198i267-286o332-354i367-389o404-426i462-484o</t>
  </si>
  <si>
    <t>TIGR00815, Sulfate_transporter, high affinity sulphate transporter 1.  The SulP family is a large and ubiquitous family with over 30 sequenced members derived from bacteria, fungi, plants and animals. Many organisms including Bacillus subtilis, Synechocystis sp, Saccharomyces cerevisiae, Arabidopsis thaliana and Caenorhabditis elegans possess multiple SulP family paralogues. Many of these proteins are functionally characterized, and all are sulfate uptake transporters. Some transport their substrate with high affinities, while others transport it with relatively low affinities. Most function by SO42- :H+symport, but SO42- :HCO3- antiport has been reported for the rat protein (spP45380). The bacterial proteins vary in size from 434 residues to 566 residues with one exception, a Mycobacterium tuberculosis protein with 784 residues. The eukaryotic proteins vary in size from 611 residues to 893 residues with one exception, a protein designated "early nodulin 70 protein" from Glycine max which is reported to be of 485 residues. Thus, the eukaryotic proteins are almost without exception larger than the prokaryotic proteins. These proteins exhibit 10-13 putative transmembrane a-helical spanners (TMSs) depending on the protein. The phylogenetic tree for the SulP family reveals five principal branches. Three of these are bacterial specific as follows: one bears a single protein from M. tuberculosis; a second bears two proteins, one from M. tuberculosis, the other from Synechocystis sp, and the third bears all remaining prokaryotic proteins. The remaining two clusters bear only eukaryotic proteins with the animal proteins all localized to one branch and the plant and fungal proteins localized to the other. The generalized transport reactions catalyzed by SulP family proteins are: (1) SO42- (out) + nH+ (out) --==&gt; SO42- (in) + nH+ (in). (2) SO42- (out) + nHCO3- (in) SO42- (in) + nHCO3- (out). [Transport and binding proteins, Anions].</t>
  </si>
  <si>
    <t>Sulfate_transporter 1e-077| SUL1 1e-074| Sulfate_transp 4e-072| PRK11660 6e-021| STAS_SulP_like_sulfate_transporter 7e-011| STAS 0.001| PRK11412 0.084| SpoIIAA | BslA_like | Gaa1 |</t>
  </si>
  <si>
    <t>KOG0236, KOG0236, KOG0236, Sulfate/bicarbonate/oxalate exchanger SAT-1 and related transporters (SLC26 family) [Inorganic ion transport and metabolism].</t>
  </si>
  <si>
    <t>pfam00916, Sulfate_transp, Sulfate permease family.  This family of integral membrane proteins are known as the Sulfate Permease (SulP) family. SulP is a large family found in all domains of life. Although sulfate is a commonly transported ion there are many other activities in this family. See the TCDB description for a comprehensive summary.</t>
  </si>
  <si>
    <t>smart00055, FCH, Fes/CIP4 homology domain.  Alignment extended from original report. Highly alpha-helical. Also known as the RAEYL motif or the S. pombe Cdc15 N-terminal domain.</t>
  </si>
  <si>
    <t xml:space="preserve"> AgamP4_2R:58677692-58679735(+) </t>
  </si>
  <si>
    <t>AGAP004633-RA</t>
  </si>
  <si>
    <t>AGAP009195-RA</t>
  </si>
  <si>
    <t xml:space="preserve">glutathione S-transferase epsilon class 1 </t>
  </si>
  <si>
    <t>GSTE1: glutathione S-transferase epsilon class 1</t>
  </si>
  <si>
    <t>glutathione S-transferase E1 - GPI anchored</t>
  </si>
  <si>
    <t>detox/gpi</t>
  </si>
  <si>
    <t>AGAP009195-PA</t>
  </si>
  <si>
    <t xml:space="preserve"> tra0a82tna4a0a82tna4 9dipt glutathione s-transferase epsilon class os-melas pe-4 sv - GPI anchored</t>
  </si>
  <si>
    <t>ExpAA=0.11 First60=0.00 PredHel=0 Topology=o</t>
  </si>
  <si>
    <t>GST_C_Delta_Epsilon 3e-036| GST_N_Delta_Epsilon 2e-031| Gst 2e-024| GST_N_family 7e-015| GST_N_Theta 4e-014| PLN02395 2e-012| GST_N_4 7e-012| GST_N_Ure2p_like 8e-011| Maleylacetoacetate_isomerase 8e-011| GST_N_GTT1_like 1e-010|</t>
  </si>
  <si>
    <t>smart00323, RasGAP, GTPase-activator protein for Ras-like GTPases. All alpha-helical domain that accelerates the GTPase activity of Ras, thereby "switching" it into an "off" position. Improved domain limits from structure.</t>
  </si>
  <si>
    <t xml:space="preserve"> AgamP4_3R:28598932-28599748(-) </t>
  </si>
  <si>
    <t>AGAP029445-RA</t>
  </si>
  <si>
    <t xml:space="preserve">O-acyltransferase [Source:UniProtKB/TrEMBL;Acc:A0A453Z0R4] </t>
  </si>
  <si>
    <t>O-acyltransferase</t>
  </si>
  <si>
    <t>Sterol O-acyltransferase/Diacylglycerol O-acyltransferase - 9 predicted membrane helices</t>
  </si>
  <si>
    <t>AGAP029445-PA</t>
  </si>
  <si>
    <t xml:space="preserve"> protein - 9 predicted membrane helices</t>
  </si>
  <si>
    <t>ExpAA=187.72 First60=0.50 PredHel=8 Topology=o64-83i142-164o169-191i293-312o342-364i402-424o439-458i470-492o</t>
  </si>
  <si>
    <t>PLN03242, PLN03242, diacylglycerol o-acyltransferase; Provisional.</t>
  </si>
  <si>
    <t>PLN03242 2e-079| PLN02401 1e-073| ARE1 4e-045| MBOAT 6e-028| DltB 0.095| COG4280 | psaA | COG5202 | psaA | oat |</t>
  </si>
  <si>
    <t>KOG0380, KOG0380, KOG0380, Sterol O-acyltransferase/Diacylglycerol O-acyltransferase [Lipid transport and metabolism].</t>
  </si>
  <si>
    <t>pfam03062, MBOAT, MBOAT, membrane-bound O-acyltransferase family. The MBOAT (membrane bound O-acyl transferase) family of membrane proteins contains a variety of acyltransferase enzymes. A conserved histidine has been suggested to be the active site residue.</t>
  </si>
  <si>
    <t>smart00806, AIP3, Actin interacting protein 3.  Aip3p/Bud6p is a regulator of cell and cytoskeletal polarity in Saccharomyces cerevisiae that was previously identified as an actin-interacting protein. Actin-interacting protein 3 (Aip3p) localizes at the cell cortex where cytoskeleton assembly must be achieved to execute polarized cell growth, and deletion of AIP3 causes gross defects in cell and cytoskeletal polarity. Aip3p localization is mediated by the secretory pathway, mutations in early- or late-acting components of the secretory apparatus lead to Aip3p mislocalization.</t>
  </si>
  <si>
    <t xml:space="preserve">1 | 210    KQHRHSR|SG  0.587 *ProP*  | </t>
  </si>
  <si>
    <t>W(3.12)</t>
  </si>
  <si>
    <t>AGAP009210-RD</t>
  </si>
  <si>
    <t>CAP-Gly domain-containing linker protein 1</t>
  </si>
  <si>
    <t>Cytoskeleton-associated protein - probable fragment - 28 OH-glycosylation sites</t>
  </si>
  <si>
    <t>AGAP009210-PD</t>
  </si>
  <si>
    <t xml:space="preserve"> cytoskeleton-associated protein - 11 OH-glycosylation sites -  11 NetOglyc sites</t>
  </si>
  <si>
    <t>pfam01302, CAP_GLY, CAP-Gly domain.  Cytoskeleton-associated proteins (CAPs) are involved in the organisation of microtubules and transportation of vesicles and organelles along the cytoskeletal network. A conserved motif, CAP-Gly, has been identified in a number of CAPs, including CLIP-170 and dynactins. The crystal structure of Caenorhabditis elegans F53F4.3 protein CAP-Gly domain was recently solved. The domain contains three beta-strands. The most conserved sequence, GKNDG, is located in two consecutive sharp turns on the surface, forming the entrance to a groove.</t>
  </si>
  <si>
    <t>CAP_GLY 3e-027| CAP_GLY 9e-024| NIP100 2e-017| Herpes_capsid 0.003| PHA03307 0.003| PHA03247 0.006| PRK07764 0.011| PRK07003 0.017| PRK12323 0.037| PRK08691 0.089|</t>
  </si>
  <si>
    <t>KOG4568, KOG4568, KOG4568, Cytoskeleton-associated protein and related proteins [Cytoskeleton, General function prediction only].</t>
  </si>
  <si>
    <t xml:space="preserve">Cytoskeleton, General function prediction only </t>
  </si>
  <si>
    <t>smart01052, CAP_GLY, Cytoskeleton-associated proteins (CAPs) are involved in the organisation of microtubules and transportation of vesicles and organelles along the cytoskeletal network.  A conserved motif, CAP-Gly, has been identified in a number of CAPs, including CLIP-170 and dynactins. The crystal structure of Caenorhabditis elegans F53F4.3 protein CAP-Gly domain was recently solved. The domain contains three beta-strands. The most conserved sequence, GKNDG, is located in two consecutive sharp turns on the surface, forming the entrance to a groove.</t>
  </si>
  <si>
    <t xml:space="preserve"> AgamP4_3R:28759769-28774224(-) </t>
  </si>
  <si>
    <t>AGAP003785-RA</t>
  </si>
  <si>
    <t xml:space="preserve">glucose dehydrogenase (acceptor) </t>
  </si>
  <si>
    <t>glucose dehydrogenase (acceptor)</t>
  </si>
  <si>
    <t>glucose dehydrogenase (FAD quinone)-like isoform X3</t>
  </si>
  <si>
    <t>AGAP003785-PA</t>
  </si>
  <si>
    <t>ExpAA=0.45 First60=0.18 PredHel=0 Topology=o</t>
  </si>
  <si>
    <t>PRK02106, PRK02106, choline dehydrogenase; Validated.</t>
  </si>
  <si>
    <t>PRK02106 e-120| BetA e-109| Oxygen-dependent_choline_dehydrogenase...   341   7e-094 7e-094| Rv0697 4e-062| GMC_oxred_C 2e-041| PLN02785 2e-037| GMC_oxred_N 8e-035| GMC_mycofac_2 2e-025| FixC 6e-004| DadA 0.001|</t>
  </si>
  <si>
    <t>KOG1238, KOG1238, KOG1238, Glucose dehydrogenase/choline dehydrogenase/mandelonitrile lyase (GMC oxidoreductase family) [General function prediction only].</t>
  </si>
  <si>
    <t>pfam05199, GMC_oxred_C, GMC oxidoreductase.  This domain found associated with pfam00732.</t>
  </si>
  <si>
    <t>smart00137, MAM, Domain in meprin, A5, receptor protein tyrosine phosphatase mu (and others).  Likely to have an adhesive function. Mutations in the meprin MAM domain affect noncovalent associations within meprin oligomers. In receptor tyrosine phosphatase mu-like molecules the MAM domain is important for homophilic cell-cell interactions.</t>
  </si>
  <si>
    <t xml:space="preserve"> AgamP4_2R:43290689-43298353(-) </t>
  </si>
  <si>
    <t>AGAP028708-RA</t>
  </si>
  <si>
    <t xml:space="preserve">Polypeptide N-acetylgalactosaminyltransferase [Source:UniProtKB/TrEMBL;Acc:A0A1S4HE74] </t>
  </si>
  <si>
    <t>Polypeptide N-acetylgalactosaminyltransferase</t>
  </si>
  <si>
    <t>polypeptide N-acetylgalactosaminyltransferase 9</t>
  </si>
  <si>
    <t>AGAP028708-PA</t>
  </si>
  <si>
    <t xml:space="preserve"> polypeptide n-acetylgalactosaminyltransferase 13</t>
  </si>
  <si>
    <t>ExpAA=22.99 First60=22.91 PredHel=1 Topology=i21-43o</t>
  </si>
  <si>
    <t>cd02510, pp-GalNAc-T, pp-GalNAc-T initiates the formation of mucin-type O-linked glycans.  UDP-GalNAc: polypeptide alpha-N-acetylgalactosaminyltransferases (pp-GalNAc-T) initiate the formation of mucin-type, O-linked glycans by catalyzing the transfer of alpha-N-acetylgalactosamine (GalNAc) from UDP-GalNAc to hydroxyl groups of Ser or Thr residues of core proteins to form the Tn antigen (GalNAc-a-1-O-Ser/Thr). These enzymes are type II membrane proteins with a GT-A type catalytic domain and a lectin domain located on the lumen side of the Golgi apparatus. In human, there are 15 isozymes of pp-GalNAc-Ts, representing the largest of all glycosyltransferase families. Each isozyme has unique but partially redundant substrate specificity for glycosylation sites on acceptor proteins.</t>
  </si>
  <si>
    <t>pp-GalNAc-T e-111| Glycos_transf_2 4e-028| Ricin_B_lectin 2e-014| COG1216 1e-013| Glyco_tranf_GTA_type 1e-012| RICIN 7e-012| WcaA 4e-011| RICIN 5e-011| DPM_DPG-synthase_like 8e-008| GT_2_like_c 1e-007|</t>
  </si>
  <si>
    <t>KOG3736, KOG3736, KOG3736, Polypeptide N-acetylgalactosaminyltransferase [Posttranslational modification, protein turnover, chaperones].</t>
  </si>
  <si>
    <t>pfam00535, Glycos_transf_2, Glycosyl transferase family 2.  Diverse family, transferring sugar from UDP-glucose, UDP-N-acetyl- galactosamine, GDP-mannose or CDP-abequose, to a range of substrates including cellulose, dolichol phosphate and teichoic acids.</t>
  </si>
  <si>
    <t>smart00458, RICIN, Ricin-type beta-trefoil.  Carbohydrate-binding domain formed from presumed gene triplication.</t>
  </si>
  <si>
    <t>AGAP001308-RA</t>
  </si>
  <si>
    <t xml:space="preserve">coiled-coil domain-containing protein 64 </t>
  </si>
  <si>
    <t>coiled-coil domain-containing protein 64</t>
  </si>
  <si>
    <t>AGAP001308-PA</t>
  </si>
  <si>
    <t xml:space="preserve"> bicd family-like cargo adapter 1</t>
  </si>
  <si>
    <t>Eimeria tenella</t>
  </si>
  <si>
    <t>TIGR02168, Chromosome_partition_protein_Smc, chromosome segregation protein SMC, common bacterial type.  SMC (structural maintenance of chromosomes) proteins bind DNA and act in organizing and segregating chromosomes for partition. SMC proteins are found in bacteria, archaea, and eukaryotes. This family represents the SMC protein of most bacteria. The smc gene is often associated with scpB (TIGR00281) and scpA genes, where scp stands for segregation and condensation protein. SMC was shown (in Caulobacter crescentus) to be induced early in S phase but present and bound to DNA throughout the cell cycle. [Cellular processes, Cell division, DNA metabolism, Chromosome-associated proteins].</t>
  </si>
  <si>
    <t>Chromosome_partition_protein_Smc 2e-009| Smc 3e-009| chromosome_segregation_protein_related...    45   1e-004 1e-004| SbcC 0.002| PRK03918 0.005| conserved_hypothetical_protein 0.006| GAS 0.021| DUF3584 0.025| HEC1 0.033| CALCOCO1 0.078|</t>
  </si>
  <si>
    <t>pfam13851, GAS, Growth-arrest specific micro-tubule binding.  This family is the highly conserved central region of a number of metazoan proteins referred to as growth-arrest proteins. In mouse, Gas8 is predominantly a testicular protein, whose expression is developmentally regulated during puberty and spermatogenesis. In humans, it is absent in infertile males who lack the ability to generate gametes. The localization of Gas8 in the motility apparatus of post-meiotic gametocytes and mature spermatozoa, together with the detection of Gas8 also in cilia at the apical surfaces of epithelial cells lining the pulmonary bronchi and Fallopian tubes suggests that the Gas8 protein may have a role in the functioning of motile cellular appendages. Gas8 is a microtubule-binding protein localized to regions of dynein regulation in mammalian cells.</t>
  </si>
  <si>
    <t>smart01071, CDC37_N, Cdc37 N terminal kinase binding.  Cdc37 is a molecular chaperone required for the activity of numerous eukaryotic protein kinases. This domain corresponds to the N terminal domain which binds predominantly to protein kinases.and is found N terminal to the Hsp (Heat shocked protein) 90-binding domain. Expression of a construct consisting of only the N-terminal domain of Saccharomyces pombe Cdc37 results in cellular viability. This indicates that interactions with the cochaperone Hsp90 may not be essential for Cdc37 function.</t>
  </si>
  <si>
    <t xml:space="preserve"> AgamP4_2R:2807523-2818323(-) </t>
  </si>
  <si>
    <t xml:space="preserve">1 | 444    VQARKDR|DA  0.571 *ProP*  | </t>
  </si>
  <si>
    <t>AGAP011923-RA</t>
  </si>
  <si>
    <t>AGAP011923-PA</t>
  </si>
  <si>
    <t>ExpAA=0.00 First60=0.00 PredHel=0 Topology=i</t>
  </si>
  <si>
    <t>Eichhornia crassipes</t>
  </si>
  <si>
    <t>KOG0918, KOG0918, KOG0918, Selenium-binding protein [Inorganic ion transport and metabolism].</t>
  </si>
  <si>
    <t>pfam03824, NicO, High-affinity nickel-transport protein.  High affinity nickel transporters involved in the incorporation of nickel into H2-uptake hydrogenase and urease enzymes. Essential for the expression of catalytically active hydrogenase and urease. Ion uptake is dependent on proton motive force. HoxN in Alcaligenes eutrophus is thought to be an integral membrane protein with seven transmembrane helices. The family also includes a cobalt transporter.</t>
  </si>
  <si>
    <t>smart00205, THN, Thaumatin family.  The thaumatin family gathers proteins related to plant pathogenesis. The thaumatin family includes very basic members with extracellular and vacuolar localization. Thaumatin itsel is a potent sweet-tasting protein. Several members of this family display significant in vitro activity of inhibiting hyphal growth or spore germination of various fungi probably by a membrane permeabilizing mechanism.</t>
  </si>
  <si>
    <t xml:space="preserve"> AgamP4_3L:35162922-35163110(-) </t>
  </si>
  <si>
    <t>W(3.35)</t>
  </si>
  <si>
    <t>AGAP029623-RA</t>
  </si>
  <si>
    <t>sulfotransferase family cytosolic 1B member 1</t>
  </si>
  <si>
    <t>AGAP029623-PA</t>
  </si>
  <si>
    <t xml:space="preserve"> luciferin sulfotransferase-like protein</t>
  </si>
  <si>
    <t>Emiliania huxleyi CCMP1516</t>
  </si>
  <si>
    <t>pfam00685, Sulfotransfer_1, Sulfotransferase domain.</t>
  </si>
  <si>
    <t>Sulfotransfer_1 8e-064| PLN02164 5e-019| Sulfotransfer_3 1e-004| 1-PFK | CaiC | FruK_PfkB_like | PLN02312 | PRK15418 | MRS6 | COG1568 |</t>
  </si>
  <si>
    <t>KOG1584, KOG1584, KOG1584, Sulfotransferase [General function prediction only].</t>
  </si>
  <si>
    <t>smart00188, IL10, Interleukin-10 family.  Interleukin-10 inhibits the synthesis of a number of cytokines, including IFN-gamma, IL-2, IL-3, TNF and GM-CSF produced by activated macrophages and by helper T cells.</t>
  </si>
  <si>
    <t xml:space="preserve"> AgamP4_3L:14490131-14491421(-) </t>
  </si>
  <si>
    <t xml:space="preserve">2 | 230    SMKRDLR|SV  0.559 *ProP*  | 312    YIERFDR|FI  0.574 *ProP*  | </t>
  </si>
  <si>
    <t>AGAP004382-RA</t>
  </si>
  <si>
    <t xml:space="preserve">glutathione S-transferase delta class 3 </t>
  </si>
  <si>
    <t>GSTD3: glutathione S-transferase delta class 3</t>
  </si>
  <si>
    <t>glutathione S-transferase D3</t>
  </si>
  <si>
    <t>AGAP004382-PA</t>
  </si>
  <si>
    <t xml:space="preserve"> tra0a82ux39a0a82ux39 anome glutathione s-transferase os-merus ox-30066 pe-4 sv</t>
  </si>
  <si>
    <t>ExpAA=0.13 First60=0.02 PredHel=0 Topology=o</t>
  </si>
  <si>
    <t>GST_C_Delta_Epsilon 5e-035| Gst 4e-028| GST_N_Delta_Epsilon 6e-026| GST_N_family 3e-011| Maleylacetoacetate_isomerase 3e-010| GST_C_family 7e-008| GST_C 8e-007| GST_N_Theta 9e-007| GST_C_Ure2p_like 1e-006| GST_N_3 2e-006|</t>
  </si>
  <si>
    <t>pfam00043, GST_C, Glutathione S-transferase, C-terminal domain. GST conjugates reduced glutathione to a variety of targets including S-crystallin from squid, the eukaryotic elongation factor 1-gamma, the HSP26 family of stress-related proteins and auxin-regulated proteins in plants. Stringent starvation proteins in E. coli are also included in the alignment but are not known to have GST activity. The glutathione molecule binds in a cleft between N and C-terminal domains. The catalytically important residues are proposed to reside in the N-terminal domain. In plants, GSTs are encoded by a large gene family (48 GST genes in Arabidopsis) and can be divided into the phi, tau, theta, zeta, and lambda classes.</t>
  </si>
  <si>
    <t>smart00947, Pro_CA, Carbonic anhydrase.  Carbonic anhydrases (CA) are zinc metalloenzymes which catalyze the reversible hydration of carbon dioxide. In Escherichia coli, CA (gene cynT) is involved in recycling carbon dioxide formed in the bicarbonate-dependent decomposition of cyanate by cyanase (gene cynS). By this action, it prevents the depletion of cellular bicarbonate. In photosynthetic bacteria and plant chloroplast, CA is essential to inorganic carbon fixation. Prokaryotic and plant chloroplast CA are structurally and evolutionary related and form a family distinct from the one which groups the many different forms of eukaryotic CA's.</t>
  </si>
  <si>
    <t xml:space="preserve"> AgamP4_2R:55509366-55510067(-) </t>
  </si>
  <si>
    <t>AGAP028491-RA</t>
  </si>
  <si>
    <t xml:space="preserve">aquaporin </t>
  </si>
  <si>
    <t>AQP2: aquaporin</t>
  </si>
  <si>
    <t>Aquaporin (major intrinsic protein family) - 6 predicted membrane helices</t>
  </si>
  <si>
    <t>AGAP028491-PA</t>
  </si>
  <si>
    <t xml:space="preserve"> aquaporin major intrinsic protein family - 6 predicted membrane helices</t>
  </si>
  <si>
    <t>ExpAA=131.60 First60=38.75 PredHel=6 Topology=i13-35o45-67i94-116o131-153i165-187o207-229i</t>
  </si>
  <si>
    <t>Haematobia irritans exigua</t>
  </si>
  <si>
    <t>pfam00230, MIP, Major intrinsic protein.  MIP (Major Intrinsic Protein) family proteins exhibit essentially two distinct types of channel properties: (1) specific water transport by the aquaporins, and (2) small neutral solutes transport, such as glycerol by the glycerol facilitators.</t>
  </si>
  <si>
    <t>MIP 2e-038| MIP 8e-037| Glycerol_uptake_facilitator_protein 2e-033| GlpF 4e-029| PLN00182 5e-024| PLN00184 8e-024| PTZ00016 4e-020| PLN00026 9e-019| PLN00166 1e-018| PLN00027 2e-017|</t>
  </si>
  <si>
    <t>KOG0223, KOG0223, KOG0223, Aquaporin (major intrinsic protein family) [Carbohydrate transport and metabolism].</t>
  </si>
  <si>
    <t>smart01003, AlaDh_PNT_N, Alanine dehydrogenase/PNT, N-terminal domain.  Alanine dehydrogenase catalyzes the NAD-dependent reversible reductive amination of pyruvate into alanine.</t>
  </si>
  <si>
    <t xml:space="preserve"> AgamP4_3L:838223-839825(-) </t>
  </si>
  <si>
    <t>AGAP029784-RA</t>
  </si>
  <si>
    <t xml:space="preserve">sulfotransferase </t>
  </si>
  <si>
    <t>St3: sulfotransferase</t>
  </si>
  <si>
    <t>sulfotransferase (sult)</t>
  </si>
  <si>
    <t>AGAP029784-PA</t>
  </si>
  <si>
    <t xml:space="preserve"> tra0a43z2a0a43z2 anoga sulfotransferase os-ox-76 pe-4 sv</t>
  </si>
  <si>
    <t>Sulfotransfer_1 1e-056| PLN02164 2e-016| Sulfotransfer_3 0.005| WEMBL | Ndc10 | Rad1 | L-fuc_L-ara-isomerases | DUF4771 | MYSc_Myo45 | DUF1529 |</t>
  </si>
  <si>
    <t xml:space="preserve"> AgamP4_3L:14495190-14496472(-) </t>
  </si>
  <si>
    <t>AGAP005498-RB</t>
  </si>
  <si>
    <t xml:space="preserve">Phospholipid scramblase [Source:UniProtKB/TrEMBL;Acc:A7UTQ0] </t>
  </si>
  <si>
    <t>phospholipid scramblase 2</t>
  </si>
  <si>
    <t>Scramblase</t>
  </si>
  <si>
    <t>AGAP005498-PB</t>
  </si>
  <si>
    <t xml:space="preserve"> phospholipid scramblase 1-like protein</t>
  </si>
  <si>
    <t>ExpAA=1.32 First60=0.00 PredHel=0 Topology=o</t>
  </si>
  <si>
    <t>Blastocystis sp. subtype 4</t>
  </si>
  <si>
    <t>pfam03803, Scramblase, Scramblase.  Scramblase is palmitoylated and contains a potential protein kinase C phosphorylation site. Scramblase exhibits Ca2+-activated phospholipid scrambling activity in vitro. There are also possible SH3 and WW binding motifs. Scramblase is involved in the redistribution of phospholipids after cell activation or injury.</t>
  </si>
  <si>
    <t>Scramblase 1e-081| PRK14552 | M20_Acy1_YkuR_like | FGGY_ygcE_like | LbH_unknown | PRK05297 | PRK14030 | UDG_like_1 |</t>
  </si>
  <si>
    <t>KOG0621, KOG0621, KOG0621, Phospholipid scramblase [Cell wall/membrane/envelope biogenesis].</t>
  </si>
  <si>
    <t>smart00889, EFG_IV, Elongation factor G, domain IV.  Translation elongation factors are responsible for two main processes during protein synthesis on the ribosome. EF1A (or EF-Tu) is responsible for the selection and binding of the cognate aminoacyl-tRNA to the A-site (acceptor site) of the ribosome. EF2 (or EF-G) is responsible for the translocation of the peptidyl-tRNA from the A-site to the P-site (peptidyl-tRNA site) of the ribosome, thereby freeing the A-site for the next aminoacyl-tRNA to bind. Elongation factors are responsible for achieving accuracy of translation and both EF1A and EF2 are remarkably conserved throughout evolution. Elongation factor EF2 (EF-G) is a G-protein. It brings about the translocation of peptidyl-tRNA and mRNA through a ratchet-like mechanism: the binding of GTP-EF2 to the ribosome causes a counter-clockwise rotation in the small ribosomal subunit; the hydrolysis of GTP to GDP by EF2 and the subsequent release of EF2 causes a clockwise rotation of the small subunit back to the starting position. This twisting action destabilises tRNA-ribosome interactions, freeing the tRNA to translocate along the ribosome upon GTP-hydrolysis by EF2. EF2 binding also affects the entry and exit channel openings for the mRNA, widening it when bound to enable the mRNA to translocate along the ribosome. EF2 has five domains. This entry represents domain IV found in EF2 (or EF-G) of both prokaryotes and eukaryotes. The EF2-GTP-ribosome complex undergoes extensive structural rearrangement for tRNA-mRNA movement to occur. Domain IV, which extends from the 'body' of the EF2 molecule much like a lever arm, appears to be essential for the structural transition to take place.</t>
  </si>
  <si>
    <t>C(3.36)</t>
  </si>
  <si>
    <t>AGAP003039-RA</t>
  </si>
  <si>
    <t xml:space="preserve">organic cation transporter </t>
  </si>
  <si>
    <t>organic cation transporter</t>
  </si>
  <si>
    <t>AGAP003039-PA</t>
  </si>
  <si>
    <t xml:space="preserve"> organic cation transporter protein - 12 predicted membrane helices</t>
  </si>
  <si>
    <t>ExpAA=254.34 First60=10.90 PredHel=12 Topology=i49-71o128-147i159-181o185-207i214-236o241-260i332-354o359-381i390-412o416-438i447-469o473-495i</t>
  </si>
  <si>
    <t>organic_anion_transporter e-102| Sugar_tr 1e-033| transport_protein 3e-025| Membrane_transporter 2e-021| MFS_1 2e-017| MFS 2e-014| Carboxylic_acid_transporter_protein_ho...    67   2e-011 2e-011| xylE 6e-011| synaptic_vesicle_protein_2C 7e-010| Bicyclomycin_resistance_protein_homolo...    59   7e-009 7e-009|</t>
  </si>
  <si>
    <t>smart00950, Piwi, This domain is found in the protein Piwi and its relatives.  The function of this domain is the dsRNA guided hydrolysis of ssRNA. Determination of the crystal structure of Argonaute reveals that PIWI is an RNase H domain, and identifies Argonaute as Slicer, the enzyme that cleaves mRNA in the RNAi RISC complex.. In addition, Mg+2 dependence and production of 3'-OH and 5' phosphate products are shared characteristics of RNaseH and RISC. The PIWI domain core has a tertiary structure belonging to the RNase H family of enzymes. RNase H fold proteins all have a five-stranded mixed beta-sheet surrounded by helices. By analogy to RNase H enzymes which cleave single-stranded RNA guided by the DNA strand in an RNA/DNA hybrid, the PIWI domain can be inferred to cleave single-stranded RNA, for example mRNA, guided by double stranded siRNA.</t>
  </si>
  <si>
    <t xml:space="preserve"> AgamP4_2R:31351655-31363802(-) </t>
  </si>
  <si>
    <t>AGAP003581-RA</t>
  </si>
  <si>
    <t xml:space="preserve">D-xylulose reductase A </t>
  </si>
  <si>
    <t>D-xylulose reductase A</t>
  </si>
  <si>
    <t>Alcohol dehydrogenase class V - 2 predicted membrane helices</t>
  </si>
  <si>
    <t>detox membrane</t>
  </si>
  <si>
    <t>AGAP003581-PA</t>
  </si>
  <si>
    <t xml:space="preserve"> protein - 2 predicted membrane helices</t>
  </si>
  <si>
    <t>met/aa membrane</t>
  </si>
  <si>
    <t>ExpAA=19.49 First60=0.00 PredHel=1 Topology=i173-195o</t>
  </si>
  <si>
    <t>cd05285, sorbitol_DH, Sorbitol dehydrogenase.  Sorbitol and aldose reductase are NAD(+) binding proteins of the polyol pathway, which interconverts glucose and fructose. Sorbitol dehydrogenase is tetrameric and has a single catalytic zinc per subunit. Aldose reductase catalyzes the NADP(H)-dependent conversion of glucose to sorbital, and SDH uses NAD(H) in the conversion of sorbitol to fructose.  NAD(P)(H)-dependent oxidoreductases are the major enzymes in the interconversion of alcohols and aldehydes, or ketones. The medium chain alcohol dehydrogenase family (MDR) have a NAD(P)(H)-binding domain in a Rossmann fold of a beta-alpha form. The N-terminal region typically has an all-beta catalytic domain. These proteins typically form dimers (typically higher plants, mammals) or tetramers (yeast, bacteria), and have 2 tightly bound zinc atoms per subunit.</t>
  </si>
  <si>
    <t>sorbitol_DH e-133| PLN02702 5e-087| butanediol_DH_like 6e-076| idonate-5-DH 2e-075| threonine_DH_like 8e-075| iditol_2_DH_like 2e-072| sugar_DH 6e-072| Tdh 7e-066| Zn_ADH7 4e-060| Zn_ADH4 8e-060|</t>
  </si>
  <si>
    <t>KOG0024, KOG0024, KOG0024, Sorbitol dehydrogenase [Secondary metabolites biosynthesis, transport and catabolism].</t>
  </si>
  <si>
    <t>pfam08240, ADH_N, Alcohol dehydrogenase GroES-like domain.  This is the catalytic domain of alcohol dehydrogenases. Many of them contain an inserted zinc binding domain. This domain has a GroES-like structure.</t>
  </si>
  <si>
    <t>smart00829, PKS_ER, Enoylreductase.  Enoylreductase in Polyketide synthases.</t>
  </si>
  <si>
    <t xml:space="preserve"> AgamP4_2R:40335765-40336933(-) </t>
  </si>
  <si>
    <t>AGAP002459-RA</t>
  </si>
  <si>
    <t>AGAP002459-PA</t>
  </si>
  <si>
    <t xml:space="preserve"> tra0a4y0bmu0a0a4y0bmu0 anofn os-funestus ox-62324 pe-4 sv</t>
  </si>
  <si>
    <t>PRK07764, PRK07764, DNA polymerase III subunits gamma and tau; Validated.</t>
  </si>
  <si>
    <t>PRK07764 | LRAT | PLN00045 | Myc_N | MopB_NADH-Q-OR-NuoG2 | PRK07806 | IcmF | PRK14951 | catalase_like | PDHac_trf_mito |</t>
  </si>
  <si>
    <t>KOG2803, KOG2803, KOG2803, Choline phosphate cytidylyltransferase/Predicted CDP-ethanolamine synthase [Lipid transport and metabolism].</t>
  </si>
  <si>
    <t>pfam04970, LRAT, Lecithin retinol acyltransferase.  The full-length members of this family, are representatives of a novel class II tumor-suppressor family, designated as H-REV107-like. This domain is the catalytic N-terminal proline-rich region of the protein. The downstream region is a putative C-terminal transmembrane domain which is found to be crucial for cellular localization, but not necessary for the enzyme activity. H-REV107-like proteins are homologous to lecithin retinol acyltransferase (LRAT), an enzyme that catalyzes the transfer of the sn-1 acyl group of phosphatidylcholine to all-trans-retinol and forming a retinyl ester.</t>
  </si>
  <si>
    <t>smart00437, TOP1Ac, Bacterial DNA topoisomerase I DNA-binding domain.  Bacterial DNA topoisomerase I and III, Eukaryotic DNA topoisomeraes III, reverse gyrase alpha subunit.</t>
  </si>
  <si>
    <t xml:space="preserve"> AgamP4_2R:21604502-21606556(-) </t>
  </si>
  <si>
    <t>AGAP006521-RA</t>
  </si>
  <si>
    <t xml:space="preserve">adenylate cyclase-stimulating G alpha protein </t>
  </si>
  <si>
    <t>adenylate cyclase-stimulating G alpha protein</t>
  </si>
  <si>
    <t>G-protein alpha subunit</t>
  </si>
  <si>
    <t>AGAP006521-PA</t>
  </si>
  <si>
    <t xml:space="preserve"> alpha subunit of g protein</t>
  </si>
  <si>
    <t>cd00066, G-alpha, Alpha subunit of G proteins (guanine nucleotide binding).  The alpha subunit of G proteins contains the guanine nucleotide binding site. The heterotrimeric GNP-binding proteins are signal transducers that communicate signals from many hormones, neurotransmitters, chemokines, and autocrine and paracrine factors. Extracellular signals are received by receptors, which activate the G proteins, which in turn route the signals to several distinct intracellular signaling pathways. The alpha subunit of G proteins is a weak GTPase. In the resting state, heterotrimeric G proteins are associated at the cytosolic face of the plasma membrane and the alpha subunit binds to GDP. Upon activation by a receptor GDP is replaced with GTP, and the G-alpha/GTP complex dissociates from the beta and gamma subunits. This results in activation of downstream signaling pathways, such as cAMP synthesis by adenylyl cyclase, which is terminated when GTP is hydrolized and the heterotrimers reconstitute.</t>
  </si>
  <si>
    <t>G-alpha e-105| G_alpha 7e-098| G-alpha 1e-090| ARLTS1 1e-005| Arl5_Arl8 2e-005| Arf_Arl 2e-005| Arf6 3e-005| Arl3 6e-005| Arfrp1 9e-005| Arf 2e-004|</t>
  </si>
  <si>
    <t>KOG0099, KOG0099, KOG0099, G protein subunit Galphas, small G protein superfamily [Signal transduction mechanisms].</t>
  </si>
  <si>
    <t>pfam00503, G-alpha, G-protein alpha subunit.  G proteins couple receptors of extracellular signals to intracellular signaling pathways. The G protein alpha subunit binds guanyl nucleotide and is a weak GTPase. A set of residues that are unique to G-alpha as compared to its ancestor the Arf-like family form a ring of residues centered on the nucleotide binding site. A Ggamma is found fused to an inactive Galpha in the Dictyostelium protein gbqA.</t>
  </si>
  <si>
    <t>smart00275, G_alpha, G protein alpha subunit.  Subunit of G proteins that contains the guanine nucleotide binding site.</t>
  </si>
  <si>
    <t xml:space="preserve"> AgamP4_2L:33825711-33827068(-) </t>
  </si>
  <si>
    <t xml:space="preserve">1 | 218    GGQRHHR|SK  0.536 *ProP*  | </t>
  </si>
  <si>
    <t>AGAP005324-RA</t>
  </si>
  <si>
    <t xml:space="preserve">UBIQUITIN_CONJUGAT_2 domain-containing protein [Source:UniProtKB/TrEMBL;Acc:Q7PIU2] </t>
  </si>
  <si>
    <t>ubiquitin-conjugating enzyme E2 W</t>
  </si>
  <si>
    <t>ubiquitin-conjugating enzyme E2 W isoform X1</t>
  </si>
  <si>
    <t>AGAP005324-PA</t>
  </si>
  <si>
    <t xml:space="preserve"> ubiquitin-conjugating enzyme e2 w isoform x1</t>
  </si>
  <si>
    <t>pfam00179, UQ_con, Ubiquitin-conjugating enzyme.  Proteins destined for proteasome-mediated degradation may be ubiquitinated. Ubiquitination follows conjugation of ubiquitin to a conserved cysteine residue of UBC homologs. TSG101 is one of several UBC homologs that lacks this active site cysteine.</t>
  </si>
  <si>
    <t>UQ_con 6e-032| UBCc 4e-029| UBCc 6e-029| COG5078 7e-026| PTZ00390 5e-019| PLN00172 6e-018| UFC1 0.083| galliderm_ABC | Hypothetical_protein_K09H11.1 | PRK12476 |</t>
  </si>
  <si>
    <t>KOG0427, KOG0427, KOG0427, Ubiquitin conjugating enzyme [Posttranslational modification, protein turnover, chaperones].</t>
  </si>
  <si>
    <t>smart00212, UBCc, Ubiquitin-conjugating enzyme E2, catalytic domain homologues.  Proteins destined for proteasome-mediated degradation may be ubiquitinated. Ubiquitination follows conjugation of ubiquitin to a conserved cysteine residue of UBC homologues. This pathway functions in regulating many fundamental processes required for cell viability.TSG101 is one of several UBC homologues that lacks this active site cysteine.</t>
  </si>
  <si>
    <t>AGAP003789-RC</t>
  </si>
  <si>
    <t xml:space="preserve">flotillin </t>
  </si>
  <si>
    <t>flotillin</t>
  </si>
  <si>
    <t>Flotillins - probable fragment</t>
  </si>
  <si>
    <t>AGAP003789-PC</t>
  </si>
  <si>
    <t xml:space="preserve"> flotillin</t>
  </si>
  <si>
    <t>COG2268, COG2268, Uncharacterized protein conserved in bacteria [Function unknown].</t>
  </si>
  <si>
    <t>COG2268 4e-009| SPFH_flotillin 3e-007| PHB 6e-005| Flot 3e-004| SPFH_HflK 0.003| PTZ00121 0.010| Band_7 0.080| HAUS5 | SPFH_HflC | PRK12704 |</t>
  </si>
  <si>
    <t>KOG2668, KOG2668, KOG2668, Flotillins [Intracellular trafficking, secretion, and vesicular transport, Cytoskeleton].</t>
  </si>
  <si>
    <t xml:space="preserve">Intracellular trafficking, secretion, and vesicular transport, Cytoskeleton </t>
  </si>
  <si>
    <t>pfam15975, Flot, Flotillin.  Flotillin is a family of lipid-membrane-associated proteins found in bacteria, archaea and eukaryotes. The family is found in association with pfam01145, another integral membrane-associated domain. Flotillins in vertebrates are associated with sphingolipids and cholesterol-enriched membrane microdomains known as lipid-rafts. These rafts along with other membrane components are important in cell-signalling. Flotillins in other organisms have roles in viral pathogenesis, endocytosis, and membrane shaping.</t>
  </si>
  <si>
    <t>smart00244, PHB, prohibitin homologues.  prohibitin homologues.</t>
  </si>
  <si>
    <t xml:space="preserve"> AgamP4_2R:43322141-43324005(+) </t>
  </si>
  <si>
    <t xml:space="preserve">1 | 33    QTASVKR|DA  0.530 *ProP*  | </t>
  </si>
  <si>
    <t>AGAP004954-RA</t>
  </si>
  <si>
    <t xml:space="preserve">rhythmically expressed gene 2 protein </t>
  </si>
  <si>
    <t>rhythmically expressed gene 2 protein</t>
  </si>
  <si>
    <t>REG-2-like</t>
  </si>
  <si>
    <t>AGAP004954-PA</t>
  </si>
  <si>
    <t xml:space="preserve"> gnlcdd274056</t>
  </si>
  <si>
    <t>TIGR02252, Rhythmically_expressed_gene_2_protein, REG-2-like, HAD superfamily (subfamily IA) hydrolase.  This family of proteins includes uncharacterized sequences from eukaryotes, cyanobacteria and Leptospira as well as the DREG-2 protein from Drosophila melanogaster which has been identified as a rhythmically (diurnally) regulated gene. This family is a member of the Haloacid Dehalogenase (HAD) superfamily of aspartate-nucleophile hydrolases. The superfamily is defined by the presence of three short catalytic motifs. The subfamilies are defined based on the location and the observed or predicted fold of a so-called 'capping domain', or the absence of such a domain. This family is a member of subfamily 1A in which the cap domain consists of a predicted alpha helical bundle found in between the first and second catalytic motifs. A distinctive feature of this family is a conserved tandem pair of tryptophan residues in the cap domain. The most divergent sequences included within the scope of this model are from plants and have "FW" at this position instead. Most likely, these sequences, like the vast majority of HAD sequences, represent phosphatase enzymes.</t>
  </si>
  <si>
    <t>Rhythmically_expressed_gene_2_protein 1e-055| HAD_dREG-2_like 1e-029| COG1011 2e-019| HAD_Neu5Ac-Pase_like 8e-013| Gph 4e-012| HAD_2 2e-011| Hydrolase 8e-011| Uncharacterized_HAD-hydrolase_PYRAB051...    62   3e-010 3e-010| hydrolase_haloacid_dehalogenase-like_f...    61   7e-010 7e-010| HAD-SF-IA-v1 9e-010|</t>
  </si>
  <si>
    <t>KOG3085, KOG3085, KOG3085, Predicted hydrolase (HAD superfamily) [General function prediction only].</t>
  </si>
  <si>
    <t>pfam13419, HAD_2, Haloacid dehalogenase-like hydrolase.</t>
  </si>
  <si>
    <t>smart00268, ACTIN, Actin.  ACTIN subfamily of ACTIN/mreB/sugarkinase/Hsp70 superfamily.</t>
  </si>
  <si>
    <t xml:space="preserve"> AgamP4_2L:7178011-7180366(-) </t>
  </si>
  <si>
    <t>AGAP004379-RA</t>
  </si>
  <si>
    <t xml:space="preserve">glutathione S-transferase delta class 6 </t>
  </si>
  <si>
    <t>GSTD6: glutathione S-transferase delta class 6</t>
  </si>
  <si>
    <t>glutathione S-transferase D6 partial</t>
  </si>
  <si>
    <t>AGAP004379-PA</t>
  </si>
  <si>
    <t xml:space="preserve"> tra0a82xuk7a0a82xuk7 anoqn glutathione s-transferase os-quadriannulatus ox-3469 pe-4 sv</t>
  </si>
  <si>
    <t>ExpAA=0.26 First60=0.03 PredHel=0 Topology=o</t>
  </si>
  <si>
    <t>cd03045, GST_N_Delta_Epsilon, GST_N family, Class Delta and Epsilon subfamily;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GSTs also show GSH peroxidase activity and are involved in the synthesis of prostaglandins and leukotrienes. The GST fold contains an N-terminal TRX-fold domain and a C-terminal alpha helical domain, with an active site located in a cleft between the two domains. The class Delta and Epsilon subfamily is made up primarily of insect GSTs, which play major roles in insecticide resistance by facilitating reductive dehydrochlorination of insecticides or conjugating them with GSH to produce water-soluble metabolites that are easily excreted. They are also implicated in protection against cellular damage by oxidative stress.</t>
  </si>
  <si>
    <t>GST_N_Delta_Epsilon 1e-031| GST_C_Delta_Epsilon 3e-031| Gst 1e-025| GST_N_Theta 3e-015| GST_N_family 3e-014| GST_N_Ure2p_like 3e-014| PRK11752 7e-014| PRK13972 2e-013| PLN02395 2e-011| GST_N_Beta 6e-011|</t>
  </si>
  <si>
    <t xml:space="preserve"> AgamP4_2R:55503104-55504085(+) </t>
  </si>
  <si>
    <t xml:space="preserve">1 | 222    ERFRAMR|AA  0.601 *ProP*  | </t>
  </si>
  <si>
    <t>AGAP007781-RA</t>
  </si>
  <si>
    <t xml:space="preserve">eukaryotic translation initiation factor 4E-binding protein 1 </t>
  </si>
  <si>
    <t>eukaryotic translation initiation factor 4E-binding protein 1</t>
  </si>
  <si>
    <t>Eukaryotic translation initiation factor 4E binding protein (4EBP) - probable fragment</t>
  </si>
  <si>
    <t>AGAP007781-PA</t>
  </si>
  <si>
    <t xml:space="preserve"> eukaryotic translation initiation factor 4e-binding protein 3</t>
  </si>
  <si>
    <t>pfam05456, eIF_4EBP, Eukaryotic translation initiation factor 4E binding protein (EIF4EBP).  This family consists of several eukaryotic translation initiation factor 4E binding proteins (EIF4EBP1,2 and 3). Translation initiation in eukaryotes is mediated by the cap structure (m7GpppN, where N is any nucleotide) present at the 5' end of all cellular mRNAs, except organellar. The cap is recognized by eukaryotic initiation factor 4F (eIF4F), which consists of three polypeptides, including eIF4E, the cap-binding protein subunit. The interaction of the cap with eIF4E facilitates the binding of the ribosome to the mRNA. eIF4E activity is regulated in part by translational repressors, 4E-BP1, 4E-BP2 and 4E-BP3 which bind to it and prevent its assembly into eIF4F.</t>
  </si>
  <si>
    <t>eIF_4EBP 3e-040| Ec2MCS_like | PBP1_ABC_ligand_binding_like_10 | PRK08486 | rpoC2 | PRK11864 | PRK11865 | PRK15108 | DsCS_like | acid_phos_Burk |</t>
  </si>
  <si>
    <t>KOG1135, KOG1135, KOG1135, mRNA cleavage and polyadenylation factor II complex, subunit CFT2 (CPSF subunit) [RNA processing and modification].</t>
  </si>
  <si>
    <t xml:space="preserve"> AgamP4_3R:763409-767876(-) </t>
  </si>
  <si>
    <t>AGAP007479-RA</t>
  </si>
  <si>
    <t xml:space="preserve">methylenetetrahydrofolate reductase (NADPH) </t>
  </si>
  <si>
    <t>methylenetetrahydrofolate reductase (NADPH)</t>
  </si>
  <si>
    <t>510-methylenetetrahydrofolate reductase - probable fragment</t>
  </si>
  <si>
    <t>AGAP007479-PA</t>
  </si>
  <si>
    <t xml:space="preserve"> gnlcdd129760</t>
  </si>
  <si>
    <t>tr</t>
  </si>
  <si>
    <t>ExpAA=0.14 First60=0.00 PredHel=0 Topology=o</t>
  </si>
  <si>
    <t>cd00537, MTHFR, Methylenetetrahydrofolate reductase (MTHFR). 5,10-Methylenetetrahydrofolate is reduced to 5-methyltetrahydrofolate by methylenetetrahydrofolate reductase, a cytoplasmic, NAD(P)-dependent enzyme. 5-methyltetrahydrofolate is utilized by methionine synthase to convert homocysteine to methionine. The enzymatic mechanism is a ping-pong bi-bi mechanism, in which NAD(P)+ release precedes the binding of methylenetetrahydrofolate and the acceptor is free FAD. The family includes the 5,10-methylenetetrahydrofolate reductase EC:1.7.99.5 from prokaryotes and methylenetetrahydrofolate reductase EC: 1.5.1.20 from eukaryotes. The bacterial enzyme is a homotetramer and NADH is the preferred reductant while the eukaryotic enzyme is a homodimer and NADPH is the preferred reductant. In humans, there are several clinically significant mutations in MTHFR that result in hyperhomocysteinemia, which is a risk factor for the development of cardiovascular disease.</t>
  </si>
  <si>
    <t>MTHFR 5e-039| 510-methylenetetrahydrofolate_reductas...   144   4e-035 4e-035| MetF 2e-031| MTHFR 2e-028| Methylenetetrahydrofolate_reductase_1 1e-026| PLN02540 5e-024| metF 8e-016| PRK08645 2e-005| LYS9 | Sacchrp_dh_NADP |</t>
  </si>
  <si>
    <t>KOG0564, KOG0564, KOG0564, 5,10-methylenetetrahydrofolate reductase [Amino acid transport and metabolism].</t>
  </si>
  <si>
    <t>pfam02219, MTHFR, Methylenetetrahydrofolate reductase.  This family includes the 5,10-methylenetetrahydrofolate reductase EC:1.7.99.5 from bacteria and methylenetetrahydrofolate reductase EC: 1.5.1.20 from eukaryotes. The structure for this domain is known to be a TIM barrel.</t>
  </si>
  <si>
    <t>smart00537, DCX, Domain in the Doublecortin (DCX) gene product. Tandemly-repeated domain in doublin, the Doublecortin gene product. Proposed to bind tubulin. Doublecortin (DCX) is mutated in human X-linked neuronal migration defects.</t>
  </si>
  <si>
    <t xml:space="preserve"> AgamP4_2L:46844095-46845057(-) </t>
  </si>
  <si>
    <t>AGAP009380-RA</t>
  </si>
  <si>
    <t xml:space="preserve">cellular retinaldehyde-binding protein </t>
  </si>
  <si>
    <t>cellular retinaldehyde-binding protein</t>
  </si>
  <si>
    <t>Phosphatidylinositol transfer protein SEC14</t>
  </si>
  <si>
    <t>AGAP009380-PA</t>
  </si>
  <si>
    <t xml:space="preserve"> retinaldehyde-binding protein 1</t>
  </si>
  <si>
    <t>cd00170, SEC14, Sec14p-like lipid-binding domain. Found in secretory proteins, such as S. cerevisiae phosphatidylinositol transfer protein (Sec14p), and in lipid regulated proteins such as RhoGAPs, RhoGEFs and neurofibromin (NF1). SEC14 domain of Dbl is known to associate with G protein beta/gamma subunits.</t>
  </si>
  <si>
    <t>SEC14 2e-034| CRAL_TRIO 3e-030| SEC14 9e-023| CRAL_TRIO_N 2e-005| HEPN | CRAL_TRIO_2 | PRK13800 | FlgM_jcvi | AMH_N | FlgM |</t>
  </si>
  <si>
    <t>KOG1471, KOG1471, KOG1471, Phosphatidylinositol transfer protein SEC14 and related proteins [Lipid transport and metabolism].</t>
  </si>
  <si>
    <t>pfam00650, CRAL_TRIO, CRAL/TRIO domain.</t>
  </si>
  <si>
    <t xml:space="preserve"> AgamP4_3R:31867070-31868064(-) </t>
  </si>
  <si>
    <t>AGAP011563-RA</t>
  </si>
  <si>
    <t xml:space="preserve">Yippee-like 2 </t>
  </si>
  <si>
    <t>Yippee-like 2</t>
  </si>
  <si>
    <t>AGAP011563-PA partial</t>
  </si>
  <si>
    <t>AGAP011563-PA</t>
  </si>
  <si>
    <t xml:space="preserve"> tra0a82hn96a0a82hn96 anoar yippee domain-containing protein os-arabiensis ox-773 pe-3 sv-2</t>
  </si>
  <si>
    <t>ExpAA=0.22 First60=0.22 PredHel=0 Topology=o</t>
  </si>
  <si>
    <t>pfam03226, Yippee-Mis18, Yippee zinc-binding/DNA-binding /Mis18, centromere assembly.  This family includes both Yippee-type proteins and Mis18 kinetochore proteins. Yippee are putative zinc-binding/DNA-binding proteins. Mis18 are proteins involved in the priming of centromeres for recruiting CENP-A. Mis18-alpha and beta form part of a small complex with Mis18-binding protein. Mis18-alpha is found to interact with DNA de-methylases through a Leu-rich region located at its carboxyl terminus. This entry also includes the CULT domain proteins such as Cereblon.</t>
  </si>
  <si>
    <t>Yippee-Mis18 0.012| CRBN_C_like | PRK13876 | PTZ00112 | EPL1 | PAP1 | PRK10672 | PRK10369 | Zn_peptidase | CcmF |</t>
  </si>
  <si>
    <t>KOG3399, KOG3399, KOG3399, Predicted Yippee-type zinc-binding protein [General function prediction only].</t>
  </si>
  <si>
    <t>smart00115, CASc, Caspase, interleukin-1 beta converting enzyme (ICE) homologues.  Cysteine aspartases that mediate programmed cell death (apoptosis). Caspases are synthesised as zymogens and activated by proteolysis of the peptide backbone adjacent to an aspartate. The resulting two subunits associate to form an (alpha)2(beta)2-tetramer which is the active enzyme. Activation of caspases can be mediated by other caspase homologues.</t>
  </si>
  <si>
    <t xml:space="preserve"> AgamP4_3L:27773266-27774517(-) </t>
  </si>
  <si>
    <t>W(5.15)</t>
  </si>
  <si>
    <t>AGAP012611-RA</t>
  </si>
  <si>
    <t xml:space="preserve">translation initiation factor eIF-2B subunit alpha </t>
  </si>
  <si>
    <t>translation initiation factor eIF-2B subunit alpha</t>
  </si>
  <si>
    <t>AGAP012611-PA</t>
  </si>
  <si>
    <t>pfam01008, IF-2B, Initiation factor 2 subunit family.  This family includes initiation factor 2B alpha, beta and delta subunits from eukaryotes, initiation factor 2B subunits 1 and 2 from archaebacteria and some proteins of unknown function from prokaryotes. Initiation factor 2 binds to Met-tRNA, GTP and the small ribosomal subunit. Members of this family have also been characterized as 5-methylthioribose- 1-phosphate isomerases, an enzyme of the methionine salvage pathway. The crystal structure of Ypr118w, a non-essential, low-copy number gene product from Saccharomyces cerevisiae, reveals a dimeric protein with two domains and a putative active site cleft.</t>
  </si>
  <si>
    <t>IF-2B 7e-064| GCD2 1e-049| PRK08535 9e-026| Ribose_15-bisphosphate_isomerase 2e-024| Putative_methylthioribose-1-phosphate_...   102   3e-022 3e-022| PRK08335 7e-021| COG0182 3e-020| PRK05772 3e-019| PRK06372 2e-018| PRK06036 9e-017|</t>
  </si>
  <si>
    <t>KOG1466, KOG1466, KOG1466, Translation initiation factor 2B, alpha subunit (eIF-2Balpha/GCN3) [Translation, ribosomal structure and biogenesis].</t>
  </si>
  <si>
    <t>smart00216, VWD, von Willebrand factor (vWF) type D domain.  Von Willebrand factor contains several type D domains: D1 and D2 are present within the N-terminal propeptide whereas the remaining D domains are required for multimerisation.</t>
  </si>
  <si>
    <t xml:space="preserve"> AgamP4_UNKN:19943725-19944865(-) </t>
  </si>
  <si>
    <t>AGAP001303-RA</t>
  </si>
  <si>
    <t xml:space="preserve">chemosensory protein 6 </t>
  </si>
  <si>
    <t>SAP1: chemosensory protein 6</t>
  </si>
  <si>
    <t>AGAP001303-PA</t>
  </si>
  <si>
    <t>ExpAA=20.35 First60=20.35 PredHel=1 Topology=i13-31o</t>
  </si>
  <si>
    <t>Drosophila willistoni</t>
  </si>
  <si>
    <t>cd02894, GGTase-II, Geranylgeranyltransferase type II (GGTase-II)_like proteins containing the protein prenyltransferase (PTase) domain, beta subunit (alpha 6 - alpha 6 barrel fold). GGTase-IIs are a subgroup of the protein prenyltransferase family of lipid-modifying enzymes. PTases catalyze the carboxyl-terminal lipidation of Ras, Rab, and several other cellular signal transduction proteins, facilitating membrane associations and specific protein-protein interactions. Prenyltransferases employ a Zn2+ ion to alkylate a thiol group catalyzing the formation of thioether linkages between cysteine residues at or near the C-terminus of protein acceptors and the C1 atom of isoprenoid lipids (geranylgeranyl (20-carbon) in the case of GGTase-II ). GGTase-II catalyzes alkylation of both cysteine residues in Rab proteins containing carboxy-terminal "CC", "CXCX" or "CXC" motifs. PTases are heterodimeric with both alpha and beta subunits required for catalytic activity. In contrast to other prenyltransferases, GGTas-II requires an escort protein to bring the substrate protein to the catalytic heterodimer and to escort the geryanylgeranylated product to the membrane.</t>
  </si>
  <si>
    <t>GGTase-II | Herpes_glycop | LipB | GH38N_AMII_1 | PRK13891 | glmM | PLN03223 | SPRY_PRY_TRIM11 | PRK13560 |</t>
  </si>
  <si>
    <t>KOG2302, KOG2302, KOG2302, T-type voltage-gated Ca2+ channel, pore-forming alpha1I subunit [Inorganic ion transport and metabolism, Signal transduction mechanisms].</t>
  </si>
  <si>
    <t>pfam01528, Herpes_glycop, Herpesvirus glycoprotein M.  The herpesvirus glycoprotein M (gM) is an integral membrane protein predicted to contain 8 transmembrane segments. Glycoprotein M is not essential for viral replication.</t>
  </si>
  <si>
    <t>smart00999, Aerolysin, Aerolysin toxin.  This family represents the pore forming lobe of aerolysin.</t>
  </si>
  <si>
    <t xml:space="preserve"> AgamP4_2R:2716354-2723763(+) </t>
  </si>
  <si>
    <t>W(3.89)</t>
  </si>
  <si>
    <t>AGAP008557-RA</t>
  </si>
  <si>
    <t xml:space="preserve">AMP-binding domain protein </t>
  </si>
  <si>
    <t>AMP-binding domain protein</t>
  </si>
  <si>
    <t>acyl-CoA synthetase</t>
  </si>
  <si>
    <t>AGAP008557-PA</t>
  </si>
  <si>
    <t>ExpAA=23.57 First60=0.00 PredHel=0 Topology=o</t>
  </si>
  <si>
    <t>PRK08315, PRK08315, AMP-binding domain protein; Validated.</t>
  </si>
  <si>
    <t>PRK08315 e-167| PRK12583 e-142| FACL_like_2 e-122| CaiC e-115| PRK07656 2e-098| FC-FACS_FadD_like 2e-094| PRK06187 1e-079| AMP-binding 3e-078| BACL_like 3e-075| AFD_class_I 9e-074|</t>
  </si>
  <si>
    <t>KOG1177, KOG1177, KOG1177, Long chain fatty acid acyl-CoA ligase [Lipid transport and metabolism].</t>
  </si>
  <si>
    <t>pfam00501, AMP-binding, AMP-binding enzyme.</t>
  </si>
  <si>
    <t>smart00828, PKS_MT, Methyltransferase in polyketide synthase (PKS) enzymes.</t>
  </si>
  <si>
    <t xml:space="preserve"> AgamP4_3R:12704293-12711498(-) </t>
  </si>
  <si>
    <t>AGAP028373-RA</t>
  </si>
  <si>
    <t xml:space="preserve">NADH dehydrogenase subunit 3 [Source:European Nucleotide Archive;Acc:ND3] </t>
  </si>
  <si>
    <t>ND3: NADH dehydrogenase subunit 3</t>
  </si>
  <si>
    <t>nadh dehydrogenase subunit 3 (mitochondrion) - signalP detected - 3 predicted membrane helices</t>
  </si>
  <si>
    <t>AGAP028373-PA</t>
  </si>
  <si>
    <t xml:space="preserve"> ubiquinone reductase h+-translocating - Membrane anchor detected - 3 predicted membrane helices</t>
  </si>
  <si>
    <t>pm membrAnchor membrane</t>
  </si>
  <si>
    <t>ExpAA=65.20 First60=26.67 PredHel=3 Topology=o4-26i57-79o89-106i</t>
  </si>
  <si>
    <t>Anopheles coluzzii</t>
  </si>
  <si>
    <t>Emiliania huxleyi</t>
  </si>
  <si>
    <t>MTH00148, ND3, NADH dehydrogenase subunit 3; Provisional.</t>
  </si>
  <si>
    <t>ND3 1e-032| ND3 2e-032| ND3 8e-028| ND3 1e-025| ND3 1e-024| ND3 2e-023| ND3 6e-023| Oxidored_q4 9e-022| ND3 2e-021| ND3 5e-020|</t>
  </si>
  <si>
    <t>KOG4662, KOG4662, KOG4662, NADH dehydrogenase subunit 3 and related proteins [Energy production and conversion].</t>
  </si>
  <si>
    <t>pfam00507, Oxidored_q4, NADH-ubiquinone/plastoquinone oxidoreductase, chain 3.</t>
  </si>
  <si>
    <t>smart00640, Glyco_32, Glycosyl hydrolases family 32.</t>
  </si>
  <si>
    <t>I(3.01)M(3.39)</t>
  </si>
  <si>
    <t>AGAP005715-RB</t>
  </si>
  <si>
    <t xml:space="preserve">Autophagy-related protein 13 [Source:UniProtKB/TrEMBL;Acc:Q7Q6R5] </t>
  </si>
  <si>
    <t>Autophagy-related protein 13</t>
  </si>
  <si>
    <t>autophagy-related protein 13 homolog isoform X3 - 11 OH-glycosylation sites -  11 NetOglyc sites</t>
  </si>
  <si>
    <t>AGAP005715-PB</t>
  </si>
  <si>
    <t xml:space="preserve"> autophagy-related protein 3 os-arabiensis ox-773 pe-3 sv - 11 OH-glycosylation sites -  11 NetOglyc sites</t>
  </si>
  <si>
    <t>ExpAA=0.03 First60=0.03 PredHel=0 Topology=o</t>
  </si>
  <si>
    <t>pfam10033, ATG13, Autophagy-related protein 13.  Members of this family of phosphoproteins are involved in cytoplasm to vacuole transport (Cvt), and more specifically in Cvt vesicle formation. They are probably involved in the switching machinery regulating the conversion between the Cvt pathway and autophagy. Finally, ATG13 is also required for glycogen storage.</t>
  </si>
  <si>
    <t>ATG13 0.040| RdRP_3 | PRK02224 | PRK14963 | PE_PPE_C | SART-1 | SAP130_C | ABC_transporter_related | 24-dihydroxyhept-2-ene-17-dioic_acid_a...    29   3.6   | PLN00020 |</t>
  </si>
  <si>
    <t>KOG3874, KOG3874, KOG3874, Uncharacterized conserved protein [Function unknown].</t>
  </si>
  <si>
    <t>smart00826, PKS_DH, Dehydratase domain in polyketide synthase (PKS) enzymes.</t>
  </si>
  <si>
    <t xml:space="preserve">1 | 53    RVSRIKR|AD  0.643 *ProP*  | </t>
  </si>
  <si>
    <t>AGAP012296-RA</t>
  </si>
  <si>
    <t>CYP9J5: cytochrome P450</t>
  </si>
  <si>
    <t>AGAP012296-PA</t>
  </si>
  <si>
    <t xml:space="preserve"> cytochrome p450 9e2-like protein</t>
  </si>
  <si>
    <t>ExpAA=34.82 First60=19.04 PredHel=1 Topology=i5-22o</t>
  </si>
  <si>
    <t>p450 4e-065| CypX 2e-036| PLN02290 7e-033| PTZ00404 2e-024| PLN02936 8e-022| PLN02738 2e-020| PLN00168 3e-020| PLN03195 3e-019| PLN02302 1e-017| PLN02655 6e-017|</t>
  </si>
  <si>
    <t>smart00849, Lactamase_B, Metallo-beta-lactamase superfamily.  Apart from the beta-lactamases a number of other proteins contain this domain. These proteins include thiolesterases, members of the glyoxalase II family, that catalyse the hydrolysis of S-D-lactoyl-glutathione to form glutathione and D-lactic acid and a competence protein that is essential for natural transformation in Neisseria gonorrhoeae and could be a transporter involved in DNA uptake. Except for the competence protein these proteins bind two zinc ions per molecule as cofactor.</t>
  </si>
  <si>
    <t xml:space="preserve"> AgamP4_3L:39836452-39838508(+) </t>
  </si>
  <si>
    <t>AGAP003688-RA</t>
  </si>
  <si>
    <t xml:space="preserve">threonine aldolase </t>
  </si>
  <si>
    <t>threonine aldolase</t>
  </si>
  <si>
    <t>Threonine aldolase</t>
  </si>
  <si>
    <t>AGAP003688-PA</t>
  </si>
  <si>
    <t xml:space="preserve"> gly1</t>
  </si>
  <si>
    <t>ExpAA=0.43 First60=0.00 PredHel=0 Topology=o</t>
  </si>
  <si>
    <t>PLN02721, PLN02721, threonine aldolase.</t>
  </si>
  <si>
    <t>PLN02721 e-106| Beta_elim_lyase e-102| TA_like 2e-089| PRK10534 4e-082| GLY1 1e-077| AAT_I 9e-014| PRK06767 1e-007| csdA 7e-007| Aminotran_1_2 6e-006| Aminotran_5 3e-005|</t>
  </si>
  <si>
    <t>KOG1368, KOG1368, KOG1368, Threonine aldolase [Amino acid transport and metabolism].</t>
  </si>
  <si>
    <t>pfam01212, Beta_elim_lyase, Beta-eliminating lyase.</t>
  </si>
  <si>
    <t xml:space="preserve"> AgamP4_2R:42038950-42041358(-) </t>
  </si>
  <si>
    <t xml:space="preserve">3 | 208    PVSRIVR|DV  0.601 *ProP*  | 244    EAHRLRK|AL  0.530 *ProP*  | 280    DHARTRR|VA  0.595 *ProP*  | </t>
  </si>
  <si>
    <t>AGAP028360-RA</t>
  </si>
  <si>
    <t xml:space="preserve">NADH dehydrogenase subunit 2 [Source:European Nucleotide Archive;Acc:ND2] </t>
  </si>
  <si>
    <t>ND2: NADH dehydrogenase subunit 2</t>
  </si>
  <si>
    <t>Proton-conducting membrane transporter - 10 predicted membrane helices - GPI anchored</t>
  </si>
  <si>
    <t>tr membrane/gpi</t>
  </si>
  <si>
    <t>AGAP028360-PA</t>
  </si>
  <si>
    <t xml:space="preserve"> ubiquinone reductase h+-translocating - 10 predicted membrane helices - GPI anchored</t>
  </si>
  <si>
    <t>pm membrane/gpi</t>
  </si>
  <si>
    <t>ExpAA=192.18 First60=23.65 PredHel=9 Topology=i7-29o60-82i95-114o145-167i174-191o201-223i235-257o272-294i318-340o</t>
  </si>
  <si>
    <t>Pseudoperonospora cubensis</t>
  </si>
  <si>
    <t>MTH00160, ND2, NADH dehydrogenase subunit 2; Provisional.</t>
  </si>
  <si>
    <t>ND2 3e-057| ND2 1e-056| ND2 6e-055| ND2 4e-053| ND2 1e-052| ND2 2e-051| ND2 1e-047| ND2 3e-045| Proton_antipo_M 5e-045| ND2 1e-042|</t>
  </si>
  <si>
    <t>KOG4668, KOG4668, KOG4668, NADH dehydrogenase subunits 2, 5, and related proteins [Energy production and conversion].</t>
  </si>
  <si>
    <t>pfam00361, Proton_antipo_M, Proton-conducting membrane transporter. This is a family of membrane transporters that inlcudes some 7 of potentially 14-16 TM regions. In many instances the family forms part of complex I that catalyzes the transfer of two electrons from NADH to ubiquinone in a reaction that is associated with proton translocation across the membrane, and in this context is a combination predominantly of subunits 2, 4, 5, 14, L, M and N. In many bacterial species these proteins are probable stand-alone transporters not coupled with oxidoreduction. The family in total represents homologs across the phyla.</t>
  </si>
  <si>
    <t>smart00231, FA58C, Coagulation factor 5/8 C-terminal domain, discoidin domain.  Cell surface-attached carbohydrate-binding domain, present in eukaryotes and assumed to have horizontally transferred to eubacterial genomes.</t>
  </si>
  <si>
    <t>I</t>
  </si>
  <si>
    <t>M(3.49)</t>
  </si>
  <si>
    <t>AGAP003689-RA</t>
  </si>
  <si>
    <t xml:space="preserve">CLIP-domain serine protease [Source:UniProtKB/TrEMBL;Acc:A0A1S4GIW4] </t>
  </si>
  <si>
    <t>CLIPC7: CLIP-domain serine protease</t>
  </si>
  <si>
    <t>AGAP003689-PA</t>
  </si>
  <si>
    <t xml:space="preserve"> tra0as4giw4a0as4giw4 anoga clip-domain serine protease os-ox-76 pe-4 sv - signalP detected</t>
  </si>
  <si>
    <t>ExpAA=18.28 First60=18.28 PredHel=1 Topology=i7-26o</t>
  </si>
  <si>
    <t>Thalassiosira pseudonana CCMP1335</t>
  </si>
  <si>
    <t>Pseudonaja textilis</t>
  </si>
  <si>
    <t>Tryp_SPc 6e-025| Tryp_SPc 1e-024| Trypsin 2e-019| CLIP 1e-004| CLIP 7e-004| COG5640 0.053| COG3591 | STKc_TSSK1_2-like | DUF1826 | PBP2_Arg_Lys_His |</t>
  </si>
  <si>
    <t>AGAP029285-RA</t>
  </si>
  <si>
    <t>AGAP012173-PA-like protein</t>
  </si>
  <si>
    <t>AGAP029285-PA</t>
  </si>
  <si>
    <t xml:space="preserve"> tra0a82uip0a0a82uip0 9dipt os-melas pe-4 sv</t>
  </si>
  <si>
    <t>ExpAA=0.20 First60=0.03 PredHel=0 Topology=o</t>
  </si>
  <si>
    <t>Bacillus subtilis (strain 168)</t>
  </si>
  <si>
    <t>ANK 3e-004| Ank_2 | ANK | Ecm29 | PrkA | PRK06058 | dnaA | gcvP | CuRO_2_BOD_CotA_like | Peptidase_M2 |</t>
  </si>
  <si>
    <t>KOG1912, KOG1912, KOG1912, WD40 repeat protein [General function prediction only].</t>
  </si>
  <si>
    <t xml:space="preserve"> AgamP4_3L:11708402-11713351(+) </t>
  </si>
  <si>
    <t>AGAP029568-RD</t>
  </si>
  <si>
    <t>Focal adhesion protein Tensin contains PTB domain - 13 OH-glycosylation sites -  13 NetOglyc sites</t>
  </si>
  <si>
    <t>AGAP029568-PD</t>
  </si>
  <si>
    <t xml:space="preserve"> gnlcdd229869 - 13 OH-glycosylation sites -  13 NetOglyc sites</t>
  </si>
  <si>
    <t>PTB_tensin 5e-064| SH2_Tensin_like 9e-050| PTB 8e-029| PTEN_C2 7e-024| PTB 1e-015| SH2 4e-012| PTB 2e-011| SH2 2e-011| PHA03247 2e-007| SH2 1e-006|</t>
  </si>
  <si>
    <t xml:space="preserve"> AgamP4_2R:8060888-8117497(-) </t>
  </si>
  <si>
    <t>FC</t>
  </si>
  <si>
    <t xml:space="preserve">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</si>
</sst>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sz val="11"/>
      <color rgb="FF3F3F76"/>
      <name val="Aptos Narrow"/>
      <family val="2"/>
      <scheme val="minor"/>
    </font>
    <font>
      <u/>
      <sz val="11"/>
      <color theme="10"/>
      <name val="Aptos Narrow"/>
      <family val="2"/>
      <scheme val="minor"/>
    </font>
    <font>
      <b/>
      <sz val="12"/>
      <color theme="1"/>
      <name val="Aptos Narrow"/>
      <family val="2"/>
      <scheme val="minor"/>
    </font>
    <font>
      <b/>
      <sz val="11"/>
      <color rgb="FF3176C9"/>
      <name val="Aptos Narrow"/>
      <family val="2"/>
      <scheme val="minor"/>
    </font>
    <font>
      <b/>
      <sz val="12"/>
      <color rgb="FF3F3F76"/>
      <name val="Aptos Narrow"/>
      <family val="2"/>
      <scheme val="minor"/>
    </font>
    <font>
      <sz val="11"/>
      <name val="Aptos Narrow"/>
      <family val="2"/>
      <scheme val="minor"/>
    </font>
  </fonts>
  <fills count="4">
    <fill>
      <patternFill patternType="none"/>
    </fill>
    <fill>
      <patternFill patternType="gray125"/>
    </fill>
    <fill>
      <patternFill patternType="solid">
        <fgColor rgb="FFFFCC99"/>
      </patternFill>
    </fill>
    <fill>
      <patternFill patternType="solid">
        <fgColor rgb="FFFFFFCC"/>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0" fontId="2" fillId="2" borderId="1" applyNumberFormat="0" applyAlignment="0" applyProtection="0"/>
    <xf numFmtId="0" fontId="1" fillId="3" borderId="2" applyNumberFormat="0" applyFont="0" applyAlignment="0" applyProtection="0"/>
    <xf numFmtId="0" fontId="3" fillId="0" borderId="0" applyNumberFormat="0" applyFill="0" applyBorder="0" applyAlignment="0" applyProtection="0"/>
  </cellStyleXfs>
  <cellXfs count="16">
    <xf numFmtId="0" fontId="0" fillId="0" borderId="0" xfId="0"/>
    <xf numFmtId="0" fontId="4" fillId="0" borderId="2" xfId="2" applyFont="1" applyFill="1" applyAlignment="1"/>
    <xf numFmtId="0" fontId="0" fillId="0" borderId="0" xfId="0" applyFill="1"/>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6" fillId="0" borderId="1" xfId="1" applyFont="1" applyFill="1" applyAlignment="1"/>
    <xf numFmtId="0" fontId="5" fillId="0" borderId="5" xfId="0" applyFont="1" applyFill="1" applyBorder="1" applyAlignment="1">
      <alignment horizontal="center" wrapText="1"/>
    </xf>
    <xf numFmtId="0" fontId="4" fillId="0" borderId="2" xfId="2" applyFont="1" applyFill="1" applyAlignment="1">
      <alignment horizontal="center"/>
    </xf>
    <xf numFmtId="0" fontId="0" fillId="0" borderId="0" xfId="0" applyFill="1" applyAlignment="1">
      <alignment horizontal="center"/>
    </xf>
    <xf numFmtId="0" fontId="0" fillId="0" borderId="6" xfId="0" applyFill="1" applyBorder="1"/>
    <xf numFmtId="0" fontId="7" fillId="0" borderId="1" xfId="1" applyFont="1" applyFill="1"/>
    <xf numFmtId="0" fontId="0" fillId="0" borderId="6" xfId="0" applyFill="1" applyBorder="1" applyAlignment="1">
      <alignment horizontal="center"/>
    </xf>
    <xf numFmtId="0" fontId="0" fillId="0" borderId="7" xfId="0" applyFill="1" applyBorder="1" applyAlignment="1">
      <alignment horizontal="center"/>
    </xf>
    <xf numFmtId="11" fontId="0" fillId="0" borderId="0" xfId="0" applyNumberFormat="1" applyFill="1"/>
    <xf numFmtId="0" fontId="3" fillId="0" borderId="0" xfId="3" applyFill="1"/>
    <xf numFmtId="0" fontId="0" fillId="0" borderId="7" xfId="0" applyFill="1" applyBorder="1"/>
  </cellXfs>
  <cellStyles count="4">
    <cellStyle name="Hyperlink" xfId="3" builtinId="8"/>
    <cellStyle name="Input" xfId="1" builtinId="20"/>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ectorbase.org/vectorbase/app/search?q=AGAP029991" TargetMode="External"/><Relationship Id="rId2" Type="http://schemas.openxmlformats.org/officeDocument/2006/relationships/hyperlink" Target="https://vectorbase.org/vectorbase/app/search?q=AGAP029978" TargetMode="External"/><Relationship Id="rId1" Type="http://schemas.openxmlformats.org/officeDocument/2006/relationships/hyperlink" Target="https://vectorbase.org/vectorbase/app/search?q=AGAP029978" TargetMode="External"/><Relationship Id="rId6" Type="http://schemas.openxmlformats.org/officeDocument/2006/relationships/hyperlink" Target="https://vectorbase.org/vectorbase/app/search?q=AGAP029991" TargetMode="External"/><Relationship Id="rId5" Type="http://schemas.openxmlformats.org/officeDocument/2006/relationships/hyperlink" Target="https://vectorbase.org/vectorbase/app/search?q=AGAP029978" TargetMode="External"/><Relationship Id="rId4" Type="http://schemas.openxmlformats.org/officeDocument/2006/relationships/hyperlink" Target="https://vectorbase.org/vectorbase/app/search?q=AGAP0299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D45F8-A365-464D-9B28-D25E8D6C5B2D}">
  <dimension ref="A1:EZ245"/>
  <sheetViews>
    <sheetView tabSelected="1" topLeftCell="A196" workbookViewId="0">
      <selection activeCell="H16" sqref="H16"/>
    </sheetView>
  </sheetViews>
  <sheetFormatPr defaultRowHeight="15" x14ac:dyDescent="0.25"/>
  <cols>
    <col min="1" max="1" width="18.140625" style="2" customWidth="1"/>
    <col min="2" max="7" width="9.140625" style="2"/>
    <col min="8" max="8" width="25.42578125" style="2" customWidth="1"/>
    <col min="9" max="9" width="24.140625" style="2" customWidth="1"/>
    <col min="10" max="10" width="22" style="2" customWidth="1"/>
    <col min="11" max="11" width="20.7109375" style="2" customWidth="1"/>
    <col min="12" max="16384" width="9.140625" style="2"/>
  </cols>
  <sheetData>
    <row r="1" spans="1:156" ht="105" x14ac:dyDescent="0.25">
      <c r="A1" s="1" t="s">
        <v>0</v>
      </c>
      <c r="B1" s="2" t="s">
        <v>1</v>
      </c>
      <c r="C1" s="2" t="s">
        <v>2942</v>
      </c>
      <c r="D1" s="2" t="s">
        <v>2</v>
      </c>
      <c r="E1" s="2" t="s">
        <v>3</v>
      </c>
      <c r="F1" s="2" t="s">
        <v>4</v>
      </c>
      <c r="G1" s="2" t="s">
        <v>5</v>
      </c>
      <c r="H1" s="1" t="s">
        <v>6</v>
      </c>
      <c r="I1" s="1" t="s">
        <v>7</v>
      </c>
      <c r="J1" s="1" t="s">
        <v>8</v>
      </c>
      <c r="K1" s="3" t="s">
        <v>9</v>
      </c>
      <c r="L1" s="3" t="s">
        <v>10</v>
      </c>
      <c r="M1" s="3" t="s">
        <v>11</v>
      </c>
      <c r="N1" s="3" t="s">
        <v>12</v>
      </c>
      <c r="O1" s="3" t="s">
        <v>13</v>
      </c>
      <c r="P1" s="3" t="s">
        <v>58</v>
      </c>
      <c r="Q1" s="3" t="s">
        <v>2943</v>
      </c>
      <c r="R1" s="4" t="s">
        <v>14</v>
      </c>
      <c r="S1" s="3" t="s">
        <v>15</v>
      </c>
      <c r="T1" s="3" t="s">
        <v>16</v>
      </c>
      <c r="U1" s="3" t="s">
        <v>17</v>
      </c>
      <c r="V1" s="5" t="s">
        <v>18</v>
      </c>
      <c r="W1" s="5" t="s">
        <v>19</v>
      </c>
      <c r="X1" s="5" t="s">
        <v>20</v>
      </c>
      <c r="Y1" s="5" t="s">
        <v>21</v>
      </c>
      <c r="Z1" s="5" t="s">
        <v>16</v>
      </c>
      <c r="AA1" s="5" t="s">
        <v>22</v>
      </c>
      <c r="AB1" s="3" t="s">
        <v>23</v>
      </c>
      <c r="AC1" s="3" t="s">
        <v>24</v>
      </c>
      <c r="AD1" s="4" t="s">
        <v>25</v>
      </c>
      <c r="AE1" s="3" t="s">
        <v>26</v>
      </c>
      <c r="AF1" s="3" t="s">
        <v>27</v>
      </c>
      <c r="AG1" s="3" t="s">
        <v>28</v>
      </c>
      <c r="AH1" s="3" t="s">
        <v>29</v>
      </c>
      <c r="AI1" s="3" t="s">
        <v>30</v>
      </c>
      <c r="AJ1" s="3" t="s">
        <v>31</v>
      </c>
      <c r="AK1" s="3" t="s">
        <v>32</v>
      </c>
      <c r="AL1" s="3" t="s">
        <v>33</v>
      </c>
      <c r="AM1" s="6" t="s">
        <v>34</v>
      </c>
      <c r="AN1" s="3" t="s">
        <v>35</v>
      </c>
      <c r="AO1" s="4" t="str">
        <f>HYPERLINK("http://www.cbs.dtu.dk/services/NetOGlyc/","No. potential glyc sites")</f>
        <v>No. potential glyc sites</v>
      </c>
      <c r="AP1" s="3" t="s">
        <v>36</v>
      </c>
      <c r="AQ1" s="3" t="s">
        <v>37</v>
      </c>
      <c r="AR1" s="3" t="s">
        <v>38</v>
      </c>
      <c r="AS1" s="3" t="s">
        <v>39</v>
      </c>
      <c r="AT1" s="3" t="s">
        <v>40</v>
      </c>
      <c r="AU1" s="4" t="s">
        <v>41</v>
      </c>
      <c r="AV1" s="3" t="s">
        <v>42</v>
      </c>
      <c r="AW1" s="3" t="s">
        <v>43</v>
      </c>
      <c r="AX1" s="3" t="s">
        <v>44</v>
      </c>
      <c r="AY1" s="3" t="s">
        <v>17</v>
      </c>
      <c r="AZ1" s="6" t="s">
        <v>45</v>
      </c>
      <c r="BA1" s="3" t="s">
        <v>46</v>
      </c>
      <c r="BB1" s="4" t="s">
        <v>41</v>
      </c>
      <c r="BC1" s="3" t="s">
        <v>42</v>
      </c>
      <c r="BD1" s="3" t="s">
        <v>43</v>
      </c>
      <c r="BE1" s="3" t="s">
        <v>44</v>
      </c>
      <c r="BF1" s="3" t="s">
        <v>17</v>
      </c>
      <c r="BG1" s="6" t="s">
        <v>45</v>
      </c>
      <c r="BH1" s="3" t="s">
        <v>47</v>
      </c>
      <c r="BI1" s="4" t="s">
        <v>41</v>
      </c>
      <c r="BJ1" s="3" t="s">
        <v>42</v>
      </c>
      <c r="BK1" s="3" t="s">
        <v>43</v>
      </c>
      <c r="BL1" s="3" t="s">
        <v>44</v>
      </c>
      <c r="BM1" s="3" t="s">
        <v>17</v>
      </c>
      <c r="BN1" s="6" t="s">
        <v>45</v>
      </c>
      <c r="BO1" s="3" t="s">
        <v>48</v>
      </c>
      <c r="BP1" s="4" t="s">
        <v>41</v>
      </c>
      <c r="BQ1" s="3" t="s">
        <v>42</v>
      </c>
      <c r="BR1" s="3" t="s">
        <v>43</v>
      </c>
      <c r="BS1" s="3" t="s">
        <v>44</v>
      </c>
      <c r="BT1" s="3" t="s">
        <v>17</v>
      </c>
      <c r="BU1" s="6" t="s">
        <v>45</v>
      </c>
      <c r="BV1" s="3" t="s">
        <v>49</v>
      </c>
      <c r="BW1" s="4" t="s">
        <v>50</v>
      </c>
      <c r="BX1" s="3" t="s">
        <v>51</v>
      </c>
      <c r="BY1" s="3" t="s">
        <v>43</v>
      </c>
      <c r="BZ1" s="3" t="s">
        <v>44</v>
      </c>
      <c r="CA1" s="3" t="s">
        <v>17</v>
      </c>
      <c r="CB1" s="3" t="s">
        <v>52</v>
      </c>
      <c r="CC1" s="4" t="s">
        <v>41</v>
      </c>
      <c r="CD1" s="3" t="s">
        <v>53</v>
      </c>
      <c r="CE1" s="3" t="s">
        <v>54</v>
      </c>
      <c r="CF1" s="6" t="s">
        <v>55</v>
      </c>
      <c r="CG1" s="3" t="s">
        <v>56</v>
      </c>
      <c r="CH1" s="4" t="s">
        <v>41</v>
      </c>
      <c r="CI1" s="3" t="s">
        <v>53</v>
      </c>
      <c r="CJ1" s="3" t="s">
        <v>54</v>
      </c>
      <c r="CK1" s="6" t="s">
        <v>20</v>
      </c>
      <c r="CL1" s="3" t="s">
        <v>57</v>
      </c>
      <c r="CM1" s="4" t="s">
        <v>41</v>
      </c>
      <c r="CN1" s="3" t="s">
        <v>53</v>
      </c>
      <c r="CO1" s="6" t="s">
        <v>58</v>
      </c>
      <c r="CP1" s="3" t="s">
        <v>59</v>
      </c>
      <c r="CQ1" s="4" t="s">
        <v>41</v>
      </c>
      <c r="CR1" s="3" t="s">
        <v>53</v>
      </c>
      <c r="CS1" s="6" t="s">
        <v>58</v>
      </c>
      <c r="CT1" s="6" t="s">
        <v>60</v>
      </c>
      <c r="CU1" s="6" t="s">
        <v>61</v>
      </c>
      <c r="CV1" s="1" t="s">
        <v>62</v>
      </c>
      <c r="CW1" s="1" t="s">
        <v>62</v>
      </c>
      <c r="CX1" s="1" t="s">
        <v>53</v>
      </c>
      <c r="CY1" s="1" t="s">
        <v>11</v>
      </c>
      <c r="CZ1" s="1" t="s">
        <v>63</v>
      </c>
      <c r="DA1" s="1" t="s">
        <v>64</v>
      </c>
      <c r="DB1" s="1" t="s">
        <v>12</v>
      </c>
      <c r="DC1" s="1" t="s">
        <v>13</v>
      </c>
      <c r="DD1" s="1" t="s">
        <v>65</v>
      </c>
      <c r="DE1" s="1" t="s">
        <v>0</v>
      </c>
      <c r="DF1" s="1" t="s">
        <v>6</v>
      </c>
      <c r="DG1" s="1" t="s">
        <v>7</v>
      </c>
      <c r="DH1" s="1" t="s">
        <v>8</v>
      </c>
      <c r="DI1" s="1" t="s">
        <v>10</v>
      </c>
      <c r="DJ1" s="1" t="s">
        <v>11</v>
      </c>
      <c r="DK1" s="1" t="str">
        <f>HYPERLINK("http://www.cbs.dtu.dk/services/NetOGlyc/","No. potential glyc sites")</f>
        <v>No. potential glyc sites</v>
      </c>
      <c r="DL1" s="1" t="s">
        <v>36</v>
      </c>
      <c r="DM1" s="1" t="s">
        <v>37</v>
      </c>
      <c r="DN1" s="1" t="s">
        <v>38</v>
      </c>
      <c r="DO1" s="1" t="s">
        <v>39</v>
      </c>
      <c r="DP1" s="1" t="s">
        <v>66</v>
      </c>
      <c r="DQ1" s="1" t="s">
        <v>24</v>
      </c>
      <c r="DR1" s="1" t="s">
        <v>25</v>
      </c>
      <c r="DS1" s="1" t="s">
        <v>26</v>
      </c>
      <c r="DT1" s="1" t="s">
        <v>27</v>
      </c>
      <c r="DU1" s="1" t="s">
        <v>28</v>
      </c>
      <c r="DV1" s="1" t="s">
        <v>29</v>
      </c>
      <c r="DW1" s="1" t="s">
        <v>30</v>
      </c>
      <c r="DX1" s="1" t="s">
        <v>67</v>
      </c>
      <c r="DY1" s="7" t="s">
        <v>31</v>
      </c>
      <c r="DZ1" s="1" t="s">
        <v>32</v>
      </c>
      <c r="EA1" s="1" t="s">
        <v>33</v>
      </c>
      <c r="EB1" s="1" t="s">
        <v>34</v>
      </c>
      <c r="EC1" s="1" t="s">
        <v>68</v>
      </c>
      <c r="ED1" s="1" t="s">
        <v>69</v>
      </c>
      <c r="EE1" s="1" t="s">
        <v>70</v>
      </c>
      <c r="EF1" s="1" t="s">
        <v>71</v>
      </c>
      <c r="EG1" s="1" t="s">
        <v>23</v>
      </c>
      <c r="EH1" s="1" t="s">
        <v>72</v>
      </c>
      <c r="EI1" s="1" t="s">
        <v>73</v>
      </c>
      <c r="EJ1" s="1" t="s">
        <v>74</v>
      </c>
      <c r="EK1" s="1" t="s">
        <v>75</v>
      </c>
      <c r="EL1" s="1" t="s">
        <v>76</v>
      </c>
      <c r="EM1" s="1" t="s">
        <v>77</v>
      </c>
      <c r="EN1" s="1" t="s">
        <v>78</v>
      </c>
      <c r="EO1" s="1" t="s">
        <v>79</v>
      </c>
      <c r="EP1" s="1" t="s">
        <v>80</v>
      </c>
      <c r="EQ1" s="1" t="s">
        <v>81</v>
      </c>
      <c r="ER1" s="1" t="s">
        <v>82</v>
      </c>
      <c r="ES1" s="1" t="s">
        <v>83</v>
      </c>
      <c r="ET1" s="1" t="s">
        <v>46</v>
      </c>
      <c r="EU1" s="1" t="s">
        <v>41</v>
      </c>
      <c r="EV1" s="1" t="s">
        <v>42</v>
      </c>
      <c r="EW1" s="1" t="s">
        <v>43</v>
      </c>
      <c r="EX1" s="1" t="s">
        <v>44</v>
      </c>
      <c r="EY1" s="1" t="s">
        <v>17</v>
      </c>
      <c r="EZ1" s="1" t="s">
        <v>84</v>
      </c>
    </row>
    <row r="2" spans="1:156" x14ac:dyDescent="0.25">
      <c r="A2" s="2" t="s">
        <v>85</v>
      </c>
      <c r="B2" s="2">
        <v>7.8337016394072796</v>
      </c>
      <c r="C2" s="2">
        <v>228.12830335746114</v>
      </c>
      <c r="D2" s="2">
        <v>-6.7650847151343493E-2</v>
      </c>
      <c r="E2" s="2">
        <v>60.268269715296903</v>
      </c>
      <c r="F2" s="2">
        <v>8.2770993199095102E-15</v>
      </c>
      <c r="G2" s="2">
        <v>1.9569132067096099E-11</v>
      </c>
      <c r="H2" s="2" t="s">
        <v>86</v>
      </c>
      <c r="I2" s="2" t="s">
        <v>87</v>
      </c>
      <c r="J2" s="2" t="str">
        <f>HYPERLINK("https://vectorbase.org/vectorbase/app/record/gene/AGAP013511","AGAP013511-RC")</f>
        <v>AGAP013511-RC</v>
      </c>
      <c r="K2" s="2" t="str">
        <f>HYPERLINK(".\links\pep\AGAP013511-PC-pep.txt","AGAP013511-PC")</f>
        <v>AGAP013511-PC</v>
      </c>
      <c r="L2" s="8" t="s">
        <v>88</v>
      </c>
      <c r="M2" s="2">
        <v>481</v>
      </c>
      <c r="N2" s="2">
        <v>0</v>
      </c>
      <c r="O2" s="2">
        <v>5</v>
      </c>
      <c r="P2" s="2" t="s">
        <v>89</v>
      </c>
      <c r="Q2" s="9" t="s">
        <v>90</v>
      </c>
      <c r="R2" s="2" t="s">
        <v>91</v>
      </c>
      <c r="S2" s="2" t="str">
        <f>HYPERLINK(".\links\PFAM\AGAP013511-PC-PFAM.txt","PFAM")</f>
        <v>PFAM</v>
      </c>
      <c r="T2" s="2">
        <v>9.9999999999999995E-58</v>
      </c>
      <c r="U2" s="2">
        <v>103.4</v>
      </c>
      <c r="V2" s="2" t="s">
        <v>92</v>
      </c>
      <c r="W2" s="10" t="s">
        <v>93</v>
      </c>
      <c r="X2" s="2" t="s">
        <v>91</v>
      </c>
      <c r="Y2" s="2" t="str">
        <f>HYPERLINK(".\links\CDD\AGAP013511-PC-CDD.txt","CDD")</f>
        <v>CDD</v>
      </c>
      <c r="Z2" s="2">
        <v>0</v>
      </c>
      <c r="AA2" s="2">
        <v>102.3</v>
      </c>
      <c r="AB2" s="11" t="s">
        <v>94</v>
      </c>
      <c r="AC2" s="11" t="str">
        <f>HYPERLINK(".\links\Sigp\AGAP013511-PC-SigP.txt","BL")</f>
        <v>BL</v>
      </c>
      <c r="AD2" s="2" t="s">
        <v>95</v>
      </c>
      <c r="AE2" s="2">
        <v>55.043999999999997</v>
      </c>
      <c r="AF2" s="2">
        <v>7.55</v>
      </c>
      <c r="AG2" s="2">
        <v>51.868000000000002</v>
      </c>
      <c r="AH2" s="2">
        <v>8.08</v>
      </c>
      <c r="AI2" s="2" t="s">
        <v>96</v>
      </c>
      <c r="AJ2" s="11" t="str">
        <f>HYPERLINK(".\links\tmhmm\AGAP013511-PC-tmhmm.txt","2")</f>
        <v>2</v>
      </c>
      <c r="AK2" s="2">
        <v>9.1</v>
      </c>
      <c r="AL2" s="2">
        <v>51.4</v>
      </c>
      <c r="AM2" s="2">
        <v>39.5</v>
      </c>
      <c r="AN2" s="11" t="str">
        <f>HYPERLINK(".\links\gpi\AGAP013511-PC-gpi.txt","N")</f>
        <v>N</v>
      </c>
      <c r="AO2" s="12" t="str">
        <f>HYPERLINK(".\links\netoglyc\AGAP013511-PC-netoglyc.txt","0")</f>
        <v>0</v>
      </c>
      <c r="AP2" s="11">
        <v>11</v>
      </c>
      <c r="AQ2" s="2">
        <v>5.6</v>
      </c>
      <c r="AR2" s="2">
        <v>4.8</v>
      </c>
      <c r="AS2" s="2" t="s">
        <v>97</v>
      </c>
      <c r="AT2" s="9" t="str">
        <f>HYPERLINK(".\links\NR-LIGHT\AGAP013511-PC-NR-LIGHT.txt","AGAP013511-PC")</f>
        <v>AGAP013511-PC</v>
      </c>
      <c r="AU2" s="2" t="str">
        <f>HYPERLINK("http://www.ncbi.nlm.nih.gov/sutils/blink.cgi?pid=XP_003436447.1","0.0")</f>
        <v>0.0</v>
      </c>
      <c r="AV2" s="2" t="str">
        <f>HYPERLINK("http://www.ncbi.nlm.nih.gov/protein/XP_003436447.1","XP_003436447.1")</f>
        <v>XP_003436447.1</v>
      </c>
      <c r="AW2" s="2">
        <v>100</v>
      </c>
      <c r="AX2" s="2">
        <v>100</v>
      </c>
      <c r="AY2" s="2">
        <v>100</v>
      </c>
      <c r="AZ2" s="2" t="s">
        <v>98</v>
      </c>
      <c r="BA2" s="9" t="str">
        <f>HYPERLINK(".\links\REFSEQ-INVERTEBRATE\AGAP013511-PC-REFSEQ-INVERTEBRATE.txt","AGAP013511-PA")</f>
        <v>AGAP013511-PA</v>
      </c>
      <c r="BB2" s="2" t="str">
        <f>HYPERLINK("http://www.ncbi.nlm.nih.gov/sutils/blink.cgi?pid=XP_003436449.1","0.0")</f>
        <v>0.0</v>
      </c>
      <c r="BC2" s="2" t="str">
        <f>HYPERLINK("http://www.ncbi.nlm.nih.gov/protein/XP_003436449.1","XP_003436449.1")</f>
        <v>XP_003436449.1</v>
      </c>
      <c r="BD2" s="2">
        <v>100</v>
      </c>
      <c r="BE2" s="2">
        <v>100</v>
      </c>
      <c r="BF2" s="2">
        <v>100</v>
      </c>
      <c r="BG2" s="2" t="s">
        <v>98</v>
      </c>
      <c r="BH2" s="9" t="str">
        <f>HYPERLINK(".\links\REFSEQ-PROTOZOA\AGAP013511-PC-REFSEQ-PROTOZOA.txt","hypothetical protein H310_14851")</f>
        <v>hypothetical protein H310_14851</v>
      </c>
      <c r="BI2" s="2" t="str">
        <f>HYPERLINK("http://www.ncbi.nlm.nih.gov/sutils/blink.cgi?pid=XP_008881015.1","5E-023")</f>
        <v>5E-023</v>
      </c>
      <c r="BJ2" s="2" t="str">
        <f>HYPERLINK("http://www.ncbi.nlm.nih.gov/protein/XP_008881015.1","XP_008881015.1")</f>
        <v>XP_008881015.1</v>
      </c>
      <c r="BK2" s="2">
        <v>23</v>
      </c>
      <c r="BL2" s="2">
        <v>44</v>
      </c>
      <c r="BM2" s="2">
        <v>92</v>
      </c>
      <c r="BN2" s="2" t="s">
        <v>99</v>
      </c>
      <c r="BO2" s="9" t="str">
        <f>HYPERLINK(".\links\SWISSP\AGAP013511-PC-SWISSP.txt","Probable cytochrome P450 28a5")</f>
        <v>Probable cytochrome P450 28a5</v>
      </c>
      <c r="BP2" s="2" t="str">
        <f>HYPERLINK("http://www.uniprot.org/uniprot/Q9V419","4E-096")</f>
        <v>4E-096</v>
      </c>
      <c r="BQ2" s="2" t="str">
        <f>HYPERLINK("http://www.uniprot.org/uniprot/Q9V419#expression","Q9V419")</f>
        <v>Q9V419</v>
      </c>
      <c r="BR2" s="2">
        <v>36</v>
      </c>
      <c r="BS2" s="2">
        <v>57</v>
      </c>
      <c r="BT2" s="2">
        <v>101</v>
      </c>
      <c r="BU2" s="2" t="s">
        <v>100</v>
      </c>
      <c r="BV2" s="9" t="str">
        <f>HYPERLINK(".\links\FLYBASE\AGAP013511-PC-FLYBASE.txt","FBpp0080164")</f>
        <v>FBpp0080164</v>
      </c>
      <c r="BW2" s="2" t="str">
        <f>HYPERLINK("http://flybase.org/reports/FBgn0028940#alliance_summary_container","1E-118")</f>
        <v>1E-118</v>
      </c>
      <c r="BX2" s="2">
        <v>505</v>
      </c>
      <c r="BY2" s="2">
        <v>36</v>
      </c>
      <c r="BZ2" s="2">
        <v>57</v>
      </c>
      <c r="CA2" s="2">
        <v>101</v>
      </c>
      <c r="CB2" s="9" t="str">
        <f>HYPERLINK(".\links\CDD\AGAP013511-PC-CDD.txt","p450, Cytochrome P450")</f>
        <v>p450, Cytochrome P450</v>
      </c>
      <c r="CC2" s="13">
        <v>5.0000000000000002E-57</v>
      </c>
      <c r="CD2" s="2">
        <v>103.5</v>
      </c>
      <c r="CE2" s="2" t="s">
        <v>101</v>
      </c>
      <c r="CF2" s="2" t="s">
        <v>102</v>
      </c>
      <c r="CG2" s="9" t="str">
        <f>HYPERLINK(".\links\KOG\AGAP013511-PC-KOG.txt","Cytochrome P450 CYP3/CYP5/CYP6/CYP9 subfamilies")</f>
        <v>Cytochrome P450 CYP3/CYP5/CYP6/CYP9 subfamilies</v>
      </c>
      <c r="CH2" s="13">
        <v>9.9999999999999998E-121</v>
      </c>
      <c r="CI2" s="2">
        <v>102.6</v>
      </c>
      <c r="CJ2" s="2" t="s">
        <v>103</v>
      </c>
      <c r="CK2" s="2" t="s">
        <v>104</v>
      </c>
      <c r="CL2" s="9" t="str">
        <f>HYPERLINK(".\links\PFAM\AGAP013511-PC-PFAM.txt","p450, Cytochrome P450")</f>
        <v>p450, Cytochrome P450</v>
      </c>
      <c r="CM2" s="13">
        <v>9.9999999999999995E-58</v>
      </c>
      <c r="CN2" s="2">
        <v>103.5</v>
      </c>
      <c r="CO2" s="2" t="s">
        <v>101</v>
      </c>
      <c r="CP2" s="9" t="str">
        <f>HYPERLINK(".\links\SMART\AGAP013511-PC-SMART.txt","PLAc, Cytoplasmic phospholipase A2, catalytic subunit")</f>
        <v>PLAc, Cytoplasmic phospholipase A2, catalytic subunit</v>
      </c>
      <c r="CQ2" s="13">
        <v>0.91</v>
      </c>
      <c r="CR2" s="2">
        <v>23.3</v>
      </c>
      <c r="CS2" s="2" t="s">
        <v>105</v>
      </c>
      <c r="CT2" s="2" t="s">
        <v>92</v>
      </c>
      <c r="CU2" s="2" t="s">
        <v>92</v>
      </c>
      <c r="CV2" s="2" t="s">
        <v>92</v>
      </c>
      <c r="CW2" s="2" t="str">
        <f>HYPERLINK(".\links\pep\AGAP013511-PC-pep.txt","AGAP013511-PC")</f>
        <v>AGAP013511-PC</v>
      </c>
      <c r="CX2" s="2" t="s">
        <v>88</v>
      </c>
      <c r="CY2" s="2">
        <v>481</v>
      </c>
      <c r="CZ2" s="2" t="s">
        <v>106</v>
      </c>
      <c r="DA2" s="2" t="s">
        <v>107</v>
      </c>
      <c r="DB2" s="2">
        <v>0</v>
      </c>
      <c r="DC2" s="2">
        <v>5</v>
      </c>
      <c r="DD2" s="2" t="str">
        <f>HYPERLINK("https://www.kegg.jp/kegg-bin/search_pathway_text?map=aga&amp;keyword=AGAP013511&amp;mode=1&amp;viewImage=true","AGAP013511")</f>
        <v>AGAP013511</v>
      </c>
      <c r="DE2" s="2" t="s">
        <v>85</v>
      </c>
      <c r="DF2" s="2" t="s">
        <v>86</v>
      </c>
      <c r="DG2" s="2" t="s">
        <v>87</v>
      </c>
      <c r="DH2" s="2" t="str">
        <f>HYPERLINK("https://vectorbase.org/vectorbase/app/record/gene/AGAP013511","AGAP013511-RC")</f>
        <v>AGAP013511-RC</v>
      </c>
      <c r="DI2" s="2" t="s">
        <v>108</v>
      </c>
      <c r="DJ2" s="2">
        <v>2361</v>
      </c>
      <c r="DK2" s="2" t="str">
        <f>HYPERLINK(".\links\netoglyc\AGAP013511-PC-netoglyc.txt","0")</f>
        <v>0</v>
      </c>
      <c r="DL2" s="2">
        <v>11</v>
      </c>
      <c r="DM2" s="2">
        <v>5.6</v>
      </c>
      <c r="DN2" s="2">
        <v>4.8</v>
      </c>
      <c r="DO2" s="2" t="s">
        <v>97</v>
      </c>
      <c r="DP2" s="2" t="s">
        <v>94</v>
      </c>
      <c r="DQ2" s="2" t="str">
        <f>HYPERLINK(".\links\Sigp\AGAP013511-PC-SigP.txt","BL")</f>
        <v>BL</v>
      </c>
      <c r="DR2" s="2" t="s">
        <v>95</v>
      </c>
      <c r="DS2" s="2">
        <v>55.043999999999997</v>
      </c>
      <c r="DT2" s="2">
        <v>7.55</v>
      </c>
      <c r="DU2" s="2">
        <v>51.868000000000002</v>
      </c>
      <c r="DV2" s="2">
        <v>8.08</v>
      </c>
      <c r="DW2" s="2" t="s">
        <v>96</v>
      </c>
      <c r="DX2" s="2">
        <v>481</v>
      </c>
      <c r="DY2" s="8" t="str">
        <f>HYPERLINK(".\links\tmhmm\AGAP013511-PC-tmhmm.txt","2")</f>
        <v>2</v>
      </c>
      <c r="DZ2" s="2">
        <v>9.1</v>
      </c>
      <c r="EA2" s="2">
        <v>51.4</v>
      </c>
      <c r="EB2" s="2">
        <v>39.5</v>
      </c>
      <c r="EC2" s="2" t="str">
        <f>HYPERLINK(".\links\gpi\AGAP013511-PC-gpi.txt","Y-NoSP")</f>
        <v>Y-NoSP</v>
      </c>
      <c r="ED2" s="2">
        <v>0.22</v>
      </c>
      <c r="EF2" s="2">
        <v>7</v>
      </c>
      <c r="EG2" s="2" t="s">
        <v>94</v>
      </c>
      <c r="EH2" s="2" t="s">
        <v>94</v>
      </c>
      <c r="EI2" s="2">
        <v>11.018711018711</v>
      </c>
      <c r="EJ2" s="2">
        <v>4.7817047817047804</v>
      </c>
      <c r="EK2" s="2">
        <v>5.6133056133056103</v>
      </c>
      <c r="EL2" s="2">
        <v>10.3950103950104</v>
      </c>
      <c r="EM2" s="2" t="s">
        <v>94</v>
      </c>
      <c r="EN2" s="2">
        <v>3</v>
      </c>
      <c r="EO2" s="2">
        <v>3</v>
      </c>
      <c r="EP2" s="2" t="s">
        <v>94</v>
      </c>
      <c r="EQ2" s="2" t="s">
        <v>94</v>
      </c>
      <c r="ER2" s="2" t="s">
        <v>94</v>
      </c>
      <c r="ES2" s="2" t="s">
        <v>94</v>
      </c>
      <c r="ET2" s="2" t="str">
        <f>HYPERLINK(".\links\REFSEQ-INVERTEBRATE\AGAP013511-PC-REFSEQ-INVERTEBRATE.txt","AGAP013511-PA")</f>
        <v>AGAP013511-PA</v>
      </c>
      <c r="EU2" s="2" t="str">
        <f>HYPERLINK("http://www.ncbi.nlm.nih.gov/sutils/blink.cgi?pid=XP_003436449.1","0.0")</f>
        <v>0.0</v>
      </c>
      <c r="EV2" s="2" t="str">
        <f>HYPERLINK("http://www.ncbi.nlm.nih.gov/protein/XP_003436449.1","XP_003436449.1")</f>
        <v>XP_003436449.1</v>
      </c>
      <c r="EW2" s="2">
        <v>100</v>
      </c>
      <c r="EX2" s="2">
        <v>100</v>
      </c>
      <c r="EY2" s="2">
        <v>100</v>
      </c>
      <c r="EZ2" s="2" t="s">
        <v>98</v>
      </c>
    </row>
    <row r="3" spans="1:156" x14ac:dyDescent="0.25">
      <c r="A3" s="2" t="s">
        <v>109</v>
      </c>
      <c r="B3" s="2">
        <v>4.7630853817994501</v>
      </c>
      <c r="C3" s="2">
        <v>27.153859830938309</v>
      </c>
      <c r="D3" s="2">
        <v>-0.20937763130185699</v>
      </c>
      <c r="E3" s="2">
        <v>31.9553087460095</v>
      </c>
      <c r="F3" s="2">
        <v>1.57760637479858E-8</v>
      </c>
      <c r="G3" s="2">
        <v>9.3246396790438696E-6</v>
      </c>
      <c r="H3" s="2" t="s">
        <v>110</v>
      </c>
      <c r="I3" s="2" t="s">
        <v>87</v>
      </c>
      <c r="J3" s="2" t="str">
        <f>HYPERLINK("https://vectorbase.org/vectorbase/app/record/gene/AGAP005600","AGAP005600-RA")</f>
        <v>AGAP005600-RA</v>
      </c>
      <c r="K3" s="2" t="str">
        <f>HYPERLINK(".\links\pep\AGAP005600-PA-pep.txt","AGAP005600-PA")</f>
        <v>AGAP005600-PA</v>
      </c>
      <c r="L3" s="8" t="s">
        <v>88</v>
      </c>
      <c r="M3" s="2">
        <v>505</v>
      </c>
      <c r="N3" s="2">
        <v>0</v>
      </c>
      <c r="O3" s="2">
        <v>2</v>
      </c>
      <c r="P3" s="2" t="s">
        <v>111</v>
      </c>
      <c r="Q3" s="9" t="s">
        <v>112</v>
      </c>
      <c r="R3" s="2" t="s">
        <v>113</v>
      </c>
      <c r="S3" s="2" t="str">
        <f>HYPERLINK(".\links\KOG\AGAP005600-PA-KOG.txt","KOG")</f>
        <v>KOG</v>
      </c>
      <c r="T3" s="2">
        <v>7.0000000000000005E-55</v>
      </c>
      <c r="U3" s="2">
        <v>91.3</v>
      </c>
      <c r="V3" s="2" t="s">
        <v>114</v>
      </c>
      <c r="W3" s="10" t="s">
        <v>115</v>
      </c>
      <c r="X3" s="2" t="s">
        <v>113</v>
      </c>
      <c r="Y3" s="2" t="str">
        <f>HYPERLINK(".\links\REFSEQVERTEBRATE95\AGAP005600-PA-REFSEQVERTEBRATE95.txt","REFSEQVERTEBRATE95")</f>
        <v>REFSEQVERTEBRATE95</v>
      </c>
      <c r="Z3" s="13">
        <v>6.0000000000000001E-74</v>
      </c>
      <c r="AA3" s="2">
        <v>96.6</v>
      </c>
      <c r="AB3" s="11" t="s">
        <v>94</v>
      </c>
      <c r="AC3" s="11" t="str">
        <f>HYPERLINK(".\links\Sigp\AGAP005600-PA-SigP.txt","CYT")</f>
        <v>CYT</v>
      </c>
      <c r="AD3" s="2" t="s">
        <v>94</v>
      </c>
      <c r="AE3" s="2">
        <v>54.284999999999997</v>
      </c>
      <c r="AF3" s="2">
        <v>9.16</v>
      </c>
      <c r="AG3" s="2" t="s">
        <v>94</v>
      </c>
      <c r="AH3" s="2" t="s">
        <v>94</v>
      </c>
      <c r="AI3" s="2" t="s">
        <v>116</v>
      </c>
      <c r="AJ3" s="11" t="str">
        <f>HYPERLINK(".\links\tmhmm\AGAP005600-PA-tmhmm.txt","12")</f>
        <v>12</v>
      </c>
      <c r="AK3" s="2">
        <v>51.1</v>
      </c>
      <c r="AL3" s="2">
        <v>13.1</v>
      </c>
      <c r="AM3" s="2">
        <v>35.799999999999997</v>
      </c>
      <c r="AN3" s="11" t="str">
        <f>HYPERLINK(".\links\gpi\AGAP005600-PA-gpi.txt","N")</f>
        <v>N</v>
      </c>
      <c r="AO3" s="12" t="str">
        <f>HYPERLINK(".\links\netoglyc\AGAP005600-PA-netoglyc.txt","2")</f>
        <v>2</v>
      </c>
      <c r="AP3" s="11">
        <v>15.2</v>
      </c>
      <c r="AQ3" s="2">
        <v>8.5</v>
      </c>
      <c r="AR3" s="2">
        <v>5.0999999999999996</v>
      </c>
      <c r="AS3" s="2" t="s">
        <v>97</v>
      </c>
      <c r="AT3" s="9" t="str">
        <f>HYPERLINK(".\links\NR-LIGHT\AGAP005600-PA-NR-LIGHT.txt","AGAP005600-PA, partial")</f>
        <v>AGAP005600-PA, partial</v>
      </c>
      <c r="AU3" s="2" t="str">
        <f>HYPERLINK("http://www.ncbi.nlm.nih.gov/sutils/blink.cgi?pid=XP_315613.4","0.0")</f>
        <v>0.0</v>
      </c>
      <c r="AV3" s="2" t="str">
        <f>HYPERLINK("http://www.ncbi.nlm.nih.gov/protein/XP_315613.4","XP_315613.4")</f>
        <v>XP_315613.4</v>
      </c>
      <c r="AW3" s="2">
        <v>100</v>
      </c>
      <c r="AX3" s="2">
        <v>100</v>
      </c>
      <c r="AY3" s="2">
        <v>100</v>
      </c>
      <c r="AZ3" s="2" t="s">
        <v>98</v>
      </c>
      <c r="BA3" s="9" t="str">
        <f>HYPERLINK(".\links\REFSEQ-INVERTEBRATE\AGAP005600-PA-REFSEQ-INVERTEBRATE.txt","AGAP005600-PA, partial")</f>
        <v>AGAP005600-PA, partial</v>
      </c>
      <c r="BB3" s="2" t="str">
        <f>HYPERLINK("http://www.ncbi.nlm.nih.gov/sutils/blink.cgi?pid=XP_315613.4","0.0")</f>
        <v>0.0</v>
      </c>
      <c r="BC3" s="2" t="str">
        <f>HYPERLINK("http://www.ncbi.nlm.nih.gov/protein/XP_315613.4","XP_315613.4")</f>
        <v>XP_315613.4</v>
      </c>
      <c r="BD3" s="2">
        <v>100</v>
      </c>
      <c r="BE3" s="2">
        <v>100</v>
      </c>
      <c r="BF3" s="2">
        <v>100</v>
      </c>
      <c r="BG3" s="2" t="s">
        <v>98</v>
      </c>
      <c r="BH3" s="9" t="str">
        <f>HYPERLINK(".\links\REFSEQ-PROTOZOA\AGAP005600-PA-REFSEQ-PROTOZOA.txt","hypothetical protein PTSG_06943")</f>
        <v>hypothetical protein PTSG_06943</v>
      </c>
      <c r="BI3" s="2" t="str">
        <f>HYPERLINK("http://www.ncbi.nlm.nih.gov/sutils/blink.cgi?pid=XP_004992344.1","4E-048")</f>
        <v>4E-048</v>
      </c>
      <c r="BJ3" s="2" t="str">
        <f>HYPERLINK("http://www.ncbi.nlm.nih.gov/protein/XP_004992344.1","XP_004992344.1")</f>
        <v>XP_004992344.1</v>
      </c>
      <c r="BK3" s="2">
        <v>27</v>
      </c>
      <c r="BL3" s="2">
        <v>47</v>
      </c>
      <c r="BM3" s="2">
        <v>95</v>
      </c>
      <c r="BN3" s="2" t="s">
        <v>117</v>
      </c>
      <c r="BO3" s="9" t="str">
        <f>HYPERLINK(".\links\SWISSP\AGAP005600-PA-SWISSP.txt","Facilitated trehalose transporter Tret1")</f>
        <v>Facilitated trehalose transporter Tret1</v>
      </c>
      <c r="BP3" s="2" t="str">
        <f>HYPERLINK("http://www.uniprot.org/uniprot/A9ZSY3","2E-064")</f>
        <v>2E-064</v>
      </c>
      <c r="BQ3" s="2" t="str">
        <f>HYPERLINK("http://www.uniprot.org/uniprot/A9ZSY3#expression","A9ZSY3")</f>
        <v>A9ZSY3</v>
      </c>
      <c r="BR3" s="2">
        <v>31</v>
      </c>
      <c r="BS3" s="2">
        <v>52</v>
      </c>
      <c r="BT3" s="2">
        <v>91</v>
      </c>
      <c r="BU3" s="2" t="s">
        <v>118</v>
      </c>
      <c r="BV3" s="9" t="str">
        <f>HYPERLINK(".\links\FLYBASE\AGAP005600-PA-FLYBASE.txt","FBpp0300975")</f>
        <v>FBpp0300975</v>
      </c>
      <c r="BW3" s="2" t="str">
        <f>HYPERLINK("http://flybase.org/reports/FBgn0034045#alliance_summary_container","1E-67")</f>
        <v>1E-67</v>
      </c>
      <c r="BX3" s="2">
        <v>521</v>
      </c>
      <c r="BY3" s="2">
        <v>30</v>
      </c>
      <c r="BZ3" s="2">
        <v>52</v>
      </c>
      <c r="CA3" s="2">
        <v>91</v>
      </c>
      <c r="CB3" s="9" t="str">
        <f>HYPERLINK(".\links\CDD\AGAP005600-PA-CDD.txt","Sugar_tr, Sugar (and other) transporter")</f>
        <v>Sugar_tr, Sugar (and other) transporter</v>
      </c>
      <c r="CC3" s="13">
        <v>1.9999999999999999E-48</v>
      </c>
      <c r="CD3" s="2">
        <v>92.7</v>
      </c>
      <c r="CE3" s="2" t="s">
        <v>119</v>
      </c>
      <c r="CF3" s="2" t="s">
        <v>120</v>
      </c>
      <c r="CG3" s="9" t="str">
        <f>HYPERLINK(".\links\KOG\AGAP005600-PA-KOG.txt","Predicted transporter (major facilitator superfamily)")</f>
        <v>Predicted transporter (major facilitator superfamily)</v>
      </c>
      <c r="CH3" s="13">
        <v>1E-59</v>
      </c>
      <c r="CI3" s="2">
        <v>96.3</v>
      </c>
      <c r="CJ3" s="2" t="s">
        <v>121</v>
      </c>
      <c r="CK3" s="2" t="s">
        <v>122</v>
      </c>
      <c r="CL3" s="9" t="str">
        <f>HYPERLINK(".\links\PFAM\AGAP005600-PA-PFAM.txt","Sugar_tr, Sugar (and other) transporter")</f>
        <v>Sugar_tr, Sugar (and other) transporter</v>
      </c>
      <c r="CM3" s="13">
        <v>3.9999999999999997E-49</v>
      </c>
      <c r="CN3" s="2">
        <v>92.7</v>
      </c>
      <c r="CO3" s="2" t="s">
        <v>119</v>
      </c>
      <c r="CP3" s="9" t="str">
        <f>HYPERLINK(".\links\SMART\AGAP005600-PA-SMART.txt","ENTH, Epsin N-terminal homology (ENTH) domain")</f>
        <v>ENTH, Epsin N-terminal homology (ENTH) domain</v>
      </c>
      <c r="CQ3" s="13">
        <v>1.1000000000000001</v>
      </c>
      <c r="CR3" s="2">
        <v>31.5</v>
      </c>
      <c r="CS3" s="2" t="s">
        <v>123</v>
      </c>
      <c r="CT3" s="2" t="s">
        <v>114</v>
      </c>
      <c r="CU3" s="2" t="s">
        <v>114</v>
      </c>
      <c r="CV3" s="2" t="s">
        <v>114</v>
      </c>
      <c r="CW3" s="2" t="str">
        <f>HYPERLINK(".\links\pep\AGAP005600-PA-pep.txt","AGAP005600-PA")</f>
        <v>AGAP005600-PA</v>
      </c>
      <c r="CX3" s="2" t="s">
        <v>88</v>
      </c>
      <c r="CY3" s="2">
        <v>505</v>
      </c>
      <c r="CZ3" s="2" t="s">
        <v>106</v>
      </c>
      <c r="DA3" s="2" t="s">
        <v>124</v>
      </c>
      <c r="DB3" s="2">
        <v>0</v>
      </c>
      <c r="DC3" s="2">
        <v>2</v>
      </c>
      <c r="DD3" s="2" t="str">
        <f>HYPERLINK("https://www.kegg.jp/kegg-bin/search_pathway_text?map=aga&amp;keyword=AGAP005600&amp;mode=1&amp;viewImage=true","AGAP005600")</f>
        <v>AGAP005600</v>
      </c>
      <c r="DE3" s="2" t="s">
        <v>109</v>
      </c>
      <c r="DF3" s="2" t="s">
        <v>110</v>
      </c>
      <c r="DG3" s="2" t="s">
        <v>87</v>
      </c>
      <c r="DH3" s="2" t="str">
        <f>HYPERLINK("https://vectorbase.org/vectorbase/app/record/gene/AGAP005600","AGAP005600-RA")</f>
        <v>AGAP005600-RA</v>
      </c>
      <c r="DI3" s="2" t="s">
        <v>125</v>
      </c>
      <c r="DJ3" s="2">
        <v>2658</v>
      </c>
      <c r="DK3" s="2" t="str">
        <f>HYPERLINK(".\links\netoglyc\AGAP005600-PA-netoglyc.txt","2")</f>
        <v>2</v>
      </c>
      <c r="DL3" s="2">
        <v>15.2</v>
      </c>
      <c r="DM3" s="2">
        <v>8.5</v>
      </c>
      <c r="DN3" s="2">
        <v>5.0999999999999996</v>
      </c>
      <c r="DO3" s="2" t="s">
        <v>97</v>
      </c>
      <c r="DP3" s="2" t="s">
        <v>126</v>
      </c>
      <c r="DQ3" s="2" t="str">
        <f>HYPERLINK(".\links\Sigp\AGAP005600-PA-SigP.txt","CYT")</f>
        <v>CYT</v>
      </c>
      <c r="DR3" s="2" t="s">
        <v>94</v>
      </c>
      <c r="DS3" s="2">
        <v>54.284999999999997</v>
      </c>
      <c r="DT3" s="2">
        <v>9.16</v>
      </c>
      <c r="DU3" s="2" t="s">
        <v>94</v>
      </c>
      <c r="DV3" s="2" t="s">
        <v>94</v>
      </c>
      <c r="DW3" s="2" t="s">
        <v>116</v>
      </c>
      <c r="DX3" s="2">
        <v>505</v>
      </c>
      <c r="DY3" s="8" t="str">
        <f>HYPERLINK(".\links\tmhmm\AGAP005600-PA-tmhmm.txt","12")</f>
        <v>12</v>
      </c>
      <c r="DZ3" s="2">
        <v>51.1</v>
      </c>
      <c r="EA3" s="2">
        <v>13.1</v>
      </c>
      <c r="EB3" s="2">
        <v>35.799999999999997</v>
      </c>
      <c r="EC3" s="2" t="str">
        <f>HYPERLINK(".\links\gpi\AGAP005600-PA-gpi.txt","Y-NoSP")</f>
        <v>Y-NoSP</v>
      </c>
      <c r="ED3" s="2">
        <v>0.34</v>
      </c>
      <c r="EF3" s="2">
        <v>8</v>
      </c>
      <c r="EG3" s="2" t="s">
        <v>94</v>
      </c>
      <c r="EH3" s="2" t="s">
        <v>94</v>
      </c>
      <c r="EI3" s="2">
        <v>15.247524752475201</v>
      </c>
      <c r="EJ3" s="2">
        <v>5.1485148514851504</v>
      </c>
      <c r="EK3" s="2">
        <v>8.5148514851485206</v>
      </c>
      <c r="EL3" s="2">
        <v>13.6633663366337</v>
      </c>
      <c r="EM3" s="2" t="s">
        <v>94</v>
      </c>
      <c r="EN3" s="2" t="s">
        <v>94</v>
      </c>
      <c r="EO3" s="2">
        <v>1</v>
      </c>
      <c r="EP3" s="2" t="s">
        <v>94</v>
      </c>
      <c r="EQ3" s="2" t="s">
        <v>94</v>
      </c>
      <c r="ER3" s="2" t="s">
        <v>94</v>
      </c>
      <c r="ES3" s="2" t="s">
        <v>94</v>
      </c>
      <c r="ET3" s="2" t="str">
        <f>HYPERLINK(".\links\REFSEQ-INVERTEBRATE\AGAP005600-PA-REFSEQ-INVERTEBRATE.txt","AGAP005600-PA, partial")</f>
        <v>AGAP005600-PA, partial</v>
      </c>
      <c r="EU3" s="2" t="str">
        <f>HYPERLINK("http://www.ncbi.nlm.nih.gov/sutils/blink.cgi?pid=XP_315613.4","0.0")</f>
        <v>0.0</v>
      </c>
      <c r="EV3" s="2" t="str">
        <f>HYPERLINK("http://www.ncbi.nlm.nih.gov/protein/XP_315613.4","XP_315613.4")</f>
        <v>XP_315613.4</v>
      </c>
      <c r="EW3" s="2">
        <v>100</v>
      </c>
      <c r="EX3" s="2">
        <v>100</v>
      </c>
      <c r="EY3" s="2">
        <v>100</v>
      </c>
      <c r="EZ3" s="2" t="s">
        <v>98</v>
      </c>
    </row>
    <row r="4" spans="1:156" x14ac:dyDescent="0.25">
      <c r="A4" s="2" t="s">
        <v>127</v>
      </c>
      <c r="B4" s="2">
        <v>2.6502481285771502</v>
      </c>
      <c r="C4" s="2">
        <v>6.2777523986025354</v>
      </c>
      <c r="D4" s="2">
        <v>0.91626550788306904</v>
      </c>
      <c r="E4" s="2">
        <v>13.3066261262958</v>
      </c>
      <c r="F4" s="2">
        <v>2.6446982294353702E-4</v>
      </c>
      <c r="G4" s="2">
        <v>1.47123006798649E-2</v>
      </c>
      <c r="H4" s="2" t="s">
        <v>128</v>
      </c>
      <c r="I4" s="2" t="s">
        <v>87</v>
      </c>
      <c r="J4" s="2" t="str">
        <f>HYPERLINK("https://vectorbase.org/vectorbase/app/record/gene/AGAP005834","AGAP005834-RA")</f>
        <v>AGAP005834-RA</v>
      </c>
      <c r="K4" s="2" t="str">
        <f>HYPERLINK(".\links\pep\AGAP005834-PA-pep.txt","AGAP005834-PA")</f>
        <v>AGAP005834-PA</v>
      </c>
      <c r="L4" s="8" t="s">
        <v>88</v>
      </c>
      <c r="M4" s="2">
        <v>597</v>
      </c>
      <c r="N4" s="2">
        <v>0</v>
      </c>
      <c r="O4" s="2">
        <v>3</v>
      </c>
      <c r="P4" s="2" t="s">
        <v>129</v>
      </c>
      <c r="Q4" s="9" t="s">
        <v>130</v>
      </c>
      <c r="R4" s="2" t="s">
        <v>131</v>
      </c>
      <c r="S4" s="2" t="str">
        <f>HYPERLINK(".\links\CDD\AGAP005834-PA-CDD.txt","CDD")</f>
        <v>CDD</v>
      </c>
      <c r="T4" s="2">
        <v>0</v>
      </c>
      <c r="U4" s="2">
        <v>99.5</v>
      </c>
      <c r="V4" s="2" t="s">
        <v>132</v>
      </c>
      <c r="W4" s="10" t="s">
        <v>133</v>
      </c>
      <c r="X4" s="2" t="s">
        <v>131</v>
      </c>
      <c r="Y4" s="2" t="str">
        <f>HYPERLINK(".\links\COG\AGAP005834-PA-COG.txt","COG")</f>
        <v>COG</v>
      </c>
      <c r="Z4" s="13">
        <v>8.0000000000000006E-43</v>
      </c>
      <c r="AA4" s="2">
        <v>41.9</v>
      </c>
      <c r="AB4" s="11" t="s">
        <v>94</v>
      </c>
      <c r="AC4" s="11" t="str">
        <f>HYPERLINK(".\links\Sigp\AGAP005834-PA-SigP.txt","BL")</f>
        <v>BL</v>
      </c>
      <c r="AD4" s="2" t="s">
        <v>134</v>
      </c>
      <c r="AE4" s="2">
        <v>66.290999999999997</v>
      </c>
      <c r="AF4" s="2">
        <v>5.14</v>
      </c>
      <c r="AG4" s="2">
        <v>63.652000000000001</v>
      </c>
      <c r="AH4" s="2">
        <v>4.99</v>
      </c>
      <c r="AI4" s="2" t="s">
        <v>135</v>
      </c>
      <c r="AJ4" s="11">
        <v>0</v>
      </c>
      <c r="AK4" s="2" t="s">
        <v>94</v>
      </c>
      <c r="AL4" s="2" t="s">
        <v>94</v>
      </c>
      <c r="AM4" s="2" t="s">
        <v>94</v>
      </c>
      <c r="AN4" s="11" t="str">
        <f>HYPERLINK(".\links\gpi\AGAP005834-PA-gpi.txt","N")</f>
        <v>N</v>
      </c>
      <c r="AO4" s="12" t="str">
        <f>HYPERLINK(".\links\netoglyc\AGAP005834-PA-netoglyc.txt","0")</f>
        <v>0</v>
      </c>
      <c r="AP4" s="11">
        <v>10.9</v>
      </c>
      <c r="AQ4" s="2">
        <v>7.4</v>
      </c>
      <c r="AR4" s="2">
        <v>7</v>
      </c>
      <c r="AS4" s="2" t="s">
        <v>97</v>
      </c>
      <c r="AT4" s="9" t="str">
        <f>HYPERLINK(".\links\NR-LIGHT\AGAP005834-PA-NR-LIGHT.txt","AGAP005834-PA")</f>
        <v>AGAP005834-PA</v>
      </c>
      <c r="AU4" s="2" t="str">
        <f>HYPERLINK("http://www.ncbi.nlm.nih.gov/sutils/blink.cgi?pid=XP_001237723.2","0.0")</f>
        <v>0.0</v>
      </c>
      <c r="AV4" s="2" t="str">
        <f>HYPERLINK("http://www.ncbi.nlm.nih.gov/protein/XP_001237723.2","XP_001237723.2")</f>
        <v>XP_001237723.2</v>
      </c>
      <c r="AW4" s="2">
        <v>100</v>
      </c>
      <c r="AX4" s="2">
        <v>100</v>
      </c>
      <c r="AY4" s="2">
        <v>100</v>
      </c>
      <c r="AZ4" s="2" t="s">
        <v>98</v>
      </c>
      <c r="BA4" s="9" t="str">
        <f>HYPERLINK(".\links\REFSEQ-INVERTEBRATE\AGAP005834-PA-REFSEQ-INVERTEBRATE.txt","AGAP005834-PA")</f>
        <v>AGAP005834-PA</v>
      </c>
      <c r="BB4" s="2" t="str">
        <f>HYPERLINK("http://www.ncbi.nlm.nih.gov/sutils/blink.cgi?pid=XP_001237723.2","0.0")</f>
        <v>0.0</v>
      </c>
      <c r="BC4" s="2" t="str">
        <f>HYPERLINK("http://www.ncbi.nlm.nih.gov/protein/XP_001237723.2","XP_001237723.2")</f>
        <v>XP_001237723.2</v>
      </c>
      <c r="BD4" s="2">
        <v>100</v>
      </c>
      <c r="BE4" s="2">
        <v>100</v>
      </c>
      <c r="BF4" s="2">
        <v>100</v>
      </c>
      <c r="BG4" s="2" t="s">
        <v>98</v>
      </c>
      <c r="BH4" s="9" t="str">
        <f>HYPERLINK(".\links\REFSEQ-PROTOZOA\AGAP005834-PA-REFSEQ-PROTOZOA.txt","hypothetical protein SAMD00019534_097700")</f>
        <v>hypothetical protein SAMD00019534_097700</v>
      </c>
      <c r="BI4" s="2" t="str">
        <f>HYPERLINK("http://www.ncbi.nlm.nih.gov/sutils/blink.cgi?pid=XP_012750256.1","1E-047")</f>
        <v>1E-047</v>
      </c>
      <c r="BJ4" s="2" t="str">
        <f>HYPERLINK("http://www.ncbi.nlm.nih.gov/protein/XP_012750256.1","XP_012750256.1")</f>
        <v>XP_012750256.1</v>
      </c>
      <c r="BK4" s="2">
        <v>37</v>
      </c>
      <c r="BL4" s="2">
        <v>52</v>
      </c>
      <c r="BM4" s="2">
        <v>60</v>
      </c>
      <c r="BN4" s="2" t="s">
        <v>136</v>
      </c>
      <c r="BO4" s="9" t="str">
        <f>HYPERLINK(".\links\SWISSP\AGAP005834-PA-SWISSP.txt","Venom carboxylesterase-6")</f>
        <v>Venom carboxylesterase-6</v>
      </c>
      <c r="BP4" s="2" t="str">
        <f>HYPERLINK("http://www.uniprot.org/uniprot/B2D0J5","5E-070")</f>
        <v>5E-070</v>
      </c>
      <c r="BQ4" s="2" t="str">
        <f>HYPERLINK("http://www.uniprot.org/uniprot/B2D0J5#expression","B2D0J5")</f>
        <v>B2D0J5</v>
      </c>
      <c r="BR4" s="2">
        <v>34</v>
      </c>
      <c r="BS4" s="2">
        <v>49</v>
      </c>
      <c r="BT4" s="2">
        <v>88</v>
      </c>
      <c r="BU4" s="2" t="s">
        <v>137</v>
      </c>
      <c r="BV4" s="9" t="str">
        <f>HYPERLINK(".\links\FLYBASE\AGAP005834-PA-FLYBASE.txt","FBpp0290965")</f>
        <v>FBpp0290965</v>
      </c>
      <c r="BW4" s="2" t="str">
        <f>HYPERLINK("http://flybase.org/reports/FBgn0010052#alliance_summary_container","1E-125")</f>
        <v>1E-125</v>
      </c>
      <c r="BX4" s="2">
        <v>579</v>
      </c>
      <c r="BY4" s="2">
        <v>42</v>
      </c>
      <c r="BZ4" s="2">
        <v>55</v>
      </c>
      <c r="CA4" s="2">
        <v>98</v>
      </c>
      <c r="CB4" s="9" t="str">
        <f>HYPERLINK(".\links\CDD\AGAP005834-PA-CDD.txt","COesterase, Carboxylesterase family")</f>
        <v>COesterase, Carboxylesterase family</v>
      </c>
      <c r="CC4" s="13">
        <v>1.0000000000000001E-111</v>
      </c>
      <c r="CD4" s="2">
        <v>97.3</v>
      </c>
      <c r="CE4" s="2" t="s">
        <v>138</v>
      </c>
      <c r="CF4" s="2" t="s">
        <v>139</v>
      </c>
      <c r="CG4" s="9" t="str">
        <f>HYPERLINK(".\links\KOG\AGAP005834-PA-KOG.txt","Carboxylesterase and related proteins")</f>
        <v>Carboxylesterase and related proteins</v>
      </c>
      <c r="CH4" s="13">
        <v>2E-90</v>
      </c>
      <c r="CI4" s="2">
        <v>101.3</v>
      </c>
      <c r="CJ4" s="2" t="s">
        <v>140</v>
      </c>
      <c r="CK4" s="2" t="s">
        <v>122</v>
      </c>
      <c r="CL4" s="9" t="str">
        <f>HYPERLINK(".\links\PFAM\AGAP005834-PA-PFAM.txt","COesterase, Carboxylesterase family")</f>
        <v>COesterase, Carboxylesterase family</v>
      </c>
      <c r="CM4" s="13">
        <v>9.9999999999999995E-113</v>
      </c>
      <c r="CN4" s="2">
        <v>97.3</v>
      </c>
      <c r="CO4" s="2" t="s">
        <v>138</v>
      </c>
      <c r="CP4" s="9" t="str">
        <f>HYPERLINK(".\links\SMART\AGAP005834-PA-SMART.txt","CLa, CLUSTERIN alpha chain")</f>
        <v>CLa, CLUSTERIN alpha chain</v>
      </c>
      <c r="CQ4" s="13">
        <v>0.69</v>
      </c>
      <c r="CR4" s="2">
        <v>10.6</v>
      </c>
      <c r="CS4" s="2" t="s">
        <v>141</v>
      </c>
      <c r="CT4" s="2" t="s">
        <v>132</v>
      </c>
      <c r="CU4" s="2" t="s">
        <v>132</v>
      </c>
      <c r="CV4" s="2" t="s">
        <v>132</v>
      </c>
      <c r="CW4" s="2" t="str">
        <f>HYPERLINK(".\links\pep\AGAP005834-PA-pep.txt","AGAP005834-PA")</f>
        <v>AGAP005834-PA</v>
      </c>
      <c r="CX4" s="2" t="s">
        <v>88</v>
      </c>
      <c r="CY4" s="2">
        <v>597</v>
      </c>
      <c r="CZ4" s="2" t="s">
        <v>106</v>
      </c>
      <c r="DA4" s="2" t="s">
        <v>142</v>
      </c>
      <c r="DB4" s="2">
        <v>0</v>
      </c>
      <c r="DC4" s="2">
        <v>3</v>
      </c>
      <c r="DD4" s="2" t="str">
        <f>HYPERLINK("https://www.kegg.jp/kegg-bin/search_pathway_text?map=aga&amp;keyword=AGAP005834&amp;mode=1&amp;viewImage=true","AGAP005834")</f>
        <v>AGAP005834</v>
      </c>
      <c r="DE4" s="2" t="s">
        <v>127</v>
      </c>
      <c r="DF4" s="2" t="s">
        <v>128</v>
      </c>
      <c r="DG4" s="2" t="s">
        <v>87</v>
      </c>
      <c r="DH4" s="2" t="str">
        <f>HYPERLINK("https://vectorbase.org/vectorbase/app/record/gene/AGAP005834","AGAP005834-RA")</f>
        <v>AGAP005834-RA</v>
      </c>
      <c r="DI4" s="2" t="s">
        <v>143</v>
      </c>
      <c r="DJ4" s="2">
        <v>2535</v>
      </c>
      <c r="DK4" s="2" t="str">
        <f>HYPERLINK(".\links\netoglyc\AGAP005834-PA-netoglyc.txt","0")</f>
        <v>0</v>
      </c>
      <c r="DL4" s="2">
        <v>10.9</v>
      </c>
      <c r="DM4" s="2">
        <v>7.4</v>
      </c>
      <c r="DN4" s="2">
        <v>7</v>
      </c>
      <c r="DO4" s="2" t="s">
        <v>97</v>
      </c>
      <c r="DP4" s="2" t="s">
        <v>94</v>
      </c>
      <c r="DQ4" s="2" t="str">
        <f>HYPERLINK(".\links\Sigp\AGAP005834-PA-SigP.txt","BL")</f>
        <v>BL</v>
      </c>
      <c r="DR4" s="2" t="s">
        <v>134</v>
      </c>
      <c r="DS4" s="2">
        <v>66.290999999999997</v>
      </c>
      <c r="DT4" s="2">
        <v>5.14</v>
      </c>
      <c r="DU4" s="2">
        <v>63.652000000000001</v>
      </c>
      <c r="DV4" s="2">
        <v>4.99</v>
      </c>
      <c r="DW4" s="2" t="s">
        <v>135</v>
      </c>
      <c r="DX4" s="2">
        <v>597</v>
      </c>
      <c r="DY4" s="8">
        <v>0</v>
      </c>
      <c r="DZ4" s="2" t="s">
        <v>94</v>
      </c>
      <c r="EA4" s="2" t="s">
        <v>94</v>
      </c>
      <c r="EB4" s="2" t="s">
        <v>94</v>
      </c>
      <c r="EC4" s="2" t="str">
        <f>HYPERLINK(".\links\gpi\AGAP005834-PA-gpi.txt","N")</f>
        <v>N</v>
      </c>
      <c r="ED4" s="2">
        <v>0.21</v>
      </c>
      <c r="EF4" s="2">
        <v>11</v>
      </c>
      <c r="EG4" s="2" t="s">
        <v>94</v>
      </c>
      <c r="EH4" s="2" t="s">
        <v>94</v>
      </c>
      <c r="EI4" s="2">
        <v>10.887772194304899</v>
      </c>
      <c r="EJ4" s="2">
        <v>7.0351758793969896</v>
      </c>
      <c r="EK4" s="2">
        <v>7.3701842546063698</v>
      </c>
      <c r="EL4" s="2">
        <v>14.4053601340034</v>
      </c>
      <c r="EM4" s="2">
        <v>1</v>
      </c>
      <c r="EN4" s="2">
        <v>1</v>
      </c>
      <c r="EO4" s="2">
        <v>1</v>
      </c>
      <c r="EP4" s="2" t="s">
        <v>94</v>
      </c>
      <c r="EQ4" s="2" t="s">
        <v>94</v>
      </c>
      <c r="ER4" s="2" t="s">
        <v>94</v>
      </c>
      <c r="ES4" s="2" t="s">
        <v>94</v>
      </c>
      <c r="ET4" s="2" t="str">
        <f>HYPERLINK(".\links\REFSEQ-INVERTEBRATE\AGAP005834-PA-REFSEQ-INVERTEBRATE.txt","AGAP005834-PA")</f>
        <v>AGAP005834-PA</v>
      </c>
      <c r="EU4" s="2" t="str">
        <f>HYPERLINK("http://www.ncbi.nlm.nih.gov/sutils/blink.cgi?pid=XP_001237723.2","0.0")</f>
        <v>0.0</v>
      </c>
      <c r="EV4" s="2" t="str">
        <f>HYPERLINK("http://www.ncbi.nlm.nih.gov/protein/XP_001237723.2","XP_001237723.2")</f>
        <v>XP_001237723.2</v>
      </c>
      <c r="EW4" s="2">
        <v>100</v>
      </c>
      <c r="EX4" s="2">
        <v>100</v>
      </c>
      <c r="EY4" s="2">
        <v>100</v>
      </c>
      <c r="EZ4" s="2" t="s">
        <v>98</v>
      </c>
    </row>
    <row r="5" spans="1:156" x14ac:dyDescent="0.25">
      <c r="A5" s="2" t="s">
        <v>144</v>
      </c>
      <c r="B5" s="2">
        <v>2.61218897925994</v>
      </c>
      <c r="C5" s="2">
        <v>6.1143069463714106</v>
      </c>
      <c r="D5" s="2">
        <v>3.48493989110895</v>
      </c>
      <c r="E5" s="2">
        <v>19.391127623399701</v>
      </c>
      <c r="F5" s="2">
        <v>1.06500694989083E-5</v>
      </c>
      <c r="G5" s="2">
        <v>1.22368171613258E-3</v>
      </c>
      <c r="H5" s="2" t="s">
        <v>86</v>
      </c>
      <c r="I5" s="2" t="s">
        <v>87</v>
      </c>
      <c r="J5" s="2" t="str">
        <f>HYPERLINK("https://vectorbase.org/vectorbase/app/record/gene/AGAP008218","AGAP008218-RA")</f>
        <v>AGAP008218-RA</v>
      </c>
      <c r="K5" s="2" t="str">
        <f>HYPERLINK(".\links\pep\AGAP008218-PA-pep.txt","AGAP008218-PA")</f>
        <v>AGAP008218-PA</v>
      </c>
      <c r="L5" s="8" t="s">
        <v>88</v>
      </c>
      <c r="M5" s="2">
        <v>492</v>
      </c>
      <c r="N5" s="2">
        <v>0</v>
      </c>
      <c r="O5" s="2">
        <v>4</v>
      </c>
      <c r="P5" s="2" t="s">
        <v>145</v>
      </c>
      <c r="Q5" s="9" t="s">
        <v>146</v>
      </c>
      <c r="R5" s="2" t="s">
        <v>147</v>
      </c>
      <c r="S5" s="2" t="str">
        <f>HYPERLINK(".\links\PFAM\AGAP008218-PA-PFAM.txt","PFAM")</f>
        <v>PFAM</v>
      </c>
      <c r="T5" s="2">
        <v>9.9999999999999996E-75</v>
      </c>
      <c r="U5" s="2">
        <v>90</v>
      </c>
      <c r="V5" s="2" t="s">
        <v>148</v>
      </c>
      <c r="W5" s="10" t="s">
        <v>149</v>
      </c>
      <c r="X5" s="2" t="s">
        <v>131</v>
      </c>
      <c r="Y5" s="2" t="str">
        <f>HYPERLINK(".\links\EC\AGAP008218-PA-EC.txt","EC")</f>
        <v>EC</v>
      </c>
      <c r="Z5" s="2">
        <v>0</v>
      </c>
      <c r="AA5" s="2">
        <v>97</v>
      </c>
      <c r="AB5" s="11" t="str">
        <f>HYPERLINK(".\links\pep\AGAP008218-PA-sulf.txt","6")</f>
        <v>6</v>
      </c>
      <c r="AC5" s="11" t="str">
        <f>HYPERLINK(".\links\Sigp\AGAP008218-PA-SigP.txt","SIG")</f>
        <v>SIG</v>
      </c>
      <c r="AD5" s="2" t="s">
        <v>150</v>
      </c>
      <c r="AE5" s="2">
        <v>56.45</v>
      </c>
      <c r="AF5" s="2">
        <v>8.49</v>
      </c>
      <c r="AG5" s="2">
        <v>53.904000000000003</v>
      </c>
      <c r="AH5" s="2">
        <v>8.33</v>
      </c>
      <c r="AI5" s="2" t="s">
        <v>151</v>
      </c>
      <c r="AJ5" s="11" t="str">
        <f>HYPERLINK(".\links\tmhmm\AGAP008218-PA-tmhmm.txt","1")</f>
        <v>1</v>
      </c>
      <c r="AK5" s="2">
        <v>3.9</v>
      </c>
      <c r="AL5" s="2">
        <v>95.7</v>
      </c>
      <c r="AM5" s="2">
        <v>0.4</v>
      </c>
      <c r="AN5" s="11" t="str">
        <f>HYPERLINK(".\links\gpi\AGAP008218-PA-gpi.txt","N")</f>
        <v>N</v>
      </c>
      <c r="AO5" s="12" t="str">
        <f>HYPERLINK(".\links\netoglyc\AGAP008218-PA-netoglyc.txt","0")</f>
        <v>0</v>
      </c>
      <c r="AP5" s="11">
        <v>10.199999999999999</v>
      </c>
      <c r="AQ5" s="2">
        <v>4.9000000000000004</v>
      </c>
      <c r="AR5" s="2">
        <v>5.0999999999999996</v>
      </c>
      <c r="AS5" s="2" t="s">
        <v>97</v>
      </c>
      <c r="AT5" s="9" t="str">
        <f>HYPERLINK(".\links\NR-LIGHT\AGAP008218-PA-NR-LIGHT.txt","AGAP008218-PA")</f>
        <v>AGAP008218-PA</v>
      </c>
      <c r="AU5" s="2" t="str">
        <f>HYPERLINK("http://www.ncbi.nlm.nih.gov/sutils/blink.cgi?pid=XP_317252.1","0.0")</f>
        <v>0.0</v>
      </c>
      <c r="AV5" s="2" t="str">
        <f>HYPERLINK("http://www.ncbi.nlm.nih.gov/protein/XP_317252.1","XP_317252.1")</f>
        <v>XP_317252.1</v>
      </c>
      <c r="AW5" s="2">
        <v>100</v>
      </c>
      <c r="AX5" s="2">
        <v>100</v>
      </c>
      <c r="AY5" s="2">
        <v>100</v>
      </c>
      <c r="AZ5" s="2" t="s">
        <v>98</v>
      </c>
      <c r="BA5" s="9" t="str">
        <f>HYPERLINK(".\links\REFSEQ-INVERTEBRATE\AGAP008218-PA-REFSEQ-INVERTEBRATE.txt","AGAP008218-PA")</f>
        <v>AGAP008218-PA</v>
      </c>
      <c r="BB5" s="2" t="str">
        <f>HYPERLINK("http://www.ncbi.nlm.nih.gov/sutils/blink.cgi?pid=XP_317252.1","0.0")</f>
        <v>0.0</v>
      </c>
      <c r="BC5" s="2" t="str">
        <f>HYPERLINK("http://www.ncbi.nlm.nih.gov/protein/XP_317252.1","XP_317252.1")</f>
        <v>XP_317252.1</v>
      </c>
      <c r="BD5" s="2">
        <v>100</v>
      </c>
      <c r="BE5" s="2">
        <v>100</v>
      </c>
      <c r="BF5" s="2">
        <v>100</v>
      </c>
      <c r="BG5" s="2" t="s">
        <v>98</v>
      </c>
      <c r="BH5" s="9" t="str">
        <f>HYPERLINK(".\links\REFSEQ-PROTOZOA\AGAP008218-PA-REFSEQ-PROTOZOA.txt","hypothetical protein H257_07130")</f>
        <v>hypothetical protein H257_07130</v>
      </c>
      <c r="BI5" s="2" t="str">
        <f>HYPERLINK("http://www.ncbi.nlm.nih.gov/sutils/blink.cgi?pid=XP_009830863.1","6E-032")</f>
        <v>6E-032</v>
      </c>
      <c r="BJ5" s="2" t="str">
        <f>HYPERLINK("http://www.ncbi.nlm.nih.gov/protein/XP_009830863.1","XP_009830863.1")</f>
        <v>XP_009830863.1</v>
      </c>
      <c r="BK5" s="2">
        <v>24</v>
      </c>
      <c r="BL5" s="2">
        <v>45</v>
      </c>
      <c r="BM5" s="2">
        <v>81</v>
      </c>
      <c r="BN5" s="2" t="s">
        <v>152</v>
      </c>
      <c r="BO5" s="9" t="str">
        <f>HYPERLINK(".\links\SWISSP\AGAP008218-PA-SWISSP.txt","Cytochrome P450 6d3")</f>
        <v>Cytochrome P450 6d3</v>
      </c>
      <c r="BP5" s="2" t="str">
        <f>HYPERLINK("http://www.uniprot.org/uniprot/Q964Q7","1E-116")</f>
        <v>1E-116</v>
      </c>
      <c r="BQ5" s="2" t="str">
        <f>HYPERLINK("http://www.uniprot.org/uniprot/Q964Q7#expression","Q964Q7")</f>
        <v>Q964Q7</v>
      </c>
      <c r="BR5" s="2">
        <v>42</v>
      </c>
      <c r="BS5" s="2">
        <v>63</v>
      </c>
      <c r="BT5" s="2">
        <v>99</v>
      </c>
      <c r="BU5" s="2" t="s">
        <v>153</v>
      </c>
      <c r="BV5" s="9" t="str">
        <f>HYPERLINK(".\links\FLYBASE\AGAP008218-PA-FLYBASE.txt","FBpp0083697")</f>
        <v>FBpp0083697</v>
      </c>
      <c r="BW5" s="2" t="str">
        <f>HYPERLINK("http://flybase.org/reports/FBgn0039006#alliance_summary_container","1E-141")</f>
        <v>1E-141</v>
      </c>
      <c r="BX5" s="2">
        <v>515</v>
      </c>
      <c r="BY5" s="2">
        <v>41</v>
      </c>
      <c r="BZ5" s="2">
        <v>63</v>
      </c>
      <c r="CA5" s="2">
        <v>97</v>
      </c>
      <c r="CB5" s="9" t="str">
        <f>HYPERLINK(".\links\CDD\AGAP008218-PA-CDD.txt","p450, Cytochrome P450")</f>
        <v>p450, Cytochrome P450</v>
      </c>
      <c r="CC5" s="13">
        <v>5E-74</v>
      </c>
      <c r="CD5" s="2">
        <v>90</v>
      </c>
      <c r="CE5" s="2" t="s">
        <v>101</v>
      </c>
      <c r="CF5" s="2" t="s">
        <v>154</v>
      </c>
      <c r="CG5" s="9" t="str">
        <f>HYPERLINK(".\links\KOG\AGAP008218-PA-KOG.txt","Cytochrome P450 CYP3/CYP5/CYP6/CYP9 subfamilies")</f>
        <v>Cytochrome P450 CYP3/CYP5/CYP6/CYP9 subfamilies</v>
      </c>
      <c r="CH5" s="13">
        <v>1.0000000000000001E-130</v>
      </c>
      <c r="CI5" s="2">
        <v>100.6</v>
      </c>
      <c r="CJ5" s="2" t="s">
        <v>103</v>
      </c>
      <c r="CK5" s="2" t="s">
        <v>104</v>
      </c>
      <c r="CL5" s="9" t="str">
        <f>HYPERLINK(".\links\PFAM\AGAP008218-PA-PFAM.txt","p450, Cytochrome P450")</f>
        <v>p450, Cytochrome P450</v>
      </c>
      <c r="CM5" s="13">
        <v>9.9999999999999996E-75</v>
      </c>
      <c r="CN5" s="2">
        <v>90</v>
      </c>
      <c r="CO5" s="2" t="s">
        <v>101</v>
      </c>
      <c r="CP5" s="9" t="str">
        <f>HYPERLINK(".\links\SMART\AGAP008218-PA-SMART.txt","DNaseIc, deoxyribonuclease I")</f>
        <v>DNaseIc, deoxyribonuclease I</v>
      </c>
      <c r="CQ5" s="13">
        <v>0.71</v>
      </c>
      <c r="CR5" s="2">
        <v>8.6999999999999993</v>
      </c>
      <c r="CS5" s="2" t="s">
        <v>155</v>
      </c>
      <c r="CT5" s="2" t="s">
        <v>148</v>
      </c>
      <c r="CU5" s="2" t="s">
        <v>148</v>
      </c>
      <c r="CV5" s="2" t="s">
        <v>148</v>
      </c>
      <c r="CW5" s="2" t="str">
        <f>HYPERLINK(".\links\pep\AGAP008218-PA-pep.txt","AGAP008218-PA")</f>
        <v>AGAP008218-PA</v>
      </c>
      <c r="CX5" s="2" t="s">
        <v>88</v>
      </c>
      <c r="CY5" s="2">
        <v>492</v>
      </c>
      <c r="CZ5" s="2" t="s">
        <v>106</v>
      </c>
      <c r="DA5" s="2" t="s">
        <v>156</v>
      </c>
      <c r="DB5" s="2">
        <v>0</v>
      </c>
      <c r="DC5" s="2">
        <v>4</v>
      </c>
      <c r="DD5" s="2" t="str">
        <f>HYPERLINK("https://www.kegg.jp/kegg-bin/search_pathway_text?map=aga&amp;keyword=AGAP008218&amp;mode=1&amp;viewImage=true","AGAP008218")</f>
        <v>AGAP008218</v>
      </c>
      <c r="DE5" s="2" t="s">
        <v>144</v>
      </c>
      <c r="DF5" s="2" t="s">
        <v>86</v>
      </c>
      <c r="DG5" s="2" t="s">
        <v>87</v>
      </c>
      <c r="DH5" s="2" t="str">
        <f>HYPERLINK("https://vectorbase.org/vectorbase/app/record/gene/AGAP008218","AGAP008218-RA")</f>
        <v>AGAP008218-RA</v>
      </c>
      <c r="DI5" s="2" t="s">
        <v>125</v>
      </c>
      <c r="DJ5" s="2">
        <v>1713</v>
      </c>
      <c r="DK5" s="2" t="str">
        <f>HYPERLINK(".\links\netoglyc\AGAP008218-PA-netoglyc.txt","0")</f>
        <v>0</v>
      </c>
      <c r="DL5" s="2">
        <v>10.199999999999999</v>
      </c>
      <c r="DM5" s="2">
        <v>4.9000000000000004</v>
      </c>
      <c r="DN5" s="2">
        <v>5.0999999999999996</v>
      </c>
      <c r="DO5" s="2" t="s">
        <v>97</v>
      </c>
      <c r="DP5" s="2" t="s">
        <v>94</v>
      </c>
      <c r="DQ5" s="2" t="str">
        <f>HYPERLINK(".\links\Sigp\AGAP008218-PA-SigP.txt","SIG")</f>
        <v>SIG</v>
      </c>
      <c r="DR5" s="2" t="s">
        <v>150</v>
      </c>
      <c r="DS5" s="2">
        <v>56.45</v>
      </c>
      <c r="DT5" s="2">
        <v>8.49</v>
      </c>
      <c r="DU5" s="2">
        <v>53.904000000000003</v>
      </c>
      <c r="DV5" s="2">
        <v>8.33</v>
      </c>
      <c r="DW5" s="2" t="s">
        <v>151</v>
      </c>
      <c r="DX5" s="2">
        <v>492</v>
      </c>
      <c r="DY5" s="8" t="str">
        <f>HYPERLINK(".\links\tmhmm\AGAP008218-PA-tmhmm.txt","1")</f>
        <v>1</v>
      </c>
      <c r="DZ5" s="2">
        <v>3.9</v>
      </c>
      <c r="EA5" s="2">
        <v>95.7</v>
      </c>
      <c r="EB5" s="2">
        <v>0.4</v>
      </c>
      <c r="EC5" s="2" t="str">
        <f>HYPERLINK(".\links\gpi\AGAP008218-PA-gpi.txt","N")</f>
        <v>N</v>
      </c>
      <c r="ED5" s="2">
        <v>0.22</v>
      </c>
      <c r="EF5" s="2">
        <v>7</v>
      </c>
      <c r="EG5" s="2" t="str">
        <f>HYPERLINK(".\links\pep\AGAP008218-PA-sulf.txt","6")</f>
        <v>6</v>
      </c>
      <c r="EH5" s="2" t="s">
        <v>94</v>
      </c>
      <c r="EI5" s="2">
        <v>10.162601626016301</v>
      </c>
      <c r="EJ5" s="2">
        <v>5.0813008130081299</v>
      </c>
      <c r="EK5" s="2">
        <v>4.8780487804878003</v>
      </c>
      <c r="EL5" s="2">
        <v>9.9593495934959293</v>
      </c>
      <c r="EM5" s="2">
        <v>1</v>
      </c>
      <c r="EN5" s="2">
        <v>2</v>
      </c>
      <c r="EO5" s="2">
        <v>2</v>
      </c>
      <c r="EP5" s="2" t="s">
        <v>94</v>
      </c>
      <c r="EQ5" s="2" t="s">
        <v>94</v>
      </c>
      <c r="ER5" s="2" t="s">
        <v>94</v>
      </c>
      <c r="ES5" s="2" t="s">
        <v>94</v>
      </c>
      <c r="ET5" s="2" t="str">
        <f>HYPERLINK(".\links\REFSEQ-INVERTEBRATE\AGAP008218-PA-REFSEQ-INVERTEBRATE.txt","AGAP008218-PA")</f>
        <v>AGAP008218-PA</v>
      </c>
      <c r="EU5" s="2" t="str">
        <f>HYPERLINK("http://www.ncbi.nlm.nih.gov/sutils/blink.cgi?pid=XP_317252.1","0.0")</f>
        <v>0.0</v>
      </c>
      <c r="EV5" s="2" t="str">
        <f>HYPERLINK("http://www.ncbi.nlm.nih.gov/protein/XP_317252.1","XP_317252.1")</f>
        <v>XP_317252.1</v>
      </c>
      <c r="EW5" s="2">
        <v>100</v>
      </c>
      <c r="EX5" s="2">
        <v>100</v>
      </c>
      <c r="EY5" s="2">
        <v>100</v>
      </c>
      <c r="EZ5" s="2" t="s">
        <v>98</v>
      </c>
    </row>
    <row r="6" spans="1:156" x14ac:dyDescent="0.25">
      <c r="A6" s="2" t="s">
        <v>157</v>
      </c>
      <c r="B6" s="2">
        <v>2.1713213509818599</v>
      </c>
      <c r="C6" s="2">
        <v>4.5043575493018286</v>
      </c>
      <c r="D6" s="2">
        <v>3.24632421920928</v>
      </c>
      <c r="E6" s="2">
        <v>15.285229330369599</v>
      </c>
      <c r="F6" s="2">
        <v>9.2436492921956596E-5</v>
      </c>
      <c r="G6" s="2">
        <v>6.8294680747104999E-3</v>
      </c>
      <c r="H6" s="2" t="s">
        <v>86</v>
      </c>
      <c r="I6" s="2" t="s">
        <v>87</v>
      </c>
      <c r="J6" s="2" t="str">
        <f>HYPERLINK("https://vectorbase.org/vectorbase/app/record/gene/AGAP008212","AGAP008212-RA")</f>
        <v>AGAP008212-RA</v>
      </c>
      <c r="K6" s="2" t="str">
        <f>HYPERLINK(".\links\pep\AGAP008212-PA-pep.txt","AGAP008212-PA")</f>
        <v>AGAP008212-PA</v>
      </c>
      <c r="L6" s="8" t="s">
        <v>88</v>
      </c>
      <c r="M6" s="2">
        <v>499</v>
      </c>
      <c r="N6" s="2">
        <v>0</v>
      </c>
      <c r="O6" s="2">
        <v>3</v>
      </c>
      <c r="P6" s="2" t="s">
        <v>158</v>
      </c>
      <c r="Q6" s="9" t="s">
        <v>146</v>
      </c>
      <c r="R6" s="2" t="s">
        <v>147</v>
      </c>
      <c r="S6" s="2" t="str">
        <f>HYPERLINK(".\links\PFAM\AGAP008212-PA-PFAM.txt","PFAM")</f>
        <v>PFAM</v>
      </c>
      <c r="T6" s="2">
        <v>2E-92</v>
      </c>
      <c r="U6" s="2">
        <v>102</v>
      </c>
      <c r="V6" s="2" t="s">
        <v>159</v>
      </c>
      <c r="W6" s="10" t="s">
        <v>160</v>
      </c>
      <c r="X6" s="2" t="s">
        <v>147</v>
      </c>
      <c r="Y6" s="2" t="str">
        <f>HYPERLINK(".\links\REFSEQVERTEBRATE95\AGAP008212-PA-REFSEQVERTEBRATE95.txt","REFSEQVERTEBRATE95")</f>
        <v>REFSEQVERTEBRATE95</v>
      </c>
      <c r="Z6" s="13">
        <v>0</v>
      </c>
      <c r="AA6" s="2">
        <v>99</v>
      </c>
      <c r="AB6" s="11" t="str">
        <f>HYPERLINK(".\links\pep\AGAP008212-PA-sulf.txt","1")</f>
        <v>1</v>
      </c>
      <c r="AC6" s="11" t="str">
        <f>HYPERLINK(".\links\Sigp\AGAP008212-PA-SigP.txt","SIG")</f>
        <v>SIG</v>
      </c>
      <c r="AD6" s="2" t="s">
        <v>161</v>
      </c>
      <c r="AE6" s="2">
        <v>57.34</v>
      </c>
      <c r="AF6" s="2">
        <v>6.63</v>
      </c>
      <c r="AG6" s="2">
        <v>55.613999999999997</v>
      </c>
      <c r="AH6" s="2">
        <v>6.92</v>
      </c>
      <c r="AI6" s="2" t="s">
        <v>162</v>
      </c>
      <c r="AJ6" s="11">
        <v>0</v>
      </c>
      <c r="AK6" s="2" t="s">
        <v>94</v>
      </c>
      <c r="AL6" s="2" t="s">
        <v>94</v>
      </c>
      <c r="AM6" s="2" t="s">
        <v>94</v>
      </c>
      <c r="AN6" s="11" t="str">
        <f>HYPERLINK(".\links\gpi\AGAP008212-PA-gpi.txt","N")</f>
        <v>N</v>
      </c>
      <c r="AO6" s="12" t="str">
        <f>HYPERLINK(".\links\netoglyc\AGAP008212-PA-netoglyc.txt","0")</f>
        <v>0</v>
      </c>
      <c r="AP6" s="11">
        <v>10</v>
      </c>
      <c r="AQ6" s="2">
        <v>6.4</v>
      </c>
      <c r="AR6" s="2">
        <v>5.6</v>
      </c>
      <c r="AS6" s="2" t="s">
        <v>97</v>
      </c>
      <c r="AT6" s="9" t="str">
        <f>HYPERLINK(".\links\NR-LIGHT\AGAP008212-PA-NR-LIGHT.txt","AGAP008212-PA")</f>
        <v>AGAP008212-PA</v>
      </c>
      <c r="AU6" s="2" t="str">
        <f>HYPERLINK("http://www.ncbi.nlm.nih.gov/sutils/blink.cgi?pid=XP_317257.2","0.0")</f>
        <v>0.0</v>
      </c>
      <c r="AV6" s="2" t="str">
        <f>HYPERLINK("http://www.ncbi.nlm.nih.gov/protein/XP_317257.2","XP_317257.2")</f>
        <v>XP_317257.2</v>
      </c>
      <c r="AW6" s="2">
        <v>100</v>
      </c>
      <c r="AX6" s="2">
        <v>100</v>
      </c>
      <c r="AY6" s="2">
        <v>100</v>
      </c>
      <c r="AZ6" s="2" t="s">
        <v>98</v>
      </c>
      <c r="BA6" s="9" t="str">
        <f>HYPERLINK(".\links\REFSEQ-INVERTEBRATE\AGAP008212-PA-REFSEQ-INVERTEBRATE.txt","AGAP008212-PA")</f>
        <v>AGAP008212-PA</v>
      </c>
      <c r="BB6" s="2" t="str">
        <f>HYPERLINK("http://www.ncbi.nlm.nih.gov/sutils/blink.cgi?pid=XP_317257.2","0.0")</f>
        <v>0.0</v>
      </c>
      <c r="BC6" s="2" t="str">
        <f>HYPERLINK("http://www.ncbi.nlm.nih.gov/protein/XP_317257.2","XP_317257.2")</f>
        <v>XP_317257.2</v>
      </c>
      <c r="BD6" s="2">
        <v>100</v>
      </c>
      <c r="BE6" s="2">
        <v>100</v>
      </c>
      <c r="BF6" s="2">
        <v>100</v>
      </c>
      <c r="BG6" s="2" t="s">
        <v>98</v>
      </c>
      <c r="BH6" s="9" t="str">
        <f>HYPERLINK(".\links\REFSEQ-PROTOZOA\AGAP008212-PA-REFSEQ-PROTOZOA.txt","hypothetical protein PTSG_13097")</f>
        <v>hypothetical protein PTSG_13097</v>
      </c>
      <c r="BI6" s="2" t="str">
        <f>HYPERLINK("http://www.ncbi.nlm.nih.gov/sutils/blink.cgi?pid=XP_004988763.1","5E-039")</f>
        <v>5E-039</v>
      </c>
      <c r="BJ6" s="2" t="str">
        <f>HYPERLINK("http://www.ncbi.nlm.nih.gov/protein/XP_004988763.1","XP_004988763.1")</f>
        <v>XP_004988763.1</v>
      </c>
      <c r="BK6" s="2">
        <v>28</v>
      </c>
      <c r="BL6" s="2">
        <v>47</v>
      </c>
      <c r="BM6" s="2">
        <v>26</v>
      </c>
      <c r="BN6" s="2" t="s">
        <v>117</v>
      </c>
      <c r="BO6" s="9" t="str">
        <f>HYPERLINK(".\links\SWISSP\AGAP008212-PA-SWISSP.txt","Probable cytochrome P450 6a14")</f>
        <v>Probable cytochrome P450 6a14</v>
      </c>
      <c r="BP6" s="2" t="str">
        <f>HYPERLINK("http://www.uniprot.org/uniprot/Q9V4U7","1E-133")</f>
        <v>1E-133</v>
      </c>
      <c r="BQ6" s="2" t="str">
        <f>HYPERLINK("http://www.uniprot.org/uniprot/Q9V4U7#expression","Q9V4U7")</f>
        <v>Q9V4U7</v>
      </c>
      <c r="BR6" s="2">
        <v>47</v>
      </c>
      <c r="BS6" s="2">
        <v>66</v>
      </c>
      <c r="BT6" s="2">
        <v>100</v>
      </c>
      <c r="BU6" s="2" t="s">
        <v>100</v>
      </c>
      <c r="BV6" s="9" t="str">
        <f>HYPERLINK(".\links\FLYBASE\AGAP008212-PA-FLYBASE.txt","FBpp0311646")</f>
        <v>FBpp0311646</v>
      </c>
      <c r="BW6" s="2" t="str">
        <f>HYPERLINK("http://flybase.org/reports/FBgn0033302#alliance_summary_container","1E-169")</f>
        <v>1E-169</v>
      </c>
      <c r="BX6" s="2">
        <v>509</v>
      </c>
      <c r="BY6" s="2">
        <v>47</v>
      </c>
      <c r="BZ6" s="2">
        <v>66</v>
      </c>
      <c r="CA6" s="2">
        <v>100</v>
      </c>
      <c r="CB6" s="9" t="str">
        <f>HYPERLINK(".\links\CDD\AGAP008212-PA-CDD.txt","p450, Cytochrome P450")</f>
        <v>p450, Cytochrome P450</v>
      </c>
      <c r="CC6" s="13">
        <v>9.0000000000000001E-92</v>
      </c>
      <c r="CD6" s="2">
        <v>102.6</v>
      </c>
      <c r="CE6" s="2" t="s">
        <v>101</v>
      </c>
      <c r="CF6" s="2" t="s">
        <v>163</v>
      </c>
      <c r="CG6" s="9" t="str">
        <f>HYPERLINK(".\links\KOG\AGAP008212-PA-KOG.txt","Cytochrome P450 CYP3/CYP5/CYP6/CYP9 subfamilies")</f>
        <v>Cytochrome P450 CYP3/CYP5/CYP6/CYP9 subfamilies</v>
      </c>
      <c r="CH6" s="13">
        <v>1E-169</v>
      </c>
      <c r="CI6" s="2">
        <v>100.8</v>
      </c>
      <c r="CJ6" s="2" t="s">
        <v>103</v>
      </c>
      <c r="CK6" s="2" t="s">
        <v>104</v>
      </c>
      <c r="CL6" s="9" t="str">
        <f>HYPERLINK(".\links\PFAM\AGAP008212-PA-PFAM.txt","p450, Cytochrome P450")</f>
        <v>p450, Cytochrome P450</v>
      </c>
      <c r="CM6" s="13">
        <v>2E-92</v>
      </c>
      <c r="CN6" s="2">
        <v>102.6</v>
      </c>
      <c r="CO6" s="2" t="s">
        <v>101</v>
      </c>
      <c r="CP6" s="9" t="str">
        <f>HYPERLINK(".\links\SMART\AGAP008212-PA-SMART.txt","RPOLA_N, RNA polymerase I subunit A N-terminus")</f>
        <v>RPOLA_N, RNA polymerase I subunit A N-terminus</v>
      </c>
      <c r="CQ6" s="13">
        <v>1.4</v>
      </c>
      <c r="CR6" s="2">
        <v>16.899999999999999</v>
      </c>
      <c r="CS6" s="2" t="s">
        <v>164</v>
      </c>
      <c r="CT6" s="2" t="s">
        <v>159</v>
      </c>
      <c r="CU6" s="2" t="s">
        <v>159</v>
      </c>
      <c r="CV6" s="2" t="s">
        <v>159</v>
      </c>
      <c r="CW6" s="2" t="str">
        <f>HYPERLINK(".\links\pep\AGAP008212-PA-pep.txt","AGAP008212-PA")</f>
        <v>AGAP008212-PA</v>
      </c>
      <c r="CX6" s="2" t="s">
        <v>88</v>
      </c>
      <c r="CY6" s="2">
        <v>499</v>
      </c>
      <c r="CZ6" s="2" t="s">
        <v>106</v>
      </c>
      <c r="DA6" s="2" t="s">
        <v>165</v>
      </c>
      <c r="DB6" s="2">
        <v>0</v>
      </c>
      <c r="DC6" s="2">
        <v>3</v>
      </c>
      <c r="DD6" s="2" t="str">
        <f>HYPERLINK("https://www.kegg.jp/kegg-bin/search_pathway_text?map=aga&amp;keyword=AGAP008212&amp;mode=1&amp;viewImage=true","AGAP008212")</f>
        <v>AGAP008212</v>
      </c>
      <c r="DE6" s="2" t="s">
        <v>157</v>
      </c>
      <c r="DF6" s="2" t="s">
        <v>86</v>
      </c>
      <c r="DG6" s="2" t="s">
        <v>87</v>
      </c>
      <c r="DH6" s="2" t="str">
        <f>HYPERLINK("https://vectorbase.org/vectorbase/app/record/gene/AGAP008212","AGAP008212-RA")</f>
        <v>AGAP008212-RA</v>
      </c>
      <c r="DI6" s="2" t="s">
        <v>125</v>
      </c>
      <c r="DJ6" s="2">
        <v>1612</v>
      </c>
      <c r="DK6" s="2" t="str">
        <f>HYPERLINK(".\links\netoglyc\AGAP008212-PA-netoglyc.txt","0")</f>
        <v>0</v>
      </c>
      <c r="DL6" s="2">
        <v>10</v>
      </c>
      <c r="DM6" s="2">
        <v>6.4</v>
      </c>
      <c r="DN6" s="2">
        <v>5.6</v>
      </c>
      <c r="DO6" s="2" t="s">
        <v>97</v>
      </c>
      <c r="DP6" s="2" t="s">
        <v>94</v>
      </c>
      <c r="DQ6" s="2" t="str">
        <f>HYPERLINK(".\links\Sigp\AGAP008212-PA-SigP.txt","SIG")</f>
        <v>SIG</v>
      </c>
      <c r="DR6" s="2" t="s">
        <v>161</v>
      </c>
      <c r="DS6" s="2">
        <v>57.34</v>
      </c>
      <c r="DT6" s="2">
        <v>6.63</v>
      </c>
      <c r="DU6" s="2">
        <v>55.613999999999997</v>
      </c>
      <c r="DV6" s="2">
        <v>6.92</v>
      </c>
      <c r="DW6" s="2" t="s">
        <v>162</v>
      </c>
      <c r="DX6" s="2">
        <v>499</v>
      </c>
      <c r="DY6" s="8">
        <v>0</v>
      </c>
      <c r="DZ6" s="2" t="s">
        <v>94</v>
      </c>
      <c r="EA6" s="2" t="s">
        <v>94</v>
      </c>
      <c r="EB6" s="2" t="s">
        <v>94</v>
      </c>
      <c r="EC6" s="2" t="str">
        <f>HYPERLINK(".\links\gpi\AGAP008212-PA-gpi.txt","N")</f>
        <v>N</v>
      </c>
      <c r="ED6" s="2">
        <v>0.22</v>
      </c>
      <c r="EF6" s="2">
        <v>5</v>
      </c>
      <c r="EG6" s="2" t="str">
        <f>HYPERLINK(".\links\pep\AGAP008212-PA-sulf.txt","1")</f>
        <v>1</v>
      </c>
      <c r="EH6" s="2" t="s">
        <v>94</v>
      </c>
      <c r="EI6" s="2">
        <v>10.0200400801603</v>
      </c>
      <c r="EJ6" s="2">
        <v>5.6112224448897798</v>
      </c>
      <c r="EK6" s="2">
        <v>6.4128256513026098</v>
      </c>
      <c r="EL6" s="2">
        <v>12.0240480961924</v>
      </c>
      <c r="EM6" s="2" t="s">
        <v>94</v>
      </c>
      <c r="EN6" s="2">
        <v>4</v>
      </c>
      <c r="EO6" s="2">
        <v>4</v>
      </c>
      <c r="EP6" s="2" t="s">
        <v>94</v>
      </c>
      <c r="EQ6" s="2" t="s">
        <v>94</v>
      </c>
      <c r="ER6" s="2" t="s">
        <v>94</v>
      </c>
      <c r="ES6" s="2" t="s">
        <v>94</v>
      </c>
      <c r="ET6" s="2" t="str">
        <f>HYPERLINK(".\links\REFSEQ-INVERTEBRATE\AGAP008212-PA-REFSEQ-INVERTEBRATE.txt","AGAP008212-PA")</f>
        <v>AGAP008212-PA</v>
      </c>
      <c r="EU6" s="2" t="str">
        <f>HYPERLINK("http://www.ncbi.nlm.nih.gov/sutils/blink.cgi?pid=XP_317257.2","0.0")</f>
        <v>0.0</v>
      </c>
      <c r="EV6" s="2" t="str">
        <f>HYPERLINK("http://www.ncbi.nlm.nih.gov/protein/XP_317257.2","XP_317257.2")</f>
        <v>XP_317257.2</v>
      </c>
      <c r="EW6" s="2">
        <v>100</v>
      </c>
      <c r="EX6" s="2">
        <v>100</v>
      </c>
      <c r="EY6" s="2">
        <v>100</v>
      </c>
      <c r="EZ6" s="2" t="s">
        <v>98</v>
      </c>
    </row>
    <row r="7" spans="1:156" x14ac:dyDescent="0.25">
      <c r="A7" s="2" t="s">
        <v>166</v>
      </c>
      <c r="B7" s="2">
        <v>2.1507794418363</v>
      </c>
      <c r="C7" s="2">
        <v>4.4406763952554247</v>
      </c>
      <c r="D7" s="2">
        <v>7.9911400442465501</v>
      </c>
      <c r="E7" s="2">
        <v>24.004912503848299</v>
      </c>
      <c r="F7" s="2">
        <v>9.6090219745654802E-7</v>
      </c>
      <c r="G7" s="2">
        <v>2.0193893514103501E-4</v>
      </c>
      <c r="H7" s="2" t="s">
        <v>167</v>
      </c>
      <c r="I7" s="2" t="s">
        <v>87</v>
      </c>
      <c r="J7" s="2" t="str">
        <f>HYPERLINK("https://vectorbase.org/vectorbase/app/record/gene/AGAP029277","AGAP029277-RA")</f>
        <v>AGAP029277-RA</v>
      </c>
      <c r="K7" s="2" t="str">
        <f>HYPERLINK(".\links\pep\AGAP029277-PA-pep.txt","AGAP029277-PA")</f>
        <v>AGAP029277-PA</v>
      </c>
      <c r="L7" s="8" t="s">
        <v>88</v>
      </c>
      <c r="M7" s="2">
        <v>338</v>
      </c>
      <c r="N7" s="2">
        <v>0</v>
      </c>
      <c r="O7" s="2">
        <v>1</v>
      </c>
      <c r="P7" s="2" t="s">
        <v>94</v>
      </c>
      <c r="Q7" s="9" t="s">
        <v>168</v>
      </c>
      <c r="R7" s="2" t="s">
        <v>169</v>
      </c>
      <c r="S7" s="2" t="str">
        <f>HYPERLINK(".\links\CDD\AGAP029277-PA-CDD.txt","CDD")</f>
        <v>CDD</v>
      </c>
      <c r="T7" s="2">
        <v>1E-70</v>
      </c>
      <c r="U7" s="2">
        <v>102.1</v>
      </c>
      <c r="V7" s="2" t="s">
        <v>170</v>
      </c>
      <c r="W7" s="10" t="s">
        <v>171</v>
      </c>
      <c r="X7" s="2" t="s">
        <v>172</v>
      </c>
      <c r="Y7" s="2" t="str">
        <f>HYPERLINK(".\links\ARTHORPODA\AGAP029277-PA-ARTHORPODA.txt","ARTHORPODA")</f>
        <v>ARTHORPODA</v>
      </c>
      <c r="Z7" s="13">
        <v>0</v>
      </c>
      <c r="AA7" s="2">
        <v>100</v>
      </c>
      <c r="AB7" s="11" t="s">
        <v>94</v>
      </c>
      <c r="AC7" s="11" t="str">
        <f>HYPERLINK(".\links\Sigp\AGAP029277-PA-SigP.txt","SIG")</f>
        <v>SIG</v>
      </c>
      <c r="AD7" s="2" t="s">
        <v>150</v>
      </c>
      <c r="AE7" s="2">
        <v>36.159999999999997</v>
      </c>
      <c r="AF7" s="2">
        <v>8.4</v>
      </c>
      <c r="AG7" s="2">
        <v>33.820999999999998</v>
      </c>
      <c r="AH7" s="2">
        <v>8.25</v>
      </c>
      <c r="AI7" s="2" t="s">
        <v>173</v>
      </c>
      <c r="AJ7" s="11">
        <v>0</v>
      </c>
      <c r="AK7" s="2" t="s">
        <v>94</v>
      </c>
      <c r="AL7" s="2" t="s">
        <v>94</v>
      </c>
      <c r="AM7" s="2" t="s">
        <v>94</v>
      </c>
      <c r="AN7" s="9" t="str">
        <f>HYPERLINK(".\links\gpi\AGAP029277-PA-gpi.txt","N")</f>
        <v>N</v>
      </c>
      <c r="AO7" s="12" t="str">
        <f>HYPERLINK(".\links\netoglyc\AGAP029277-PA-netoglyc.txt","0")</f>
        <v>0</v>
      </c>
      <c r="AP7" s="11">
        <v>10.9</v>
      </c>
      <c r="AQ7" s="2">
        <v>10.1</v>
      </c>
      <c r="AR7" s="2">
        <v>4.4000000000000004</v>
      </c>
      <c r="AS7" s="2" t="s">
        <v>97</v>
      </c>
      <c r="AT7" s="9" t="str">
        <f>HYPERLINK(".\links\NR-LIGHT\AGAP029277-PA-NR-LIGHT.txt","hypothetical protein ZHAS_00005057")</f>
        <v>hypothetical protein ZHAS_00005057</v>
      </c>
      <c r="AU7" s="2" t="str">
        <f>HYPERLINK("http://www.ncbi.nlm.nih.gov/sutils/blink.cgi?pid=KFB37744.1","1E-109")</f>
        <v>1E-109</v>
      </c>
      <c r="AV7" s="2" t="str">
        <f>HYPERLINK("http://www.ncbi.nlm.nih.gov/protein/KFB37744.1","KFB37744.1")</f>
        <v>KFB37744.1</v>
      </c>
      <c r="AW7" s="2">
        <v>60</v>
      </c>
      <c r="AX7" s="2">
        <v>75</v>
      </c>
      <c r="AY7" s="2">
        <v>104</v>
      </c>
      <c r="AZ7" s="2" t="s">
        <v>174</v>
      </c>
      <c r="BA7" s="9" t="str">
        <f>HYPERLINK(".\links\REFSEQ-INVERTEBRATE\AGAP029277-PA-REFSEQ-INVERTEBRATE.txt","lipase member H-A isoform X1")</f>
        <v>lipase member H-A isoform X1</v>
      </c>
      <c r="BB7" s="2" t="str">
        <f>HYPERLINK("http://www.ncbi.nlm.nih.gov/sutils/blink.cgi?pid=XP_021706894.1","4E-052")</f>
        <v>4E-052</v>
      </c>
      <c r="BC7" s="2" t="str">
        <f>HYPERLINK("http://www.ncbi.nlm.nih.gov/protein/XP_021706894.1","XP_021706894.1")</f>
        <v>XP_021706894.1</v>
      </c>
      <c r="BD7" s="2">
        <v>44</v>
      </c>
      <c r="BE7" s="2">
        <v>59</v>
      </c>
      <c r="BF7" s="2">
        <v>73</v>
      </c>
      <c r="BG7" s="2" t="s">
        <v>175</v>
      </c>
      <c r="BH7" s="9" t="str">
        <f>HYPERLINK(".\links\REFSEQ-PROTOZOA\AGAP029277-PA-REFSEQ-PROTOZOA.txt","phospholipase/carboxylesterase")</f>
        <v>phospholipase/carboxylesterase</v>
      </c>
      <c r="BI7" s="2" t="str">
        <f>HYPERLINK("http://www.ncbi.nlm.nih.gov/sutils/blink.cgi?pid=XP_008882174.1","0.11")</f>
        <v>0.11</v>
      </c>
      <c r="BJ7" s="2" t="str">
        <f>HYPERLINK("http://www.ncbi.nlm.nih.gov/protein/XP_008882174.1","XP_008882174.1")</f>
        <v>XP_008882174.1</v>
      </c>
      <c r="BK7" s="2">
        <v>27</v>
      </c>
      <c r="BL7" s="2">
        <v>42</v>
      </c>
      <c r="BM7" s="2">
        <v>27</v>
      </c>
      <c r="BN7" s="2" t="s">
        <v>176</v>
      </c>
      <c r="BO7" s="9" t="str">
        <f>HYPERLINK(".\links\SWISSP\AGAP029277-PA-SWISSP.txt","Lipase member H")</f>
        <v>Lipase member H</v>
      </c>
      <c r="BP7" s="2" t="str">
        <f>HYPERLINK("http://www.uniprot.org/uniprot/Q32PY2","7E-030")</f>
        <v>7E-030</v>
      </c>
      <c r="BQ7" s="2" t="str">
        <f>HYPERLINK("http://www.uniprot.org/uniprot/Q32PY2#expression","Q32PY2")</f>
        <v>Q32PY2</v>
      </c>
      <c r="BR7" s="2">
        <v>38</v>
      </c>
      <c r="BS7" s="2">
        <v>54</v>
      </c>
      <c r="BT7" s="2">
        <v>43</v>
      </c>
      <c r="BU7" s="2" t="s">
        <v>177</v>
      </c>
      <c r="BV7" s="9" t="str">
        <f>HYPERLINK(".\links\FLYBASE\AGAP029277-PA-FLYBASE.txt","FBpp0084270")</f>
        <v>FBpp0084270</v>
      </c>
      <c r="BW7" s="2" t="str">
        <f>HYPERLINK("http://flybase.org/reports/FBgn0039344#alliance_summary_container","1E-49")</f>
        <v>1E-49</v>
      </c>
      <c r="BX7" s="2">
        <v>432</v>
      </c>
      <c r="BY7" s="2">
        <v>39</v>
      </c>
      <c r="BZ7" s="2">
        <v>52</v>
      </c>
      <c r="CA7" s="2">
        <v>63</v>
      </c>
      <c r="CB7" s="9" t="str">
        <f>HYPERLINK(".\links\CDD\AGAP029277-PA-CDD.txt","Pancreat_lipase_like, Pancreatic lipase-like enzymes")</f>
        <v>Pancreat_lipase_like, Pancreatic lipase-like enzymes</v>
      </c>
      <c r="CC7" s="13">
        <v>1E-70</v>
      </c>
      <c r="CD7" s="2">
        <v>102.2</v>
      </c>
      <c r="CE7" s="2" t="s">
        <v>178</v>
      </c>
      <c r="CF7" s="2" t="s">
        <v>179</v>
      </c>
      <c r="CG7" s="9" t="str">
        <f>HYPERLINK(".\links\KOG\AGAP029277-PA-KOG.txt","Predicted acetyltransferases and hydrolases with the alpha/beta hydrolase fold")</f>
        <v>Predicted acetyltransferases and hydrolases with the alpha/beta hydrolase fold</v>
      </c>
      <c r="CH7" s="13">
        <v>2E-3</v>
      </c>
      <c r="CI7" s="2">
        <v>11.4</v>
      </c>
      <c r="CJ7" s="2" t="s">
        <v>180</v>
      </c>
      <c r="CK7" s="2" t="s">
        <v>122</v>
      </c>
      <c r="CL7" s="9" t="str">
        <f>HYPERLINK(".\links\PFAM\AGAP029277-PA-PFAM.txt","Lipase, Lipase")</f>
        <v>Lipase, Lipase</v>
      </c>
      <c r="CM7" s="13">
        <v>4.9999999999999997E-37</v>
      </c>
      <c r="CN7" s="2">
        <v>74.400000000000006</v>
      </c>
      <c r="CO7" s="2" t="s">
        <v>181</v>
      </c>
      <c r="CP7" s="9" t="str">
        <f>HYPERLINK(".\links\SMART\AGAP029277-PA-SMART.txt","PKS_AT, Acyl transferase domain in polyketide synthase (PKS) enzymes")</f>
        <v>PKS_AT, Acyl transferase domain in polyketide synthase (PKS) enzymes</v>
      </c>
      <c r="CQ7" s="13">
        <v>2.4E-2</v>
      </c>
      <c r="CR7" s="2">
        <v>11.7</v>
      </c>
      <c r="CS7" s="2" t="s">
        <v>182</v>
      </c>
      <c r="CT7" s="2" t="s">
        <v>170</v>
      </c>
      <c r="CU7" s="2" t="s">
        <v>170</v>
      </c>
      <c r="CV7" s="2" t="s">
        <v>170</v>
      </c>
      <c r="CW7" s="2" t="str">
        <f>HYPERLINK(".\links\pep\AGAP029277-PA-pep.txt","AGAP029277-PA")</f>
        <v>AGAP029277-PA</v>
      </c>
      <c r="CX7" s="2" t="s">
        <v>88</v>
      </c>
      <c r="CY7" s="2">
        <v>338</v>
      </c>
      <c r="CZ7" s="2" t="s">
        <v>106</v>
      </c>
      <c r="DA7" s="2" t="s">
        <v>183</v>
      </c>
      <c r="DB7" s="2">
        <v>0</v>
      </c>
      <c r="DC7" s="2">
        <v>1</v>
      </c>
      <c r="DD7" s="2" t="str">
        <f>HYPERLINK("https://www.kegg.jp/kegg-bin/search_pathway_text?map=aga&amp;keyword=AGAP029277&amp;mode=1&amp;viewImage=true","AGAP029277")</f>
        <v>AGAP029277</v>
      </c>
      <c r="DE7" s="2" t="s">
        <v>166</v>
      </c>
      <c r="DF7" s="2" t="s">
        <v>167</v>
      </c>
      <c r="DG7" s="2" t="s">
        <v>87</v>
      </c>
      <c r="DH7" s="2" t="str">
        <f>HYPERLINK("https://vectorbase.org/vectorbase/app/record/gene/AGAP029277","AGAP029277-RA")</f>
        <v>AGAP029277-RA</v>
      </c>
      <c r="DI7" s="2" t="s">
        <v>108</v>
      </c>
      <c r="DJ7" s="2">
        <v>1211</v>
      </c>
      <c r="DK7" s="2" t="str">
        <f>HYPERLINK(".\links\netoglyc\AGAP029277-PA-netoglyc.txt","0")</f>
        <v>0</v>
      </c>
      <c r="DL7" s="2">
        <v>10.9</v>
      </c>
      <c r="DM7" s="2">
        <v>10.1</v>
      </c>
      <c r="DN7" s="2">
        <v>4.4000000000000004</v>
      </c>
      <c r="DO7" s="2" t="s">
        <v>97</v>
      </c>
      <c r="DP7" s="2" t="s">
        <v>94</v>
      </c>
      <c r="DQ7" s="2" t="str">
        <f>HYPERLINK(".\links\Sigp\AGAP029277-PA-SigP.txt","SIG")</f>
        <v>SIG</v>
      </c>
      <c r="DR7" s="2" t="s">
        <v>150</v>
      </c>
      <c r="DS7" s="2">
        <v>36.159999999999997</v>
      </c>
      <c r="DT7" s="2">
        <v>8.4</v>
      </c>
      <c r="DU7" s="2">
        <v>33.820999999999998</v>
      </c>
      <c r="DV7" s="2">
        <v>8.25</v>
      </c>
      <c r="DW7" s="2" t="s">
        <v>173</v>
      </c>
      <c r="DX7" s="2">
        <v>338</v>
      </c>
      <c r="DY7" s="8">
        <v>0</v>
      </c>
      <c r="DZ7" s="2" t="s">
        <v>94</v>
      </c>
      <c r="EA7" s="2" t="s">
        <v>94</v>
      </c>
      <c r="EB7" s="2" t="s">
        <v>94</v>
      </c>
      <c r="EC7" s="2" t="str">
        <f>HYPERLINK(".\links\gpi\AGAP029277-PA-gpi.txt","N")</f>
        <v>N</v>
      </c>
      <c r="ED7" s="2">
        <v>0.27</v>
      </c>
      <c r="EF7" s="2">
        <v>8</v>
      </c>
      <c r="EG7" s="2" t="s">
        <v>94</v>
      </c>
      <c r="EH7" s="2" t="s">
        <v>94</v>
      </c>
      <c r="EI7" s="2">
        <v>10.9467455621302</v>
      </c>
      <c r="EJ7" s="2">
        <v>4.4378698224852098</v>
      </c>
      <c r="EK7" s="2">
        <v>10.0591715976331</v>
      </c>
      <c r="EL7" s="2">
        <v>14.4970414201183</v>
      </c>
      <c r="EM7" s="2" t="s">
        <v>94</v>
      </c>
      <c r="EN7" s="2">
        <v>2</v>
      </c>
      <c r="EO7" s="2">
        <v>3</v>
      </c>
      <c r="EP7" s="2" t="s">
        <v>94</v>
      </c>
      <c r="EQ7" s="2" t="s">
        <v>94</v>
      </c>
      <c r="ER7" s="2" t="s">
        <v>94</v>
      </c>
      <c r="ES7" s="2" t="s">
        <v>94</v>
      </c>
      <c r="ET7" s="2" t="str">
        <f>HYPERLINK(".\links\REFSEQ-INVERTEBRATE\AGAP029277-PA-REFSEQ-INVERTEBRATE.txt","lipase member H-like")</f>
        <v>lipase member H-like</v>
      </c>
      <c r="EU7" s="2" t="str">
        <f>HYPERLINK("http://www.ncbi.nlm.nih.gov/sutils/blink.cgi?pid=XP_035898260.1","1E-152")</f>
        <v>1E-152</v>
      </c>
      <c r="EV7" s="2" t="str">
        <f>HYPERLINK("http://www.ncbi.nlm.nih.gov/protein/XP_035898260.1","XP_035898260.1")</f>
        <v>XP_035898260.1</v>
      </c>
      <c r="EW7" s="2">
        <v>68</v>
      </c>
      <c r="EX7" s="2">
        <v>79</v>
      </c>
      <c r="EY7" s="2">
        <v>95</v>
      </c>
      <c r="EZ7" s="2" t="s">
        <v>184</v>
      </c>
    </row>
    <row r="8" spans="1:156" x14ac:dyDescent="0.25">
      <c r="A8" s="2" t="s">
        <v>185</v>
      </c>
      <c r="B8" s="2">
        <v>2.0623524743282302</v>
      </c>
      <c r="C8" s="2">
        <v>4.1766680143167187</v>
      </c>
      <c r="D8" s="2">
        <v>4.8697189568772998</v>
      </c>
      <c r="E8" s="2">
        <v>10.362914855498</v>
      </c>
      <c r="F8" s="2">
        <v>1.28572036498812E-3</v>
      </c>
      <c r="G8" s="2">
        <v>4.9832202834806098E-2</v>
      </c>
      <c r="H8" s="2" t="s">
        <v>186</v>
      </c>
      <c r="I8" s="2" t="s">
        <v>87</v>
      </c>
      <c r="J8" s="2" t="str">
        <f>HYPERLINK("https://vectorbase.org/vectorbase/app/record/gene/AGAP013318","AGAP013318-RA")</f>
        <v>AGAP013318-RA</v>
      </c>
      <c r="K8" s="2" t="str">
        <f>HYPERLINK(".\links\pep\AGAP013318-PA-pep.txt","AGAP013318-PA")</f>
        <v>AGAP013318-PA</v>
      </c>
      <c r="L8" s="8" t="s">
        <v>88</v>
      </c>
      <c r="M8" s="2">
        <v>210</v>
      </c>
      <c r="N8" s="2">
        <v>0</v>
      </c>
      <c r="O8" s="2">
        <v>1</v>
      </c>
      <c r="P8" s="2" t="s">
        <v>187</v>
      </c>
      <c r="Q8" s="9" t="s">
        <v>188</v>
      </c>
      <c r="R8" s="2" t="s">
        <v>189</v>
      </c>
      <c r="S8" s="2" t="str">
        <f>HYPERLINK(".\links\KOG\AGAP013318-PA-KOG.txt","KOG")</f>
        <v>KOG</v>
      </c>
      <c r="T8" s="2">
        <v>4.9999999999999996E-25</v>
      </c>
      <c r="U8" s="2">
        <v>86.6</v>
      </c>
      <c r="V8" s="2" t="s">
        <v>190</v>
      </c>
      <c r="W8" s="10" t="s">
        <v>191</v>
      </c>
      <c r="X8" s="2" t="s">
        <v>192</v>
      </c>
      <c r="Y8" s="2" t="str">
        <f>HYPERLINK(".\links\CDD\AGAP013318-PA-CDD.txt","CDD")</f>
        <v>CDD</v>
      </c>
      <c r="Z8" s="13">
        <v>6E-34</v>
      </c>
      <c r="AA8" s="2">
        <v>95</v>
      </c>
      <c r="AB8" s="11" t="str">
        <f>HYPERLINK(".\links\pep\AGAP013318-PA-sulf.txt","1")</f>
        <v>1</v>
      </c>
      <c r="AC8" s="11" t="str">
        <f>HYPERLINK(".\links\Sigp\AGAP013318-PA-SigP.txt","SIG")</f>
        <v>SIG</v>
      </c>
      <c r="AD8" s="2" t="s">
        <v>193</v>
      </c>
      <c r="AE8" s="2">
        <v>23.256</v>
      </c>
      <c r="AF8" s="2">
        <v>4.24</v>
      </c>
      <c r="AG8" s="2">
        <v>21.201000000000001</v>
      </c>
      <c r="AH8" s="2">
        <v>4.24</v>
      </c>
      <c r="AI8" s="2" t="s">
        <v>194</v>
      </c>
      <c r="AJ8" s="11">
        <v>0</v>
      </c>
      <c r="AK8" s="2" t="s">
        <v>94</v>
      </c>
      <c r="AL8" s="2" t="s">
        <v>94</v>
      </c>
      <c r="AM8" s="2" t="s">
        <v>94</v>
      </c>
      <c r="AN8" s="11" t="str">
        <f>HYPERLINK(".\links\gpi\AGAP013318-PA-gpi.txt","N")</f>
        <v>N</v>
      </c>
      <c r="AO8" s="12" t="str">
        <f>HYPERLINK(".\links\netoglyc\AGAP013318-PA-netoglyc.txt","3")</f>
        <v>3</v>
      </c>
      <c r="AP8" s="11">
        <v>13.3</v>
      </c>
      <c r="AQ8" s="2">
        <v>6.7</v>
      </c>
      <c r="AR8" s="2">
        <v>6.2</v>
      </c>
      <c r="AS8" s="2" t="s">
        <v>97</v>
      </c>
      <c r="AT8" s="9" t="str">
        <f>HYPERLINK(".\links\NR-LIGHT\AGAP013318-PA-NR-LIGHT.txt","AGAP013318-PA")</f>
        <v>AGAP013318-PA</v>
      </c>
      <c r="AU8" s="2" t="str">
        <f>HYPERLINK("http://www.ncbi.nlm.nih.gov/sutils/blink.cgi?pid=XP_003436165.1","1E-120")</f>
        <v>1E-120</v>
      </c>
      <c r="AV8" s="2" t="str">
        <f>HYPERLINK("http://www.ncbi.nlm.nih.gov/protein/XP_003436165.1","XP_003436165.1")</f>
        <v>XP_003436165.1</v>
      </c>
      <c r="AW8" s="2">
        <v>100</v>
      </c>
      <c r="AX8" s="2">
        <v>100</v>
      </c>
      <c r="AY8" s="2">
        <v>100</v>
      </c>
      <c r="AZ8" s="2" t="s">
        <v>98</v>
      </c>
      <c r="BA8" s="9" t="str">
        <f>HYPERLINK(".\links\REFSEQ-INVERTEBRATE\AGAP013318-PA-REFSEQ-INVERTEBRATE.txt","AGAP013318-PA")</f>
        <v>AGAP013318-PA</v>
      </c>
      <c r="BB8" s="2" t="str">
        <f>HYPERLINK("http://www.ncbi.nlm.nih.gov/sutils/blink.cgi?pid=XP_003436165.1","1E-120")</f>
        <v>1E-120</v>
      </c>
      <c r="BC8" s="2" t="str">
        <f>HYPERLINK("http://www.ncbi.nlm.nih.gov/protein/XP_003436165.1","XP_003436165.1")</f>
        <v>XP_003436165.1</v>
      </c>
      <c r="BD8" s="2">
        <v>100</v>
      </c>
      <c r="BE8" s="2">
        <v>100</v>
      </c>
      <c r="BF8" s="2">
        <v>100</v>
      </c>
      <c r="BG8" s="2" t="s">
        <v>98</v>
      </c>
      <c r="BH8" s="9" t="str">
        <f>HYPERLINK(".\links\REFSEQ-PROTOZOA\AGAP013318-PA-REFSEQ-PROTOZOA.txt","predicted protein")</f>
        <v>predicted protein</v>
      </c>
      <c r="BI8" s="2" t="str">
        <f>HYPERLINK("http://www.ncbi.nlm.nih.gov/sutils/blink.cgi?pid=XP_002676860.1","3E-017")</f>
        <v>3E-017</v>
      </c>
      <c r="BJ8" s="2" t="str">
        <f>HYPERLINK("http://www.ncbi.nlm.nih.gov/protein/XP_002676860.1","XP_002676860.1")</f>
        <v>XP_002676860.1</v>
      </c>
      <c r="BK8" s="2">
        <v>35</v>
      </c>
      <c r="BL8" s="2">
        <v>53</v>
      </c>
      <c r="BM8" s="2">
        <v>87</v>
      </c>
      <c r="BN8" s="2" t="s">
        <v>195</v>
      </c>
      <c r="BO8" s="9" t="str">
        <f>HYPERLINK(".\links\SWISSP\AGAP013318-PA-SWISSP.txt","Apolipoprotein D")</f>
        <v>Apolipoprotein D</v>
      </c>
      <c r="BP8" s="2" t="str">
        <f>HYPERLINK("http://www.uniprot.org/uniprot/P05090","7E-024")</f>
        <v>7E-024</v>
      </c>
      <c r="BQ8" s="2" t="str">
        <f>HYPERLINK("http://www.uniprot.org/uniprot/P05090#expression","P05090")</f>
        <v>P05090</v>
      </c>
      <c r="BR8" s="2">
        <v>37</v>
      </c>
      <c r="BS8" s="2">
        <v>52</v>
      </c>
      <c r="BT8" s="2">
        <v>85</v>
      </c>
      <c r="BU8" s="2" t="s">
        <v>196</v>
      </c>
      <c r="BV8" s="9" t="str">
        <f>HYPERLINK(".\links\FLYBASE\AGAP013318-PA-FLYBASE.txt","FBpp0310390")</f>
        <v>FBpp0310390</v>
      </c>
      <c r="BW8" s="2" t="str">
        <f>HYPERLINK("http://flybase.org/reports/FBgn0053126#alliance_summary_container","4E-22")</f>
        <v>4E-22</v>
      </c>
      <c r="BX8" s="2">
        <v>224</v>
      </c>
      <c r="BY8" s="2">
        <v>37</v>
      </c>
      <c r="BZ8" s="2">
        <v>49</v>
      </c>
      <c r="CA8" s="2">
        <v>71</v>
      </c>
      <c r="CB8" s="9" t="str">
        <f>HYPERLINK(".\links\CDD\AGAP013318-PA-CDD.txt","Lipocalin_2, Lipocalin-like domain")</f>
        <v>Lipocalin_2, Lipocalin-like domain</v>
      </c>
      <c r="CC8" s="13">
        <v>1E-22</v>
      </c>
      <c r="CD8" s="2">
        <v>92.9</v>
      </c>
      <c r="CE8" s="2" t="s">
        <v>197</v>
      </c>
      <c r="CF8" s="2" t="s">
        <v>198</v>
      </c>
      <c r="CG8" s="9" t="str">
        <f>HYPERLINK(".\links\KOG\AGAP013318-PA-KOG.txt","Apolipoprotein D/Lipocalin")</f>
        <v>Apolipoprotein D/Lipocalin</v>
      </c>
      <c r="CH8" s="13">
        <v>4.9999999999999996E-25</v>
      </c>
      <c r="CI8" s="2">
        <v>86.6</v>
      </c>
      <c r="CJ8" s="2" t="s">
        <v>199</v>
      </c>
      <c r="CK8" s="2" t="s">
        <v>200</v>
      </c>
      <c r="CL8" s="9" t="str">
        <f>HYPERLINK(".\links\PFAM\AGAP013318-PA-PFAM.txt","Lipocalin_2, Lipocalin-like domain")</f>
        <v>Lipocalin_2, Lipocalin-like domain</v>
      </c>
      <c r="CM8" s="13">
        <v>1.9999999999999999E-23</v>
      </c>
      <c r="CN8" s="2">
        <v>92.9</v>
      </c>
      <c r="CO8" s="2" t="s">
        <v>197</v>
      </c>
      <c r="CP8" s="9" t="str">
        <f>HYPERLINK(".\links\SMART\AGAP013318-PA-SMART.txt","Autotransporter, Autotransporter beta-domain")</f>
        <v>Autotransporter, Autotransporter beta-domain</v>
      </c>
      <c r="CQ8" s="13">
        <v>1.6</v>
      </c>
      <c r="CR8" s="2">
        <v>23.5</v>
      </c>
      <c r="CS8" s="2" t="s">
        <v>201</v>
      </c>
      <c r="CT8" s="2" t="s">
        <v>190</v>
      </c>
      <c r="CU8" s="2" t="s">
        <v>190</v>
      </c>
      <c r="CV8" s="2" t="s">
        <v>190</v>
      </c>
      <c r="CW8" s="2" t="str">
        <f>HYPERLINK(".\links\pep\AGAP013318-PA-pep.txt","AGAP013318-PA")</f>
        <v>AGAP013318-PA</v>
      </c>
      <c r="CX8" s="2" t="s">
        <v>88</v>
      </c>
      <c r="CY8" s="2">
        <v>210</v>
      </c>
      <c r="CZ8" s="2" t="s">
        <v>106</v>
      </c>
      <c r="DA8" s="2" t="s">
        <v>202</v>
      </c>
      <c r="DB8" s="2">
        <v>0</v>
      </c>
      <c r="DC8" s="2">
        <v>1</v>
      </c>
      <c r="DD8" s="2" t="str">
        <f>HYPERLINK("https://www.kegg.jp/kegg-bin/search_pathway_text?map=aga&amp;keyword=AGAP013318&amp;mode=1&amp;viewImage=true","AGAP013318")</f>
        <v>AGAP013318</v>
      </c>
      <c r="DE8" s="2" t="s">
        <v>185</v>
      </c>
      <c r="DF8" s="2" t="s">
        <v>186</v>
      </c>
      <c r="DG8" s="2" t="s">
        <v>87</v>
      </c>
      <c r="DH8" s="2" t="str">
        <f>HYPERLINK("https://vectorbase.org/vectorbase/app/record/gene/AGAP013318","AGAP013318-RA")</f>
        <v>AGAP013318-RA</v>
      </c>
      <c r="DI8" s="2" t="s">
        <v>108</v>
      </c>
      <c r="DJ8" s="2">
        <v>750</v>
      </c>
      <c r="DK8" s="2" t="str">
        <f>HYPERLINK(".\links\netoglyc\AGAP013318-PA-netoglyc.txt","3")</f>
        <v>3</v>
      </c>
      <c r="DL8" s="2">
        <v>13.3</v>
      </c>
      <c r="DM8" s="2">
        <v>6.7</v>
      </c>
      <c r="DN8" s="2">
        <v>6.2</v>
      </c>
      <c r="DO8" s="2" t="s">
        <v>97</v>
      </c>
      <c r="DP8" s="2" t="s">
        <v>94</v>
      </c>
      <c r="DQ8" s="2" t="str">
        <f>HYPERLINK(".\links\Sigp\AGAP013318-PA-SigP.txt","SIG")</f>
        <v>SIG</v>
      </c>
      <c r="DR8" s="2" t="s">
        <v>193</v>
      </c>
      <c r="DS8" s="2">
        <v>23.256</v>
      </c>
      <c r="DT8" s="2">
        <v>4.24</v>
      </c>
      <c r="DU8" s="2">
        <v>21.201000000000001</v>
      </c>
      <c r="DV8" s="2">
        <v>4.24</v>
      </c>
      <c r="DW8" s="2" t="s">
        <v>194</v>
      </c>
      <c r="DX8" s="2">
        <v>210</v>
      </c>
      <c r="DY8" s="8">
        <v>0</v>
      </c>
      <c r="DZ8" s="2" t="s">
        <v>94</v>
      </c>
      <c r="EA8" s="2" t="s">
        <v>94</v>
      </c>
      <c r="EB8" s="2" t="s">
        <v>94</v>
      </c>
      <c r="EC8" s="2" t="str">
        <f>HYPERLINK(".\links\gpi\AGAP013318-PA-gpi.txt","N")</f>
        <v>N</v>
      </c>
      <c r="ED8" s="2">
        <v>0.3</v>
      </c>
      <c r="EF8" s="2">
        <v>6</v>
      </c>
      <c r="EG8" s="2" t="str">
        <f>HYPERLINK(".\links\pep\AGAP013318-PA-sulf.txt","1")</f>
        <v>1</v>
      </c>
      <c r="EH8" s="2" t="s">
        <v>94</v>
      </c>
      <c r="EI8" s="2">
        <v>13.3333333333333</v>
      </c>
      <c r="EJ8" s="2">
        <v>6.1904761904761898</v>
      </c>
      <c r="EK8" s="2">
        <v>6.6666666666666696</v>
      </c>
      <c r="EL8" s="2">
        <v>12.8571428571429</v>
      </c>
      <c r="EM8" s="2">
        <v>1</v>
      </c>
      <c r="EN8" s="2" t="s">
        <v>94</v>
      </c>
      <c r="EO8" s="2">
        <v>2</v>
      </c>
      <c r="EP8" s="2" t="s">
        <v>94</v>
      </c>
      <c r="EQ8" s="2" t="s">
        <v>94</v>
      </c>
      <c r="ER8" s="2" t="s">
        <v>94</v>
      </c>
      <c r="ES8" s="2" t="s">
        <v>94</v>
      </c>
      <c r="ET8" s="2" t="str">
        <f>HYPERLINK(".\links\REFSEQ-INVERTEBRATE\AGAP013318-PA-REFSEQ-INVERTEBRATE.txt","AGAP013318-PA")</f>
        <v>AGAP013318-PA</v>
      </c>
      <c r="EU8" s="2" t="str">
        <f>HYPERLINK("http://www.ncbi.nlm.nih.gov/sutils/blink.cgi?pid=XP_003436165.1","1E-154")</f>
        <v>1E-154</v>
      </c>
      <c r="EV8" s="2" t="str">
        <f>HYPERLINK("http://www.ncbi.nlm.nih.gov/protein/XP_003436165.1","XP_003436165.1")</f>
        <v>XP_003436165.1</v>
      </c>
      <c r="EW8" s="2">
        <v>100</v>
      </c>
      <c r="EX8" s="2">
        <v>100</v>
      </c>
      <c r="EY8" s="2">
        <v>100</v>
      </c>
      <c r="EZ8" s="2" t="s">
        <v>98</v>
      </c>
    </row>
    <row r="9" spans="1:156" x14ac:dyDescent="0.25">
      <c r="A9" s="2" t="s">
        <v>203</v>
      </c>
      <c r="B9" s="2">
        <v>1.9409061211996601</v>
      </c>
      <c r="C9" s="2">
        <v>3.8394671948862906</v>
      </c>
      <c r="D9" s="2">
        <v>0.76472293777875699</v>
      </c>
      <c r="E9" s="2">
        <v>23.201747598896201</v>
      </c>
      <c r="F9" s="2">
        <v>1.4586471335746601E-6</v>
      </c>
      <c r="G9" s="2">
        <v>2.8151889677990898E-4</v>
      </c>
      <c r="H9" s="2" t="s">
        <v>204</v>
      </c>
      <c r="I9" s="2" t="s">
        <v>87</v>
      </c>
      <c r="J9" s="2" t="str">
        <f>HYPERLINK("https://vectorbase.org/vectorbase/app/record/gene/AGAP007138","AGAP007138-RA")</f>
        <v>AGAP007138-RA</v>
      </c>
      <c r="K9" s="2" t="str">
        <f>HYPERLINK(".\links\pep\AGAP007138-PA-pep.txt","AGAP007138-PA")</f>
        <v>AGAP007138-PA</v>
      </c>
      <c r="L9" s="8" t="s">
        <v>88</v>
      </c>
      <c r="M9" s="2">
        <v>440</v>
      </c>
      <c r="N9" s="2">
        <v>0</v>
      </c>
      <c r="O9" s="2">
        <v>1</v>
      </c>
      <c r="P9" s="2" t="s">
        <v>205</v>
      </c>
      <c r="Q9" s="9" t="s">
        <v>206</v>
      </c>
      <c r="R9" s="2" t="s">
        <v>207</v>
      </c>
      <c r="S9" s="2" t="str">
        <f>HYPERLINK(".\links\SMART\AGAP007138-PA-SMART.txt","SMART")</f>
        <v>SMART</v>
      </c>
      <c r="T9" s="2">
        <v>3.9999999999999999E-12</v>
      </c>
      <c r="U9" s="2">
        <v>103.3</v>
      </c>
      <c r="V9" s="2" t="s">
        <v>208</v>
      </c>
      <c r="W9" s="10" t="s">
        <v>209</v>
      </c>
      <c r="X9" s="2" t="s">
        <v>207</v>
      </c>
      <c r="Y9" s="2" t="str">
        <f>HYPERLINK(".\links\UNIPROTKB\AGAP007138-PA-UNIPROTKB.txt","UNIPROTKB")</f>
        <v>UNIPROTKB</v>
      </c>
      <c r="Z9" s="13">
        <v>3E-23</v>
      </c>
      <c r="AA9" s="2">
        <v>105.8</v>
      </c>
      <c r="AB9" s="11" t="s">
        <v>94</v>
      </c>
      <c r="AC9" s="11" t="str">
        <f>HYPERLINK(".\links\Sigp\AGAP007138-PA-SigP.txt","CYT")</f>
        <v>CYT</v>
      </c>
      <c r="AD9" s="2" t="s">
        <v>94</v>
      </c>
      <c r="AE9" s="2">
        <v>50.554000000000002</v>
      </c>
      <c r="AF9" s="2">
        <v>9.39</v>
      </c>
      <c r="AG9" s="2" t="s">
        <v>94</v>
      </c>
      <c r="AH9" s="2" t="s">
        <v>94</v>
      </c>
      <c r="AI9" s="2" t="s">
        <v>210</v>
      </c>
      <c r="AJ9" s="11" t="str">
        <f>HYPERLINK(".\links\tmhmm\AGAP007138-PA-tmhmm.txt","5")</f>
        <v>5</v>
      </c>
      <c r="AK9" s="2">
        <v>23</v>
      </c>
      <c r="AL9" s="2">
        <v>32</v>
      </c>
      <c r="AM9" s="2">
        <v>45</v>
      </c>
      <c r="AN9" s="11" t="str">
        <f>HYPERLINK(".\links\gpi\AGAP007138-PA-gpi.txt","N")</f>
        <v>N</v>
      </c>
      <c r="AO9" s="12" t="str">
        <f>HYPERLINK(".\links\netoglyc\AGAP007138-PA-netoglyc.txt","3")</f>
        <v>3</v>
      </c>
      <c r="AP9" s="11">
        <v>11.1</v>
      </c>
      <c r="AQ9" s="2">
        <v>5.5</v>
      </c>
      <c r="AR9" s="2">
        <v>4.3</v>
      </c>
      <c r="AS9" s="2" t="s">
        <v>97</v>
      </c>
      <c r="AT9" s="9" t="str">
        <f>HYPERLINK(".\links\NR-LIGHT\AGAP007138-PA-NR-LIGHT.txt","AGAP007138-PA")</f>
        <v>AGAP007138-PA</v>
      </c>
      <c r="AU9" s="2" t="str">
        <f>HYPERLINK("http://www.ncbi.nlm.nih.gov/sutils/blink.cgi?pid=XP_308621.4","0.0")</f>
        <v>0.0</v>
      </c>
      <c r="AV9" s="2" t="str">
        <f>HYPERLINK("http://www.ncbi.nlm.nih.gov/protein/XP_308621.4","XP_308621.4")</f>
        <v>XP_308621.4</v>
      </c>
      <c r="AW9" s="2">
        <v>100</v>
      </c>
      <c r="AX9" s="2">
        <v>100</v>
      </c>
      <c r="AY9" s="2">
        <v>100</v>
      </c>
      <c r="AZ9" s="2" t="s">
        <v>98</v>
      </c>
      <c r="BA9" s="9" t="str">
        <f>HYPERLINK(".\links\REFSEQ-INVERTEBRATE\AGAP007138-PA-REFSEQ-INVERTEBRATE.txt","AGAP007138-PA")</f>
        <v>AGAP007138-PA</v>
      </c>
      <c r="BB9" s="2" t="str">
        <f>HYPERLINK("http://www.ncbi.nlm.nih.gov/sutils/blink.cgi?pid=XP_308621.4","0.0")</f>
        <v>0.0</v>
      </c>
      <c r="BC9" s="2" t="str">
        <f>HYPERLINK("http://www.ncbi.nlm.nih.gov/protein/XP_308621.4","XP_308621.4")</f>
        <v>XP_308621.4</v>
      </c>
      <c r="BD9" s="2">
        <v>100</v>
      </c>
      <c r="BE9" s="2">
        <v>100</v>
      </c>
      <c r="BF9" s="2">
        <v>100</v>
      </c>
      <c r="BG9" s="2" t="s">
        <v>98</v>
      </c>
      <c r="BH9" s="9" t="str">
        <f>HYPERLINK(".\links\REFSEQ-PROTOZOA\AGAP007138-PA-REFSEQ-PROTOZOA.txt","hypothetical protein PTSG_09941")</f>
        <v>hypothetical protein PTSG_09941</v>
      </c>
      <c r="BI9" s="2" t="str">
        <f>HYPERLINK("http://www.ncbi.nlm.nih.gov/sutils/blink.cgi?pid=XP_004989305.1","1E-012")</f>
        <v>1E-012</v>
      </c>
      <c r="BJ9" s="2" t="str">
        <f>HYPERLINK("http://www.ncbi.nlm.nih.gov/protein/XP_004989305.1","XP_004989305.1")</f>
        <v>XP_004989305.1</v>
      </c>
      <c r="BK9" s="2">
        <v>23</v>
      </c>
      <c r="BL9" s="2">
        <v>41</v>
      </c>
      <c r="BM9" s="2">
        <v>87</v>
      </c>
      <c r="BN9" s="2" t="s">
        <v>117</v>
      </c>
      <c r="BO9" s="9" t="str">
        <f>HYPERLINK(".\links\SWISSP\AGAP007138-PA-SWISSP.txt","DnaJ homolog subfamily C member 22")</f>
        <v>DnaJ homolog subfamily C member 22</v>
      </c>
      <c r="BP9" s="2" t="str">
        <f>HYPERLINK("http://www.uniprot.org/uniprot/Q5PR00","4E-022")</f>
        <v>4E-022</v>
      </c>
      <c r="BQ9" s="2" t="str">
        <f>HYPERLINK("http://www.uniprot.org/uniprot/Q5PR00#expression","Q5PR00")</f>
        <v>Q5PR00</v>
      </c>
      <c r="BR9" s="2">
        <v>27</v>
      </c>
      <c r="BS9" s="2">
        <v>42</v>
      </c>
      <c r="BT9" s="2">
        <v>106</v>
      </c>
      <c r="BU9" s="2" t="s">
        <v>177</v>
      </c>
      <c r="BV9" s="9" t="str">
        <f>HYPERLINK(".\links\FLYBASE\AGAP007138-PA-FLYBASE.txt","FBpp0309739")</f>
        <v>FBpp0309739</v>
      </c>
      <c r="BW9" s="2" t="str">
        <f>HYPERLINK("http://flybase.org/reports/FBgn0030805#alliance_summary_container","1E-152")</f>
        <v>1E-152</v>
      </c>
      <c r="BX9" s="2">
        <v>406</v>
      </c>
      <c r="BY9" s="2">
        <v>52</v>
      </c>
      <c r="BZ9" s="2">
        <v>68</v>
      </c>
      <c r="CA9" s="2">
        <v>97</v>
      </c>
      <c r="CB9" s="9" t="str">
        <f>HYPERLINK(".\links\CDD\AGAP007138-PA-CDD.txt","TM2, TM2 domain")</f>
        <v>TM2, TM2 domain</v>
      </c>
      <c r="CC9" s="13">
        <v>8.0000000000000002E-13</v>
      </c>
      <c r="CD9" s="2">
        <v>100</v>
      </c>
      <c r="CE9" s="2" t="s">
        <v>211</v>
      </c>
      <c r="CF9" s="2" t="s">
        <v>212</v>
      </c>
      <c r="CG9" s="9" t="str">
        <f>HYPERLINK(".\links\KOG\AGAP007138-PA-KOG.txt","Molecular chaperone (DnaJ superfamily)")</f>
        <v>Molecular chaperone (DnaJ superfamily)</v>
      </c>
      <c r="CH9" s="13">
        <v>4.0000000000000001E-10</v>
      </c>
      <c r="CI9" s="2">
        <v>22.2</v>
      </c>
      <c r="CJ9" s="2" t="s">
        <v>213</v>
      </c>
      <c r="CK9" s="2" t="s">
        <v>214</v>
      </c>
      <c r="CL9" s="9" t="str">
        <f>HYPERLINK(".\links\PFAM\AGAP007138-PA-PFAM.txt","TM2, TM2 domain")</f>
        <v>TM2, TM2 domain</v>
      </c>
      <c r="CM9" s="13">
        <v>2.0000000000000001E-13</v>
      </c>
      <c r="CN9" s="2">
        <v>100</v>
      </c>
      <c r="CO9" s="2" t="s">
        <v>211</v>
      </c>
      <c r="CP9" s="9" t="str">
        <f>HYPERLINK(".\links\SMART\AGAP007138-PA-SMART.txt","DnaJ, DnaJ molecular chaperone homology domain")</f>
        <v>DnaJ, DnaJ molecular chaperone homology domain</v>
      </c>
      <c r="CQ9" s="13">
        <v>3.9999999999999999E-12</v>
      </c>
      <c r="CR9" s="2">
        <v>103.3</v>
      </c>
      <c r="CS9" s="2" t="s">
        <v>215</v>
      </c>
      <c r="CT9" s="2" t="s">
        <v>208</v>
      </c>
      <c r="CU9" s="2" t="s">
        <v>208</v>
      </c>
      <c r="CV9" s="2" t="s">
        <v>208</v>
      </c>
      <c r="CW9" s="2" t="str">
        <f>HYPERLINK(".\links\pep\AGAP007138-PA-pep.txt","AGAP007138-PA")</f>
        <v>AGAP007138-PA</v>
      </c>
      <c r="CX9" s="2" t="s">
        <v>88</v>
      </c>
      <c r="CY9" s="2">
        <v>440</v>
      </c>
      <c r="CZ9" s="2" t="s">
        <v>106</v>
      </c>
      <c r="DA9" s="2" t="s">
        <v>216</v>
      </c>
      <c r="DB9" s="2">
        <v>0</v>
      </c>
      <c r="DC9" s="2">
        <v>1</v>
      </c>
      <c r="DD9" s="2" t="str">
        <f>HYPERLINK("https://www.kegg.jp/kegg-bin/search_pathway_text?map=aga&amp;keyword=AGAP007138&amp;mode=1&amp;viewImage=true","AGAP007138")</f>
        <v>AGAP007138</v>
      </c>
      <c r="DE9" s="2" t="s">
        <v>203</v>
      </c>
      <c r="DF9" s="2" t="s">
        <v>204</v>
      </c>
      <c r="DG9" s="2" t="s">
        <v>87</v>
      </c>
      <c r="DH9" s="2" t="str">
        <f>HYPERLINK("https://vectorbase.org/vectorbase/app/record/gene/AGAP007138","AGAP007138-RA")</f>
        <v>AGAP007138-RA</v>
      </c>
      <c r="DI9" s="2" t="s">
        <v>125</v>
      </c>
      <c r="DJ9" s="2">
        <v>1492</v>
      </c>
      <c r="DK9" s="2" t="str">
        <f>HYPERLINK(".\links\netoglyc\AGAP007138-PA-netoglyc.txt","3")</f>
        <v>3</v>
      </c>
      <c r="DL9" s="2">
        <v>11.1</v>
      </c>
      <c r="DM9" s="2">
        <v>5.5</v>
      </c>
      <c r="DN9" s="2">
        <v>4.3</v>
      </c>
      <c r="DO9" s="2" t="s">
        <v>97</v>
      </c>
      <c r="DP9" s="2" t="s">
        <v>217</v>
      </c>
      <c r="DQ9" s="2" t="str">
        <f>HYPERLINK(".\links\Sigp\AGAP007138-PA-SigP.txt","CYT")</f>
        <v>CYT</v>
      </c>
      <c r="DR9" s="2" t="s">
        <v>94</v>
      </c>
      <c r="DS9" s="2">
        <v>50.554000000000002</v>
      </c>
      <c r="DT9" s="2">
        <v>9.39</v>
      </c>
      <c r="DU9" s="2" t="s">
        <v>94</v>
      </c>
      <c r="DV9" s="2" t="s">
        <v>94</v>
      </c>
      <c r="DW9" s="2" t="s">
        <v>210</v>
      </c>
      <c r="DX9" s="2">
        <v>440</v>
      </c>
      <c r="DY9" s="8" t="str">
        <f>HYPERLINK(".\links\tmhmm\AGAP007138-PA-tmhmm.txt","5")</f>
        <v>5</v>
      </c>
      <c r="DZ9" s="2">
        <v>23</v>
      </c>
      <c r="EA9" s="2">
        <v>32</v>
      </c>
      <c r="EB9" s="2">
        <v>45</v>
      </c>
      <c r="EC9" s="2" t="str">
        <f>HYPERLINK(".\links\gpi\AGAP007138-PA-gpi.txt","N")</f>
        <v>N</v>
      </c>
      <c r="ED9" s="2">
        <v>0.2</v>
      </c>
      <c r="EE9" s="2" t="s">
        <v>218</v>
      </c>
      <c r="EF9" s="2">
        <v>6</v>
      </c>
      <c r="EG9" s="2" t="s">
        <v>94</v>
      </c>
      <c r="EH9" s="2" t="s">
        <v>94</v>
      </c>
      <c r="EI9" s="2">
        <v>11.136363636363599</v>
      </c>
      <c r="EJ9" s="2">
        <v>4.3181818181818201</v>
      </c>
      <c r="EK9" s="2">
        <v>5.4545454545454497</v>
      </c>
      <c r="EL9" s="2">
        <v>9.7727272727272698</v>
      </c>
      <c r="EM9" s="2" t="s">
        <v>94</v>
      </c>
      <c r="EN9" s="2">
        <v>2</v>
      </c>
      <c r="EO9" s="2">
        <v>2</v>
      </c>
      <c r="EP9" s="2" t="s">
        <v>94</v>
      </c>
      <c r="EQ9" s="2" t="s">
        <v>94</v>
      </c>
      <c r="ER9" s="2" t="s">
        <v>94</v>
      </c>
      <c r="ES9" s="2" t="s">
        <v>94</v>
      </c>
      <c r="ET9" s="2" t="str">
        <f>HYPERLINK(".\links\REFSEQ-INVERTEBRATE\AGAP007138-PA-REFSEQ-INVERTEBRATE.txt","AGAP007138-PA")</f>
        <v>AGAP007138-PA</v>
      </c>
      <c r="EU9" s="2" t="str">
        <f>HYPERLINK("http://www.ncbi.nlm.nih.gov/sutils/blink.cgi?pid=XP_308621.4","0.0")</f>
        <v>0.0</v>
      </c>
      <c r="EV9" s="2" t="str">
        <f>HYPERLINK("http://www.ncbi.nlm.nih.gov/protein/XP_308621.4","XP_308621.4")</f>
        <v>XP_308621.4</v>
      </c>
      <c r="EW9" s="2">
        <v>100</v>
      </c>
      <c r="EX9" s="2">
        <v>100</v>
      </c>
      <c r="EY9" s="2">
        <v>100</v>
      </c>
      <c r="EZ9" s="2" t="s">
        <v>98</v>
      </c>
    </row>
    <row r="10" spans="1:156" x14ac:dyDescent="0.25">
      <c r="A10" s="2" t="s">
        <v>219</v>
      </c>
      <c r="B10" s="2">
        <v>1.9294217675071299</v>
      </c>
      <c r="C10" s="2">
        <v>3.809025028115014</v>
      </c>
      <c r="D10" s="2">
        <v>5.5089913178935896</v>
      </c>
      <c r="E10" s="2">
        <v>27.292292474839599</v>
      </c>
      <c r="F10" s="2">
        <v>1.7490722274228899E-7</v>
      </c>
      <c r="G10" s="2">
        <v>5.94804758489204E-5</v>
      </c>
      <c r="H10" s="2" t="s">
        <v>220</v>
      </c>
      <c r="I10" s="2" t="s">
        <v>87</v>
      </c>
      <c r="J10" s="2" t="str">
        <f>HYPERLINK("https://vectorbase.org/vectorbase/app/record/gene/AGAP003209","AGAP003209-RA")</f>
        <v>AGAP003209-RA</v>
      </c>
      <c r="K10" s="2" t="str">
        <f>HYPERLINK(".\links\pep\AGAP003209-PA-pep.txt","AGAP003209-PA")</f>
        <v>AGAP003209-PA</v>
      </c>
      <c r="L10" s="8" t="s">
        <v>88</v>
      </c>
      <c r="M10" s="2">
        <v>286</v>
      </c>
      <c r="N10" s="2">
        <v>0</v>
      </c>
      <c r="O10" s="2">
        <v>1</v>
      </c>
      <c r="P10" s="2" t="s">
        <v>221</v>
      </c>
      <c r="Q10" s="9" t="s">
        <v>222</v>
      </c>
      <c r="R10" s="2" t="s">
        <v>223</v>
      </c>
      <c r="S10" s="2" t="str">
        <f>HYPERLINK(".\links\KOG\AGAP003209-PA-KOG.txt","KOG")</f>
        <v>KOG</v>
      </c>
      <c r="T10" s="2">
        <v>1E-62</v>
      </c>
      <c r="U10" s="2">
        <v>98.2</v>
      </c>
      <c r="V10" s="2" t="s">
        <v>224</v>
      </c>
      <c r="W10" s="10" t="s">
        <v>225</v>
      </c>
      <c r="X10" s="2" t="s">
        <v>223</v>
      </c>
      <c r="Y10" s="2" t="str">
        <f>HYPERLINK(".\links\REFSEQVERTEBRATE95\AGAP003209-PA-REFSEQVERTEBRATE95.txt","REFSEQVERTEBRATE95")</f>
        <v>REFSEQVERTEBRATE95</v>
      </c>
      <c r="Z10" s="13">
        <v>6.0000000000000003E-72</v>
      </c>
      <c r="AA10" s="2">
        <v>81.5</v>
      </c>
      <c r="AB10" s="11" t="s">
        <v>94</v>
      </c>
      <c r="AC10" s="11" t="str">
        <f>HYPERLINK(".\links\Sigp\AGAP003209-PA-SigP.txt","CYT")</f>
        <v>CYT</v>
      </c>
      <c r="AD10" s="2" t="s">
        <v>94</v>
      </c>
      <c r="AE10" s="2">
        <v>33.462000000000003</v>
      </c>
      <c r="AF10" s="2">
        <v>9.3800000000000008</v>
      </c>
      <c r="AG10" s="2" t="s">
        <v>94</v>
      </c>
      <c r="AH10" s="2" t="s">
        <v>94</v>
      </c>
      <c r="AI10" s="2" t="s">
        <v>226</v>
      </c>
      <c r="AJ10" s="11" t="str">
        <f>HYPERLINK(".\links\tmhmm\AGAP003209-PA-tmhmm.txt","2")</f>
        <v>2</v>
      </c>
      <c r="AK10" s="2">
        <v>15.4</v>
      </c>
      <c r="AL10" s="2">
        <v>72.7</v>
      </c>
      <c r="AM10" s="2">
        <v>11.9</v>
      </c>
      <c r="AN10" s="11" t="str">
        <f>HYPERLINK(".\links\gpi\AGAP003209-PA-gpi.txt","N")</f>
        <v>N</v>
      </c>
      <c r="AO10" s="12" t="str">
        <f>HYPERLINK(".\links\netoglyc\AGAP003209-PA-netoglyc.txt","0")</f>
        <v>0</v>
      </c>
      <c r="AP10" s="11">
        <v>9.8000000000000007</v>
      </c>
      <c r="AQ10" s="2">
        <v>5.6</v>
      </c>
      <c r="AR10" s="2">
        <v>4.9000000000000004</v>
      </c>
      <c r="AS10" s="2" t="s">
        <v>97</v>
      </c>
      <c r="AT10" s="9" t="str">
        <f>HYPERLINK(".\links\NR-LIGHT\AGAP003209-PA-NR-LIGHT.txt","AGAP003209-PA")</f>
        <v>AGAP003209-PA</v>
      </c>
      <c r="AU10" s="2" t="str">
        <f>HYPERLINK("http://www.ncbi.nlm.nih.gov/sutils/blink.cgi?pid=XP_312916.5","1E-170")</f>
        <v>1E-170</v>
      </c>
      <c r="AV10" s="2" t="str">
        <f>HYPERLINK("http://www.ncbi.nlm.nih.gov/protein/XP_312916.5","XP_312916.5")</f>
        <v>XP_312916.5</v>
      </c>
      <c r="AW10" s="2">
        <v>100</v>
      </c>
      <c r="AX10" s="2">
        <v>100</v>
      </c>
      <c r="AY10" s="2">
        <v>100</v>
      </c>
      <c r="AZ10" s="2" t="s">
        <v>98</v>
      </c>
      <c r="BA10" s="9" t="str">
        <f>HYPERLINK(".\links\REFSEQ-INVERTEBRATE\AGAP003209-PA-REFSEQ-INVERTEBRATE.txt","AGAP003209-PA")</f>
        <v>AGAP003209-PA</v>
      </c>
      <c r="BB10" s="2" t="str">
        <f>HYPERLINK("http://www.ncbi.nlm.nih.gov/sutils/blink.cgi?pid=XP_312916.5","1E-170")</f>
        <v>1E-170</v>
      </c>
      <c r="BC10" s="2" t="str">
        <f>HYPERLINK("http://www.ncbi.nlm.nih.gov/protein/XP_312916.5","XP_312916.5")</f>
        <v>XP_312916.5</v>
      </c>
      <c r="BD10" s="2">
        <v>100</v>
      </c>
      <c r="BE10" s="2">
        <v>100</v>
      </c>
      <c r="BF10" s="2">
        <v>100</v>
      </c>
      <c r="BG10" s="2" t="s">
        <v>98</v>
      </c>
      <c r="BH10" s="9" t="str">
        <f>HYPERLINK(".\links\REFSEQ-PROTOZOA\AGAP003209-PA-REFSEQ-PROTOZOA.txt","sterol desaturase")</f>
        <v>sterol desaturase</v>
      </c>
      <c r="BI10" s="2" t="str">
        <f>HYPERLINK("http://www.ncbi.nlm.nih.gov/sutils/blink.cgi?pid=XP_004347017.2","1E-055")</f>
        <v>1E-055</v>
      </c>
      <c r="BJ10" s="2" t="str">
        <f>HYPERLINK("http://www.ncbi.nlm.nih.gov/protein/XP_004347017.2","XP_004347017.2")</f>
        <v>XP_004347017.2</v>
      </c>
      <c r="BK10" s="2">
        <v>43</v>
      </c>
      <c r="BL10" s="2">
        <v>60</v>
      </c>
      <c r="BM10" s="2">
        <v>85</v>
      </c>
      <c r="BN10" s="2" t="s">
        <v>227</v>
      </c>
      <c r="BO10" s="9" t="str">
        <f>HYPERLINK(".\links\SWISSP\AGAP003209-PA-SWISSP.txt","Fatty acid hydroxylase domain-containing protein 2")</f>
        <v>Fatty acid hydroxylase domain-containing protein 2</v>
      </c>
      <c r="BP10" s="2" t="str">
        <f>HYPERLINK("http://www.uniprot.org/uniprot/Q9GKT2","5E-055")</f>
        <v>5E-055</v>
      </c>
      <c r="BQ10" s="2" t="str">
        <f>HYPERLINK("http://www.uniprot.org/uniprot/Q9GKT2#expression","Q9GKT2")</f>
        <v>Q9GKT2</v>
      </c>
      <c r="BR10" s="2">
        <v>39</v>
      </c>
      <c r="BS10" s="2">
        <v>57</v>
      </c>
      <c r="BT10" s="2">
        <v>82</v>
      </c>
      <c r="BU10" s="2" t="s">
        <v>228</v>
      </c>
      <c r="BV10" s="9" t="str">
        <f>HYPERLINK(".\links\FLYBASE\AGAP003209-PA-FLYBASE.txt","FBpp0290775")</f>
        <v>FBpp0290775</v>
      </c>
      <c r="BW10" s="2" t="str">
        <f>HYPERLINK("http://flybase.org/reports/FBgn0030485#alliance_summary_container","4E-97")</f>
        <v>4E-97</v>
      </c>
      <c r="BX10" s="2">
        <v>298</v>
      </c>
      <c r="BY10" s="2">
        <v>49</v>
      </c>
      <c r="BZ10" s="2">
        <v>68</v>
      </c>
      <c r="CA10" s="2">
        <v>90</v>
      </c>
      <c r="CB10" s="9" t="str">
        <f>HYPERLINK(".\links\CDD\AGAP003209-PA-CDD.txt","FA_hydroxylase, Fatty acid hydroxylase superfamily")</f>
        <v>FA_hydroxylase, Fatty acid hydroxylase superfamily</v>
      </c>
      <c r="CC10" s="13">
        <v>3.9999999999999999E-16</v>
      </c>
      <c r="CD10" s="2">
        <v>100.7</v>
      </c>
      <c r="CE10" s="2" t="s">
        <v>229</v>
      </c>
      <c r="CF10" s="2" t="s">
        <v>230</v>
      </c>
      <c r="CG10" s="9" t="str">
        <f>HYPERLINK(".\links\KOG\AGAP003209-PA-KOG.txt","C-4 sterol methyl oxidase")</f>
        <v>C-4 sterol methyl oxidase</v>
      </c>
      <c r="CH10" s="13">
        <v>1E-62</v>
      </c>
      <c r="CI10" s="2">
        <v>98.2</v>
      </c>
      <c r="CJ10" s="2" t="s">
        <v>231</v>
      </c>
      <c r="CK10" s="2" t="s">
        <v>232</v>
      </c>
      <c r="CL10" s="9" t="str">
        <f>HYPERLINK(".\links\PFAM\AGAP003209-PA-PFAM.txt","FA_hydroxylase, Fatty acid hydroxylase superfamily")</f>
        <v>FA_hydroxylase, Fatty acid hydroxylase superfamily</v>
      </c>
      <c r="CM10" s="13">
        <v>8.0000000000000006E-17</v>
      </c>
      <c r="CN10" s="2">
        <v>100.7</v>
      </c>
      <c r="CO10" s="2" t="s">
        <v>229</v>
      </c>
      <c r="CP10" s="9" t="str">
        <f>HYPERLINK(".\links\SMART\AGAP003209-PA-SMART.txt","53EXOc, 5'-3' exonuclease")</f>
        <v>53EXOc, 5'-3' exonuclease</v>
      </c>
      <c r="CQ10" s="13">
        <v>5.5</v>
      </c>
      <c r="CR10" s="2">
        <v>10</v>
      </c>
      <c r="CS10" s="2" t="s">
        <v>233</v>
      </c>
      <c r="CT10" s="2" t="s">
        <v>224</v>
      </c>
      <c r="CU10" s="2" t="s">
        <v>224</v>
      </c>
      <c r="CV10" s="2" t="s">
        <v>224</v>
      </c>
      <c r="CW10" s="2" t="str">
        <f>HYPERLINK(".\links\pep\AGAP003209-PA-pep.txt","AGAP003209-PA")</f>
        <v>AGAP003209-PA</v>
      </c>
      <c r="CX10" s="2" t="s">
        <v>88</v>
      </c>
      <c r="CY10" s="2">
        <v>286</v>
      </c>
      <c r="CZ10" s="2" t="s">
        <v>106</v>
      </c>
      <c r="DA10" s="2" t="s">
        <v>234</v>
      </c>
      <c r="DB10" s="2">
        <v>0</v>
      </c>
      <c r="DC10" s="2">
        <v>1</v>
      </c>
      <c r="DD10" s="2" t="str">
        <f>HYPERLINK("https://www.kegg.jp/kegg-bin/search_pathway_text?map=aga&amp;keyword=AGAP003209&amp;mode=1&amp;viewImage=true","AGAP003209")</f>
        <v>AGAP003209</v>
      </c>
      <c r="DE10" s="2" t="s">
        <v>219</v>
      </c>
      <c r="DF10" s="2" t="s">
        <v>220</v>
      </c>
      <c r="DG10" s="2" t="s">
        <v>87</v>
      </c>
      <c r="DH10" s="2" t="str">
        <f>HYPERLINK("https://vectorbase.org/vectorbase/app/record/gene/AGAP003209","AGAP003209-RA")</f>
        <v>AGAP003209-RA</v>
      </c>
      <c r="DI10" s="2" t="s">
        <v>108</v>
      </c>
      <c r="DJ10" s="2">
        <v>1016</v>
      </c>
      <c r="DK10" s="2" t="str">
        <f>HYPERLINK(".\links\netoglyc\AGAP003209-PA-netoglyc.txt","0")</f>
        <v>0</v>
      </c>
      <c r="DL10" s="2">
        <v>9.8000000000000007</v>
      </c>
      <c r="DM10" s="2">
        <v>5.6</v>
      </c>
      <c r="DN10" s="2">
        <v>4.9000000000000004</v>
      </c>
      <c r="DO10" s="2" t="s">
        <v>97</v>
      </c>
      <c r="DP10" s="2" t="s">
        <v>94</v>
      </c>
      <c r="DQ10" s="2" t="str">
        <f>HYPERLINK(".\links\Sigp\AGAP003209-PA-SigP.txt","CYT")</f>
        <v>CYT</v>
      </c>
      <c r="DR10" s="2" t="s">
        <v>94</v>
      </c>
      <c r="DS10" s="2">
        <v>33.462000000000003</v>
      </c>
      <c r="DT10" s="2">
        <v>9.3800000000000008</v>
      </c>
      <c r="DU10" s="2" t="s">
        <v>94</v>
      </c>
      <c r="DV10" s="2" t="s">
        <v>94</v>
      </c>
      <c r="DW10" s="2" t="s">
        <v>226</v>
      </c>
      <c r="DX10" s="2">
        <v>286</v>
      </c>
      <c r="DY10" s="8" t="str">
        <f>HYPERLINK(".\links\tmhmm\AGAP003209-PA-tmhmm.txt","2")</f>
        <v>2</v>
      </c>
      <c r="DZ10" s="2">
        <v>15.4</v>
      </c>
      <c r="EA10" s="2">
        <v>72.7</v>
      </c>
      <c r="EB10" s="2">
        <v>11.9</v>
      </c>
      <c r="EC10" s="2" t="str">
        <f>HYPERLINK(".\links\gpi\AGAP003209-PA-gpi.txt","Y-NoSP")</f>
        <v>Y-NoSP</v>
      </c>
      <c r="ED10" s="2">
        <v>0.33</v>
      </c>
      <c r="EE10" s="2" t="s">
        <v>235</v>
      </c>
      <c r="EF10" s="2">
        <v>1</v>
      </c>
      <c r="EG10" s="2" t="s">
        <v>94</v>
      </c>
      <c r="EH10" s="2" t="s">
        <v>94</v>
      </c>
      <c r="EI10" s="2">
        <v>9.79020979020979</v>
      </c>
      <c r="EJ10" s="2">
        <v>4.8951048951049003</v>
      </c>
      <c r="EK10" s="2">
        <v>5.5944055944055897</v>
      </c>
      <c r="EL10" s="2">
        <v>10.489510489510501</v>
      </c>
      <c r="EM10" s="2" t="s">
        <v>94</v>
      </c>
      <c r="EN10" s="2" t="s">
        <v>94</v>
      </c>
      <c r="EO10" s="2">
        <v>2</v>
      </c>
      <c r="EP10" s="2" t="s">
        <v>94</v>
      </c>
      <c r="EQ10" s="2" t="s">
        <v>94</v>
      </c>
      <c r="ER10" s="2" t="s">
        <v>94</v>
      </c>
      <c r="ES10" s="2" t="s">
        <v>94</v>
      </c>
      <c r="ET10" s="2" t="str">
        <f>HYPERLINK(".\links\REFSEQ-INVERTEBRATE\AGAP003209-PA-REFSEQ-INVERTEBRATE.txt","AGAP003209-PA")</f>
        <v>AGAP003209-PA</v>
      </c>
      <c r="EU10" s="2" t="str">
        <f>HYPERLINK("http://www.ncbi.nlm.nih.gov/sutils/blink.cgi?pid=XP_312916.5","0.0")</f>
        <v>0.0</v>
      </c>
      <c r="EV10" s="2" t="str">
        <f>HYPERLINK("http://www.ncbi.nlm.nih.gov/protein/XP_312916.5","XP_312916.5")</f>
        <v>XP_312916.5</v>
      </c>
      <c r="EW10" s="2">
        <v>100</v>
      </c>
      <c r="EX10" s="2">
        <v>100</v>
      </c>
      <c r="EY10" s="2">
        <v>100</v>
      </c>
      <c r="EZ10" s="2" t="s">
        <v>98</v>
      </c>
    </row>
    <row r="11" spans="1:156" x14ac:dyDescent="0.25">
      <c r="A11" s="2" t="s">
        <v>236</v>
      </c>
      <c r="B11" s="2">
        <v>1.8149024344901299</v>
      </c>
      <c r="C11" s="2">
        <v>3.5183583587152847</v>
      </c>
      <c r="D11" s="2">
        <v>5.0313524746482399</v>
      </c>
      <c r="E11" s="2">
        <v>27.321197127034701</v>
      </c>
      <c r="F11" s="2">
        <v>1.7231207177695101E-7</v>
      </c>
      <c r="G11" s="2">
        <v>5.94804758489204E-5</v>
      </c>
      <c r="H11" s="2" t="s">
        <v>167</v>
      </c>
      <c r="I11" s="2" t="s">
        <v>87</v>
      </c>
      <c r="J11" s="2" t="str">
        <f>HYPERLINK("https://vectorbase.org/vectorbase/app/record/gene/AGAP029051","AGAP029051-RE")</f>
        <v>AGAP029051-RE</v>
      </c>
      <c r="K11" s="2" t="str">
        <f>HYPERLINK(".\links\pep\AGAP029051-PE-pep.txt","AGAP029051-PE")</f>
        <v>AGAP029051-PE</v>
      </c>
      <c r="L11" s="8" t="s">
        <v>88</v>
      </c>
      <c r="M11" s="2">
        <v>8830</v>
      </c>
      <c r="N11" s="2">
        <v>0</v>
      </c>
      <c r="O11" s="2">
        <v>48</v>
      </c>
      <c r="P11" s="2" t="s">
        <v>94</v>
      </c>
      <c r="Q11" s="9" t="s">
        <v>237</v>
      </c>
      <c r="R11" s="2" t="s">
        <v>238</v>
      </c>
      <c r="S11" s="2" t="str">
        <f>HYPERLINK(".\links\KOG\AGAP029051-PE-KOG.txt","KOG")</f>
        <v>KOG</v>
      </c>
      <c r="T11" s="2">
        <v>3E-49</v>
      </c>
      <c r="U11" s="2">
        <v>95.8</v>
      </c>
      <c r="V11" s="2" t="s">
        <v>239</v>
      </c>
      <c r="W11" s="10" t="s">
        <v>240</v>
      </c>
      <c r="X11" s="2" t="s">
        <v>238</v>
      </c>
      <c r="Y11" s="2" t="str">
        <f>HYPERLINK(".\links\COG\AGAP029051-PE-COG.txt","COG")</f>
        <v>COG</v>
      </c>
      <c r="Z11" s="13">
        <v>4.9999999999999998E-39</v>
      </c>
      <c r="AA11" s="2">
        <v>36.200000000000003</v>
      </c>
      <c r="AB11" s="11" t="str">
        <f>HYPERLINK(".\links\pep\AGAP029051-PE-sulf.txt","7")</f>
        <v>7</v>
      </c>
      <c r="AC11" s="11" t="s">
        <v>241</v>
      </c>
      <c r="AD11" s="2" t="s">
        <v>94</v>
      </c>
      <c r="AE11" s="2">
        <v>984.38300000000004</v>
      </c>
      <c r="AF11" s="2">
        <v>5.65</v>
      </c>
      <c r="AG11" s="2" t="s">
        <v>94</v>
      </c>
      <c r="AH11" s="2" t="s">
        <v>94</v>
      </c>
      <c r="AI11" s="2" t="s">
        <v>242</v>
      </c>
      <c r="AJ11" s="11">
        <v>0</v>
      </c>
      <c r="AK11" s="2" t="s">
        <v>94</v>
      </c>
      <c r="AL11" s="2" t="s">
        <v>94</v>
      </c>
      <c r="AM11" s="2" t="s">
        <v>94</v>
      </c>
      <c r="AN11" s="9" t="str">
        <f>HYPERLINK(".\links\gpi\AGAP029051-PE-gpi.txt","N")</f>
        <v>N</v>
      </c>
      <c r="AO11" s="12" t="str">
        <f>HYPERLINK(".\links\netoglyc\AGAP029051-PE-netoglyc.txt","15")</f>
        <v>15</v>
      </c>
      <c r="AP11" s="11">
        <v>13.1</v>
      </c>
      <c r="AQ11" s="2">
        <v>6</v>
      </c>
      <c r="AR11" s="2">
        <v>4.4000000000000004</v>
      </c>
      <c r="AS11" s="2">
        <v>0.1</v>
      </c>
      <c r="AT11" s="9" t="str">
        <f>HYPERLINK(".\links\NR-LIGHT\AGAP029051-PE-NR-LIGHT.txt","AGAP011396-PA, partial")</f>
        <v>AGAP011396-PA, partial</v>
      </c>
      <c r="AU11" s="2" t="str">
        <f>HYPERLINK("http://www.ncbi.nlm.nih.gov/sutils/blink.cgi?pid=XP_317924.4","0.0")</f>
        <v>0.0</v>
      </c>
      <c r="AV11" s="2" t="str">
        <f>HYPERLINK("http://www.ncbi.nlm.nih.gov/protein/XP_317924.4","XP_317924.4")</f>
        <v>XP_317924.4</v>
      </c>
      <c r="AW11" s="2">
        <v>98</v>
      </c>
      <c r="AX11" s="2">
        <v>98</v>
      </c>
      <c r="AY11" s="2">
        <v>100</v>
      </c>
      <c r="AZ11" s="2" t="s">
        <v>98</v>
      </c>
      <c r="BA11" s="9" t="str">
        <f>HYPERLINK(".\links\REFSEQ-INVERTEBRATE\AGAP029051-PE-REFSEQ-INVERTEBRATE.txt","AGAP011396-PA, partial")</f>
        <v>AGAP011396-PA, partial</v>
      </c>
      <c r="BB11" s="2" t="str">
        <f>HYPERLINK("http://www.ncbi.nlm.nih.gov/sutils/blink.cgi?pid=XP_317924.4","0.0")</f>
        <v>0.0</v>
      </c>
      <c r="BC11" s="2" t="str">
        <f>HYPERLINK("http://www.ncbi.nlm.nih.gov/protein/XP_317924.4","XP_317924.4")</f>
        <v>XP_317924.4</v>
      </c>
      <c r="BD11" s="2">
        <v>98</v>
      </c>
      <c r="BE11" s="2">
        <v>98</v>
      </c>
      <c r="BF11" s="2">
        <v>100</v>
      </c>
      <c r="BG11" s="2" t="s">
        <v>98</v>
      </c>
      <c r="BH11" s="9" t="str">
        <f>HYPERLINK(".\links\REFSEQ-PROTOZOA\AGAP029051-PE-REFSEQ-PROTOZOA.txt","hypothetical protein CAOG_08407")</f>
        <v>hypothetical protein CAOG_08407</v>
      </c>
      <c r="BI11" s="2" t="str">
        <f>HYPERLINK("http://www.ncbi.nlm.nih.gov/sutils/blink.cgi?pid=XP_011269978.1","2E-095")</f>
        <v>2E-095</v>
      </c>
      <c r="BJ11" s="2" t="str">
        <f>HYPERLINK("http://www.ncbi.nlm.nih.gov/protein/XP_011269978.1","XP_011269978.1")</f>
        <v>XP_011269978.1</v>
      </c>
      <c r="BK11" s="2">
        <v>26</v>
      </c>
      <c r="BL11" s="2">
        <v>45</v>
      </c>
      <c r="BM11" s="2">
        <v>46</v>
      </c>
      <c r="BN11" s="2" t="s">
        <v>227</v>
      </c>
      <c r="BO11" s="9" t="str">
        <f>HYPERLINK(".\links\SWISSP\AGAP029051-PE-SWISSP.txt","Dystonin")</f>
        <v>Dystonin</v>
      </c>
      <c r="BP11" s="2" t="str">
        <f>HYPERLINK("http://www.uniprot.org/uniprot/Q03001","0.0")</f>
        <v>0.0</v>
      </c>
      <c r="BQ11" s="2" t="str">
        <f>HYPERLINK("http://www.uniprot.org/uniprot/Q03001#expression","Q03001")</f>
        <v>Q03001</v>
      </c>
      <c r="BR11" s="2">
        <v>30</v>
      </c>
      <c r="BS11" s="2">
        <v>52</v>
      </c>
      <c r="BT11" s="2">
        <v>50</v>
      </c>
      <c r="BU11" s="2" t="s">
        <v>196</v>
      </c>
      <c r="BV11" s="9" t="str">
        <f>HYPERLINK(".\links\FLYBASE\AGAP029051-PE-FLYBASE.txt","FBpp0086747")</f>
        <v>FBpp0086747</v>
      </c>
      <c r="BW11" s="2" t="str">
        <f>HYPERLINK("http://flybase.org/reports/FBgn0013733#alliance_summary_container","0.0")</f>
        <v>0.0</v>
      </c>
      <c r="BX11" s="2">
        <v>8805</v>
      </c>
      <c r="BY11" s="2">
        <v>62</v>
      </c>
      <c r="BZ11" s="2">
        <v>78</v>
      </c>
      <c r="CA11" s="2">
        <v>62</v>
      </c>
      <c r="CB11" s="9" t="str">
        <f>HYPERLINK(".\links\CDD\AGAP029051-PE-CDD.txt","SAC6, Ca2+-binding actin-bundling protein fimbrin/plastin (EF-Hand superfamily)")</f>
        <v>SAC6, Ca2+-binding actin-bundling protein fimbrin/plastin (EF-Hand superfamily)</v>
      </c>
      <c r="CC11" s="13">
        <v>2.0000000000000001E-42</v>
      </c>
      <c r="CD11" s="2">
        <v>37.299999999999997</v>
      </c>
      <c r="CE11" s="2" t="s">
        <v>243</v>
      </c>
      <c r="CF11" s="2" t="s">
        <v>244</v>
      </c>
      <c r="CG11" s="9" t="str">
        <f>HYPERLINK(".\links\KOG\AGAP029051-PE-KOG.txt","Beta-spectrin")</f>
        <v>Beta-spectrin</v>
      </c>
      <c r="CH11" s="13">
        <v>1E-127</v>
      </c>
      <c r="CI11" s="2">
        <v>47.4</v>
      </c>
      <c r="CJ11" s="2" t="s">
        <v>245</v>
      </c>
      <c r="CK11" s="2" t="s">
        <v>246</v>
      </c>
      <c r="CL11" s="9" t="str">
        <f>HYPERLINK(".\links\PFAM\AGAP029051-PE-PFAM.txt","GAS2, Growth-Arrest-Specific Protein 2 Domain")</f>
        <v>GAS2, Growth-Arrest-Specific Protein 2 Domain</v>
      </c>
      <c r="CM11" s="13">
        <v>9.0000000000000002E-35</v>
      </c>
      <c r="CN11" s="2">
        <v>100</v>
      </c>
      <c r="CO11" s="2" t="s">
        <v>247</v>
      </c>
      <c r="CP11" s="9" t="str">
        <f>HYPERLINK(".\links\SMART\AGAP029051-PE-SMART.txt","GAS2, Growth-Arrest-Specific Protein 2 Domain")</f>
        <v>GAS2, Growth-Arrest-Specific Protein 2 Domain</v>
      </c>
      <c r="CQ11" s="13">
        <v>5E-36</v>
      </c>
      <c r="CR11" s="2">
        <v>100</v>
      </c>
      <c r="CS11" s="2" t="s">
        <v>248</v>
      </c>
      <c r="CT11" s="2" t="s">
        <v>239</v>
      </c>
      <c r="CU11" s="2" t="s">
        <v>239</v>
      </c>
      <c r="CV11" s="2" t="s">
        <v>239</v>
      </c>
      <c r="CW11" s="2" t="str">
        <f>HYPERLINK(".\links\pep\AGAP029051-PE-pep.txt","AGAP029051-PE")</f>
        <v>AGAP029051-PE</v>
      </c>
      <c r="CX11" s="2" t="s">
        <v>88</v>
      </c>
      <c r="CY11" s="2">
        <v>8830</v>
      </c>
      <c r="CZ11" s="2" t="s">
        <v>106</v>
      </c>
      <c r="DA11" s="2" t="s">
        <v>249</v>
      </c>
      <c r="DB11" s="2">
        <v>0</v>
      </c>
      <c r="DC11" s="2">
        <v>48</v>
      </c>
      <c r="DD11" s="2" t="str">
        <f>HYPERLINK("https://www.kegg.jp/kegg-bin/search_pathway_text?map=aga&amp;keyword=AGAP029051&amp;mode=1&amp;viewImage=true","AGAP029051")</f>
        <v>AGAP029051</v>
      </c>
      <c r="DE11" s="2" t="s">
        <v>236</v>
      </c>
      <c r="DF11" s="2" t="s">
        <v>167</v>
      </c>
      <c r="DG11" s="2" t="s">
        <v>87</v>
      </c>
      <c r="DH11" s="2" t="str">
        <f>HYPERLINK("https://vectorbase.org/vectorbase/app/record/gene/AGAP029051","AGAP029051-RE")</f>
        <v>AGAP029051-RE</v>
      </c>
      <c r="DI11" s="2" t="s">
        <v>250</v>
      </c>
      <c r="DJ11" s="2">
        <v>29632</v>
      </c>
      <c r="DK11" s="2" t="str">
        <f>HYPERLINK(".\links\netoglyc\AGAP029051-PE-netoglyc.txt","15")</f>
        <v>15</v>
      </c>
      <c r="DL11" s="2">
        <v>13.1</v>
      </c>
      <c r="DM11" s="2">
        <v>6</v>
      </c>
      <c r="DN11" s="2">
        <v>4.4000000000000004</v>
      </c>
      <c r="DO11" s="2">
        <v>0.1</v>
      </c>
      <c r="DP11" s="2" t="s">
        <v>94</v>
      </c>
      <c r="DQ11" s="2" t="s">
        <v>241</v>
      </c>
      <c r="DR11" s="2" t="s">
        <v>94</v>
      </c>
      <c r="DS11" s="2">
        <v>984.38300000000004</v>
      </c>
      <c r="DT11" s="2">
        <v>5.65</v>
      </c>
      <c r="DU11" s="2" t="s">
        <v>94</v>
      </c>
      <c r="DV11" s="2" t="s">
        <v>94</v>
      </c>
      <c r="DW11" s="2" t="s">
        <v>242</v>
      </c>
      <c r="DX11" s="2">
        <v>8830</v>
      </c>
      <c r="DY11" s="8">
        <v>0</v>
      </c>
      <c r="DZ11" s="2" t="s">
        <v>94</v>
      </c>
      <c r="EA11" s="2" t="s">
        <v>94</v>
      </c>
      <c r="EB11" s="2" t="s">
        <v>94</v>
      </c>
      <c r="EC11" s="2" t="str">
        <f>HYPERLINK(".\links\gpi\AGAP029051-PE-gpi.txt","Y-NoSP")</f>
        <v>Y-NoSP</v>
      </c>
      <c r="ED11" s="2">
        <v>0.19</v>
      </c>
      <c r="EF11" s="2">
        <v>57</v>
      </c>
      <c r="EG11" s="2" t="str">
        <f>HYPERLINK(".\links\pep\AGAP029051-PE-sulf.txt","7")</f>
        <v>7</v>
      </c>
      <c r="EH11" s="2" t="s">
        <v>94</v>
      </c>
      <c r="EI11" s="2">
        <v>13.057757644394099</v>
      </c>
      <c r="EJ11" s="2">
        <v>4.36013590033975</v>
      </c>
      <c r="EK11" s="2">
        <v>5.9682899207247999</v>
      </c>
      <c r="EL11" s="2">
        <v>10.3284258210646</v>
      </c>
      <c r="EM11" s="2">
        <v>3</v>
      </c>
      <c r="EN11" s="2">
        <v>34</v>
      </c>
      <c r="EO11" s="2">
        <v>37</v>
      </c>
      <c r="EP11" s="2" t="s">
        <v>94</v>
      </c>
      <c r="EQ11" s="2" t="s">
        <v>94</v>
      </c>
      <c r="ER11" s="2" t="s">
        <v>94</v>
      </c>
      <c r="ES11" s="2" t="s">
        <v>94</v>
      </c>
      <c r="ET11" s="2" t="str">
        <f>HYPERLINK(".\links\REFSEQ-INVERTEBRATE\AGAP029051-PE-REFSEQ-INVERTEBRATE.txt","AGAP011396-PA, partial")</f>
        <v>AGAP011396-PA, partial</v>
      </c>
      <c r="EU11" s="2" t="str">
        <f>HYPERLINK("http://www.ncbi.nlm.nih.gov/sutils/blink.cgi?pid=XP_317924.4","0.0")</f>
        <v>0.0</v>
      </c>
      <c r="EV11" s="2" t="str">
        <f>HYPERLINK("http://www.ncbi.nlm.nih.gov/protein/XP_317924.4","XP_317924.4")</f>
        <v>XP_317924.4</v>
      </c>
      <c r="EW11" s="2">
        <v>98</v>
      </c>
      <c r="EX11" s="2">
        <v>98</v>
      </c>
      <c r="EY11" s="2">
        <v>100</v>
      </c>
      <c r="EZ11" s="2" t="s">
        <v>98</v>
      </c>
    </row>
    <row r="12" spans="1:156" x14ac:dyDescent="0.25">
      <c r="A12" s="2" t="s">
        <v>251</v>
      </c>
      <c r="B12" s="2">
        <v>1.7322366686422599</v>
      </c>
      <c r="C12" s="2">
        <v>3.3224250828775093</v>
      </c>
      <c r="D12" s="2">
        <v>2.6879449453223998</v>
      </c>
      <c r="E12" s="2">
        <v>24.8431978724104</v>
      </c>
      <c r="F12" s="2">
        <v>6.21880995186989E-7</v>
      </c>
      <c r="G12" s="2">
        <v>1.4785300232771699E-4</v>
      </c>
      <c r="H12" s="2" t="s">
        <v>167</v>
      </c>
      <c r="I12" s="2" t="s">
        <v>87</v>
      </c>
      <c r="J12" s="2" t="str">
        <f>HYPERLINK("https://vectorbase.org/vectorbase/app/record/gene/AGAP004410","AGAP004410-RA")</f>
        <v>AGAP004410-RA</v>
      </c>
      <c r="K12" s="2" t="str">
        <f>HYPERLINK(".\links\pep\AGAP004410-PA-pep.txt","AGAP004410-PA")</f>
        <v>AGAP004410-PA</v>
      </c>
      <c r="L12" s="8" t="s">
        <v>88</v>
      </c>
      <c r="M12" s="2">
        <v>120</v>
      </c>
      <c r="N12" s="2">
        <v>0</v>
      </c>
      <c r="O12" s="2">
        <v>0</v>
      </c>
      <c r="P12" s="2" t="s">
        <v>94</v>
      </c>
      <c r="Q12" s="9" t="s">
        <v>252</v>
      </c>
      <c r="R12" s="2" t="s">
        <v>253</v>
      </c>
      <c r="S12" s="2" t="str">
        <f>HYPERLINK(".\links\REFSEQ-INVERTEBRATE\AGAP004410-PA-REFSEQ-INVERTEBRATE.txt","REFSEQ-INVERTEBRATE")</f>
        <v>REFSEQ-INVERTEBRATE</v>
      </c>
      <c r="T12" s="2">
        <v>9.9999999999999997E-61</v>
      </c>
      <c r="U12" s="2">
        <v>100</v>
      </c>
      <c r="V12" s="2" t="s">
        <v>252</v>
      </c>
      <c r="W12" s="10" t="s">
        <v>254</v>
      </c>
      <c r="X12" s="2" t="s">
        <v>253</v>
      </c>
      <c r="Y12" s="2" t="str">
        <f>HYPERLINK(".\links\ARTHORPODA\AGAP004410-PA-ARTHORPODA.txt","ARTHORPODA")</f>
        <v>ARTHORPODA</v>
      </c>
      <c r="Z12" s="13">
        <v>3.9999999999999998E-81</v>
      </c>
      <c r="AA12" s="2">
        <v>100</v>
      </c>
      <c r="AB12" s="11" t="s">
        <v>94</v>
      </c>
      <c r="AC12" s="11" t="str">
        <f>HYPERLINK(".\links\Sigp\AGAP004410-PA-SigP.txt","CYT")</f>
        <v>CYT</v>
      </c>
      <c r="AD12" s="2" t="s">
        <v>94</v>
      </c>
      <c r="AE12" s="2">
        <v>12.717000000000001</v>
      </c>
      <c r="AF12" s="2">
        <v>10.75</v>
      </c>
      <c r="AG12" s="2" t="s">
        <v>94</v>
      </c>
      <c r="AH12" s="2" t="s">
        <v>94</v>
      </c>
      <c r="AI12" s="2" t="s">
        <v>255</v>
      </c>
      <c r="AJ12" s="11">
        <v>0</v>
      </c>
      <c r="AK12" s="2" t="s">
        <v>94</v>
      </c>
      <c r="AL12" s="2" t="s">
        <v>94</v>
      </c>
      <c r="AM12" s="2" t="s">
        <v>94</v>
      </c>
      <c r="AN12" s="11" t="str">
        <f>HYPERLINK(".\links\gpi\AGAP004410-PA-gpi.txt","N")</f>
        <v>N</v>
      </c>
      <c r="AO12" s="12" t="str">
        <f>HYPERLINK(".\links\netoglyc\AGAP004410-PA-netoglyc.txt","8")</f>
        <v>8</v>
      </c>
      <c r="AP12" s="11">
        <v>20</v>
      </c>
      <c r="AQ12" s="2">
        <v>12.5</v>
      </c>
      <c r="AR12" s="2">
        <v>3.3</v>
      </c>
      <c r="AS12" s="2" t="s">
        <v>97</v>
      </c>
      <c r="AT12" s="9" t="str">
        <f>HYPERLINK(".\links\NR-LIGHT\AGAP004410-PA-NR-LIGHT.txt","AGAP004410-PA")</f>
        <v>AGAP004410-PA</v>
      </c>
      <c r="AU12" s="2" t="str">
        <f>HYPERLINK("http://www.ncbi.nlm.nih.gov/sutils/blink.cgi?pid=XP_313696.3","1E-060")</f>
        <v>1E-060</v>
      </c>
      <c r="AV12" s="2" t="str">
        <f>HYPERLINK("http://www.ncbi.nlm.nih.gov/protein/XP_313696.3","XP_313696.3")</f>
        <v>XP_313696.3</v>
      </c>
      <c r="AW12" s="2">
        <v>100</v>
      </c>
      <c r="AX12" s="2">
        <v>100</v>
      </c>
      <c r="AY12" s="2">
        <v>100</v>
      </c>
      <c r="AZ12" s="2" t="s">
        <v>98</v>
      </c>
      <c r="BA12" s="9" t="str">
        <f>HYPERLINK(".\links\REFSEQ-INVERTEBRATE\AGAP004410-PA-REFSEQ-INVERTEBRATE.txt","AGAP004410-PA")</f>
        <v>AGAP004410-PA</v>
      </c>
      <c r="BB12" s="2" t="str">
        <f>HYPERLINK("http://www.ncbi.nlm.nih.gov/sutils/blink.cgi?pid=XP_313696.3","1E-060")</f>
        <v>1E-060</v>
      </c>
      <c r="BC12" s="2" t="str">
        <f>HYPERLINK("http://www.ncbi.nlm.nih.gov/protein/XP_313696.3","XP_313696.3")</f>
        <v>XP_313696.3</v>
      </c>
      <c r="BD12" s="2">
        <v>100</v>
      </c>
      <c r="BE12" s="2">
        <v>100</v>
      </c>
      <c r="BF12" s="2">
        <v>100</v>
      </c>
      <c r="BG12" s="2" t="s">
        <v>98</v>
      </c>
      <c r="BH12" s="9" t="str">
        <f>HYPERLINK(".\links\REFSEQ-PROTOZOA\AGAP004410-PA-REFSEQ-PROTOZOA.txt","hypothetical protein AMSG_02394")</f>
        <v>hypothetical protein AMSG_02394</v>
      </c>
      <c r="BI12" s="2" t="str">
        <f>HYPERLINK("http://www.ncbi.nlm.nih.gov/sutils/blink.cgi?pid=XP_013760936.1","6E-006")</f>
        <v>6E-006</v>
      </c>
      <c r="BJ12" s="2" t="str">
        <f>HYPERLINK("http://www.ncbi.nlm.nih.gov/protein/XP_013760936.1","XP_013760936.1")</f>
        <v>XP_013760936.1</v>
      </c>
      <c r="BK12" s="2">
        <v>35</v>
      </c>
      <c r="BL12" s="2">
        <v>51</v>
      </c>
      <c r="BM12" s="2">
        <v>3</v>
      </c>
      <c r="BN12" s="2" t="s">
        <v>256</v>
      </c>
      <c r="BO12" s="9" t="str">
        <f>HYPERLINK(".\links\SWISSP\AGAP004410-PA-SWISSP.txt","IQ domain-containing protein N")</f>
        <v>IQ domain-containing protein N</v>
      </c>
      <c r="BP12" s="2" t="str">
        <f>HYPERLINK("http://www.uniprot.org/uniprot/Q8WNU4","2E-004")</f>
        <v>2E-004</v>
      </c>
      <c r="BQ12" s="2" t="str">
        <f>HYPERLINK("http://www.uniprot.org/uniprot/Q8WNU4#expression","Q8WNU4")</f>
        <v>Q8WNU4</v>
      </c>
      <c r="BR12" s="2">
        <v>38</v>
      </c>
      <c r="BS12" s="2">
        <v>53</v>
      </c>
      <c r="BT12" s="2">
        <v>7</v>
      </c>
      <c r="BU12" s="2" t="s">
        <v>228</v>
      </c>
      <c r="BV12" s="9" t="str">
        <f>HYPERLINK(".\links\FLYBASE\AGAP004410-PA-FLYBASE.txt","FBpp0081757")</f>
        <v>FBpp0081757</v>
      </c>
      <c r="BW12" s="2" t="str">
        <f>HYPERLINK("http://flybase.org/reports/FBgn0037835#alliance_summary_container","6E-34")</f>
        <v>6E-34</v>
      </c>
      <c r="BX12" s="2">
        <v>138</v>
      </c>
      <c r="BY12" s="2">
        <v>53</v>
      </c>
      <c r="BZ12" s="2">
        <v>65</v>
      </c>
      <c r="CA12" s="2">
        <v>96</v>
      </c>
      <c r="CB12" s="9" t="str">
        <f>HYPERLINK(".\links\CDD\AGAP004410-PA-CDD.txt","COG5022, Myosin heavy chain")</f>
        <v>COG5022, Myosin heavy chain</v>
      </c>
      <c r="CC12" s="13">
        <v>1E-3</v>
      </c>
      <c r="CD12" s="2">
        <v>3.3</v>
      </c>
      <c r="CE12" s="2" t="s">
        <v>257</v>
      </c>
      <c r="CF12" s="2" t="s">
        <v>258</v>
      </c>
      <c r="CG12" s="9" t="str">
        <f>HYPERLINK(".\links\KOG\AGAP004410-PA-KOG.txt","Myosin class V heavy chain")</f>
        <v>Myosin class V heavy chain</v>
      </c>
      <c r="CH12" s="13">
        <v>9.0000000000000002E-6</v>
      </c>
      <c r="CI12" s="2">
        <v>5.0999999999999996</v>
      </c>
      <c r="CJ12" s="2" t="s">
        <v>259</v>
      </c>
      <c r="CK12" s="2" t="s">
        <v>246</v>
      </c>
      <c r="CL12" s="9" t="str">
        <f>HYPERLINK(".\links\PFAM\AGAP004410-PA-PFAM.txt","IQ, IQ calmodulin-binding motif")</f>
        <v>IQ, IQ calmodulin-binding motif</v>
      </c>
      <c r="CM12" s="13">
        <v>3.0000000000000001E-3</v>
      </c>
      <c r="CN12" s="2">
        <v>95.2</v>
      </c>
      <c r="CO12" s="2" t="s">
        <v>260</v>
      </c>
      <c r="CP12" s="9" t="str">
        <f>HYPERLINK(".\links\SMART\AGAP004410-PA-SMART.txt","IQ, Calmodulin-binding motif")</f>
        <v>IQ, Calmodulin-binding motif</v>
      </c>
      <c r="CQ12" s="13">
        <v>1E-4</v>
      </c>
      <c r="CR12" s="2">
        <v>91.3</v>
      </c>
      <c r="CS12" s="2" t="s">
        <v>261</v>
      </c>
      <c r="CT12" s="2" t="s">
        <v>252</v>
      </c>
      <c r="CU12" s="2" t="s">
        <v>252</v>
      </c>
      <c r="CV12" s="2" t="s">
        <v>252</v>
      </c>
      <c r="CW12" s="2" t="str">
        <f>HYPERLINK(".\links\pep\AGAP004410-PA-pep.txt","AGAP004410-PA")</f>
        <v>AGAP004410-PA</v>
      </c>
      <c r="CX12" s="2" t="s">
        <v>88</v>
      </c>
      <c r="CY12" s="2">
        <v>120</v>
      </c>
      <c r="CZ12" s="2" t="s">
        <v>106</v>
      </c>
      <c r="DA12" s="2" t="s">
        <v>262</v>
      </c>
      <c r="DB12" s="2">
        <v>0</v>
      </c>
      <c r="DC12" s="2">
        <v>0</v>
      </c>
      <c r="DD12" s="2" t="str">
        <f>HYPERLINK("https://www.kegg.jp/kegg-bin/search_pathway_text?map=aga&amp;keyword=AGAP004410&amp;mode=1&amp;viewImage=true","AGAP004410")</f>
        <v>AGAP004410</v>
      </c>
      <c r="DE12" s="2" t="s">
        <v>251</v>
      </c>
      <c r="DF12" s="2" t="s">
        <v>167</v>
      </c>
      <c r="DG12" s="2" t="s">
        <v>87</v>
      </c>
      <c r="DH12" s="2" t="str">
        <f>HYPERLINK("https://vectorbase.org/vectorbase/app/record/gene/AGAP004410","AGAP004410-RA")</f>
        <v>AGAP004410-RA</v>
      </c>
      <c r="DI12" s="2" t="s">
        <v>143</v>
      </c>
      <c r="DJ12" s="2">
        <v>2510</v>
      </c>
      <c r="DK12" s="2" t="str">
        <f>HYPERLINK(".\links\netoglyc\AGAP004410-PA-netoglyc.txt","8")</f>
        <v>8</v>
      </c>
      <c r="DL12" s="2">
        <v>20</v>
      </c>
      <c r="DM12" s="2">
        <v>12.5</v>
      </c>
      <c r="DN12" s="2">
        <v>3.3</v>
      </c>
      <c r="DO12" s="2" t="s">
        <v>97</v>
      </c>
      <c r="DP12" s="2" t="s">
        <v>94</v>
      </c>
      <c r="DQ12" s="2" t="str">
        <f>HYPERLINK(".\links\Sigp\AGAP004410-PA-SigP.txt","CYT")</f>
        <v>CYT</v>
      </c>
      <c r="DR12" s="2" t="s">
        <v>94</v>
      </c>
      <c r="DS12" s="2">
        <v>12.717000000000001</v>
      </c>
      <c r="DT12" s="2">
        <v>10.75</v>
      </c>
      <c r="DU12" s="2" t="s">
        <v>94</v>
      </c>
      <c r="DV12" s="2" t="s">
        <v>94</v>
      </c>
      <c r="DW12" s="2" t="s">
        <v>255</v>
      </c>
      <c r="DX12" s="2">
        <v>120</v>
      </c>
      <c r="DY12" s="8">
        <v>0</v>
      </c>
      <c r="DZ12" s="2" t="s">
        <v>94</v>
      </c>
      <c r="EA12" s="2" t="s">
        <v>94</v>
      </c>
      <c r="EB12" s="2" t="s">
        <v>94</v>
      </c>
      <c r="EC12" s="2" t="str">
        <f>HYPERLINK(".\links\gpi\AGAP004410-PA-gpi.txt","N")</f>
        <v>N</v>
      </c>
      <c r="ED12" s="2">
        <v>0.5</v>
      </c>
      <c r="EF12" s="2">
        <v>0</v>
      </c>
      <c r="EG12" s="2" t="s">
        <v>94</v>
      </c>
      <c r="EH12" s="2" t="s">
        <v>94</v>
      </c>
      <c r="EI12" s="2">
        <v>20</v>
      </c>
      <c r="EJ12" s="2">
        <v>3.3333333333333299</v>
      </c>
      <c r="EK12" s="2">
        <v>12.5</v>
      </c>
      <c r="EL12" s="2">
        <v>15.8333333333333</v>
      </c>
      <c r="EM12" s="2" t="s">
        <v>94</v>
      </c>
      <c r="EN12" s="2">
        <v>1</v>
      </c>
      <c r="EO12" s="2">
        <v>2</v>
      </c>
      <c r="EP12" s="2" t="s">
        <v>94</v>
      </c>
      <c r="EQ12" s="2" t="s">
        <v>94</v>
      </c>
      <c r="ER12" s="2" t="s">
        <v>94</v>
      </c>
      <c r="ES12" s="2" t="s">
        <v>94</v>
      </c>
      <c r="ET12" s="2" t="str">
        <f>HYPERLINK(".\links\REFSEQ-INVERTEBRATE\AGAP004410-PA-REFSEQ-INVERTEBRATE.txt","AGAP004410-PA")</f>
        <v>AGAP004410-PA</v>
      </c>
      <c r="EU12" s="2" t="str">
        <f>HYPERLINK("http://www.ncbi.nlm.nih.gov/sutils/blink.cgi?pid=XP_313696.3","7E-81")</f>
        <v>7E-81</v>
      </c>
      <c r="EV12" s="2" t="str">
        <f>HYPERLINK("http://www.ncbi.nlm.nih.gov/protein/XP_313696.3","XP_313696.3")</f>
        <v>XP_313696.3</v>
      </c>
      <c r="EW12" s="2">
        <v>100</v>
      </c>
      <c r="EX12" s="2">
        <v>100</v>
      </c>
      <c r="EY12" s="2">
        <v>100</v>
      </c>
      <c r="EZ12" s="2" t="s">
        <v>98</v>
      </c>
    </row>
    <row r="13" spans="1:156" x14ac:dyDescent="0.25">
      <c r="A13" s="2" t="s">
        <v>263</v>
      </c>
      <c r="B13" s="2">
        <v>1.7285312296073501</v>
      </c>
      <c r="C13" s="2">
        <v>3.313902666955356</v>
      </c>
      <c r="D13" s="2">
        <v>7.6850611576818002</v>
      </c>
      <c r="E13" s="2">
        <v>20.659118291172401</v>
      </c>
      <c r="F13" s="2">
        <v>5.4875226423207597E-6</v>
      </c>
      <c r="G13" s="2">
        <v>7.6872149192025701E-4</v>
      </c>
      <c r="H13" s="2" t="s">
        <v>264</v>
      </c>
      <c r="I13" s="2" t="s">
        <v>87</v>
      </c>
      <c r="J13" s="2" t="str">
        <f>HYPERLINK("https://vectorbase.org/vectorbase/app/record/gene/AGAP008290","AGAP008290-RA")</f>
        <v>AGAP008290-RA</v>
      </c>
      <c r="K13" s="2" t="str">
        <f>HYPERLINK(".\links\pep\AGAP008290-PA-pep.txt","AGAP008290-PA")</f>
        <v>AGAP008290-PA</v>
      </c>
      <c r="L13" s="8" t="s">
        <v>88</v>
      </c>
      <c r="M13" s="2">
        <v>273</v>
      </c>
      <c r="N13" s="2">
        <v>0</v>
      </c>
      <c r="O13" s="2">
        <v>1</v>
      </c>
      <c r="P13" s="2" t="s">
        <v>265</v>
      </c>
      <c r="Q13" s="9" t="s">
        <v>266</v>
      </c>
      <c r="R13" s="2" t="s">
        <v>267</v>
      </c>
      <c r="S13" s="2" t="str">
        <f>HYPERLINK(".\links\CDD\AGAP008290-PA-CDD.txt","CDD")</f>
        <v>CDD</v>
      </c>
      <c r="T13" s="2">
        <v>2E-73</v>
      </c>
      <c r="U13" s="2">
        <v>100</v>
      </c>
      <c r="V13" s="2" t="s">
        <v>268</v>
      </c>
      <c r="W13" s="10" t="s">
        <v>269</v>
      </c>
      <c r="X13" s="2" t="s">
        <v>270</v>
      </c>
      <c r="Y13" s="2" t="str">
        <f>HYPERLINK(".\links\MEROPS\AGAP008290-PA-MEROPS.txt","MEROPS")</f>
        <v>MEROPS</v>
      </c>
      <c r="Z13" s="13">
        <v>0</v>
      </c>
      <c r="AA13" s="2">
        <v>100.4</v>
      </c>
      <c r="AB13" s="11" t="s">
        <v>94</v>
      </c>
      <c r="AC13" s="11" t="str">
        <f>HYPERLINK(".\links\Sigp\AGAP008290-PA-SigP.txt","SIG")</f>
        <v>SIG</v>
      </c>
      <c r="AD13" s="2" t="s">
        <v>271</v>
      </c>
      <c r="AE13" s="2">
        <v>29.326000000000001</v>
      </c>
      <c r="AF13" s="2">
        <v>6.1</v>
      </c>
      <c r="AG13" s="2">
        <v>26.795000000000002</v>
      </c>
      <c r="AH13" s="2">
        <v>5.91</v>
      </c>
      <c r="AI13" s="2" t="s">
        <v>272</v>
      </c>
      <c r="AJ13" s="11">
        <v>0</v>
      </c>
      <c r="AK13" s="2" t="s">
        <v>94</v>
      </c>
      <c r="AL13" s="2" t="s">
        <v>94</v>
      </c>
      <c r="AM13" s="2" t="s">
        <v>94</v>
      </c>
      <c r="AN13" s="11" t="str">
        <f>HYPERLINK(".\links\gpi\AGAP008290-PA-gpi.txt","N")</f>
        <v>N</v>
      </c>
      <c r="AO13" s="12" t="str">
        <f>HYPERLINK(".\links\netoglyc\AGAP008290-PA-netoglyc.txt","1")</f>
        <v>1</v>
      </c>
      <c r="AP13" s="11">
        <v>11.7</v>
      </c>
      <c r="AQ13" s="2">
        <v>10.6</v>
      </c>
      <c r="AR13" s="2">
        <v>4.8</v>
      </c>
      <c r="AS13" s="2" t="s">
        <v>97</v>
      </c>
      <c r="AT13" s="9" t="str">
        <f>HYPERLINK(".\links\NR-LIGHT\AGAP008290-PA-NR-LIGHT.txt","AGAP008290-PA")</f>
        <v>AGAP008290-PA</v>
      </c>
      <c r="AU13" s="2" t="str">
        <f>HYPERLINK("http://www.ncbi.nlm.nih.gov/sutils/blink.cgi?pid=XP_317175.2","1E-159")</f>
        <v>1E-159</v>
      </c>
      <c r="AV13" s="2" t="str">
        <f>HYPERLINK("http://www.ncbi.nlm.nih.gov/protein/XP_317175.2","XP_317175.2")</f>
        <v>XP_317175.2</v>
      </c>
      <c r="AW13" s="2">
        <v>100</v>
      </c>
      <c r="AX13" s="2">
        <v>100</v>
      </c>
      <c r="AY13" s="2">
        <v>100</v>
      </c>
      <c r="AZ13" s="2" t="s">
        <v>98</v>
      </c>
      <c r="BA13" s="9" t="str">
        <f>HYPERLINK(".\links\REFSEQ-INVERTEBRATE\AGAP008290-PA-REFSEQ-INVERTEBRATE.txt","AGAP008290-PA")</f>
        <v>AGAP008290-PA</v>
      </c>
      <c r="BB13" s="2" t="str">
        <f>HYPERLINK("http://www.ncbi.nlm.nih.gov/sutils/blink.cgi?pid=XP_317175.2","1E-159")</f>
        <v>1E-159</v>
      </c>
      <c r="BC13" s="2" t="str">
        <f>HYPERLINK("http://www.ncbi.nlm.nih.gov/protein/XP_317175.2","XP_317175.2")</f>
        <v>XP_317175.2</v>
      </c>
      <c r="BD13" s="2">
        <v>100</v>
      </c>
      <c r="BE13" s="2">
        <v>100</v>
      </c>
      <c r="BF13" s="2">
        <v>100</v>
      </c>
      <c r="BG13" s="2" t="s">
        <v>98</v>
      </c>
      <c r="BH13" s="9" t="str">
        <f>HYPERLINK(".\links\REFSEQ-PROTOZOA\AGAP008290-PA-REFSEQ-PROTOZOA.txt","serine protease trypsin-like protein")</f>
        <v>serine protease trypsin-like protein</v>
      </c>
      <c r="BI13" s="2" t="str">
        <f>HYPERLINK("http://www.ncbi.nlm.nih.gov/sutils/blink.cgi?pid=XP_009517190.1","3E-027")</f>
        <v>3E-027</v>
      </c>
      <c r="BJ13" s="2" t="str">
        <f>HYPERLINK("http://www.ncbi.nlm.nih.gov/protein/XP_009517190.1","XP_009517190.1")</f>
        <v>XP_009517190.1</v>
      </c>
      <c r="BK13" s="2">
        <v>33</v>
      </c>
      <c r="BL13" s="2">
        <v>53</v>
      </c>
      <c r="BM13" s="2">
        <v>57</v>
      </c>
      <c r="BN13" s="2" t="s">
        <v>273</v>
      </c>
      <c r="BO13" s="9" t="str">
        <f>HYPERLINK(".\links\SWISSP\AGAP008290-PA-SWISSP.txt","Trypsin-6")</f>
        <v>Trypsin-6</v>
      </c>
      <c r="BP13" s="2" t="str">
        <f>HYPERLINK("http://www.uniprot.org/uniprot/P35040","1E-160")</f>
        <v>1E-160</v>
      </c>
      <c r="BQ13" s="2" t="str">
        <f>HYPERLINK("http://www.uniprot.org/uniprot/P35040#expression","P35040")</f>
        <v>P35040</v>
      </c>
      <c r="BR13" s="2">
        <v>100</v>
      </c>
      <c r="BS13" s="2">
        <v>100</v>
      </c>
      <c r="BT13" s="2">
        <v>100</v>
      </c>
      <c r="BU13" s="2" t="s">
        <v>274</v>
      </c>
      <c r="BV13" s="9" t="str">
        <f>HYPERLINK(".\links\FLYBASE\AGAP008290-PA-FLYBASE.txt","FBpp0077252")</f>
        <v>FBpp0077252</v>
      </c>
      <c r="BW13" s="2" t="str">
        <f>HYPERLINK("http://flybase.org/reports/FBgn0051954#alliance_summary_container","9E-71")</f>
        <v>9E-71</v>
      </c>
      <c r="BX13" s="2">
        <v>277</v>
      </c>
      <c r="BY13" s="2">
        <v>43</v>
      </c>
      <c r="BZ13" s="2">
        <v>60</v>
      </c>
      <c r="CA13" s="2">
        <v>101</v>
      </c>
      <c r="CB13" s="9" t="str">
        <f>HYPERLINK(".\links\CDD\AGAP008290-PA-CDD.txt","Tryp_SPc, Trypsin-like serine protease")</f>
        <v>Tryp_SPc, Trypsin-like serine protease</v>
      </c>
      <c r="CC13" s="13">
        <v>2E-73</v>
      </c>
      <c r="CD13" s="2">
        <v>100</v>
      </c>
      <c r="CE13" s="2" t="s">
        <v>275</v>
      </c>
      <c r="CF13" s="2" t="s">
        <v>276</v>
      </c>
      <c r="CG13" s="9" t="str">
        <f>HYPERLINK(".\links\KOG\AGAP008290-PA-KOG.txt","Trypsin")</f>
        <v>Trypsin</v>
      </c>
      <c r="CH13" s="13">
        <v>9.9999999999999995E-58</v>
      </c>
      <c r="CI13" s="2">
        <v>95.7</v>
      </c>
      <c r="CJ13" s="2" t="s">
        <v>277</v>
      </c>
      <c r="CK13" s="2" t="s">
        <v>278</v>
      </c>
      <c r="CL13" s="9" t="str">
        <f>HYPERLINK(".\links\PFAM\AGAP008290-PA-PFAM.txt","Trypsin, Trypsin")</f>
        <v>Trypsin, Trypsin</v>
      </c>
      <c r="CM13" s="13">
        <v>2E-52</v>
      </c>
      <c r="CN13" s="2">
        <v>102.7</v>
      </c>
      <c r="CO13" s="2" t="s">
        <v>279</v>
      </c>
      <c r="CP13" s="9" t="str">
        <f>HYPERLINK(".\links\SMART\AGAP008290-PA-SMART.txt","Tryp_SPc, Trypsin-like serine protease")</f>
        <v>Tryp_SPc, Trypsin-like serine protease</v>
      </c>
      <c r="CQ13" s="13">
        <v>6.9999999999999995E-73</v>
      </c>
      <c r="CR13" s="2">
        <v>100</v>
      </c>
      <c r="CS13" s="2" t="s">
        <v>280</v>
      </c>
      <c r="CT13" s="2" t="s">
        <v>268</v>
      </c>
      <c r="CU13" s="2" t="s">
        <v>268</v>
      </c>
      <c r="CV13" s="2" t="s">
        <v>268</v>
      </c>
      <c r="CW13" s="2" t="str">
        <f>HYPERLINK(".\links\pep\AGAP008290-PA-pep.txt","AGAP008290-PA")</f>
        <v>AGAP008290-PA</v>
      </c>
      <c r="CX13" s="2" t="s">
        <v>88</v>
      </c>
      <c r="CY13" s="2">
        <v>273</v>
      </c>
      <c r="CZ13" s="2" t="s">
        <v>106</v>
      </c>
      <c r="DA13" s="2" t="s">
        <v>281</v>
      </c>
      <c r="DB13" s="2">
        <v>0</v>
      </c>
      <c r="DC13" s="2">
        <v>1</v>
      </c>
      <c r="DD13" s="2" t="str">
        <f>HYPERLINK("https://www.kegg.jp/kegg-bin/search_pathway_text?map=aga&amp;keyword=AGAP008290&amp;mode=1&amp;viewImage=true","AGAP008290")</f>
        <v>AGAP008290</v>
      </c>
      <c r="DE13" s="2" t="s">
        <v>263</v>
      </c>
      <c r="DF13" s="2" t="s">
        <v>264</v>
      </c>
      <c r="DG13" s="2" t="s">
        <v>87</v>
      </c>
      <c r="DH13" s="2" t="str">
        <f>HYPERLINK("https://vectorbase.org/vectorbase/app/record/gene/AGAP008290","AGAP008290-RA")</f>
        <v>AGAP008290-RA</v>
      </c>
      <c r="DI13" s="2" t="s">
        <v>108</v>
      </c>
      <c r="DJ13" s="2">
        <v>833</v>
      </c>
      <c r="DK13" s="2" t="str">
        <f>HYPERLINK(".\links\netoglyc\AGAP008290-PA-netoglyc.txt","1")</f>
        <v>1</v>
      </c>
      <c r="DL13" s="2">
        <v>11.7</v>
      </c>
      <c r="DM13" s="2">
        <v>10.6</v>
      </c>
      <c r="DN13" s="2">
        <v>4.8</v>
      </c>
      <c r="DO13" s="2" t="s">
        <v>97</v>
      </c>
      <c r="DP13" s="2" t="s">
        <v>94</v>
      </c>
      <c r="DQ13" s="2" t="str">
        <f>HYPERLINK(".\links\Sigp\AGAP008290-PA-SigP.txt","SIG")</f>
        <v>SIG</v>
      </c>
      <c r="DR13" s="2" t="s">
        <v>271</v>
      </c>
      <c r="DS13" s="2">
        <v>29.326000000000001</v>
      </c>
      <c r="DT13" s="2">
        <v>6.1</v>
      </c>
      <c r="DU13" s="2">
        <v>26.795000000000002</v>
      </c>
      <c r="DV13" s="2">
        <v>5.91</v>
      </c>
      <c r="DW13" s="2" t="s">
        <v>272</v>
      </c>
      <c r="DX13" s="2">
        <v>273</v>
      </c>
      <c r="DY13" s="8">
        <v>0</v>
      </c>
      <c r="DZ13" s="2" t="s">
        <v>94</v>
      </c>
      <c r="EA13" s="2" t="s">
        <v>94</v>
      </c>
      <c r="EB13" s="2" t="s">
        <v>94</v>
      </c>
      <c r="EC13" s="2" t="str">
        <f>HYPERLINK(".\links\gpi\AGAP008290-PA-gpi.txt","N")</f>
        <v>N</v>
      </c>
      <c r="ED13" s="2">
        <v>0.24</v>
      </c>
      <c r="EF13" s="2">
        <v>8</v>
      </c>
      <c r="EG13" s="2" t="s">
        <v>94</v>
      </c>
      <c r="EH13" s="2" t="s">
        <v>94</v>
      </c>
      <c r="EI13" s="2">
        <v>11.7216117216117</v>
      </c>
      <c r="EJ13" s="2">
        <v>4.7619047619047601</v>
      </c>
      <c r="EK13" s="2">
        <v>10.622710622710599</v>
      </c>
      <c r="EL13" s="2">
        <v>15.384615384615399</v>
      </c>
      <c r="EM13" s="2" t="s">
        <v>94</v>
      </c>
      <c r="EN13" s="2" t="s">
        <v>94</v>
      </c>
      <c r="EO13" s="2">
        <v>2</v>
      </c>
      <c r="EP13" s="2" t="s">
        <v>94</v>
      </c>
      <c r="EQ13" s="2" t="s">
        <v>94</v>
      </c>
      <c r="ER13" s="2" t="s">
        <v>94</v>
      </c>
      <c r="ES13" s="2" t="s">
        <v>94</v>
      </c>
      <c r="ET13" s="2" t="str">
        <f>HYPERLINK(".\links\REFSEQ-INVERTEBRATE\AGAP008290-PA-REFSEQ-INVERTEBRATE.txt","AGAP008290-PA")</f>
        <v>AGAP008290-PA</v>
      </c>
      <c r="EU13" s="2" t="str">
        <f>HYPERLINK("http://www.ncbi.nlm.nih.gov/sutils/blink.cgi?pid=XP_317175.2","0.0")</f>
        <v>0.0</v>
      </c>
      <c r="EV13" s="2" t="str">
        <f>HYPERLINK("http://www.ncbi.nlm.nih.gov/protein/XP_317175.2","XP_317175.2")</f>
        <v>XP_317175.2</v>
      </c>
      <c r="EW13" s="2">
        <v>100</v>
      </c>
      <c r="EX13" s="2">
        <v>100</v>
      </c>
      <c r="EY13" s="2">
        <v>100</v>
      </c>
      <c r="EZ13" s="2" t="s">
        <v>98</v>
      </c>
    </row>
    <row r="14" spans="1:156" x14ac:dyDescent="0.25">
      <c r="A14" s="2" t="s">
        <v>282</v>
      </c>
      <c r="B14" s="2">
        <v>1.7204941443960999</v>
      </c>
      <c r="C14" s="2">
        <v>3.2954926307673937</v>
      </c>
      <c r="D14" s="2">
        <v>4.5068271733991097</v>
      </c>
      <c r="E14" s="2">
        <v>52.892280239502902</v>
      </c>
      <c r="F14" s="2">
        <v>3.5235168816097499E-13</v>
      </c>
      <c r="G14" s="2">
        <v>6.66437982987667E-10</v>
      </c>
      <c r="H14" s="2" t="s">
        <v>283</v>
      </c>
      <c r="I14" s="2" t="s">
        <v>87</v>
      </c>
      <c r="J14" s="2" t="str">
        <f>HYPERLINK("https://vectorbase.org/vectorbase/app/record/gene/AGAP008482","AGAP008482-RA")</f>
        <v>AGAP008482-RA</v>
      </c>
      <c r="K14" s="2" t="str">
        <f>HYPERLINK(".\links\pep\AGAP008482-PA-pep.txt","AGAP008482-PA")</f>
        <v>AGAP008482-PA</v>
      </c>
      <c r="L14" s="8" t="s">
        <v>88</v>
      </c>
      <c r="M14" s="2">
        <v>6876</v>
      </c>
      <c r="N14" s="2">
        <v>0</v>
      </c>
      <c r="O14" s="2">
        <v>19</v>
      </c>
      <c r="P14" s="2" t="s">
        <v>284</v>
      </c>
      <c r="Q14" s="9" t="s">
        <v>285</v>
      </c>
      <c r="R14" s="2" t="s">
        <v>286</v>
      </c>
      <c r="S14" s="2" t="str">
        <f>HYPERLINK(".\links\KOG\AGAP008482-PA-KOG.txt","KOG")</f>
        <v>KOG</v>
      </c>
      <c r="T14" s="2">
        <v>0</v>
      </c>
      <c r="U14" s="2">
        <v>100.9</v>
      </c>
      <c r="V14" s="2" t="s">
        <v>287</v>
      </c>
      <c r="W14" s="10" t="s">
        <v>288</v>
      </c>
      <c r="X14" s="2" t="s">
        <v>289</v>
      </c>
      <c r="Y14" s="2" t="str">
        <f>HYPERLINK(".\links\COG\AGAP008482-PA-COG.txt","COG")</f>
        <v>COG</v>
      </c>
      <c r="Z14" s="13">
        <v>2.9999999999999999E-78</v>
      </c>
      <c r="AA14" s="2">
        <v>63.3</v>
      </c>
      <c r="AB14" s="11" t="str">
        <f>HYPERLINK(".\links\pep\AGAP008482-PA-sulf.txt","5")</f>
        <v>5</v>
      </c>
      <c r="AC14" s="11" t="s">
        <v>241</v>
      </c>
      <c r="AD14" s="2" t="s">
        <v>94</v>
      </c>
      <c r="AE14" s="2">
        <v>725.66499999999996</v>
      </c>
      <c r="AF14" s="2">
        <v>5.38</v>
      </c>
      <c r="AG14" s="2" t="s">
        <v>94</v>
      </c>
      <c r="AH14" s="2" t="s">
        <v>94</v>
      </c>
      <c r="AI14" s="2" t="s">
        <v>290</v>
      </c>
      <c r="AJ14" s="11">
        <v>0</v>
      </c>
      <c r="AK14" s="2" t="s">
        <v>94</v>
      </c>
      <c r="AL14" s="2" t="s">
        <v>94</v>
      </c>
      <c r="AM14" s="2" t="s">
        <v>94</v>
      </c>
      <c r="AN14" s="11" t="str">
        <f>HYPERLINK(".\links\gpi\AGAP008482-PA-gpi.txt","N")</f>
        <v>N</v>
      </c>
      <c r="AO14" s="12" t="str">
        <f>HYPERLINK(".\links\netoglyc\AGAP008482-PA-netoglyc.txt","33")</f>
        <v>33</v>
      </c>
      <c r="AP14" s="11">
        <v>16.5</v>
      </c>
      <c r="AQ14" s="2">
        <v>8.8000000000000007</v>
      </c>
      <c r="AR14" s="2">
        <v>7</v>
      </c>
      <c r="AS14" s="2">
        <v>0.2</v>
      </c>
      <c r="AT14" s="9" t="str">
        <f>HYPERLINK(".\links\NR-LIGHT\AGAP008482-PA-NR-LIGHT.txt","hypothetical protein AND_010332")</f>
        <v>hypothetical protein AND_010332</v>
      </c>
      <c r="AU14" s="2" t="str">
        <f>HYPERLINK("http://www.ncbi.nlm.nih.gov/sutils/blink.cgi?pid=ETN58080.1","0.0")</f>
        <v>0.0</v>
      </c>
      <c r="AV14" s="2" t="str">
        <f>HYPERLINK("http://www.ncbi.nlm.nih.gov/protein/ETN58080.1","ETN58080.1")</f>
        <v>ETN58080.1</v>
      </c>
      <c r="AW14" s="2">
        <v>64</v>
      </c>
      <c r="AX14" s="2">
        <v>71</v>
      </c>
      <c r="AY14" s="2">
        <v>106</v>
      </c>
      <c r="AZ14" s="2" t="s">
        <v>291</v>
      </c>
      <c r="BA14" s="9" t="str">
        <f>HYPERLINK(".\links\REFSEQ-INVERTEBRATE\AGAP008482-PA-REFSEQ-INVERTEBRATE.txt","AGAP008482-PA, partial")</f>
        <v>AGAP008482-PA, partial</v>
      </c>
      <c r="BB14" s="2" t="str">
        <f>HYPERLINK("http://www.ncbi.nlm.nih.gov/sutils/blink.cgi?pid=XP_316961.4","0.0")</f>
        <v>0.0</v>
      </c>
      <c r="BC14" s="2" t="str">
        <f>HYPERLINK("http://www.ncbi.nlm.nih.gov/protein/XP_316961.4","XP_316961.4")</f>
        <v>XP_316961.4</v>
      </c>
      <c r="BD14" s="2">
        <v>48</v>
      </c>
      <c r="BE14" s="2">
        <v>55</v>
      </c>
      <c r="BF14" s="2">
        <v>113</v>
      </c>
      <c r="BG14" s="2" t="s">
        <v>98</v>
      </c>
      <c r="BH14" s="9" t="str">
        <f>HYPERLINK(".\links\REFSEQ-PROTOZOA\AGAP008482-PA-REFSEQ-PROTOZOA.txt","myb domain-containing protein")</f>
        <v>myb domain-containing protein</v>
      </c>
      <c r="BI14" s="2" t="str">
        <f>HYPERLINK("http://www.ncbi.nlm.nih.gov/sutils/blink.cgi?pid=XP_641133.1","0.0")</f>
        <v>0.0</v>
      </c>
      <c r="BJ14" s="2" t="str">
        <f>HYPERLINK("http://www.ncbi.nlm.nih.gov/protein/XP_641133.1","XP_641133.1")</f>
        <v>XP_641133.1</v>
      </c>
      <c r="BK14" s="2">
        <v>36</v>
      </c>
      <c r="BL14" s="2">
        <v>51</v>
      </c>
      <c r="BM14" s="2">
        <v>67</v>
      </c>
      <c r="BN14" s="2" t="s">
        <v>292</v>
      </c>
      <c r="BO14" s="9" t="str">
        <f>HYPERLINK(".\links\SWISSP\AGAP008482-PA-SWISSP.txt","Chromodomain-helicase-DNA-binding protein 7")</f>
        <v>Chromodomain-helicase-DNA-binding protein 7</v>
      </c>
      <c r="BP14" s="2" t="str">
        <f>HYPERLINK("http://www.uniprot.org/uniprot/Q9P2D1","0.0")</f>
        <v>0.0</v>
      </c>
      <c r="BQ14" s="2" t="str">
        <f>HYPERLINK("http://www.uniprot.org/uniprot/Q9P2D1#expression","Q9P2D1")</f>
        <v>Q9P2D1</v>
      </c>
      <c r="BR14" s="2">
        <v>50</v>
      </c>
      <c r="BS14" s="2">
        <v>66</v>
      </c>
      <c r="BT14" s="2">
        <v>42</v>
      </c>
      <c r="BU14" s="2" t="s">
        <v>196</v>
      </c>
      <c r="BV14" s="9" t="str">
        <f>HYPERLINK(".\links\FLYBASE\AGAP008482-PA-FLYBASE.txt","FBpp0077803")</f>
        <v>FBpp0077803</v>
      </c>
      <c r="BW14" s="2" t="str">
        <f>HYPERLINK("http://flybase.org/reports/FBgn0266557#alliance_summary_container","0.0")</f>
        <v>0.0</v>
      </c>
      <c r="BX14" s="2">
        <v>5322</v>
      </c>
      <c r="BY14" s="2">
        <v>58</v>
      </c>
      <c r="BZ14" s="2">
        <v>69</v>
      </c>
      <c r="CA14" s="2">
        <v>36</v>
      </c>
      <c r="CB14" s="9" t="str">
        <f>HYPERLINK(".\links\CDD\AGAP008482-PA-CDD.txt","PLN03142, Probable chromatin-remodeling complex ATPase chain")</f>
        <v>PLN03142, Probable chromatin-remodeling complex ATPase chain</v>
      </c>
      <c r="CC14" s="13">
        <v>1E-141</v>
      </c>
      <c r="CD14" s="2">
        <v>55</v>
      </c>
      <c r="CE14" s="2" t="s">
        <v>293</v>
      </c>
      <c r="CF14" s="2" t="s">
        <v>294</v>
      </c>
      <c r="CG14" s="9" t="str">
        <f>HYPERLINK(".\links\KOG\AGAP008482-PA-KOG.txt","Chromodomain-helicase DNA-binding protein")</f>
        <v>Chromodomain-helicase DNA-binding protein</v>
      </c>
      <c r="CH14" s="13">
        <v>0</v>
      </c>
      <c r="CI14" s="2">
        <v>85.3</v>
      </c>
      <c r="CJ14" s="2" t="s">
        <v>295</v>
      </c>
      <c r="CK14" s="2" t="s">
        <v>296</v>
      </c>
      <c r="CL14" s="9" t="str">
        <f>HYPERLINK(".\links\PFAM\AGAP008482-PA-PFAM.txt","SNF2_N, SNF2 family N-terminal domain")</f>
        <v>SNF2_N, SNF2 family N-terminal domain</v>
      </c>
      <c r="CM14" s="13">
        <v>1.9999999999999999E-80</v>
      </c>
      <c r="CN14" s="2">
        <v>102.6</v>
      </c>
      <c r="CO14" s="2" t="s">
        <v>297</v>
      </c>
      <c r="CP14" s="9" t="str">
        <f>HYPERLINK(".\links\SMART\AGAP008482-PA-SMART.txt","DEXDc, DEAD-like helicases superfamily")</f>
        <v>DEXDc, DEAD-like helicases superfamily</v>
      </c>
      <c r="CQ14" s="13">
        <v>5.0000000000000002E-27</v>
      </c>
      <c r="CR14" s="2">
        <v>101.5</v>
      </c>
      <c r="CS14" s="2" t="s">
        <v>298</v>
      </c>
      <c r="CT14" s="2" t="s">
        <v>287</v>
      </c>
      <c r="CU14" s="2" t="s">
        <v>287</v>
      </c>
      <c r="CV14" s="2" t="s">
        <v>287</v>
      </c>
      <c r="CW14" s="2" t="str">
        <f>HYPERLINK(".\links\pep\AGAP008482-PA-pep.txt","AGAP008482-PA")</f>
        <v>AGAP008482-PA</v>
      </c>
      <c r="CX14" s="2" t="s">
        <v>88</v>
      </c>
      <c r="CY14" s="2">
        <v>6876</v>
      </c>
      <c r="CZ14" s="2" t="s">
        <v>106</v>
      </c>
      <c r="DA14" s="2" t="s">
        <v>299</v>
      </c>
      <c r="DB14" s="2">
        <v>0</v>
      </c>
      <c r="DC14" s="2">
        <v>19</v>
      </c>
      <c r="DD14" s="2" t="str">
        <f>HYPERLINK("https://www.kegg.jp/kegg-bin/search_pathway_text?map=aga&amp;keyword=AGAP008482&amp;mode=1&amp;viewImage=true","AGAP008482")</f>
        <v>AGAP008482</v>
      </c>
      <c r="DE14" s="2" t="s">
        <v>282</v>
      </c>
      <c r="DF14" s="2" t="s">
        <v>283</v>
      </c>
      <c r="DG14" s="2" t="s">
        <v>87</v>
      </c>
      <c r="DH14" s="2" t="str">
        <f>HYPERLINK("https://vectorbase.org/vectorbase/app/record/gene/AGAP008482","AGAP008482-RA")</f>
        <v>AGAP008482-RA</v>
      </c>
      <c r="DI14" s="2" t="s">
        <v>108</v>
      </c>
      <c r="DJ14" s="2">
        <v>24538</v>
      </c>
      <c r="DK14" s="2" t="str">
        <f>HYPERLINK(".\links\netoglyc\AGAP008482-PA-netoglyc.txt","33")</f>
        <v>33</v>
      </c>
      <c r="DL14" s="2">
        <v>16.5</v>
      </c>
      <c r="DM14" s="2">
        <v>8.8000000000000007</v>
      </c>
      <c r="DN14" s="2">
        <v>7</v>
      </c>
      <c r="DO14" s="2">
        <v>0.2</v>
      </c>
      <c r="DP14" s="2" t="s">
        <v>94</v>
      </c>
      <c r="DQ14" s="2" t="s">
        <v>241</v>
      </c>
      <c r="DR14" s="2" t="s">
        <v>94</v>
      </c>
      <c r="DS14" s="2">
        <v>725.66499999999996</v>
      </c>
      <c r="DT14" s="2">
        <v>5.38</v>
      </c>
      <c r="DU14" s="2" t="s">
        <v>94</v>
      </c>
      <c r="DV14" s="2" t="s">
        <v>94</v>
      </c>
      <c r="DW14" s="2" t="s">
        <v>290</v>
      </c>
      <c r="DX14" s="2">
        <v>6876</v>
      </c>
      <c r="DY14" s="8">
        <v>0</v>
      </c>
      <c r="DZ14" s="2" t="s">
        <v>94</v>
      </c>
      <c r="EA14" s="2" t="s">
        <v>94</v>
      </c>
      <c r="EB14" s="2" t="s">
        <v>94</v>
      </c>
      <c r="EC14" s="2" t="str">
        <f>HYPERLINK(".\links\gpi\AGAP008482-PA-gpi.txt","N")</f>
        <v>N</v>
      </c>
      <c r="ED14" s="2">
        <v>0.33</v>
      </c>
      <c r="EF14" s="2">
        <v>34</v>
      </c>
      <c r="EG14" s="2" t="str">
        <f>HYPERLINK(".\links\pep\AGAP008482-PA-sulf.txt","5")</f>
        <v>5</v>
      </c>
      <c r="EH14" s="2" t="s">
        <v>94</v>
      </c>
      <c r="EI14" s="2">
        <v>16.506689936009298</v>
      </c>
      <c r="EJ14" s="2">
        <v>6.9808027923211204</v>
      </c>
      <c r="EK14" s="2">
        <v>8.8132635253054108</v>
      </c>
      <c r="EL14" s="2">
        <v>15.7940663176265</v>
      </c>
      <c r="EM14" s="2">
        <v>13</v>
      </c>
      <c r="EN14" s="2">
        <v>21</v>
      </c>
      <c r="EO14" s="2">
        <v>23</v>
      </c>
      <c r="EP14" s="2" t="s">
        <v>94</v>
      </c>
      <c r="EQ14" s="2" t="s">
        <v>94</v>
      </c>
      <c r="ER14" s="2" t="s">
        <v>94</v>
      </c>
      <c r="ES14" s="2" t="s">
        <v>94</v>
      </c>
      <c r="ET14" s="2" t="str">
        <f>HYPERLINK(".\links\REFSEQ-INVERTEBRATE\AGAP008482-PA-REFSEQ-INVERTEBRATE.txt","uncharacterized protein LOC118513467 isoform X2")</f>
        <v>uncharacterized protein LOC118513467 isoform X2</v>
      </c>
      <c r="EU14" s="2" t="str">
        <f>HYPERLINK("http://www.ncbi.nlm.nih.gov/sutils/blink.cgi?pid=XP_035915146.1","0.0")</f>
        <v>0.0</v>
      </c>
      <c r="EV14" s="2" t="str">
        <f>HYPERLINK("http://www.ncbi.nlm.nih.gov/protein/XP_035915146.1","XP_035915146.1")</f>
        <v>XP_035915146.1</v>
      </c>
      <c r="EW14" s="2">
        <v>77</v>
      </c>
      <c r="EX14" s="2">
        <v>81</v>
      </c>
      <c r="EY14" s="2">
        <v>78</v>
      </c>
      <c r="EZ14" s="2" t="s">
        <v>184</v>
      </c>
    </row>
    <row r="15" spans="1:156" x14ac:dyDescent="0.25">
      <c r="A15" s="2" t="s">
        <v>300</v>
      </c>
      <c r="B15" s="2">
        <v>1.7035795458024501</v>
      </c>
      <c r="C15" s="2">
        <v>3.2570808812334247</v>
      </c>
      <c r="D15" s="2">
        <v>4.8680065402173502</v>
      </c>
      <c r="E15" s="2">
        <v>42.848026757988201</v>
      </c>
      <c r="F15" s="2">
        <v>5.9161729723567402E-11</v>
      </c>
      <c r="G15" s="2">
        <v>8.3087633290288105E-8</v>
      </c>
      <c r="H15" s="2" t="s">
        <v>301</v>
      </c>
      <c r="I15" s="2" t="s">
        <v>87</v>
      </c>
      <c r="J15" s="2" t="str">
        <f>HYPERLINK("https://vectorbase.org/vectorbase/app/record/gene/AGAP007801","AGAP007801-RA")</f>
        <v>AGAP007801-RA</v>
      </c>
      <c r="K15" s="2" t="str">
        <f>HYPERLINK(".\links\pep\AGAP007801-PA-pep.txt","AGAP007801-PA")</f>
        <v>AGAP007801-PA</v>
      </c>
      <c r="L15" s="8" t="s">
        <v>88</v>
      </c>
      <c r="M15" s="2">
        <v>812</v>
      </c>
      <c r="N15" s="2">
        <v>0</v>
      </c>
      <c r="O15" s="2">
        <v>0</v>
      </c>
      <c r="P15" s="2" t="s">
        <v>302</v>
      </c>
      <c r="Q15" s="9" t="s">
        <v>303</v>
      </c>
      <c r="R15" s="2" t="s">
        <v>289</v>
      </c>
      <c r="S15" s="2" t="str">
        <f>HYPERLINK(".\links\KOG\AGAP007801-PA-KOG.txt","KOG")</f>
        <v>KOG</v>
      </c>
      <c r="T15" s="2">
        <v>9.9999999999999995E-8</v>
      </c>
      <c r="U15" s="2">
        <v>50.9</v>
      </c>
      <c r="V15" s="2" t="s">
        <v>304</v>
      </c>
      <c r="W15" s="10" t="s">
        <v>305</v>
      </c>
      <c r="X15" s="2" t="s">
        <v>289</v>
      </c>
      <c r="Y15" s="2" t="str">
        <f>HYPERLINK(".\links\REFSEQ-INVERTEBRATE\AGAP007801-PA-REFSEQ-INVERTEBRATE.txt","REFSEQ-INVERTEBRATE")</f>
        <v>REFSEQ-INVERTEBRATE</v>
      </c>
      <c r="Z15" s="13">
        <v>0</v>
      </c>
      <c r="AA15" s="2">
        <v>103.4</v>
      </c>
      <c r="AB15" s="11" t="str">
        <f>HYPERLINK(".\links\pep\AGAP007801-PA-sulf.txt","1")</f>
        <v>1</v>
      </c>
      <c r="AC15" s="11" t="str">
        <f>HYPERLINK(".\links\Sigp\AGAP007801-PA-SigP.txt","CYT")</f>
        <v>CYT</v>
      </c>
      <c r="AD15" s="2" t="s">
        <v>94</v>
      </c>
      <c r="AE15" s="2">
        <v>87.403999999999996</v>
      </c>
      <c r="AF15" s="2">
        <v>8.69</v>
      </c>
      <c r="AG15" s="2" t="s">
        <v>94</v>
      </c>
      <c r="AH15" s="2" t="s">
        <v>94</v>
      </c>
      <c r="AI15" s="2" t="s">
        <v>306</v>
      </c>
      <c r="AJ15" s="11">
        <v>0</v>
      </c>
      <c r="AK15" s="2" t="s">
        <v>94</v>
      </c>
      <c r="AL15" s="2" t="s">
        <v>94</v>
      </c>
      <c r="AM15" s="2" t="s">
        <v>94</v>
      </c>
      <c r="AN15" s="11" t="str">
        <f>HYPERLINK(".\links\gpi\AGAP007801-PA-gpi.txt","N")</f>
        <v>N</v>
      </c>
      <c r="AO15" s="12" t="str">
        <f>HYPERLINK(".\links\netoglyc\AGAP007801-PA-netoglyc.txt","41")</f>
        <v>41</v>
      </c>
      <c r="AP15" s="11">
        <v>20</v>
      </c>
      <c r="AQ15" s="2">
        <v>4.9000000000000004</v>
      </c>
      <c r="AR15" s="2">
        <v>8.6</v>
      </c>
      <c r="AS15" s="2" t="s">
        <v>97</v>
      </c>
      <c r="AT15" s="9" t="str">
        <f>HYPERLINK(".\links\NR-LIGHT\AGAP007801-PA-NR-LIGHT.txt","AGAP007801-PA-like protein")</f>
        <v>AGAP007801-PA-like protein</v>
      </c>
      <c r="AU15" s="2" t="str">
        <f>HYPERLINK("http://www.ncbi.nlm.nih.gov/sutils/blink.cgi?pid=KFB37615.1","0.0")</f>
        <v>0.0</v>
      </c>
      <c r="AV15" s="2" t="str">
        <f>HYPERLINK("http://www.ncbi.nlm.nih.gov/protein/KFB37615.1","KFB37615.1")</f>
        <v>KFB37615.1</v>
      </c>
      <c r="AW15" s="2">
        <v>69</v>
      </c>
      <c r="AX15" s="2">
        <v>73</v>
      </c>
      <c r="AY15" s="2">
        <v>109</v>
      </c>
      <c r="AZ15" s="2" t="s">
        <v>174</v>
      </c>
      <c r="BA15" s="9" t="str">
        <f>HYPERLINK(".\links\REFSEQ-INVERTEBRATE\AGAP007801-PA-REFSEQ-INVERTEBRATE.txt","AGAP007801-PA")</f>
        <v>AGAP007801-PA</v>
      </c>
      <c r="BB15" s="2" t="str">
        <f>HYPERLINK("http://www.ncbi.nlm.nih.gov/sutils/blink.cgi?pid=XP_317705.4","1E-173")</f>
        <v>1E-173</v>
      </c>
      <c r="BC15" s="2" t="str">
        <f>HYPERLINK("http://www.ncbi.nlm.nih.gov/protein/XP_317705.4","XP_317705.4")</f>
        <v>XP_317705.4</v>
      </c>
      <c r="BD15" s="2">
        <v>81</v>
      </c>
      <c r="BE15" s="2">
        <v>83</v>
      </c>
      <c r="BF15" s="2">
        <v>65</v>
      </c>
      <c r="BG15" s="2" t="s">
        <v>98</v>
      </c>
      <c r="BH15" s="9" t="str">
        <f>HYPERLINK(".\links\REFSEQ-PROTOZOA\AGAP007801-PA-REFSEQ-PROTOZOA.txt","hypothetical protein ENH_00037410")</f>
        <v>hypothetical protein ENH_00037410</v>
      </c>
      <c r="BI15" s="2" t="str">
        <f>HYPERLINK("http://www.ncbi.nlm.nih.gov/sutils/blink.cgi?pid=XP_013435984.1","2E-029")</f>
        <v>2E-029</v>
      </c>
      <c r="BJ15" s="2" t="str">
        <f>HYPERLINK("http://www.ncbi.nlm.nih.gov/protein/XP_013435984.1","XP_013435984.1")</f>
        <v>XP_013435984.1</v>
      </c>
      <c r="BK15" s="2">
        <v>27</v>
      </c>
      <c r="BL15" s="2">
        <v>39</v>
      </c>
      <c r="BM15" s="2">
        <v>88</v>
      </c>
      <c r="BN15" s="2" t="s">
        <v>307</v>
      </c>
      <c r="BO15" s="9" t="str">
        <f>HYPERLINK(".\links\SWISSP\AGAP007801-PA-SWISSP.txt","Myb-like protein Q")</f>
        <v>Myb-like protein Q</v>
      </c>
      <c r="BP15" s="2" t="str">
        <f>HYPERLINK("http://www.uniprot.org/uniprot/Q54HP1","1E-021")</f>
        <v>1E-021</v>
      </c>
      <c r="BQ15" s="2" t="str">
        <f>HYPERLINK("http://www.uniprot.org/uniprot/Q54HP1#expression","Q54HP1")</f>
        <v>Q54HP1</v>
      </c>
      <c r="BR15" s="2">
        <v>32</v>
      </c>
      <c r="BS15" s="2">
        <v>44</v>
      </c>
      <c r="BT15" s="2">
        <v>25</v>
      </c>
      <c r="BU15" s="2" t="s">
        <v>308</v>
      </c>
      <c r="BV15" s="9" t="str">
        <f>HYPERLINK(".\links\FLYBASE\AGAP007801-PA-FLYBASE.txt","FBpp0309715")</f>
        <v>FBpp0309715</v>
      </c>
      <c r="BW15" s="2" t="str">
        <f>HYPERLINK("http://flybase.org/reports/FBgn0016076#alliance_summary_container","6E-54")</f>
        <v>6E-54</v>
      </c>
      <c r="BX15" s="2">
        <v>610</v>
      </c>
      <c r="BY15" s="2">
        <v>83</v>
      </c>
      <c r="BZ15" s="2">
        <v>96</v>
      </c>
      <c r="CA15" s="2">
        <v>17</v>
      </c>
      <c r="CB15" s="9" t="str">
        <f>HYPERLINK(".\links\CDD\AGAP007801-PA-CDD.txt","bZIP_NFIL3, Basic leucine zipper (bZIP) domain of Nuclear factor interleukin-3-regulated protein (NFIL3): a DNA-binding and dimerization domain")</f>
        <v>bZIP_NFIL3, Basic leucine zipper (bZIP) domain of Nuclear factor interleukin-3-regulated protein (NFIL3): a DNA-binding and dimerization domain</v>
      </c>
      <c r="CC15" s="13">
        <v>1.9999999999999999E-28</v>
      </c>
      <c r="CD15" s="2">
        <v>95</v>
      </c>
      <c r="CE15" s="2" t="s">
        <v>309</v>
      </c>
      <c r="CF15" s="2" t="s">
        <v>310</v>
      </c>
      <c r="CG15" s="9" t="str">
        <f>HYPERLINK(".\links\KOG\AGAP007801-PA-KOG.txt","subunit TRAP230")</f>
        <v>subunit TRAP230</v>
      </c>
      <c r="CH15" s="13">
        <v>9.9999999999999994E-12</v>
      </c>
      <c r="CI15" s="2">
        <v>13.7</v>
      </c>
      <c r="CJ15" s="2" t="s">
        <v>311</v>
      </c>
      <c r="CK15" s="2" t="s">
        <v>296</v>
      </c>
      <c r="CL15" s="9" t="str">
        <f>HYPERLINK(".\links\PFAM\AGAP007801-PA-PFAM.txt","bZIP_2, Basic region leucine zipper")</f>
        <v>bZIP_2, Basic region leucine zipper</v>
      </c>
      <c r="CM15" s="13">
        <v>1E-14</v>
      </c>
      <c r="CN15" s="2">
        <v>96.1</v>
      </c>
      <c r="CO15" s="2" t="s">
        <v>312</v>
      </c>
      <c r="CP15" s="9" t="str">
        <f>HYPERLINK(".\links\SMART\AGAP007801-PA-SMART.txt","BRLZ, basic region leucin zipper")</f>
        <v>BRLZ, basic region leucin zipper</v>
      </c>
      <c r="CQ15" s="13">
        <v>2.0000000000000001E-13</v>
      </c>
      <c r="CR15" s="2">
        <v>87.7</v>
      </c>
      <c r="CS15" s="2" t="s">
        <v>313</v>
      </c>
      <c r="CT15" s="2" t="s">
        <v>304</v>
      </c>
      <c r="CU15" s="2" t="s">
        <v>304</v>
      </c>
      <c r="CV15" s="2" t="s">
        <v>304</v>
      </c>
      <c r="CW15" s="2" t="str">
        <f>HYPERLINK(".\links\pep\AGAP007801-PA-pep.txt","AGAP007801-PA")</f>
        <v>AGAP007801-PA</v>
      </c>
      <c r="CX15" s="2" t="s">
        <v>88</v>
      </c>
      <c r="CY15" s="2">
        <v>812</v>
      </c>
      <c r="CZ15" s="2" t="s">
        <v>106</v>
      </c>
      <c r="DA15" s="2" t="s">
        <v>314</v>
      </c>
      <c r="DB15" s="2">
        <v>0</v>
      </c>
      <c r="DC15" s="2">
        <v>0</v>
      </c>
      <c r="DD15" s="2" t="str">
        <f>HYPERLINK("https://www.kegg.jp/kegg-bin/search_pathway_text?map=aga&amp;keyword=AGAP007801&amp;mode=1&amp;viewImage=true","AGAP007801")</f>
        <v>AGAP007801</v>
      </c>
      <c r="DE15" s="2" t="s">
        <v>300</v>
      </c>
      <c r="DF15" s="2" t="s">
        <v>301</v>
      </c>
      <c r="DG15" s="2" t="s">
        <v>87</v>
      </c>
      <c r="DH15" s="2" t="str">
        <f>HYPERLINK("https://vectorbase.org/vectorbase/app/record/gene/AGAP007801","AGAP007801-RA")</f>
        <v>AGAP007801-RA</v>
      </c>
      <c r="DI15" s="2" t="s">
        <v>250</v>
      </c>
      <c r="DJ15" s="2">
        <v>3875</v>
      </c>
      <c r="DK15" s="2" t="str">
        <f>HYPERLINK(".\links\netoglyc\AGAP007801-PA-netoglyc.txt","41")</f>
        <v>41</v>
      </c>
      <c r="DL15" s="2">
        <v>20</v>
      </c>
      <c r="DM15" s="2">
        <v>4.9000000000000004</v>
      </c>
      <c r="DN15" s="2">
        <v>8.6</v>
      </c>
      <c r="DO15" s="2" t="s">
        <v>97</v>
      </c>
      <c r="DP15" s="2" t="s">
        <v>315</v>
      </c>
      <c r="DQ15" s="2" t="str">
        <f>HYPERLINK(".\links\Sigp\AGAP007801-PA-SigP.txt","CYT")</f>
        <v>CYT</v>
      </c>
      <c r="DR15" s="2" t="s">
        <v>94</v>
      </c>
      <c r="DS15" s="2">
        <v>87.403999999999996</v>
      </c>
      <c r="DT15" s="2">
        <v>8.69</v>
      </c>
      <c r="DU15" s="2" t="s">
        <v>94</v>
      </c>
      <c r="DV15" s="2" t="s">
        <v>94</v>
      </c>
      <c r="DW15" s="2" t="s">
        <v>306</v>
      </c>
      <c r="DX15" s="2">
        <v>812</v>
      </c>
      <c r="DY15" s="8">
        <v>0</v>
      </c>
      <c r="DZ15" s="2" t="s">
        <v>94</v>
      </c>
      <c r="EA15" s="2" t="s">
        <v>94</v>
      </c>
      <c r="EB15" s="2" t="s">
        <v>94</v>
      </c>
      <c r="EC15" s="2" t="str">
        <f>HYPERLINK(".\links\gpi\AGAP007801-PA-gpi.txt","N")</f>
        <v>N</v>
      </c>
      <c r="ED15" s="2">
        <v>0.44</v>
      </c>
      <c r="EF15" s="2">
        <v>1</v>
      </c>
      <c r="EG15" s="2" t="str">
        <f>HYPERLINK(".\links\pep\AGAP007801-PA-sulf.txt","1")</f>
        <v>1</v>
      </c>
      <c r="EH15" s="2" t="s">
        <v>94</v>
      </c>
      <c r="EI15" s="2">
        <v>19.950738916256199</v>
      </c>
      <c r="EJ15" s="2">
        <v>8.6206896551724093</v>
      </c>
      <c r="EK15" s="2">
        <v>4.9261083743842402</v>
      </c>
      <c r="EL15" s="2">
        <v>13.5467980295566</v>
      </c>
      <c r="EM15" s="2">
        <v>1</v>
      </c>
      <c r="EN15" s="2" t="s">
        <v>94</v>
      </c>
      <c r="EO15" s="2">
        <v>2</v>
      </c>
      <c r="EP15" s="2" t="s">
        <v>94</v>
      </c>
      <c r="EQ15" s="2" t="s">
        <v>94</v>
      </c>
      <c r="ER15" s="2" t="s">
        <v>94</v>
      </c>
      <c r="ES15" s="2" t="s">
        <v>94</v>
      </c>
      <c r="ET15" s="2" t="str">
        <f>HYPERLINK(".\links\REFSEQ-INVERTEBRATE\AGAP007801-PA-REFSEQ-INVERTEBRATE.txt","AF4/FMR2 family member lilli-like")</f>
        <v>AF4/FMR2 family member lilli-like</v>
      </c>
      <c r="EU15" s="2" t="str">
        <f>HYPERLINK("http://www.ncbi.nlm.nih.gov/sutils/blink.cgi?pid=XP_035916312.1","0.0")</f>
        <v>0.0</v>
      </c>
      <c r="EV15" s="2" t="str">
        <f>HYPERLINK("http://www.ncbi.nlm.nih.gov/protein/XP_035916312.1","XP_035916312.1")</f>
        <v>XP_035916312.1</v>
      </c>
      <c r="EW15" s="2">
        <v>84</v>
      </c>
      <c r="EX15" s="2">
        <v>87</v>
      </c>
      <c r="EY15" s="2">
        <v>102</v>
      </c>
      <c r="EZ15" s="2" t="s">
        <v>184</v>
      </c>
    </row>
    <row r="16" spans="1:156" x14ac:dyDescent="0.25">
      <c r="A16" s="2" t="s">
        <v>316</v>
      </c>
      <c r="B16" s="2">
        <v>1.70296160315205</v>
      </c>
      <c r="C16" s="2">
        <v>3.255686090127845</v>
      </c>
      <c r="D16" s="2">
        <v>0.46113408801585098</v>
      </c>
      <c r="E16" s="2">
        <v>10.858224221517</v>
      </c>
      <c r="F16" s="2">
        <v>9.8357965244538596E-4</v>
      </c>
      <c r="G16" s="2">
        <v>4.1818008012112502E-2</v>
      </c>
      <c r="H16" s="2" t="s">
        <v>167</v>
      </c>
      <c r="I16" s="2" t="s">
        <v>87</v>
      </c>
      <c r="J16" s="2" t="str">
        <f>HYPERLINK("https://vectorbase.org/vectorbase/app/record/gene/AGAP012811","AGAP012811-RA")</f>
        <v>AGAP012811-RA</v>
      </c>
      <c r="K16" s="2" t="str">
        <f>HYPERLINK(".\links\pep\AGAP012811-PA-pep.txt","AGAP012811-PA")</f>
        <v>AGAP012811-PA</v>
      </c>
      <c r="L16" s="8" t="s">
        <v>88</v>
      </c>
      <c r="M16" s="2">
        <v>192</v>
      </c>
      <c r="N16" s="2">
        <v>0</v>
      </c>
      <c r="O16" s="2">
        <v>0</v>
      </c>
      <c r="P16" s="2" t="s">
        <v>94</v>
      </c>
      <c r="Q16" s="9" t="s">
        <v>317</v>
      </c>
      <c r="R16" s="2" t="s">
        <v>318</v>
      </c>
      <c r="S16" s="2" t="str">
        <f>HYPERLINK(".\links\KOG\AGAP012811-PA-KOG.txt","KOG")</f>
        <v>KOG</v>
      </c>
      <c r="T16" s="2">
        <v>4.0000000000000002E-22</v>
      </c>
      <c r="U16" s="2">
        <v>26</v>
      </c>
      <c r="V16" s="2" t="s">
        <v>319</v>
      </c>
      <c r="W16" s="10" t="s">
        <v>320</v>
      </c>
      <c r="X16" s="2" t="s">
        <v>253</v>
      </c>
      <c r="Y16" s="2" t="str">
        <f>HYPERLINK(".\links\ARTHORPODA\AGAP012811-PA-ARTHORPODA.txt","ARTHORPODA")</f>
        <v>ARTHORPODA</v>
      </c>
      <c r="Z16" s="13">
        <v>0</v>
      </c>
      <c r="AA16" s="2">
        <v>100</v>
      </c>
      <c r="AB16" s="11" t="s">
        <v>94</v>
      </c>
      <c r="AC16" s="11" t="str">
        <f>HYPERLINK(".\links\Sigp\AGAP012811-PA-SigP.txt","CYT")</f>
        <v>CYT</v>
      </c>
      <c r="AD16" s="2" t="s">
        <v>94</v>
      </c>
      <c r="AE16" s="2">
        <v>21.123999999999999</v>
      </c>
      <c r="AF16" s="2">
        <v>5.13</v>
      </c>
      <c r="AG16" s="2" t="s">
        <v>94</v>
      </c>
      <c r="AH16" s="2" t="s">
        <v>94</v>
      </c>
      <c r="AI16" s="2" t="s">
        <v>321</v>
      </c>
      <c r="AJ16" s="11">
        <v>0</v>
      </c>
      <c r="AK16" s="2" t="s">
        <v>94</v>
      </c>
      <c r="AL16" s="2" t="s">
        <v>94</v>
      </c>
      <c r="AM16" s="2" t="s">
        <v>94</v>
      </c>
      <c r="AN16" s="11" t="str">
        <f>HYPERLINK(".\links\gpi\AGAP012811-PA-gpi.txt","N")</f>
        <v>N</v>
      </c>
      <c r="AO16" s="12" t="str">
        <f>HYPERLINK(".\links\netoglyc\AGAP012811-PA-netoglyc.txt","3")</f>
        <v>3</v>
      </c>
      <c r="AP16" s="11">
        <v>16.7</v>
      </c>
      <c r="AQ16" s="2">
        <v>4.2</v>
      </c>
      <c r="AR16" s="2">
        <v>1.6</v>
      </c>
      <c r="AS16" s="2" t="s">
        <v>97</v>
      </c>
      <c r="AT16" s="9" t="str">
        <f>HYPERLINK(".\links\NR-LIGHT\AGAP012811-PA-NR-LIGHT.txt","AGAP012811-PA")</f>
        <v>AGAP012811-PA</v>
      </c>
      <c r="AU16" s="2" t="str">
        <f>HYPERLINK("http://www.ncbi.nlm.nih.gov/sutils/blink.cgi?pid=XP_001230379.1","1E-104")</f>
        <v>1E-104</v>
      </c>
      <c r="AV16" s="2" t="str">
        <f>HYPERLINK("http://www.ncbi.nlm.nih.gov/protein/XP_001230379.1","XP_001230379.1")</f>
        <v>XP_001230379.1</v>
      </c>
      <c r="AW16" s="2">
        <v>100</v>
      </c>
      <c r="AX16" s="2">
        <v>100</v>
      </c>
      <c r="AY16" s="2">
        <v>100</v>
      </c>
      <c r="AZ16" s="2" t="s">
        <v>98</v>
      </c>
      <c r="BA16" s="9" t="str">
        <f>HYPERLINK(".\links\REFSEQ-INVERTEBRATE\AGAP012811-PA-REFSEQ-INVERTEBRATE.txt","AGAP012811-PA")</f>
        <v>AGAP012811-PA</v>
      </c>
      <c r="BB16" s="2" t="str">
        <f>HYPERLINK("http://www.ncbi.nlm.nih.gov/sutils/blink.cgi?pid=XP_001230379.1","1E-104")</f>
        <v>1E-104</v>
      </c>
      <c r="BC16" s="2" t="str">
        <f>HYPERLINK("http://www.ncbi.nlm.nih.gov/protein/XP_001230379.1","XP_001230379.1")</f>
        <v>XP_001230379.1</v>
      </c>
      <c r="BD16" s="2">
        <v>100</v>
      </c>
      <c r="BE16" s="2">
        <v>100</v>
      </c>
      <c r="BF16" s="2">
        <v>100</v>
      </c>
      <c r="BG16" s="2" t="s">
        <v>98</v>
      </c>
      <c r="BH16" s="9" t="str">
        <f>HYPERLINK(".\links\REFSEQ-PROTOZOA\AGAP012811-PA-REFSEQ-PROTOZOA.txt","cyclic nucleotide phosphodiesterase")</f>
        <v>cyclic nucleotide phosphodiesterase</v>
      </c>
      <c r="BI16" s="2" t="str">
        <f>HYPERLINK("http://www.ncbi.nlm.nih.gov/sutils/blink.cgi?pid=XP_004996423.1","6E-019")</f>
        <v>6E-019</v>
      </c>
      <c r="BJ16" s="2" t="str">
        <f>HYPERLINK("http://www.ncbi.nlm.nih.gov/protein/XP_004996423.1","XP_004996423.1")</f>
        <v>XP_004996423.1</v>
      </c>
      <c r="BK16" s="2">
        <v>38</v>
      </c>
      <c r="BL16" s="2">
        <v>52</v>
      </c>
      <c r="BM16" s="2">
        <v>16</v>
      </c>
      <c r="BN16" s="2" t="s">
        <v>117</v>
      </c>
      <c r="BO16" s="9" t="str">
        <f>HYPERLINK(".\links\SWISSP\AGAP012811-PA-SWISSP.txt","cGMP-specific 3',5'-cyclic phosphodiesterase")</f>
        <v>cGMP-specific 3',5'-cyclic phosphodiesterase</v>
      </c>
      <c r="BP16" s="2" t="str">
        <f>HYPERLINK("http://www.uniprot.org/uniprot/B4QZU1","4E-058")</f>
        <v>4E-058</v>
      </c>
      <c r="BQ16" s="2" t="str">
        <f>HYPERLINK("http://www.uniprot.org/uniprot/B4QZU1#expression","B4QZU1")</f>
        <v>B4QZU1</v>
      </c>
      <c r="BR16" s="2">
        <v>61</v>
      </c>
      <c r="BS16" s="2">
        <v>74</v>
      </c>
      <c r="BT16" s="2">
        <v>17</v>
      </c>
      <c r="BU16" s="2" t="s">
        <v>322</v>
      </c>
      <c r="BV16" s="9" t="str">
        <f>HYPERLINK(".\links\FLYBASE\AGAP012811-PA-FLYBASE.txt","FBpp0303081")</f>
        <v>FBpp0303081</v>
      </c>
      <c r="BW16" s="2" t="str">
        <f>HYPERLINK("http://flybase.org/reports/FBgn0038237#alliance_summary_container","7E-71")</f>
        <v>7E-71</v>
      </c>
      <c r="BX16" s="2">
        <v>1124</v>
      </c>
      <c r="BY16" s="2">
        <v>61</v>
      </c>
      <c r="BZ16" s="2">
        <v>74</v>
      </c>
      <c r="CA16" s="2">
        <v>17</v>
      </c>
      <c r="CB16" s="9" t="str">
        <f>HYPERLINK(".\links\CDD\AGAP012811-PA-CDD.txt","GAF, Domain present in phytochromes and cGMP-specific phosphodiesterases")</f>
        <v>GAF, Domain present in phytochromes and cGMP-specific phosphodiesterases</v>
      </c>
      <c r="CC16" s="13">
        <v>2.0000000000000001E-9</v>
      </c>
      <c r="CD16" s="2">
        <v>87.9</v>
      </c>
      <c r="CE16" s="2" t="s">
        <v>323</v>
      </c>
      <c r="CF16" s="2" t="s">
        <v>324</v>
      </c>
      <c r="CG16" s="9" t="str">
        <f>HYPERLINK(".\links\KOG\AGAP012811-PA-KOG.txt","Cyclic nucleotide phosphodiesterase")</f>
        <v>Cyclic nucleotide phosphodiesterase</v>
      </c>
      <c r="CH16" s="13">
        <v>4.0000000000000002E-22</v>
      </c>
      <c r="CI16" s="2">
        <v>26</v>
      </c>
      <c r="CJ16" s="2" t="s">
        <v>325</v>
      </c>
      <c r="CK16" s="2" t="s">
        <v>326</v>
      </c>
      <c r="CL16" s="9" t="str">
        <f>HYPERLINK(".\links\PFAM\AGAP012811-PA-PFAM.txt","GAF, GAF domain")</f>
        <v>GAF, GAF domain</v>
      </c>
      <c r="CM16" s="13">
        <v>3.9999999999999998E-6</v>
      </c>
      <c r="CN16" s="2">
        <v>81.2</v>
      </c>
      <c r="CO16" s="2" t="s">
        <v>327</v>
      </c>
      <c r="CP16" s="9" t="str">
        <f>HYPERLINK(".\links\SMART\AGAP012811-PA-SMART.txt","GAF, Domain present in phytochromes and cGMP-specific phosphodiesterases")</f>
        <v>GAF, Domain present in phytochromes and cGMP-specific phosphodiesterases</v>
      </c>
      <c r="CQ16" s="13">
        <v>3E-11</v>
      </c>
      <c r="CR16" s="2">
        <v>87.9</v>
      </c>
      <c r="CS16" s="2" t="s">
        <v>323</v>
      </c>
      <c r="CT16" s="2" t="s">
        <v>319</v>
      </c>
      <c r="CU16" s="2" t="s">
        <v>319</v>
      </c>
      <c r="CV16" s="2" t="s">
        <v>319</v>
      </c>
      <c r="CW16" s="2" t="str">
        <f>HYPERLINK(".\links\pep\AGAP012811-PA-pep.txt","AGAP012811-PA")</f>
        <v>AGAP012811-PA</v>
      </c>
      <c r="CX16" s="2" t="s">
        <v>88</v>
      </c>
      <c r="CY16" s="2">
        <v>192</v>
      </c>
      <c r="CZ16" s="2" t="s">
        <v>106</v>
      </c>
      <c r="DA16" s="2" t="s">
        <v>328</v>
      </c>
      <c r="DB16" s="2">
        <v>0</v>
      </c>
      <c r="DC16" s="2">
        <v>0</v>
      </c>
      <c r="DD16" s="2" t="str">
        <f>HYPERLINK("https://www.kegg.jp/kegg-bin/search_pathway_text?map=aga&amp;keyword=AGAP012811&amp;mode=1&amp;viewImage=true","AGAP012811")</f>
        <v>AGAP012811</v>
      </c>
      <c r="DE16" s="2" t="s">
        <v>316</v>
      </c>
      <c r="DF16" s="2" t="s">
        <v>167</v>
      </c>
      <c r="DG16" s="2" t="s">
        <v>87</v>
      </c>
      <c r="DH16" s="2" t="str">
        <f>HYPERLINK("https://vectorbase.org/vectorbase/app/record/gene/AGAP012811","AGAP012811-RA")</f>
        <v>AGAP012811-RA</v>
      </c>
      <c r="DI16" s="2" t="s">
        <v>250</v>
      </c>
      <c r="DJ16" s="2">
        <v>579</v>
      </c>
      <c r="DK16" s="2" t="str">
        <f>HYPERLINK(".\links\netoglyc\AGAP012811-PA-netoglyc.txt","3")</f>
        <v>3</v>
      </c>
      <c r="DL16" s="2">
        <v>16.7</v>
      </c>
      <c r="DM16" s="2">
        <v>4.2</v>
      </c>
      <c r="DN16" s="2">
        <v>1.6</v>
      </c>
      <c r="DO16" s="2" t="s">
        <v>97</v>
      </c>
      <c r="DP16" s="2" t="s">
        <v>94</v>
      </c>
      <c r="DQ16" s="2" t="str">
        <f>HYPERLINK(".\links\Sigp\AGAP012811-PA-SigP.txt","CYT")</f>
        <v>CYT</v>
      </c>
      <c r="DR16" s="2" t="s">
        <v>94</v>
      </c>
      <c r="DS16" s="2">
        <v>21.123999999999999</v>
      </c>
      <c r="DT16" s="2">
        <v>5.13</v>
      </c>
      <c r="DU16" s="2" t="s">
        <v>94</v>
      </c>
      <c r="DV16" s="2" t="s">
        <v>94</v>
      </c>
      <c r="DW16" s="2" t="s">
        <v>321</v>
      </c>
      <c r="DX16" s="2">
        <v>192</v>
      </c>
      <c r="DY16" s="8">
        <v>0</v>
      </c>
      <c r="DZ16" s="2" t="s">
        <v>94</v>
      </c>
      <c r="EA16" s="2" t="s">
        <v>94</v>
      </c>
      <c r="EB16" s="2" t="s">
        <v>94</v>
      </c>
      <c r="EC16" s="2" t="str">
        <f>HYPERLINK(".\links\gpi\AGAP012811-PA-gpi.txt","N")</f>
        <v>N</v>
      </c>
      <c r="ED16" s="2">
        <v>0.28999999999999998</v>
      </c>
      <c r="EF16" s="2">
        <v>6</v>
      </c>
      <c r="EG16" s="2" t="s">
        <v>94</v>
      </c>
      <c r="EH16" s="2" t="s">
        <v>94</v>
      </c>
      <c r="EI16" s="2">
        <v>16.6666666666667</v>
      </c>
      <c r="EJ16" s="2">
        <v>1.5625</v>
      </c>
      <c r="EK16" s="2">
        <v>4.1666666666666696</v>
      </c>
      <c r="EL16" s="2">
        <v>5.7291666666666696</v>
      </c>
      <c r="EM16" s="2" t="s">
        <v>94</v>
      </c>
      <c r="EN16" s="2" t="s">
        <v>94</v>
      </c>
      <c r="EO16" s="2" t="s">
        <v>94</v>
      </c>
      <c r="EP16" s="2" t="s">
        <v>94</v>
      </c>
      <c r="EQ16" s="2" t="s">
        <v>94</v>
      </c>
      <c r="ER16" s="2" t="s">
        <v>94</v>
      </c>
      <c r="ES16" s="2" t="s">
        <v>94</v>
      </c>
      <c r="ET16" s="2" t="str">
        <f>HYPERLINK(".\links\REFSEQ-INVERTEBRATE\AGAP012811-PA-REFSEQ-INVERTEBRATE.txt","AGAP012811-PA")</f>
        <v>AGAP012811-PA</v>
      </c>
      <c r="EU16" s="2" t="str">
        <f>HYPERLINK("http://www.ncbi.nlm.nih.gov/sutils/blink.cgi?pid=XP_001230379.1","1E-141")</f>
        <v>1E-141</v>
      </c>
      <c r="EV16" s="2" t="str">
        <f>HYPERLINK("http://www.ncbi.nlm.nih.gov/protein/XP_001230379.1","XP_001230379.1")</f>
        <v>XP_001230379.1</v>
      </c>
      <c r="EW16" s="2">
        <v>100</v>
      </c>
      <c r="EX16" s="2">
        <v>100</v>
      </c>
      <c r="EY16" s="2">
        <v>100</v>
      </c>
      <c r="EZ16" s="2" t="s">
        <v>98</v>
      </c>
    </row>
    <row r="17" spans="1:156" x14ac:dyDescent="0.25">
      <c r="A17" s="2" t="s">
        <v>329</v>
      </c>
      <c r="B17" s="2">
        <v>1.68523842941278</v>
      </c>
      <c r="C17" s="2">
        <v>3.2159354060087928</v>
      </c>
      <c r="D17" s="2">
        <v>2.3238780511519201</v>
      </c>
      <c r="E17" s="2">
        <v>19.3522483495301</v>
      </c>
      <c r="F17" s="2">
        <v>1.0869119610356E-5</v>
      </c>
      <c r="G17" s="2">
        <v>1.22368171613258E-3</v>
      </c>
      <c r="H17" s="2" t="s">
        <v>330</v>
      </c>
      <c r="I17" s="2" t="s">
        <v>94</v>
      </c>
      <c r="J17" s="2" t="str">
        <f>HYPERLINK("https://vectorbase.org/vectorbase/app/record/gene/AGAP011745","AGAP011745-RA")</f>
        <v>AGAP011745-RA</v>
      </c>
      <c r="K17" s="2" t="str">
        <f>HYPERLINK(".\links\pep\AGAP011745-PA-pep.txt","AGAP011745-PA")</f>
        <v>AGAP011745-PA</v>
      </c>
      <c r="L17" s="8" t="s">
        <v>88</v>
      </c>
      <c r="M17" s="2">
        <v>686</v>
      </c>
      <c r="N17" s="2">
        <v>0</v>
      </c>
      <c r="O17" s="2">
        <v>2</v>
      </c>
      <c r="P17" s="2" t="s">
        <v>331</v>
      </c>
      <c r="Q17" s="9" t="s">
        <v>332</v>
      </c>
      <c r="R17" s="2" t="s">
        <v>333</v>
      </c>
      <c r="S17" s="2" t="str">
        <f>HYPERLINK(".\links\KOG\AGAP011745-PA-KOG.txt","KOG")</f>
        <v>KOG</v>
      </c>
      <c r="T17" s="2">
        <v>0</v>
      </c>
      <c r="U17" s="2">
        <v>102</v>
      </c>
      <c r="V17" s="2" t="s">
        <v>334</v>
      </c>
      <c r="W17" s="10" t="s">
        <v>335</v>
      </c>
      <c r="X17" s="2" t="s">
        <v>113</v>
      </c>
      <c r="Y17" s="2" t="str">
        <f>HYPERLINK(".\links\UNIPROTKB\AGAP011745-PA-UNIPROTKB.txt","UNIPROTKB")</f>
        <v>UNIPROTKB</v>
      </c>
      <c r="Z17" s="2">
        <v>0</v>
      </c>
      <c r="AA17" s="2">
        <v>78.8</v>
      </c>
      <c r="AB17" s="11" t="s">
        <v>94</v>
      </c>
      <c r="AC17" s="11" t="str">
        <f>HYPERLINK(".\links\Sigp\AGAP011745-PA-SigP.txt","BL")</f>
        <v>BL</v>
      </c>
      <c r="AD17" s="2" t="s">
        <v>336</v>
      </c>
      <c r="AE17" s="2">
        <v>77.227000000000004</v>
      </c>
      <c r="AF17" s="2">
        <v>5.3</v>
      </c>
      <c r="AG17" s="2">
        <v>72.278000000000006</v>
      </c>
      <c r="AH17" s="2">
        <v>5.16</v>
      </c>
      <c r="AI17" s="2" t="s">
        <v>337</v>
      </c>
      <c r="AJ17" s="11" t="str">
        <f>HYPERLINK(".\links\tmhmm\AGAP011745-PA-tmhmm.txt","3")</f>
        <v>3</v>
      </c>
      <c r="AK17" s="2">
        <v>8.9</v>
      </c>
      <c r="AL17" s="2">
        <v>81</v>
      </c>
      <c r="AM17" s="2">
        <v>10.1</v>
      </c>
      <c r="AN17" s="11" t="str">
        <f>HYPERLINK(".\links\gpi\AGAP011745-PA-gpi.txt","N")</f>
        <v>N</v>
      </c>
      <c r="AO17" s="12" t="str">
        <f>HYPERLINK(".\links\netoglyc\AGAP011745-PA-netoglyc.txt","8")</f>
        <v>8</v>
      </c>
      <c r="AP17" s="11">
        <v>16.2</v>
      </c>
      <c r="AQ17" s="2">
        <v>5.2</v>
      </c>
      <c r="AR17" s="2">
        <v>6.1</v>
      </c>
      <c r="AS17" s="2" t="s">
        <v>97</v>
      </c>
      <c r="AT17" s="9" t="str">
        <f>HYPERLINK(".\links\NR-LIGHT\AGAP011745-PA-NR-LIGHT.txt","AGAP011745-PA")</f>
        <v>AGAP011745-PA</v>
      </c>
      <c r="AU17" s="2" t="str">
        <f>HYPERLINK("http://www.ncbi.nlm.nih.gov/sutils/blink.cgi?pid=XP_320767.3","0.0")</f>
        <v>0.0</v>
      </c>
      <c r="AV17" s="2" t="str">
        <f>HYPERLINK("http://www.ncbi.nlm.nih.gov/protein/XP_320767.3","XP_320767.3")</f>
        <v>XP_320767.3</v>
      </c>
      <c r="AW17" s="2">
        <v>100</v>
      </c>
      <c r="AX17" s="2">
        <v>100</v>
      </c>
      <c r="AY17" s="2">
        <v>100</v>
      </c>
      <c r="AZ17" s="2" t="s">
        <v>98</v>
      </c>
      <c r="BA17" s="9" t="str">
        <f>HYPERLINK(".\links\REFSEQ-INVERTEBRATE\AGAP011745-PA-REFSEQ-INVERTEBRATE.txt","AGAP011745-PA")</f>
        <v>AGAP011745-PA</v>
      </c>
      <c r="BB17" s="2" t="str">
        <f>HYPERLINK("http://www.ncbi.nlm.nih.gov/sutils/blink.cgi?pid=XP_320767.3","0.0")</f>
        <v>0.0</v>
      </c>
      <c r="BC17" s="2" t="str">
        <f>HYPERLINK("http://www.ncbi.nlm.nih.gov/protein/XP_320767.3","XP_320767.3")</f>
        <v>XP_320767.3</v>
      </c>
      <c r="BD17" s="2">
        <v>100</v>
      </c>
      <c r="BE17" s="2">
        <v>100</v>
      </c>
      <c r="BF17" s="2">
        <v>100</v>
      </c>
      <c r="BG17" s="2" t="s">
        <v>98</v>
      </c>
      <c r="BH17" s="9" t="str">
        <f>HYPERLINK(".\links\REFSEQ-PROTOZOA\AGAP011745-PA-REFSEQ-PROTOZOA.txt","hypothetical protein AURANDRAFT_19080")</f>
        <v>hypothetical protein AURANDRAFT_19080</v>
      </c>
      <c r="BI17" s="2" t="str">
        <f>HYPERLINK("http://www.ncbi.nlm.nih.gov/sutils/blink.cgi?pid=XP_009032433.1","7E-056")</f>
        <v>7E-056</v>
      </c>
      <c r="BJ17" s="2" t="str">
        <f>HYPERLINK("http://www.ncbi.nlm.nih.gov/protein/XP_009032433.1","XP_009032433.1")</f>
        <v>XP_009032433.1</v>
      </c>
      <c r="BK17" s="2">
        <v>35</v>
      </c>
      <c r="BL17" s="2">
        <v>57</v>
      </c>
      <c r="BM17" s="2">
        <v>90</v>
      </c>
      <c r="BN17" s="2" t="s">
        <v>338</v>
      </c>
      <c r="BO17" s="9" t="str">
        <f>HYPERLINK(".\links\SWISSP\AGAP011745-PA-SWISSP.txt","Bestrophin-2")</f>
        <v>Bestrophin-2</v>
      </c>
      <c r="BP17" s="2" t="str">
        <f>HYPERLINK("http://www.uniprot.org/uniprot/Q8BGM5","1E-113")</f>
        <v>1E-113</v>
      </c>
      <c r="BQ17" s="2" t="str">
        <f>HYPERLINK("http://www.uniprot.org/uniprot/Q8BGM5#expression","Q8BGM5")</f>
        <v>Q8BGM5</v>
      </c>
      <c r="BR17" s="2">
        <v>48</v>
      </c>
      <c r="BS17" s="2">
        <v>66</v>
      </c>
      <c r="BT17" s="2">
        <v>86</v>
      </c>
      <c r="BU17" s="2" t="s">
        <v>339</v>
      </c>
      <c r="BV17" s="9" t="str">
        <f>HYPERLINK(".\links\FLYBASE\AGAP011745-PA-FLYBASE.txt","FBpp0081661")</f>
        <v>FBpp0081661</v>
      </c>
      <c r="BW17" s="2" t="str">
        <f>HYPERLINK("http://flybase.org/reports/FBgn0040238#alliance_summary_container","0.0")</f>
        <v>0.0</v>
      </c>
      <c r="BX17" s="2">
        <v>721</v>
      </c>
      <c r="BY17" s="2">
        <v>62</v>
      </c>
      <c r="BZ17" s="2">
        <v>70</v>
      </c>
      <c r="CA17" s="2">
        <v>95</v>
      </c>
      <c r="CB17" s="9" t="str">
        <f>HYPERLINK(".\links\CDD\AGAP011745-PA-CDD.txt","Bestrophin, Bestrophin, RFP-TM, chloride channel")</f>
        <v>Bestrophin, Bestrophin, RFP-TM, chloride channel</v>
      </c>
      <c r="CC17" s="13">
        <v>1E-97</v>
      </c>
      <c r="CD17" s="2">
        <v>115.6</v>
      </c>
      <c r="CE17" s="2" t="s">
        <v>340</v>
      </c>
      <c r="CF17" s="2" t="s">
        <v>341</v>
      </c>
      <c r="CG17" s="9" t="str">
        <f>HYPERLINK(".\links\KOG\AGAP011745-PA-KOG.txt","Bestrophin (Best vitelliform macular dystrophy-associated protein)")</f>
        <v>Bestrophin (Best vitelliform macular dystrophy-associated protein)</v>
      </c>
      <c r="CH17" s="13">
        <v>9.9999999999999999E-161</v>
      </c>
      <c r="CI17" s="2">
        <v>102</v>
      </c>
      <c r="CJ17" s="2" t="s">
        <v>342</v>
      </c>
      <c r="CK17" s="2" t="s">
        <v>122</v>
      </c>
      <c r="CL17" s="9" t="str">
        <f>HYPERLINK(".\links\PFAM\AGAP011745-PA-PFAM.txt","Bestrophin, Bestrophin, RFP-TM, chloride channel")</f>
        <v>Bestrophin, Bestrophin, RFP-TM, chloride channel</v>
      </c>
      <c r="CM17" s="13">
        <v>1.9999999999999999E-98</v>
      </c>
      <c r="CN17" s="2">
        <v>115.6</v>
      </c>
      <c r="CO17" s="2" t="s">
        <v>340</v>
      </c>
      <c r="CP17" s="9" t="str">
        <f>HYPERLINK(".\links\SMART\AGAP011745-PA-SMART.txt","RhoGAP, GTPase-activator protein for Rho-like GTPases")</f>
        <v>RhoGAP, GTPase-activator protein for Rho-like GTPases</v>
      </c>
      <c r="CQ17" s="13">
        <v>0.85</v>
      </c>
      <c r="CR17" s="2">
        <v>6.9</v>
      </c>
      <c r="CS17" s="2" t="s">
        <v>343</v>
      </c>
      <c r="CT17" s="2" t="s">
        <v>334</v>
      </c>
      <c r="CU17" s="2" t="s">
        <v>334</v>
      </c>
      <c r="CV17" s="2" t="s">
        <v>334</v>
      </c>
      <c r="CW17" s="2" t="str">
        <f>HYPERLINK(".\links\pep\AGAP011745-PA-pep.txt","AGAP011745-PA")</f>
        <v>AGAP011745-PA</v>
      </c>
      <c r="CX17" s="2" t="s">
        <v>88</v>
      </c>
      <c r="CY17" s="2">
        <v>686</v>
      </c>
      <c r="CZ17" s="2" t="s">
        <v>106</v>
      </c>
      <c r="DA17" s="2">
        <v>0</v>
      </c>
      <c r="DB17" s="2">
        <v>2</v>
      </c>
      <c r="DD17" s="2" t="str">
        <f>HYPERLINK("https://www.kegg.jp/kegg-bin/search_pathway_text?map=aga&amp;keyword=AGAP011745&amp;mode=1&amp;viewImage=true","AGAP011745")</f>
        <v>AGAP011745</v>
      </c>
      <c r="DE17" s="2" t="s">
        <v>329</v>
      </c>
      <c r="DF17" s="2" t="s">
        <v>330</v>
      </c>
      <c r="DG17" s="2" t="s">
        <v>94</v>
      </c>
      <c r="DH17" s="2" t="str">
        <f>HYPERLINK("https://vectorbase.org/vectorbase/app/record/gene/AGAP011745","AGAP011745-RA")</f>
        <v>AGAP011745-RA</v>
      </c>
      <c r="DI17" s="2" t="s">
        <v>250</v>
      </c>
      <c r="DJ17" s="2">
        <v>3396</v>
      </c>
      <c r="DK17" s="2" t="str">
        <f>HYPERLINK(".\links\netoglyc\AGAP011745-PA-netoglyc.txt","8")</f>
        <v>8</v>
      </c>
      <c r="DL17" s="2">
        <v>16.2</v>
      </c>
      <c r="DM17" s="2">
        <v>5.2</v>
      </c>
      <c r="DN17" s="2">
        <v>6.1</v>
      </c>
      <c r="DO17" s="2" t="s">
        <v>97</v>
      </c>
      <c r="DP17" s="2" t="s">
        <v>94</v>
      </c>
      <c r="DQ17" s="2" t="str">
        <f>HYPERLINK(".\links\Sigp\AGAP011745-PA-SigP.txt","BL")</f>
        <v>BL</v>
      </c>
      <c r="DR17" s="2" t="s">
        <v>336</v>
      </c>
      <c r="DS17" s="2">
        <v>77.227000000000004</v>
      </c>
      <c r="DT17" s="2">
        <v>5.3</v>
      </c>
      <c r="DU17" s="2">
        <v>72.278000000000006</v>
      </c>
      <c r="DV17" s="2">
        <v>5.16</v>
      </c>
      <c r="DW17" s="2" t="s">
        <v>337</v>
      </c>
      <c r="DX17" s="2">
        <v>686</v>
      </c>
      <c r="DY17" s="8" t="str">
        <f>HYPERLINK(".\links\tmhmm\AGAP011745-PA-tmhmm.txt","3")</f>
        <v>3</v>
      </c>
      <c r="DZ17" s="2">
        <v>8.9</v>
      </c>
      <c r="EA17" s="2">
        <v>81</v>
      </c>
      <c r="EB17" s="2">
        <v>10.1</v>
      </c>
      <c r="EC17" s="2" t="str">
        <f>HYPERLINK(".\links\gpi\AGAP011745-PA-gpi.txt","Y-NoSP")</f>
        <v>Y-NoSP</v>
      </c>
      <c r="ED17" s="2">
        <v>0.16</v>
      </c>
      <c r="EF17" s="2">
        <v>9</v>
      </c>
      <c r="EG17" s="2" t="s">
        <v>94</v>
      </c>
      <c r="EH17" s="2" t="s">
        <v>94</v>
      </c>
      <c r="EI17" s="2">
        <v>16.1807580174927</v>
      </c>
      <c r="EJ17" s="2">
        <v>6.12244897959184</v>
      </c>
      <c r="EK17" s="2">
        <v>5.2478134110787202</v>
      </c>
      <c r="EL17" s="2">
        <v>11.3702623906706</v>
      </c>
      <c r="EM17" s="2" t="s">
        <v>94</v>
      </c>
      <c r="EN17" s="2" t="s">
        <v>94</v>
      </c>
      <c r="EO17" s="2">
        <v>1</v>
      </c>
      <c r="EP17" s="2" t="s">
        <v>94</v>
      </c>
      <c r="EQ17" s="2" t="s">
        <v>94</v>
      </c>
      <c r="ER17" s="2" t="s">
        <v>94</v>
      </c>
      <c r="ES17" s="2" t="s">
        <v>94</v>
      </c>
      <c r="ET17" s="2" t="str">
        <f>HYPERLINK(".\links\REFSEQ-INVERTEBRATE\AGAP011745-PA-REFSEQ-INVERTEBRATE.txt","AGAP011745-PA")</f>
        <v>AGAP011745-PA</v>
      </c>
      <c r="EU17" s="2" t="str">
        <f>HYPERLINK("http://www.ncbi.nlm.nih.gov/sutils/blink.cgi?pid=XP_320767.3","0.0")</f>
        <v>0.0</v>
      </c>
      <c r="EV17" s="2" t="str">
        <f>HYPERLINK("http://www.ncbi.nlm.nih.gov/protein/XP_320767.3","XP_320767.3")</f>
        <v>XP_320767.3</v>
      </c>
      <c r="EW17" s="2">
        <v>100</v>
      </c>
      <c r="EX17" s="2">
        <v>100</v>
      </c>
      <c r="EY17" s="2">
        <v>100</v>
      </c>
      <c r="EZ17" s="2" t="s">
        <v>98</v>
      </c>
    </row>
    <row r="18" spans="1:156" x14ac:dyDescent="0.25">
      <c r="A18" s="2" t="s">
        <v>344</v>
      </c>
      <c r="B18" s="2">
        <v>1.66834468552409</v>
      </c>
      <c r="C18" s="2">
        <v>3.1784969091609252</v>
      </c>
      <c r="D18" s="2">
        <v>1.5141321250445301</v>
      </c>
      <c r="E18" s="2">
        <v>12.143640378452201</v>
      </c>
      <c r="F18" s="2">
        <v>4.9255536954430498E-4</v>
      </c>
      <c r="G18" s="2">
        <v>2.3765796580512699E-2</v>
      </c>
      <c r="H18" s="2" t="s">
        <v>167</v>
      </c>
      <c r="I18" s="2" t="s">
        <v>87</v>
      </c>
      <c r="J18" s="2" t="str">
        <f>HYPERLINK("https://vectorbase.org/vectorbase/app/record/gene/AGAP005783","AGAP005783-RA")</f>
        <v>AGAP005783-RA</v>
      </c>
      <c r="K18" s="2" t="str">
        <f>HYPERLINK(".\links\pep\AGAP005783-PA-pep.txt","AGAP005783-PA")</f>
        <v>AGAP005783-PA</v>
      </c>
      <c r="L18" s="8" t="s">
        <v>88</v>
      </c>
      <c r="M18" s="2">
        <v>2359</v>
      </c>
      <c r="N18" s="2">
        <v>0</v>
      </c>
      <c r="O18" s="2">
        <v>5</v>
      </c>
      <c r="P18" s="2" t="s">
        <v>94</v>
      </c>
      <c r="Q18" s="9" t="s">
        <v>345</v>
      </c>
      <c r="R18" s="2" t="s">
        <v>253</v>
      </c>
      <c r="S18" s="2" t="str">
        <f>HYPERLINK(".\links\REFSEQ-INVERTEBRATE\AGAP005783-PA-REFSEQ-INVERTEBRATE.txt","REFSEQ-INVERTEBRATE")</f>
        <v>REFSEQ-INVERTEBRATE</v>
      </c>
      <c r="T18" s="2">
        <v>0</v>
      </c>
      <c r="U18" s="2">
        <v>100</v>
      </c>
      <c r="V18" s="2" t="s">
        <v>345</v>
      </c>
      <c r="W18" s="10" t="s">
        <v>346</v>
      </c>
      <c r="X18" s="2" t="s">
        <v>347</v>
      </c>
      <c r="Y18" s="2" t="str">
        <f>HYPERLINK(".\links\CDD\AGAP005783-PA-CDD.txt","CDD")</f>
        <v>CDD</v>
      </c>
      <c r="Z18" s="13">
        <v>2.0000000000000002E-15</v>
      </c>
      <c r="AA18" s="2">
        <v>61.9</v>
      </c>
      <c r="AB18" s="11" t="str">
        <f>HYPERLINK(".\links\pep\AGAP005783-PA-sulf.txt","7")</f>
        <v>7</v>
      </c>
      <c r="AC18" s="11" t="str">
        <f>HYPERLINK(".\links\Sigp\AGAP005783-PA-SigP.txt","CYT")</f>
        <v>CYT</v>
      </c>
      <c r="AD18" s="2" t="s">
        <v>94</v>
      </c>
      <c r="AE18" s="2">
        <v>259.512</v>
      </c>
      <c r="AF18" s="2">
        <v>7.67</v>
      </c>
      <c r="AG18" s="2" t="s">
        <v>94</v>
      </c>
      <c r="AH18" s="2" t="s">
        <v>94</v>
      </c>
      <c r="AI18" s="2" t="s">
        <v>348</v>
      </c>
      <c r="AJ18" s="11">
        <v>0</v>
      </c>
      <c r="AK18" s="2" t="s">
        <v>94</v>
      </c>
      <c r="AL18" s="2" t="s">
        <v>94</v>
      </c>
      <c r="AM18" s="2" t="s">
        <v>94</v>
      </c>
      <c r="AN18" s="11" t="str">
        <f>HYPERLINK(".\links\gpi\AGAP005783-PA-gpi.txt","N")</f>
        <v>N</v>
      </c>
      <c r="AO18" s="12" t="str">
        <f>HYPERLINK(".\links\netoglyc\AGAP005783-PA-netoglyc.txt","2")</f>
        <v>2</v>
      </c>
      <c r="AP18" s="11">
        <v>18.100000000000001</v>
      </c>
      <c r="AQ18" s="2">
        <v>7</v>
      </c>
      <c r="AR18" s="2">
        <v>4.3</v>
      </c>
      <c r="AS18" s="2" t="s">
        <v>97</v>
      </c>
      <c r="AT18" s="9" t="str">
        <f>HYPERLINK(".\links\NR-LIGHT\AGAP005783-PA-NR-LIGHT.txt","AGAP005783-PA")</f>
        <v>AGAP005783-PA</v>
      </c>
      <c r="AU18" s="2" t="str">
        <f>HYPERLINK("http://www.ncbi.nlm.nih.gov/sutils/blink.cgi?pid=XP_315799.3","0.0")</f>
        <v>0.0</v>
      </c>
      <c r="AV18" s="2" t="str">
        <f>HYPERLINK("http://www.ncbi.nlm.nih.gov/protein/XP_315799.3","XP_315799.3")</f>
        <v>XP_315799.3</v>
      </c>
      <c r="AW18" s="2">
        <v>100</v>
      </c>
      <c r="AX18" s="2">
        <v>100</v>
      </c>
      <c r="AY18" s="2">
        <v>100</v>
      </c>
      <c r="AZ18" s="2" t="s">
        <v>98</v>
      </c>
      <c r="BA18" s="9" t="str">
        <f>HYPERLINK(".\links\REFSEQ-INVERTEBRATE\AGAP005783-PA-REFSEQ-INVERTEBRATE.txt","AGAP005783-PA")</f>
        <v>AGAP005783-PA</v>
      </c>
      <c r="BB18" s="2" t="str">
        <f>HYPERLINK("http://www.ncbi.nlm.nih.gov/sutils/blink.cgi?pid=XP_315799.3","0.0")</f>
        <v>0.0</v>
      </c>
      <c r="BC18" s="2" t="str">
        <f>HYPERLINK("http://www.ncbi.nlm.nih.gov/protein/XP_315799.3","XP_315799.3")</f>
        <v>XP_315799.3</v>
      </c>
      <c r="BD18" s="2">
        <v>100</v>
      </c>
      <c r="BE18" s="2">
        <v>100</v>
      </c>
      <c r="BF18" s="2">
        <v>100</v>
      </c>
      <c r="BG18" s="2" t="s">
        <v>98</v>
      </c>
      <c r="BH18" s="9" t="str">
        <f>HYPERLINK(".\links\REFSEQ-PROTOZOA\AGAP005783-PA-REFSEQ-PROTOZOA.txt","hypothetical protein PTSG_12346")</f>
        <v>hypothetical protein PTSG_12346</v>
      </c>
      <c r="BI18" s="2" t="str">
        <f>HYPERLINK("http://www.ncbi.nlm.nih.gov/sutils/blink.cgi?pid=XP_004993515.1","4E-008")</f>
        <v>4E-008</v>
      </c>
      <c r="BJ18" s="2" t="str">
        <f>HYPERLINK("http://www.ncbi.nlm.nih.gov/protein/XP_004993515.1","XP_004993515.1")</f>
        <v>XP_004993515.1</v>
      </c>
      <c r="BK18" s="2">
        <v>18</v>
      </c>
      <c r="BL18" s="2">
        <v>32</v>
      </c>
      <c r="BM18" s="2">
        <v>62</v>
      </c>
      <c r="BN18" s="2" t="s">
        <v>117</v>
      </c>
      <c r="BO18" s="9" t="str">
        <f>HYPERLINK(".\links\SWISSP\AGAP005783-PA-SWISSP.txt","Anillin")</f>
        <v>Anillin</v>
      </c>
      <c r="BP18" s="2" t="str">
        <f>HYPERLINK("http://www.uniprot.org/uniprot/Q8K298","1E-014")</f>
        <v>1E-014</v>
      </c>
      <c r="BQ18" s="2" t="str">
        <f>HYPERLINK("http://www.uniprot.org/uniprot/Q8K298#expression","Q8K298")</f>
        <v>Q8K298</v>
      </c>
      <c r="BR18" s="2">
        <v>24</v>
      </c>
      <c r="BS18" s="2">
        <v>38</v>
      </c>
      <c r="BT18" s="2">
        <v>37</v>
      </c>
      <c r="BU18" s="2" t="s">
        <v>339</v>
      </c>
      <c r="BV18" s="9" t="str">
        <f>HYPERLINK(".\links\FLYBASE\AGAP005783-PA-FLYBASE.txt","FBpp0087986")</f>
        <v>FBpp0087986</v>
      </c>
      <c r="BW18" s="2" t="str">
        <f>HYPERLINK("http://flybase.org/reports/FBgn0261385#alliance_summary_container","9E-15")</f>
        <v>9E-15</v>
      </c>
      <c r="BX18" s="2">
        <v>1239</v>
      </c>
      <c r="BY18" s="2">
        <v>26</v>
      </c>
      <c r="BZ18" s="2">
        <v>42</v>
      </c>
      <c r="CA18" s="2">
        <v>18</v>
      </c>
      <c r="CB18" s="9" t="str">
        <f>HYPERLINK(".\links\CDD\AGAP005783-PA-CDD.txt","PH_anillin, Anillin Pleckstrin homology (PH) domain")</f>
        <v>PH_anillin, Anillin Pleckstrin homology (PH) domain</v>
      </c>
      <c r="CC18" s="13">
        <v>4.0000000000000002E-33</v>
      </c>
      <c r="CD18" s="2">
        <v>144.6</v>
      </c>
      <c r="CE18" s="2" t="s">
        <v>349</v>
      </c>
      <c r="CF18" s="2" t="s">
        <v>350</v>
      </c>
      <c r="CG18" s="9" t="str">
        <f>HYPERLINK(".\links\KOG\AGAP005783-PA-KOG.txt","Actin binding protein Anillin")</f>
        <v>Actin binding protein Anillin</v>
      </c>
      <c r="CH18" s="13">
        <v>3.0000000000000001E-12</v>
      </c>
      <c r="CI18" s="2">
        <v>18.5</v>
      </c>
      <c r="CJ18" s="2" t="s">
        <v>351</v>
      </c>
      <c r="CK18" s="2" t="s">
        <v>352</v>
      </c>
      <c r="CL18" s="9" t="str">
        <f>HYPERLINK(".\links\PFAM\AGAP005783-PA-PFAM.txt","Anillin, Cell division protein anillin")</f>
        <v>Anillin, Cell division protein anillin</v>
      </c>
      <c r="CM18" s="13">
        <v>2.7E-2</v>
      </c>
      <c r="CN18" s="2">
        <v>115.2</v>
      </c>
      <c r="CO18" s="2" t="s">
        <v>353</v>
      </c>
      <c r="CP18" s="9" t="str">
        <f>HYPERLINK(".\links\SMART\AGAP005783-PA-SMART.txt","PH, Pleckstrin homology domain")</f>
        <v>PH, Pleckstrin homology domain</v>
      </c>
      <c r="CQ18" s="13">
        <v>1E-3</v>
      </c>
      <c r="CR18" s="2">
        <v>74.5</v>
      </c>
      <c r="CS18" s="2" t="s">
        <v>354</v>
      </c>
      <c r="CT18" s="2" t="s">
        <v>345</v>
      </c>
      <c r="CU18" s="2" t="s">
        <v>345</v>
      </c>
      <c r="CV18" s="2" t="s">
        <v>345</v>
      </c>
      <c r="CW18" s="2" t="str">
        <f>HYPERLINK(".\links\pep\AGAP005783-PA-pep.txt","AGAP005783-PA")</f>
        <v>AGAP005783-PA</v>
      </c>
      <c r="CX18" s="2" t="s">
        <v>88</v>
      </c>
      <c r="CY18" s="2">
        <v>2359</v>
      </c>
      <c r="CZ18" s="2" t="s">
        <v>106</v>
      </c>
      <c r="DA18" s="2" t="s">
        <v>355</v>
      </c>
      <c r="DB18" s="2">
        <v>0</v>
      </c>
      <c r="DC18" s="2">
        <v>5</v>
      </c>
      <c r="DD18" s="2" t="str">
        <f>HYPERLINK("https://www.kegg.jp/kegg-bin/search_pathway_text?map=aga&amp;keyword=AGAP005783&amp;mode=1&amp;viewImage=true","AGAP005783")</f>
        <v>AGAP005783</v>
      </c>
      <c r="DE18" s="2" t="s">
        <v>344</v>
      </c>
      <c r="DF18" s="2" t="s">
        <v>167</v>
      </c>
      <c r="DG18" s="2" t="s">
        <v>87</v>
      </c>
      <c r="DH18" s="2" t="str">
        <f>HYPERLINK("https://vectorbase.org/vectorbase/app/record/gene/AGAP005783","AGAP005783-RA")</f>
        <v>AGAP005783-RA</v>
      </c>
      <c r="DI18" s="2" t="s">
        <v>125</v>
      </c>
      <c r="DJ18" s="2">
        <v>8763</v>
      </c>
      <c r="DK18" s="2" t="str">
        <f>HYPERLINK(".\links\netoglyc\AGAP005783-PA-netoglyc.txt","2")</f>
        <v>2</v>
      </c>
      <c r="DL18" s="2">
        <v>18.100000000000001</v>
      </c>
      <c r="DM18" s="2">
        <v>7</v>
      </c>
      <c r="DN18" s="2">
        <v>4.3</v>
      </c>
      <c r="DO18" s="2" t="s">
        <v>97</v>
      </c>
      <c r="DP18" s="2" t="s">
        <v>356</v>
      </c>
      <c r="DQ18" s="2" t="str">
        <f>HYPERLINK(".\links\Sigp\AGAP005783-PA-SigP.txt","CYT")</f>
        <v>CYT</v>
      </c>
      <c r="DR18" s="2" t="s">
        <v>94</v>
      </c>
      <c r="DS18" s="2">
        <v>259.512</v>
      </c>
      <c r="DT18" s="2">
        <v>7.67</v>
      </c>
      <c r="DU18" s="2" t="s">
        <v>94</v>
      </c>
      <c r="DV18" s="2" t="s">
        <v>94</v>
      </c>
      <c r="DW18" s="2" t="s">
        <v>348</v>
      </c>
      <c r="DX18" s="2">
        <v>2359</v>
      </c>
      <c r="DY18" s="8">
        <v>0</v>
      </c>
      <c r="DZ18" s="2" t="s">
        <v>94</v>
      </c>
      <c r="EA18" s="2" t="s">
        <v>94</v>
      </c>
      <c r="EB18" s="2" t="s">
        <v>94</v>
      </c>
      <c r="EC18" s="2" t="str">
        <f>HYPERLINK(".\links\gpi\AGAP005783-PA-gpi.txt","N")</f>
        <v>N</v>
      </c>
      <c r="ED18" s="2">
        <v>0.2</v>
      </c>
      <c r="EF18" s="2">
        <v>34</v>
      </c>
      <c r="EG18" s="2" t="str">
        <f>HYPERLINK(".\links\pep\AGAP005783-PA-sulf.txt","7")</f>
        <v>7</v>
      </c>
      <c r="EH18" s="2" t="s">
        <v>94</v>
      </c>
      <c r="EI18" s="2">
        <v>18.1008902077151</v>
      </c>
      <c r="EJ18" s="2">
        <v>4.2814752013565096</v>
      </c>
      <c r="EK18" s="2">
        <v>6.9520983467570998</v>
      </c>
      <c r="EL18" s="2">
        <v>11.233573548113601</v>
      </c>
      <c r="EM18" s="2">
        <v>2</v>
      </c>
      <c r="EN18" s="2">
        <v>5</v>
      </c>
      <c r="EO18" s="2">
        <v>6</v>
      </c>
      <c r="EP18" s="2" t="s">
        <v>94</v>
      </c>
      <c r="EQ18" s="2" t="s">
        <v>94</v>
      </c>
      <c r="ER18" s="2" t="s">
        <v>94</v>
      </c>
      <c r="ES18" s="2" t="s">
        <v>94</v>
      </c>
      <c r="ET18" s="2" t="str">
        <f>HYPERLINK(".\links\REFSEQ-INVERTEBRATE\AGAP005783-PA-REFSEQ-INVERTEBRATE.txt","AGAP005783-PA")</f>
        <v>AGAP005783-PA</v>
      </c>
      <c r="EU18" s="2" t="str">
        <f>HYPERLINK("http://www.ncbi.nlm.nih.gov/sutils/blink.cgi?pid=XP_315799.3","0.0")</f>
        <v>0.0</v>
      </c>
      <c r="EV18" s="2" t="str">
        <f>HYPERLINK("http://www.ncbi.nlm.nih.gov/protein/XP_315799.3","XP_315799.3")</f>
        <v>XP_315799.3</v>
      </c>
      <c r="EW18" s="2">
        <v>100</v>
      </c>
      <c r="EX18" s="2">
        <v>100</v>
      </c>
      <c r="EY18" s="2">
        <v>100</v>
      </c>
      <c r="EZ18" s="2" t="s">
        <v>98</v>
      </c>
    </row>
    <row r="19" spans="1:156" x14ac:dyDescent="0.25">
      <c r="A19" s="2" t="s">
        <v>357</v>
      </c>
      <c r="B19" s="2">
        <v>1.66300996382828</v>
      </c>
      <c r="C19" s="2">
        <v>3.16676533435602</v>
      </c>
      <c r="D19" s="2">
        <v>3.8926965686791899</v>
      </c>
      <c r="E19" s="2">
        <v>16.1684265859964</v>
      </c>
      <c r="F19" s="2">
        <v>5.7952045999719601E-5</v>
      </c>
      <c r="G19" s="2">
        <v>4.7245905087874799E-3</v>
      </c>
      <c r="H19" s="2" t="s">
        <v>167</v>
      </c>
      <c r="I19" s="2" t="s">
        <v>87</v>
      </c>
      <c r="J19" s="2" t="str">
        <f>HYPERLINK("https://vectorbase.org/vectorbase/app/record/gene/AGAP029051","AGAP029051-RD")</f>
        <v>AGAP029051-RD</v>
      </c>
      <c r="K19" s="2" t="str">
        <f>HYPERLINK(".\links\pep\AGAP029051-PD-pep.txt","AGAP029051-PD")</f>
        <v>AGAP029051-PD</v>
      </c>
      <c r="L19" s="8" t="s">
        <v>88</v>
      </c>
      <c r="M19" s="2">
        <v>8836</v>
      </c>
      <c r="N19" s="2">
        <v>0</v>
      </c>
      <c r="O19" s="2">
        <v>48</v>
      </c>
      <c r="P19" s="2" t="s">
        <v>94</v>
      </c>
      <c r="Q19" s="9" t="s">
        <v>358</v>
      </c>
      <c r="R19" s="2" t="s">
        <v>238</v>
      </c>
      <c r="S19" s="2" t="str">
        <f>HYPERLINK(".\links\KOG\AGAP029051-PD-KOG.txt","KOG")</f>
        <v>KOG</v>
      </c>
      <c r="T19" s="2">
        <v>3E-49</v>
      </c>
      <c r="U19" s="2">
        <v>95.8</v>
      </c>
      <c r="V19" s="2" t="s">
        <v>359</v>
      </c>
      <c r="W19" s="10" t="s">
        <v>360</v>
      </c>
      <c r="X19" s="2" t="s">
        <v>238</v>
      </c>
      <c r="Y19" s="2" t="str">
        <f>HYPERLINK(".\links\COG\AGAP029051-PD-COG.txt","COG")</f>
        <v>COG</v>
      </c>
      <c r="Z19" s="13">
        <v>4.9999999999999998E-39</v>
      </c>
      <c r="AA19" s="2">
        <v>36.200000000000003</v>
      </c>
      <c r="AB19" s="11" t="str">
        <f>HYPERLINK(".\links\pep\AGAP029051-PD-sulf.txt","7")</f>
        <v>7</v>
      </c>
      <c r="AC19" s="11" t="s">
        <v>241</v>
      </c>
      <c r="AD19" s="2" t="s">
        <v>94</v>
      </c>
      <c r="AE19" s="2">
        <v>985.173</v>
      </c>
      <c r="AF19" s="2">
        <v>5.65</v>
      </c>
      <c r="AG19" s="2" t="s">
        <v>94</v>
      </c>
      <c r="AH19" s="2" t="s">
        <v>94</v>
      </c>
      <c r="AI19" s="2" t="s">
        <v>242</v>
      </c>
      <c r="AJ19" s="11">
        <v>0</v>
      </c>
      <c r="AK19" s="2" t="s">
        <v>94</v>
      </c>
      <c r="AL19" s="2" t="s">
        <v>94</v>
      </c>
      <c r="AM19" s="2" t="s">
        <v>94</v>
      </c>
      <c r="AN19" s="9" t="str">
        <f>HYPERLINK(".\links\gpi\AGAP029051-PD-gpi.txt","N")</f>
        <v>N</v>
      </c>
      <c r="AO19" s="12" t="str">
        <f>HYPERLINK(".\links\netoglyc\AGAP029051-PD-netoglyc.txt","14")</f>
        <v>14</v>
      </c>
      <c r="AP19" s="11">
        <v>13</v>
      </c>
      <c r="AQ19" s="2">
        <v>5.9</v>
      </c>
      <c r="AR19" s="2">
        <v>4.4000000000000004</v>
      </c>
      <c r="AS19" s="2">
        <v>0.1</v>
      </c>
      <c r="AT19" s="9" t="str">
        <f>HYPERLINK(".\links\NR-LIGHT\AGAP029051-PD-NR-LIGHT.txt","AGAP011396-PA, partial")</f>
        <v>AGAP011396-PA, partial</v>
      </c>
      <c r="AU19" s="2" t="str">
        <f>HYPERLINK("http://www.ncbi.nlm.nih.gov/sutils/blink.cgi?pid=XP_317924.4","0.0")</f>
        <v>0.0</v>
      </c>
      <c r="AV19" s="2" t="str">
        <f>HYPERLINK("http://www.ncbi.nlm.nih.gov/protein/XP_317924.4","XP_317924.4")</f>
        <v>XP_317924.4</v>
      </c>
      <c r="AW19" s="2">
        <v>97</v>
      </c>
      <c r="AX19" s="2">
        <v>97</v>
      </c>
      <c r="AY19" s="2">
        <v>100</v>
      </c>
      <c r="AZ19" s="2" t="s">
        <v>98</v>
      </c>
      <c r="BA19" s="9" t="str">
        <f>HYPERLINK(".\links\REFSEQ-INVERTEBRATE\AGAP029051-PD-REFSEQ-INVERTEBRATE.txt","AGAP011396-PA, partial")</f>
        <v>AGAP011396-PA, partial</v>
      </c>
      <c r="BB19" s="2" t="str">
        <f>HYPERLINK("http://www.ncbi.nlm.nih.gov/sutils/blink.cgi?pid=XP_317924.4","0.0")</f>
        <v>0.0</v>
      </c>
      <c r="BC19" s="2" t="str">
        <f>HYPERLINK("http://www.ncbi.nlm.nih.gov/protein/XP_317924.4","XP_317924.4")</f>
        <v>XP_317924.4</v>
      </c>
      <c r="BD19" s="2">
        <v>97</v>
      </c>
      <c r="BE19" s="2">
        <v>97</v>
      </c>
      <c r="BF19" s="2">
        <v>100</v>
      </c>
      <c r="BG19" s="2" t="s">
        <v>98</v>
      </c>
      <c r="BH19" s="9" t="str">
        <f>HYPERLINK(".\links\REFSEQ-PROTOZOA\AGAP029051-PD-REFSEQ-PROTOZOA.txt","hypothetical protein CAOG_08407")</f>
        <v>hypothetical protein CAOG_08407</v>
      </c>
      <c r="BI19" s="2" t="str">
        <f>HYPERLINK("http://www.ncbi.nlm.nih.gov/sutils/blink.cgi?pid=XP_011269978.1","2E-095")</f>
        <v>2E-095</v>
      </c>
      <c r="BJ19" s="2" t="str">
        <f>HYPERLINK("http://www.ncbi.nlm.nih.gov/protein/XP_011269978.1","XP_011269978.1")</f>
        <v>XP_011269978.1</v>
      </c>
      <c r="BK19" s="2">
        <v>26</v>
      </c>
      <c r="BL19" s="2">
        <v>45</v>
      </c>
      <c r="BM19" s="2">
        <v>46</v>
      </c>
      <c r="BN19" s="2" t="s">
        <v>227</v>
      </c>
      <c r="BO19" s="9" t="str">
        <f>HYPERLINK(".\links\SWISSP\AGAP029051-PD-SWISSP.txt","Dystonin")</f>
        <v>Dystonin</v>
      </c>
      <c r="BP19" s="2" t="str">
        <f>HYPERLINK("http://www.uniprot.org/uniprot/Q03001","0.0")</f>
        <v>0.0</v>
      </c>
      <c r="BQ19" s="2" t="str">
        <f>HYPERLINK("http://www.uniprot.org/uniprot/Q03001#expression","Q03001")</f>
        <v>Q03001</v>
      </c>
      <c r="BR19" s="2">
        <v>30</v>
      </c>
      <c r="BS19" s="2">
        <v>52</v>
      </c>
      <c r="BT19" s="2">
        <v>50</v>
      </c>
      <c r="BU19" s="2" t="s">
        <v>196</v>
      </c>
      <c r="BV19" s="9" t="str">
        <f>HYPERLINK(".\links\FLYBASE\AGAP029051-PD-FLYBASE.txt","FBpp0086747")</f>
        <v>FBpp0086747</v>
      </c>
      <c r="BW19" s="2" t="str">
        <f>HYPERLINK("http://flybase.org/reports/FBgn0013733#alliance_summary_container","0.0")</f>
        <v>0.0</v>
      </c>
      <c r="BX19" s="2">
        <v>8805</v>
      </c>
      <c r="BY19" s="2">
        <v>62</v>
      </c>
      <c r="BZ19" s="2">
        <v>77</v>
      </c>
      <c r="CA19" s="2">
        <v>62</v>
      </c>
      <c r="CB19" s="9" t="str">
        <f>HYPERLINK(".\links\CDD\AGAP029051-PD-CDD.txt","SAC6, Ca2+-binding actin-bundling protein fimbrin/plastin (EF-Hand superfamily)")</f>
        <v>SAC6, Ca2+-binding actin-bundling protein fimbrin/plastin (EF-Hand superfamily)</v>
      </c>
      <c r="CC19" s="13">
        <v>2.0000000000000001E-42</v>
      </c>
      <c r="CD19" s="2">
        <v>37.299999999999997</v>
      </c>
      <c r="CE19" s="2" t="s">
        <v>243</v>
      </c>
      <c r="CF19" s="2" t="s">
        <v>361</v>
      </c>
      <c r="CG19" s="9" t="str">
        <f>HYPERLINK(".\links\KOG\AGAP029051-PD-KOG.txt","Beta-spectrin")</f>
        <v>Beta-spectrin</v>
      </c>
      <c r="CH19" s="13">
        <v>1E-127</v>
      </c>
      <c r="CI19" s="2">
        <v>47.4</v>
      </c>
      <c r="CJ19" s="2" t="s">
        <v>245</v>
      </c>
      <c r="CK19" s="2" t="s">
        <v>246</v>
      </c>
      <c r="CL19" s="9" t="str">
        <f>HYPERLINK(".\links\PFAM\AGAP029051-PD-PFAM.txt","GAS2, Growth-Arrest-Specific Protein 2 Domain")</f>
        <v>GAS2, Growth-Arrest-Specific Protein 2 Domain</v>
      </c>
      <c r="CM19" s="13">
        <v>9.9999999999999993E-35</v>
      </c>
      <c r="CN19" s="2">
        <v>100</v>
      </c>
      <c r="CO19" s="2" t="s">
        <v>247</v>
      </c>
      <c r="CP19" s="9" t="str">
        <f>HYPERLINK(".\links\SMART\AGAP029051-PD-SMART.txt","GAS2, Growth-Arrest-Specific Protein 2 Domain")</f>
        <v>GAS2, Growth-Arrest-Specific Protein 2 Domain</v>
      </c>
      <c r="CQ19" s="13">
        <v>1E-35</v>
      </c>
      <c r="CR19" s="2">
        <v>100</v>
      </c>
      <c r="CS19" s="2" t="s">
        <v>248</v>
      </c>
      <c r="CT19" s="2" t="s">
        <v>359</v>
      </c>
      <c r="CU19" s="2" t="s">
        <v>359</v>
      </c>
      <c r="CV19" s="2" t="s">
        <v>359</v>
      </c>
      <c r="CW19" s="2" t="str">
        <f>HYPERLINK(".\links\pep\AGAP029051-PD-pep.txt","AGAP029051-PD")</f>
        <v>AGAP029051-PD</v>
      </c>
      <c r="CX19" s="2" t="s">
        <v>88</v>
      </c>
      <c r="CY19" s="2">
        <v>8836</v>
      </c>
      <c r="CZ19" s="2" t="s">
        <v>106</v>
      </c>
      <c r="DA19" s="2" t="s">
        <v>249</v>
      </c>
      <c r="DB19" s="2">
        <v>0</v>
      </c>
      <c r="DC19" s="2">
        <v>48</v>
      </c>
      <c r="DD19" s="2" t="str">
        <f>HYPERLINK("https://www.kegg.jp/kegg-bin/search_pathway_text?map=aga&amp;keyword=AGAP029051&amp;mode=1&amp;viewImage=true","AGAP029051")</f>
        <v>AGAP029051</v>
      </c>
      <c r="DE19" s="2" t="s">
        <v>357</v>
      </c>
      <c r="DF19" s="2" t="s">
        <v>167</v>
      </c>
      <c r="DG19" s="2" t="s">
        <v>87</v>
      </c>
      <c r="DH19" s="2" t="str">
        <f>HYPERLINK("https://vectorbase.org/vectorbase/app/record/gene/AGAP029051","AGAP029051-RD")</f>
        <v>AGAP029051-RD</v>
      </c>
      <c r="DI19" s="2" t="s">
        <v>250</v>
      </c>
      <c r="DJ19" s="2">
        <v>29650</v>
      </c>
      <c r="DK19" s="2" t="str">
        <f>HYPERLINK(".\links\netoglyc\AGAP029051-PD-netoglyc.txt","14")</f>
        <v>14</v>
      </c>
      <c r="DL19" s="2">
        <v>13</v>
      </c>
      <c r="DM19" s="2">
        <v>5.9</v>
      </c>
      <c r="DN19" s="2">
        <v>4.4000000000000004</v>
      </c>
      <c r="DO19" s="2">
        <v>0.1</v>
      </c>
      <c r="DP19" s="2" t="s">
        <v>94</v>
      </c>
      <c r="DQ19" s="2" t="s">
        <v>241</v>
      </c>
      <c r="DR19" s="2" t="s">
        <v>94</v>
      </c>
      <c r="DS19" s="2">
        <v>985.173</v>
      </c>
      <c r="DT19" s="2">
        <v>5.65</v>
      </c>
      <c r="DU19" s="2" t="s">
        <v>94</v>
      </c>
      <c r="DV19" s="2" t="s">
        <v>94</v>
      </c>
      <c r="DW19" s="2" t="s">
        <v>242</v>
      </c>
      <c r="DX19" s="2">
        <v>8836</v>
      </c>
      <c r="DY19" s="8">
        <v>0</v>
      </c>
      <c r="DZ19" s="2" t="s">
        <v>94</v>
      </c>
      <c r="EA19" s="2" t="s">
        <v>94</v>
      </c>
      <c r="EB19" s="2" t="s">
        <v>94</v>
      </c>
      <c r="EC19" s="2" t="str">
        <f>HYPERLINK(".\links\gpi\AGAP029051-PD-gpi.txt","Y-NoSP")</f>
        <v>Y-NoSP</v>
      </c>
      <c r="ED19" s="2">
        <v>0.19</v>
      </c>
      <c r="EF19" s="2">
        <v>59</v>
      </c>
      <c r="EG19" s="2" t="str">
        <f>HYPERLINK(".\links\pep\AGAP029051-PD-sulf.txt","7")</f>
        <v>7</v>
      </c>
      <c r="EH19" s="2" t="s">
        <v>94</v>
      </c>
      <c r="EI19" s="2">
        <v>13.0488909008601</v>
      </c>
      <c r="EJ19" s="2">
        <v>4.3911272068809399</v>
      </c>
      <c r="EK19" s="2">
        <v>5.9416025350837502</v>
      </c>
      <c r="EL19" s="2">
        <v>10.3327297419647</v>
      </c>
      <c r="EM19" s="2">
        <v>3</v>
      </c>
      <c r="EN19" s="2">
        <v>33</v>
      </c>
      <c r="EO19" s="2">
        <v>37</v>
      </c>
      <c r="EP19" s="2" t="s">
        <v>94</v>
      </c>
      <c r="EQ19" s="2" t="s">
        <v>94</v>
      </c>
      <c r="ER19" s="2" t="s">
        <v>94</v>
      </c>
      <c r="ES19" s="2" t="s">
        <v>94</v>
      </c>
      <c r="ET19" s="2" t="str">
        <f>HYPERLINK(".\links\REFSEQ-INVERTEBRATE\AGAP029051-PD-REFSEQ-INVERTEBRATE.txt","AGAP011396-PA, partial")</f>
        <v>AGAP011396-PA, partial</v>
      </c>
      <c r="EU19" s="2" t="str">
        <f>HYPERLINK("http://www.ncbi.nlm.nih.gov/sutils/blink.cgi?pid=XP_317924.4","0.0")</f>
        <v>0.0</v>
      </c>
      <c r="EV19" s="2" t="str">
        <f>HYPERLINK("http://www.ncbi.nlm.nih.gov/protein/XP_317924.4","XP_317924.4")</f>
        <v>XP_317924.4</v>
      </c>
      <c r="EW19" s="2">
        <v>97</v>
      </c>
      <c r="EX19" s="2">
        <v>97</v>
      </c>
      <c r="EY19" s="2">
        <v>100</v>
      </c>
      <c r="EZ19" s="2" t="s">
        <v>98</v>
      </c>
    </row>
    <row r="20" spans="1:156" x14ac:dyDescent="0.25">
      <c r="A20" s="2" t="s">
        <v>362</v>
      </c>
      <c r="B20" s="2">
        <v>1.6207238754594</v>
      </c>
      <c r="C20" s="2">
        <v>3.0752930106676652</v>
      </c>
      <c r="D20" s="2">
        <v>5.1506569823801502</v>
      </c>
      <c r="E20" s="2">
        <v>14.7563638297938</v>
      </c>
      <c r="F20" s="2">
        <v>1.2233393316506101E-4</v>
      </c>
      <c r="G20" s="2">
        <v>8.4446131820582592E-3</v>
      </c>
      <c r="H20" s="2" t="s">
        <v>363</v>
      </c>
      <c r="I20" s="2" t="s">
        <v>87</v>
      </c>
      <c r="J20" s="2" t="str">
        <f>HYPERLINK("https://vectorbase.org/vectorbase/app/record/gene/AGAP003047","AGAP003047-RA")</f>
        <v>AGAP003047-RA</v>
      </c>
      <c r="K20" s="2" t="str">
        <f>HYPERLINK(".\links\pep\AGAP003047-PA-pep.txt","AGAP003047-PA")</f>
        <v>AGAP003047-PA</v>
      </c>
      <c r="L20" s="8" t="s">
        <v>88</v>
      </c>
      <c r="M20" s="2">
        <v>802</v>
      </c>
      <c r="N20" s="2">
        <v>0</v>
      </c>
      <c r="O20" s="2">
        <v>2</v>
      </c>
      <c r="P20" s="2" t="s">
        <v>364</v>
      </c>
      <c r="Q20" s="9" t="s">
        <v>365</v>
      </c>
      <c r="R20" s="2" t="s">
        <v>286</v>
      </c>
      <c r="S20" s="2" t="str">
        <f>HYPERLINK(".\links\CDD\AGAP003047-PA-CDD.txt","CDD")</f>
        <v>CDD</v>
      </c>
      <c r="T20" s="2">
        <v>4.9999999999999999E-86</v>
      </c>
      <c r="U20" s="2">
        <v>68.2</v>
      </c>
      <c r="V20" s="2" t="s">
        <v>366</v>
      </c>
      <c r="W20" s="10" t="s">
        <v>367</v>
      </c>
      <c r="X20" s="2" t="s">
        <v>289</v>
      </c>
      <c r="Y20" s="2" t="str">
        <f>HYPERLINK(".\links\CDD\AGAP003047-PA-CDD.txt","CDD")</f>
        <v>CDD</v>
      </c>
      <c r="Z20" s="13">
        <v>9.9999999999999993E-78</v>
      </c>
      <c r="AA20" s="2">
        <v>100</v>
      </c>
      <c r="AB20" s="11" t="str">
        <f>HYPERLINK(".\links\pep\AGAP003047-PA-sulf.txt","2")</f>
        <v>2</v>
      </c>
      <c r="AC20" s="11" t="str">
        <f>HYPERLINK(".\links\Sigp\AGAP003047-PA-SigP.txt","CYT")</f>
        <v>CYT</v>
      </c>
      <c r="AD20" s="2" t="s">
        <v>94</v>
      </c>
      <c r="AE20" s="2">
        <v>84.486999999999995</v>
      </c>
      <c r="AF20" s="2">
        <v>5.64</v>
      </c>
      <c r="AG20" s="2" t="s">
        <v>94</v>
      </c>
      <c r="AH20" s="2" t="s">
        <v>94</v>
      </c>
      <c r="AI20" s="2" t="s">
        <v>348</v>
      </c>
      <c r="AJ20" s="11">
        <v>0</v>
      </c>
      <c r="AK20" s="2" t="s">
        <v>94</v>
      </c>
      <c r="AL20" s="2" t="s">
        <v>94</v>
      </c>
      <c r="AM20" s="2" t="s">
        <v>94</v>
      </c>
      <c r="AN20" s="11" t="str">
        <f>HYPERLINK(".\links\gpi\AGAP003047-PA-gpi.txt","N")</f>
        <v>N</v>
      </c>
      <c r="AO20" s="12" t="str">
        <f>HYPERLINK(".\links\netoglyc\AGAP003047-PA-netoglyc.txt","2")</f>
        <v>2</v>
      </c>
      <c r="AP20" s="11">
        <v>8.9</v>
      </c>
      <c r="AQ20" s="2">
        <v>22.4</v>
      </c>
      <c r="AR20" s="2">
        <v>5</v>
      </c>
      <c r="AS20" s="2">
        <v>1.9</v>
      </c>
      <c r="AT20" s="9" t="str">
        <f>HYPERLINK(".\links\NR-LIGHT\AGAP003047-PA-NR-LIGHT.txt","AGAP003047-PA")</f>
        <v>AGAP003047-PA</v>
      </c>
      <c r="AU20" s="2" t="str">
        <f>HYPERLINK("http://www.ncbi.nlm.nih.gov/sutils/blink.cgi?pid=XP_311826.5","0.0")</f>
        <v>0.0</v>
      </c>
      <c r="AV20" s="2" t="str">
        <f>HYPERLINK("http://www.ncbi.nlm.nih.gov/protein/XP_311826.5","XP_311826.5")</f>
        <v>XP_311826.5</v>
      </c>
      <c r="AW20" s="2">
        <v>100</v>
      </c>
      <c r="AX20" s="2">
        <v>100</v>
      </c>
      <c r="AY20" s="2">
        <v>100</v>
      </c>
      <c r="AZ20" s="2" t="s">
        <v>98</v>
      </c>
      <c r="BA20" s="9" t="str">
        <f>HYPERLINK(".\links\REFSEQ-INVERTEBRATE\AGAP003047-PA-REFSEQ-INVERTEBRATE.txt","AGAP003047-PD")</f>
        <v>AGAP003047-PD</v>
      </c>
      <c r="BB20" s="2" t="str">
        <f>HYPERLINK("http://www.ncbi.nlm.nih.gov/sutils/blink.cgi?pid=XP_003436366.1","0.0")</f>
        <v>0.0</v>
      </c>
      <c r="BC20" s="2" t="str">
        <f>HYPERLINK("http://www.ncbi.nlm.nih.gov/protein/XP_003436366.1","XP_003436366.1")</f>
        <v>XP_003436366.1</v>
      </c>
      <c r="BD20" s="2">
        <v>100</v>
      </c>
      <c r="BE20" s="2">
        <v>100</v>
      </c>
      <c r="BF20" s="2">
        <v>100</v>
      </c>
      <c r="BG20" s="2" t="s">
        <v>98</v>
      </c>
      <c r="BH20" s="9" t="str">
        <f>HYPERLINK(".\links\REFSEQ-PROTOZOA\AGAP003047-PA-REFSEQ-PROTOZOA.txt","hypothetical protein, variant")</f>
        <v>hypothetical protein, variant</v>
      </c>
      <c r="BI20" s="2" t="str">
        <f>HYPERLINK("http://www.ncbi.nlm.nih.gov/sutils/blink.cgi?pid=XP_014157239.1","1E-150")</f>
        <v>1E-150</v>
      </c>
      <c r="BJ20" s="2" t="str">
        <f>HYPERLINK("http://www.ncbi.nlm.nih.gov/protein/XP_014157239.1","XP_014157239.1")</f>
        <v>XP_014157239.1</v>
      </c>
      <c r="BK20" s="2">
        <v>47</v>
      </c>
      <c r="BL20" s="2">
        <v>56</v>
      </c>
      <c r="BM20" s="2">
        <v>109</v>
      </c>
      <c r="BN20" s="2" t="s">
        <v>368</v>
      </c>
      <c r="BO20" s="9" t="str">
        <f>HYPERLINK(".\links\SWISSP\AGAP003047-PA-SWISSP.txt","ATP-dependent RNA helicase bel")</f>
        <v>ATP-dependent RNA helicase bel</v>
      </c>
      <c r="BP20" s="2" t="str">
        <f>HYPERLINK("http://www.uniprot.org/uniprot/Q9VHP0","0.0")</f>
        <v>0.0</v>
      </c>
      <c r="BQ20" s="2" t="str">
        <f>HYPERLINK("http://www.uniprot.org/uniprot/Q9VHP0#expression","Q9VHP0")</f>
        <v>Q9VHP0</v>
      </c>
      <c r="BR20" s="2">
        <v>53</v>
      </c>
      <c r="BS20" s="2">
        <v>59</v>
      </c>
      <c r="BT20" s="2">
        <v>109</v>
      </c>
      <c r="BU20" s="2" t="s">
        <v>100</v>
      </c>
      <c r="BV20" s="9" t="str">
        <f>HYPERLINK(".\links\FLYBASE\AGAP003047-PA-FLYBASE.txt","FBpp0306433")</f>
        <v>FBpp0306433</v>
      </c>
      <c r="BW20" s="2" t="str">
        <f>HYPERLINK("http://flybase.org/reports/FBgn0263231#alliance_summary_container","0.0")</f>
        <v>0.0</v>
      </c>
      <c r="BX20" s="2">
        <v>801</v>
      </c>
      <c r="BY20" s="2">
        <v>61</v>
      </c>
      <c r="BZ20" s="2">
        <v>68</v>
      </c>
      <c r="CA20" s="2">
        <v>67</v>
      </c>
      <c r="CB20" s="9" t="str">
        <f>HYPERLINK(".\links\CDD\AGAP003047-PA-CDD.txt","SrmB, Superfamily II DNA and RNA helicases")</f>
        <v>SrmB, Superfamily II DNA and RNA helicases</v>
      </c>
      <c r="CC20" s="13">
        <v>4.9999999999999999E-86</v>
      </c>
      <c r="CD20" s="2">
        <v>68.2</v>
      </c>
      <c r="CE20" s="2" t="s">
        <v>369</v>
      </c>
      <c r="CF20" s="2" t="s">
        <v>370</v>
      </c>
      <c r="CG20" s="9" t="str">
        <f>HYPERLINK(".\links\KOG\AGAP003047-PA-KOG.txt","ATP-dependent RNA helicase")</f>
        <v>ATP-dependent RNA helicase</v>
      </c>
      <c r="CH20" s="13">
        <v>9.9999999999999998E-138</v>
      </c>
      <c r="CI20" s="2">
        <v>100</v>
      </c>
      <c r="CJ20" s="2" t="s">
        <v>371</v>
      </c>
      <c r="CK20" s="2" t="s">
        <v>372</v>
      </c>
      <c r="CL20" s="9" t="str">
        <f>HYPERLINK(".\links\PFAM\AGAP003047-PA-PFAM.txt","Helicase_C, Helicase conserved C-terminal domain")</f>
        <v>Helicase_C, Helicase conserved C-terminal domain</v>
      </c>
      <c r="CM20" s="13">
        <v>6.9999999999999997E-31</v>
      </c>
      <c r="CN20" s="2">
        <v>106.4</v>
      </c>
      <c r="CO20" s="2" t="s">
        <v>373</v>
      </c>
      <c r="CP20" s="9" t="str">
        <f>HYPERLINK(".\links\SMART\AGAP003047-PA-SMART.txt","DEXDc, DEAD-like helicases superfamily")</f>
        <v>DEXDc, DEAD-like helicases superfamily</v>
      </c>
      <c r="CQ20" s="13">
        <v>2.9999999999999999E-30</v>
      </c>
      <c r="CR20" s="2">
        <v>67.7</v>
      </c>
      <c r="CS20" s="2" t="s">
        <v>298</v>
      </c>
      <c r="CT20" s="2" t="s">
        <v>366</v>
      </c>
      <c r="CU20" s="2" t="s">
        <v>366</v>
      </c>
      <c r="CV20" s="2" t="s">
        <v>366</v>
      </c>
      <c r="CW20" s="2" t="str">
        <f>HYPERLINK(".\links\pep\AGAP003047-PA-pep.txt","AGAP003047-PA")</f>
        <v>AGAP003047-PA</v>
      </c>
      <c r="CX20" s="2" t="s">
        <v>88</v>
      </c>
      <c r="CY20" s="2">
        <v>802</v>
      </c>
      <c r="CZ20" s="2" t="s">
        <v>106</v>
      </c>
      <c r="DA20" s="2" t="s">
        <v>374</v>
      </c>
      <c r="DB20" s="2">
        <v>0</v>
      </c>
      <c r="DC20" s="2">
        <v>2</v>
      </c>
      <c r="DD20" s="2" t="str">
        <f>HYPERLINK("https://www.kegg.jp/kegg-bin/search_pathway_text?map=aga&amp;keyword=AGAP003047&amp;mode=1&amp;viewImage=true","AGAP003047")</f>
        <v>AGAP003047</v>
      </c>
      <c r="DE20" s="2" t="s">
        <v>362</v>
      </c>
      <c r="DF20" s="2" t="s">
        <v>363</v>
      </c>
      <c r="DG20" s="2" t="s">
        <v>87</v>
      </c>
      <c r="DH20" s="2" t="str">
        <f>HYPERLINK("https://vectorbase.org/vectorbase/app/record/gene/AGAP003047","AGAP003047-RA")</f>
        <v>AGAP003047-RA</v>
      </c>
      <c r="DI20" s="2" t="s">
        <v>125</v>
      </c>
      <c r="DJ20" s="2">
        <v>3863</v>
      </c>
      <c r="DK20" s="2" t="str">
        <f>HYPERLINK(".\links\netoglyc\AGAP003047-PA-netoglyc.txt","2")</f>
        <v>2</v>
      </c>
      <c r="DL20" s="2">
        <v>8.9</v>
      </c>
      <c r="DM20" s="2">
        <v>22.4</v>
      </c>
      <c r="DN20" s="2">
        <v>5</v>
      </c>
      <c r="DO20" s="2">
        <v>1.9</v>
      </c>
      <c r="DP20" s="2" t="s">
        <v>375</v>
      </c>
      <c r="DQ20" s="2" t="str">
        <f>HYPERLINK(".\links\Sigp\AGAP003047-PA-SigP.txt","CYT")</f>
        <v>CYT</v>
      </c>
      <c r="DR20" s="2" t="s">
        <v>94</v>
      </c>
      <c r="DS20" s="2">
        <v>84.486999999999995</v>
      </c>
      <c r="DT20" s="2">
        <v>5.64</v>
      </c>
      <c r="DU20" s="2" t="s">
        <v>94</v>
      </c>
      <c r="DV20" s="2" t="s">
        <v>94</v>
      </c>
      <c r="DW20" s="2" t="s">
        <v>348</v>
      </c>
      <c r="DX20" s="2">
        <v>802</v>
      </c>
      <c r="DY20" s="8">
        <v>0</v>
      </c>
      <c r="DZ20" s="2" t="s">
        <v>94</v>
      </c>
      <c r="EA20" s="2" t="s">
        <v>94</v>
      </c>
      <c r="EB20" s="2" t="s">
        <v>94</v>
      </c>
      <c r="EC20" s="2" t="str">
        <f>HYPERLINK(".\links\gpi\AGAP003047-PA-gpi.txt","Y-NoSP")</f>
        <v>Y-NoSP</v>
      </c>
      <c r="ED20" s="2">
        <v>0.48</v>
      </c>
      <c r="EE20" s="2" t="s">
        <v>376</v>
      </c>
      <c r="EF20" s="2">
        <v>6</v>
      </c>
      <c r="EG20" s="2" t="str">
        <f>HYPERLINK(".\links\pep\AGAP003047-PA-sulf.txt","2")</f>
        <v>2</v>
      </c>
      <c r="EH20" s="2" t="s">
        <v>94</v>
      </c>
      <c r="EI20" s="2">
        <v>8.8528678304239392</v>
      </c>
      <c r="EJ20" s="2">
        <v>4.9875311720698301</v>
      </c>
      <c r="EK20" s="2">
        <v>22.443890274314199</v>
      </c>
      <c r="EL20" s="2">
        <v>27.431421446384</v>
      </c>
      <c r="EM20" s="2">
        <v>6</v>
      </c>
      <c r="EN20" s="2" t="s">
        <v>94</v>
      </c>
      <c r="EO20" s="2">
        <v>10</v>
      </c>
      <c r="EP20" s="2" t="s">
        <v>94</v>
      </c>
      <c r="EQ20" s="2" t="s">
        <v>94</v>
      </c>
      <c r="ER20" s="2" t="s">
        <v>94</v>
      </c>
      <c r="ES20" s="2" t="s">
        <v>94</v>
      </c>
      <c r="ET20" s="2" t="str">
        <f>HYPERLINK(".\links\REFSEQ-INVERTEBRATE\AGAP003047-PA-REFSEQ-INVERTEBRATE.txt","AGAP003047-PD")</f>
        <v>AGAP003047-PD</v>
      </c>
      <c r="EU20" s="2" t="str">
        <f>HYPERLINK("http://www.ncbi.nlm.nih.gov/sutils/blink.cgi?pid=XP_003436366.1","0.0")</f>
        <v>0.0</v>
      </c>
      <c r="EV20" s="2" t="str">
        <f>HYPERLINK("http://www.ncbi.nlm.nih.gov/protein/XP_003436366.1","XP_003436366.1")</f>
        <v>XP_003436366.1</v>
      </c>
      <c r="EW20" s="2">
        <v>100</v>
      </c>
      <c r="EX20" s="2">
        <v>100</v>
      </c>
      <c r="EY20" s="2">
        <v>100</v>
      </c>
      <c r="EZ20" s="2" t="s">
        <v>98</v>
      </c>
    </row>
    <row r="21" spans="1:156" x14ac:dyDescent="0.25">
      <c r="A21" s="2" t="s">
        <v>377</v>
      </c>
      <c r="B21" s="2">
        <v>1.5321757361547701</v>
      </c>
      <c r="C21" s="2">
        <v>2.8922168715228813</v>
      </c>
      <c r="D21" s="2">
        <v>4.1733790067650602</v>
      </c>
      <c r="E21" s="2">
        <v>38.089209018792801</v>
      </c>
      <c r="F21" s="2">
        <v>6.7582867660166302E-10</v>
      </c>
      <c r="G21" s="2">
        <v>6.3913117946219303E-7</v>
      </c>
      <c r="H21" s="2" t="s">
        <v>167</v>
      </c>
      <c r="I21" s="2" t="s">
        <v>87</v>
      </c>
      <c r="J21" s="2" t="str">
        <f>HYPERLINK("https://vectorbase.org/vectorbase/app/record/gene/AGAP007327","AGAP007327-RA")</f>
        <v>AGAP007327-RA</v>
      </c>
      <c r="K21" s="2" t="str">
        <f>HYPERLINK(".\links\pep\AGAP007327-PA-pep.txt","AGAP007327-PA")</f>
        <v>AGAP007327-PA</v>
      </c>
      <c r="L21" s="8" t="s">
        <v>88</v>
      </c>
      <c r="M21" s="2">
        <v>763</v>
      </c>
      <c r="N21" s="2">
        <v>0</v>
      </c>
      <c r="O21" s="2">
        <v>0</v>
      </c>
      <c r="P21" s="2" t="s">
        <v>378</v>
      </c>
      <c r="Q21" s="9" t="s">
        <v>379</v>
      </c>
      <c r="R21" s="2" t="s">
        <v>380</v>
      </c>
      <c r="S21" s="2" t="str">
        <f>HYPERLINK(".\links\KOG\AGAP007327-PA-KOG.txt","KOG")</f>
        <v>KOG</v>
      </c>
      <c r="T21" s="2">
        <v>9.9999999999999995E-45</v>
      </c>
      <c r="U21" s="2">
        <v>34.799999999999997</v>
      </c>
      <c r="V21" s="2" t="s">
        <v>381</v>
      </c>
      <c r="W21" s="10" t="s">
        <v>382</v>
      </c>
      <c r="X21" s="2" t="s">
        <v>380</v>
      </c>
      <c r="Y21" s="2" t="str">
        <f>HYPERLINK(".\links\KOG\AGAP007327-PA-KOG.txt","KOG")</f>
        <v>KOG</v>
      </c>
      <c r="Z21" s="13">
        <v>6.9999999999999999E-36</v>
      </c>
      <c r="AA21" s="2">
        <v>26.1</v>
      </c>
      <c r="AB21" s="11" t="s">
        <v>94</v>
      </c>
      <c r="AC21" s="11" t="str">
        <f>HYPERLINK(".\links\Sigp\AGAP007327-PA-SigP.txt","CYT")</f>
        <v>CYT</v>
      </c>
      <c r="AD21" s="2" t="s">
        <v>94</v>
      </c>
      <c r="AE21" s="2">
        <v>82.802000000000007</v>
      </c>
      <c r="AF21" s="2">
        <v>6.77</v>
      </c>
      <c r="AG21" s="2" t="s">
        <v>94</v>
      </c>
      <c r="AH21" s="2" t="s">
        <v>94</v>
      </c>
      <c r="AI21" s="2" t="s">
        <v>348</v>
      </c>
      <c r="AJ21" s="11">
        <v>0</v>
      </c>
      <c r="AK21" s="2" t="s">
        <v>94</v>
      </c>
      <c r="AL21" s="2" t="s">
        <v>94</v>
      </c>
      <c r="AM21" s="2" t="s">
        <v>94</v>
      </c>
      <c r="AN21" s="11" t="str">
        <f>HYPERLINK(".\links\gpi\AGAP007327-PA-gpi.txt","N")</f>
        <v>N</v>
      </c>
      <c r="AO21" s="12" t="str">
        <f>HYPERLINK(".\links\netoglyc\AGAP007327-PA-netoglyc.txt","7")</f>
        <v>7</v>
      </c>
      <c r="AP21" s="11">
        <v>16.600000000000001</v>
      </c>
      <c r="AQ21" s="2">
        <v>8.3000000000000007</v>
      </c>
      <c r="AR21" s="2">
        <v>5.8</v>
      </c>
      <c r="AS21" s="2" t="s">
        <v>97</v>
      </c>
      <c r="AT21" s="9" t="str">
        <f>HYPERLINK(".\links\NR-LIGHT\AGAP007327-PA-NR-LIGHT.txt","AGAP007327-PA")</f>
        <v>AGAP007327-PA</v>
      </c>
      <c r="AU21" s="2" t="str">
        <f>HYPERLINK("http://www.ncbi.nlm.nih.gov/sutils/blink.cgi?pid=XP_564896.3","0.0")</f>
        <v>0.0</v>
      </c>
      <c r="AV21" s="2" t="str">
        <f>HYPERLINK("http://www.ncbi.nlm.nih.gov/protein/XP_564896.3","XP_564896.3")</f>
        <v>XP_564896.3</v>
      </c>
      <c r="AW21" s="2">
        <v>100</v>
      </c>
      <c r="AX21" s="2">
        <v>100</v>
      </c>
      <c r="AY21" s="2">
        <v>100</v>
      </c>
      <c r="AZ21" s="2" t="s">
        <v>98</v>
      </c>
      <c r="BA21" s="9" t="str">
        <f>HYPERLINK(".\links\REFSEQ-INVERTEBRATE\AGAP007327-PA-REFSEQ-INVERTEBRATE.txt","AGAP007327-PA")</f>
        <v>AGAP007327-PA</v>
      </c>
      <c r="BB21" s="2" t="str">
        <f>HYPERLINK("http://www.ncbi.nlm.nih.gov/sutils/blink.cgi?pid=XP_564896.3","0.0")</f>
        <v>0.0</v>
      </c>
      <c r="BC21" s="2" t="str">
        <f>HYPERLINK("http://www.ncbi.nlm.nih.gov/protein/XP_564896.3","XP_564896.3")</f>
        <v>XP_564896.3</v>
      </c>
      <c r="BD21" s="2">
        <v>100</v>
      </c>
      <c r="BE21" s="2">
        <v>100</v>
      </c>
      <c r="BF21" s="2">
        <v>100</v>
      </c>
      <c r="BG21" s="2" t="s">
        <v>98</v>
      </c>
      <c r="BH21" s="9" t="str">
        <f>HYPERLINK(".\links\REFSEQ-PROTOZOA\AGAP007327-PA-REFSEQ-PROTOZOA.txt","hypothetical protein, conserved")</f>
        <v>hypothetical protein, conserved</v>
      </c>
      <c r="BI21" s="2" t="str">
        <f>HYPERLINK("http://www.ncbi.nlm.nih.gov/sutils/blink.cgi?pid=XP_013355750.1","8E-011")</f>
        <v>8E-011</v>
      </c>
      <c r="BJ21" s="2" t="str">
        <f>HYPERLINK("http://www.ncbi.nlm.nih.gov/protein/XP_013355750.1","XP_013355750.1")</f>
        <v>XP_013355750.1</v>
      </c>
      <c r="BK21" s="2">
        <v>27</v>
      </c>
      <c r="BL21" s="2">
        <v>44</v>
      </c>
      <c r="BM21" s="2">
        <v>14</v>
      </c>
      <c r="BN21" s="2" t="s">
        <v>383</v>
      </c>
      <c r="BO21" s="9" t="str">
        <f>HYPERLINK(".\links\SWISSP\AGAP007327-PA-SWISSP.txt","Ecdysone-induced protein 74EF isoform A")</f>
        <v>Ecdysone-induced protein 74EF isoform A</v>
      </c>
      <c r="BP21" s="2" t="str">
        <f>HYPERLINK("http://www.uniprot.org/uniprot/P20105","1E-130")</f>
        <v>1E-130</v>
      </c>
      <c r="BQ21" s="2" t="str">
        <f>HYPERLINK("http://www.uniprot.org/uniprot/P20105#expression","P20105")</f>
        <v>P20105</v>
      </c>
      <c r="BR21" s="2">
        <v>37</v>
      </c>
      <c r="BS21" s="2">
        <v>47</v>
      </c>
      <c r="BT21" s="2">
        <v>111</v>
      </c>
      <c r="BU21" s="2" t="s">
        <v>100</v>
      </c>
      <c r="BV21" s="9" t="str">
        <f>HYPERLINK(".\links\FLYBASE\AGAP007327-PA-FLYBASE.txt","FBpp0297063")</f>
        <v>FBpp0297063</v>
      </c>
      <c r="BW21" s="2" t="str">
        <f>HYPERLINK("http://flybase.org/reports/FBgn0000567#alliance_summary_container","8E-74")</f>
        <v>8E-74</v>
      </c>
      <c r="BX21" s="2">
        <v>844</v>
      </c>
      <c r="BY21" s="2">
        <v>90</v>
      </c>
      <c r="BZ21" s="2">
        <v>94</v>
      </c>
      <c r="CA21" s="2">
        <v>17</v>
      </c>
      <c r="CB21" s="9" t="str">
        <f>HYPERLINK(".\links\CDD\AGAP007327-PA-CDD.txt","ETS, erythroblast transformation specific domain")</f>
        <v>ETS, erythroblast transformation specific domain</v>
      </c>
      <c r="CC21" s="13">
        <v>3.0000000000000003E-39</v>
      </c>
      <c r="CD21" s="2">
        <v>100</v>
      </c>
      <c r="CE21" s="2" t="s">
        <v>384</v>
      </c>
      <c r="CF21" s="2" t="s">
        <v>385</v>
      </c>
      <c r="CG21" s="9" t="str">
        <f>HYPERLINK(".\links\KOG\AGAP007327-PA-KOG.txt","contain ETS domain")</f>
        <v>contain ETS domain</v>
      </c>
      <c r="CH21" s="13">
        <v>9.9999999999999995E-45</v>
      </c>
      <c r="CI21" s="2">
        <v>34.9</v>
      </c>
      <c r="CJ21" s="2" t="s">
        <v>386</v>
      </c>
      <c r="CK21" s="2" t="s">
        <v>296</v>
      </c>
      <c r="CL21" s="9" t="str">
        <f>HYPERLINK(".\links\PFAM\AGAP007327-PA-PFAM.txt","Ets, Ets-domain")</f>
        <v>Ets, Ets-domain</v>
      </c>
      <c r="CM21" s="13">
        <v>9.0000000000000002E-39</v>
      </c>
      <c r="CN21" s="2">
        <v>101.3</v>
      </c>
      <c r="CO21" s="2" t="s">
        <v>387</v>
      </c>
      <c r="CP21" s="9" t="str">
        <f>HYPERLINK(".\links\SMART\AGAP007327-PA-SMART.txt","ETS, erythroblast transformation specific domain")</f>
        <v>ETS, erythroblast transformation specific domain</v>
      </c>
      <c r="CQ21" s="13">
        <v>2E-41</v>
      </c>
      <c r="CR21" s="2">
        <v>100</v>
      </c>
      <c r="CS21" s="2" t="s">
        <v>384</v>
      </c>
      <c r="CT21" s="2" t="s">
        <v>381</v>
      </c>
      <c r="CU21" s="2" t="s">
        <v>381</v>
      </c>
      <c r="CV21" s="2" t="s">
        <v>381</v>
      </c>
      <c r="CW21" s="2" t="str">
        <f>HYPERLINK(".\links\pep\AGAP007327-PA-pep.txt","AGAP007327-PA")</f>
        <v>AGAP007327-PA</v>
      </c>
      <c r="CX21" s="2" t="s">
        <v>88</v>
      </c>
      <c r="CY21" s="2">
        <v>941</v>
      </c>
      <c r="CZ21" s="2" t="s">
        <v>106</v>
      </c>
      <c r="DA21" s="2" t="s">
        <v>388</v>
      </c>
      <c r="DB21" s="2">
        <v>0</v>
      </c>
      <c r="DC21" s="2">
        <v>1</v>
      </c>
      <c r="DD21" s="2" t="str">
        <f>HYPERLINK("https://www.kegg.jp/kegg-bin/search_pathway_text?map=aga&amp;keyword=AGAP007327&amp;mode=1&amp;viewImage=true","AGAP007327")</f>
        <v>AGAP007327</v>
      </c>
      <c r="DE21" s="2" t="s">
        <v>377</v>
      </c>
      <c r="DF21" s="2" t="s">
        <v>167</v>
      </c>
      <c r="DG21" s="2" t="s">
        <v>87</v>
      </c>
      <c r="DH21" s="2" t="str">
        <f>HYPERLINK("https://vectorbase.org/vectorbase/app/record/gene/AGAP007327","AGAP007327-RA")</f>
        <v>AGAP007327-RA</v>
      </c>
      <c r="DI21" s="2" t="s">
        <v>250</v>
      </c>
      <c r="DJ21" s="2">
        <v>8056</v>
      </c>
      <c r="DK21" s="2" t="str">
        <f>HYPERLINK(".\links\netoglyc\AGAP007327-PA-netoglyc.txt","22")</f>
        <v>22</v>
      </c>
      <c r="DL21" s="2">
        <v>16.8</v>
      </c>
      <c r="DM21" s="2">
        <v>7.5</v>
      </c>
      <c r="DN21" s="2">
        <v>9.6</v>
      </c>
      <c r="DO21" s="2" t="s">
        <v>97</v>
      </c>
      <c r="DP21" s="2" t="s">
        <v>389</v>
      </c>
      <c r="DQ21" s="2" t="str">
        <f>HYPERLINK(".\links\Sigp\AGAP007327-PA-SigP.txt","CYT")</f>
        <v>CYT</v>
      </c>
      <c r="DR21" s="2" t="s">
        <v>94</v>
      </c>
      <c r="DS21" s="2">
        <v>102.11</v>
      </c>
      <c r="DT21" s="2">
        <v>7.06</v>
      </c>
      <c r="DU21" s="2" t="s">
        <v>94</v>
      </c>
      <c r="DV21" s="2" t="s">
        <v>94</v>
      </c>
      <c r="DW21" s="2" t="s">
        <v>390</v>
      </c>
      <c r="DX21" s="2">
        <v>941</v>
      </c>
      <c r="DY21" s="8">
        <v>0</v>
      </c>
      <c r="DZ21" s="2" t="s">
        <v>94</v>
      </c>
      <c r="EA21" s="2" t="s">
        <v>94</v>
      </c>
      <c r="EB21" s="2" t="s">
        <v>94</v>
      </c>
      <c r="EC21" s="2" t="str">
        <f>HYPERLINK(".\links\gpi\AGAP007327-PA-gpi.txt","N")</f>
        <v>N</v>
      </c>
      <c r="ED21" s="2">
        <v>0.38</v>
      </c>
      <c r="EF21" s="2">
        <v>4</v>
      </c>
      <c r="EG21" s="2" t="str">
        <f>HYPERLINK(".\links\pep\AGAP007327-PA-sulf.txt","2")</f>
        <v>2</v>
      </c>
      <c r="EH21" s="2" t="s">
        <v>94</v>
      </c>
      <c r="EI21" s="2">
        <v>16.790648246546201</v>
      </c>
      <c r="EJ21" s="2">
        <v>9.5642933049946901</v>
      </c>
      <c r="EK21" s="2">
        <v>7.5451647183846999</v>
      </c>
      <c r="EL21" s="2">
        <v>17.1094580233794</v>
      </c>
      <c r="EM21" s="2" t="s">
        <v>94</v>
      </c>
      <c r="EN21" s="2">
        <v>1</v>
      </c>
      <c r="EO21" s="2">
        <v>1</v>
      </c>
      <c r="EP21" s="2" t="s">
        <v>94</v>
      </c>
      <c r="EQ21" s="2" t="s">
        <v>94</v>
      </c>
      <c r="ER21" s="2" t="s">
        <v>94</v>
      </c>
      <c r="ES21" s="2" t="s">
        <v>94</v>
      </c>
      <c r="ET21" s="2" t="str">
        <f>HYPERLINK(".\links\REFSEQ-INVERTEBRATE\AGAP007327-PA-REFSEQ-INVERTEBRATE.txt","ecdysone-induced protein 74EF isoform X1")</f>
        <v>ecdysone-induced protein 74EF isoform X1</v>
      </c>
      <c r="EU21" s="2" t="str">
        <f>HYPERLINK("http://www.ncbi.nlm.nih.gov/sutils/blink.cgi?pid=XP_035907509.1","0.0")</f>
        <v>0.0</v>
      </c>
      <c r="EV21" s="2" t="str">
        <f>HYPERLINK("http://www.ncbi.nlm.nih.gov/protein/XP_035907509.1","XP_035907509.1")</f>
        <v>XP_035907509.1</v>
      </c>
      <c r="EW21" s="2">
        <v>72</v>
      </c>
      <c r="EX21" s="2">
        <v>77</v>
      </c>
      <c r="EY21" s="2">
        <v>103</v>
      </c>
      <c r="EZ21" s="2" t="s">
        <v>184</v>
      </c>
    </row>
    <row r="22" spans="1:156" x14ac:dyDescent="0.25">
      <c r="A22" s="2" t="s">
        <v>391</v>
      </c>
      <c r="B22" s="2">
        <v>1.5199361878712501</v>
      </c>
      <c r="C22" s="2">
        <v>2.8677836477225047</v>
      </c>
      <c r="D22" s="2">
        <v>5.0759378816089704</v>
      </c>
      <c r="E22" s="2">
        <v>17.3048186060098</v>
      </c>
      <c r="F22" s="2">
        <v>3.18378486426709E-5</v>
      </c>
      <c r="G22" s="2">
        <v>3.01344376076936E-3</v>
      </c>
      <c r="H22" s="2" t="s">
        <v>392</v>
      </c>
      <c r="I22" s="2" t="s">
        <v>87</v>
      </c>
      <c r="J22" s="2" t="str">
        <f>HYPERLINK("https://vectorbase.org/vectorbase/app/record/gene/AGAP005645","AGAP005645-RA")</f>
        <v>AGAP005645-RA</v>
      </c>
      <c r="K22" s="2" t="str">
        <f>HYPERLINK(".\links\pep\AGAP005645-PA-pep.txt","AGAP005645-PA")</f>
        <v>AGAP005645-PA</v>
      </c>
      <c r="L22" s="8" t="s">
        <v>88</v>
      </c>
      <c r="M22" s="2">
        <v>245</v>
      </c>
      <c r="N22" s="2">
        <v>0</v>
      </c>
      <c r="O22" s="2">
        <v>0</v>
      </c>
      <c r="P22" s="2" t="s">
        <v>393</v>
      </c>
      <c r="Q22" s="9" t="s">
        <v>394</v>
      </c>
      <c r="R22" s="2" t="s">
        <v>395</v>
      </c>
      <c r="S22" s="2" t="str">
        <f>HYPERLINK(".\links\KOG\AGAP005645-PA-KOG.txt","KOG")</f>
        <v>KOG</v>
      </c>
      <c r="T22" s="2">
        <v>1.9999999999999999E-34</v>
      </c>
      <c r="U22" s="2">
        <v>74.3</v>
      </c>
      <c r="V22" s="2" t="s">
        <v>396</v>
      </c>
      <c r="W22" s="10" t="s">
        <v>397</v>
      </c>
      <c r="X22" s="2" t="s">
        <v>131</v>
      </c>
      <c r="Y22" s="2" t="str">
        <f>HYPERLINK(".\links\CDD\AGAP005645-PA-CDD.txt","CDD")</f>
        <v>CDD</v>
      </c>
      <c r="Z22" s="13">
        <v>2.0000000000000001E-68</v>
      </c>
      <c r="AA22" s="2">
        <v>100</v>
      </c>
      <c r="AB22" s="11" t="s">
        <v>94</v>
      </c>
      <c r="AC22" s="11" t="str">
        <f>HYPERLINK(".\links\Sigp\AGAP005645-PA-SigP.txt","CYT")</f>
        <v>CYT</v>
      </c>
      <c r="AD22" s="2" t="s">
        <v>94</v>
      </c>
      <c r="AE22" s="2">
        <v>26.577999999999999</v>
      </c>
      <c r="AF22" s="2">
        <v>6.45</v>
      </c>
      <c r="AG22" s="2" t="s">
        <v>94</v>
      </c>
      <c r="AH22" s="2" t="s">
        <v>94</v>
      </c>
      <c r="AI22" s="2" t="s">
        <v>398</v>
      </c>
      <c r="AJ22" s="11">
        <v>0</v>
      </c>
      <c r="AK22" s="2" t="s">
        <v>94</v>
      </c>
      <c r="AL22" s="2" t="s">
        <v>94</v>
      </c>
      <c r="AM22" s="2" t="s">
        <v>94</v>
      </c>
      <c r="AN22" s="11" t="str">
        <f>HYPERLINK(".\links\gpi\AGAP005645-PA-gpi.txt","N")</f>
        <v>N</v>
      </c>
      <c r="AO22" s="12" t="str">
        <f>HYPERLINK(".\links\netoglyc\AGAP005645-PA-netoglyc.txt","0")</f>
        <v>0</v>
      </c>
      <c r="AP22" s="11">
        <v>10.6</v>
      </c>
      <c r="AQ22" s="2">
        <v>7.8</v>
      </c>
      <c r="AR22" s="2">
        <v>4.5</v>
      </c>
      <c r="AS22" s="2" t="s">
        <v>97</v>
      </c>
      <c r="AT22" s="9" t="str">
        <f>HYPERLINK(".\links\NR-LIGHT\AGAP005645-PA-NR-LIGHT.txt","AGAP005645-PA")</f>
        <v>AGAP005645-PA</v>
      </c>
      <c r="AU22" s="2" t="str">
        <f>HYPERLINK("http://www.ncbi.nlm.nih.gov/sutils/blink.cgi?pid=XP_315663.4","1E-134")</f>
        <v>1E-134</v>
      </c>
      <c r="AV22" s="2" t="str">
        <f>HYPERLINK("http://www.ncbi.nlm.nih.gov/protein/XP_315663.4","XP_315663.4")</f>
        <v>XP_315663.4</v>
      </c>
      <c r="AW22" s="2">
        <v>100</v>
      </c>
      <c r="AX22" s="2">
        <v>100</v>
      </c>
      <c r="AY22" s="2">
        <v>100</v>
      </c>
      <c r="AZ22" s="2" t="s">
        <v>98</v>
      </c>
      <c r="BA22" s="9" t="str">
        <f>HYPERLINK(".\links\REFSEQ-INVERTEBRATE\AGAP005645-PA-REFSEQ-INVERTEBRATE.txt","AGAP005645-PA")</f>
        <v>AGAP005645-PA</v>
      </c>
      <c r="BB22" s="2" t="str">
        <f>HYPERLINK("http://www.ncbi.nlm.nih.gov/sutils/blink.cgi?pid=XP_315663.4","1E-134")</f>
        <v>1E-134</v>
      </c>
      <c r="BC22" s="2" t="str">
        <f>HYPERLINK("http://www.ncbi.nlm.nih.gov/protein/XP_315663.4","XP_315663.4")</f>
        <v>XP_315663.4</v>
      </c>
      <c r="BD22" s="2">
        <v>100</v>
      </c>
      <c r="BE22" s="2">
        <v>100</v>
      </c>
      <c r="BF22" s="2">
        <v>100</v>
      </c>
      <c r="BG22" s="2" t="s">
        <v>98</v>
      </c>
      <c r="BH22" s="9" t="str">
        <f>HYPERLINK(".\links\REFSEQ-PROTOZOA\AGAP005645-PA-REFSEQ-PROTOZOA.txt","chloroplast 3-oxoacyl-")</f>
        <v>chloroplast 3-oxoacyl-</v>
      </c>
      <c r="BI22" s="2" t="str">
        <f>HYPERLINK("http://www.ncbi.nlm.nih.gov/sutils/blink.cgi?pid=XP_005704439.1","2E-036")</f>
        <v>2E-036</v>
      </c>
      <c r="BJ22" s="2" t="str">
        <f>HYPERLINK("http://www.ncbi.nlm.nih.gov/protein/XP_005704439.1","XP_005704439.1")</f>
        <v>XP_005704439.1</v>
      </c>
      <c r="BK22" s="2">
        <v>36</v>
      </c>
      <c r="BL22" s="2">
        <v>58</v>
      </c>
      <c r="BM22" s="2">
        <v>99</v>
      </c>
      <c r="BN22" s="2" t="s">
        <v>399</v>
      </c>
      <c r="BO22" s="9" t="str">
        <f>HYPERLINK(".\links\SWISSP\AGAP005645-PA-SWISSP.txt","Farnesol dehydrogenase")</f>
        <v>Farnesol dehydrogenase</v>
      </c>
      <c r="BP22" s="2" t="str">
        <f>HYPERLINK("http://www.uniprot.org/uniprot/D2WKD9","4E-086")</f>
        <v>4E-086</v>
      </c>
      <c r="BQ22" s="2" t="str">
        <f>HYPERLINK("http://www.uniprot.org/uniprot/D2WKD9#expression","D2WKD9")</f>
        <v>D2WKD9</v>
      </c>
      <c r="BR22" s="2">
        <v>67</v>
      </c>
      <c r="BS22" s="2">
        <v>78</v>
      </c>
      <c r="BT22" s="2">
        <v>99</v>
      </c>
      <c r="BU22" s="2" t="s">
        <v>175</v>
      </c>
      <c r="BV22" s="9" t="str">
        <f>HYPERLINK(".\links\FLYBASE\AGAP005645-PA-FLYBASE.txt","FBpp0073324")</f>
        <v>FBpp0073324</v>
      </c>
      <c r="BW22" s="2" t="str">
        <f>HYPERLINK("http://flybase.org/reports/FBgn0026268#alliance_summary_container","2E-84")</f>
        <v>2E-84</v>
      </c>
      <c r="BX22" s="2">
        <v>250</v>
      </c>
      <c r="BY22" s="2">
        <v>52</v>
      </c>
      <c r="BZ22" s="2">
        <v>68</v>
      </c>
      <c r="CA22" s="2">
        <v>100</v>
      </c>
      <c r="CB22" s="9" t="str">
        <f>HYPERLINK(".\links\CDD\AGAP005645-PA-CDD.txt","Mgc4172-like_SDR_c, human Mgc4172-like, classical (c) SDRs")</f>
        <v>Mgc4172-like_SDR_c, human Mgc4172-like, classical (c) SDRs</v>
      </c>
      <c r="CC22" s="13">
        <v>1.9999999999999999E-69</v>
      </c>
      <c r="CD22" s="2">
        <v>100</v>
      </c>
      <c r="CE22" s="2" t="s">
        <v>400</v>
      </c>
      <c r="CF22" s="2" t="s">
        <v>401</v>
      </c>
      <c r="CG22" s="9" t="str">
        <f>HYPERLINK(".\links\KOG\AGAP005645-PA-KOG.txt","Predicted dehydrogenase")</f>
        <v>Predicted dehydrogenase</v>
      </c>
      <c r="CH22" s="13">
        <v>3.0000000000000003E-67</v>
      </c>
      <c r="CI22" s="2">
        <v>89.7</v>
      </c>
      <c r="CJ22" s="2" t="s">
        <v>402</v>
      </c>
      <c r="CK22" s="2" t="s">
        <v>104</v>
      </c>
      <c r="CL22" s="9" t="str">
        <f>HYPERLINK(".\links\PFAM\AGAP005645-PA-PFAM.txt","adh_short, short chain dehydrogenase")</f>
        <v>adh_short, short chain dehydrogenase</v>
      </c>
      <c r="CM22" s="13">
        <v>6.9999999999999999E-43</v>
      </c>
      <c r="CN22" s="2">
        <v>100</v>
      </c>
      <c r="CO22" s="2" t="s">
        <v>403</v>
      </c>
      <c r="CP22" s="9" t="str">
        <f>HYPERLINK(".\links\SMART\AGAP005645-PA-SMART.txt","PKS_KR, This enzymatic domain is part of bacterial polyketide synthases")</f>
        <v>PKS_KR, This enzymatic domain is part of bacterial polyketide synthases</v>
      </c>
      <c r="CQ22" s="13">
        <v>8.9999999999999996E-12</v>
      </c>
      <c r="CR22" s="2">
        <v>81.099999999999994</v>
      </c>
      <c r="CS22" s="2" t="s">
        <v>404</v>
      </c>
      <c r="CT22" s="2" t="s">
        <v>396</v>
      </c>
      <c r="CU22" s="2" t="s">
        <v>396</v>
      </c>
      <c r="CV22" s="2" t="s">
        <v>396</v>
      </c>
      <c r="CW22" s="2" t="str">
        <f>HYPERLINK(".\links\pep\AGAP005645-PA-pep.txt","AGAP005645-PA")</f>
        <v>AGAP005645-PA</v>
      </c>
      <c r="CX22" s="2" t="s">
        <v>88</v>
      </c>
      <c r="CY22" s="2">
        <v>245</v>
      </c>
      <c r="CZ22" s="2" t="s">
        <v>106</v>
      </c>
      <c r="DA22" s="2" t="s">
        <v>405</v>
      </c>
      <c r="DB22" s="2">
        <v>0</v>
      </c>
      <c r="DC22" s="2">
        <v>0</v>
      </c>
      <c r="DD22" s="2" t="str">
        <f>HYPERLINK("https://www.kegg.jp/kegg-bin/search_pathway_text?map=aga&amp;keyword=AGAP005645&amp;mode=1&amp;viewImage=true","AGAP005645")</f>
        <v>AGAP005645</v>
      </c>
      <c r="DE22" s="2" t="s">
        <v>391</v>
      </c>
      <c r="DF22" s="2" t="s">
        <v>392</v>
      </c>
      <c r="DG22" s="2" t="s">
        <v>87</v>
      </c>
      <c r="DH22" s="2" t="str">
        <f>HYPERLINK("https://vectorbase.org/vectorbase/app/record/gene/AGAP005645","AGAP005645-RA")</f>
        <v>AGAP005645-RA</v>
      </c>
      <c r="DI22" s="2" t="s">
        <v>143</v>
      </c>
      <c r="DJ22" s="2">
        <v>891</v>
      </c>
      <c r="DK22" s="2" t="str">
        <f>HYPERLINK(".\links\netoglyc\AGAP005645-PA-netoglyc.txt","0")</f>
        <v>0</v>
      </c>
      <c r="DL22" s="2">
        <v>10.6</v>
      </c>
      <c r="DM22" s="2">
        <v>7.8</v>
      </c>
      <c r="DN22" s="2">
        <v>4.5</v>
      </c>
      <c r="DO22" s="2" t="s">
        <v>97</v>
      </c>
      <c r="DP22" s="2" t="s">
        <v>94</v>
      </c>
      <c r="DQ22" s="2" t="str">
        <f>HYPERLINK(".\links\Sigp\AGAP005645-PA-SigP.txt","CYT")</f>
        <v>CYT</v>
      </c>
      <c r="DR22" s="2" t="s">
        <v>94</v>
      </c>
      <c r="DS22" s="2">
        <v>26.577999999999999</v>
      </c>
      <c r="DT22" s="2">
        <v>6.45</v>
      </c>
      <c r="DU22" s="2" t="s">
        <v>94</v>
      </c>
      <c r="DV22" s="2" t="s">
        <v>94</v>
      </c>
      <c r="DW22" s="2" t="s">
        <v>398</v>
      </c>
      <c r="DX22" s="2">
        <v>245</v>
      </c>
      <c r="DY22" s="8">
        <v>0</v>
      </c>
      <c r="DZ22" s="2" t="s">
        <v>94</v>
      </c>
      <c r="EA22" s="2" t="s">
        <v>94</v>
      </c>
      <c r="EB22" s="2" t="s">
        <v>94</v>
      </c>
      <c r="EC22" s="2" t="str">
        <f>HYPERLINK(".\links\gpi\AGAP005645-PA-gpi.txt","Y-NoSP")</f>
        <v>Y-NoSP</v>
      </c>
      <c r="ED22" s="2">
        <v>0.28000000000000003</v>
      </c>
      <c r="EF22" s="2">
        <v>2</v>
      </c>
      <c r="EG22" s="2" t="s">
        <v>94</v>
      </c>
      <c r="EH22" s="2" t="s">
        <v>94</v>
      </c>
      <c r="EI22" s="2">
        <v>10.612244897959201</v>
      </c>
      <c r="EJ22" s="2">
        <v>4.4897959183673501</v>
      </c>
      <c r="EK22" s="2">
        <v>7.7551020408163298</v>
      </c>
      <c r="EL22" s="2">
        <v>12.244897959183699</v>
      </c>
      <c r="EM22" s="2" t="s">
        <v>94</v>
      </c>
      <c r="EN22" s="2" t="s">
        <v>94</v>
      </c>
      <c r="EO22" s="2">
        <v>2</v>
      </c>
      <c r="EP22" s="2" t="s">
        <v>94</v>
      </c>
      <c r="EQ22" s="2" t="s">
        <v>94</v>
      </c>
      <c r="ER22" s="2" t="s">
        <v>94</v>
      </c>
      <c r="ES22" s="2" t="s">
        <v>94</v>
      </c>
      <c r="ET22" s="2" t="str">
        <f>HYPERLINK(".\links\REFSEQ-INVERTEBRATE\AGAP005645-PA-REFSEQ-INVERTEBRATE.txt","AGAP005645-PA")</f>
        <v>AGAP005645-PA</v>
      </c>
      <c r="EU22" s="2" t="str">
        <f>HYPERLINK("http://www.ncbi.nlm.nih.gov/sutils/blink.cgi?pid=XP_315663.4","1E-180")</f>
        <v>1E-180</v>
      </c>
      <c r="EV22" s="2" t="str">
        <f>HYPERLINK("http://www.ncbi.nlm.nih.gov/protein/XP_315663.4","XP_315663.4")</f>
        <v>XP_315663.4</v>
      </c>
      <c r="EW22" s="2">
        <v>100</v>
      </c>
      <c r="EX22" s="2">
        <v>100</v>
      </c>
      <c r="EY22" s="2">
        <v>100</v>
      </c>
      <c r="EZ22" s="2" t="s">
        <v>98</v>
      </c>
    </row>
    <row r="23" spans="1:156" x14ac:dyDescent="0.25">
      <c r="A23" s="2" t="s">
        <v>406</v>
      </c>
      <c r="B23" s="2">
        <v>1.4964237633244999</v>
      </c>
      <c r="C23" s="2">
        <v>2.8214245372949387</v>
      </c>
      <c r="D23" s="2">
        <v>4.6005332648367903</v>
      </c>
      <c r="E23" s="2">
        <v>28.322568659429798</v>
      </c>
      <c r="F23" s="2">
        <v>1.0269172277866599E-7</v>
      </c>
      <c r="G23" s="2">
        <v>4.2224157492080298E-5</v>
      </c>
      <c r="H23" s="2" t="s">
        <v>407</v>
      </c>
      <c r="I23" s="2" t="s">
        <v>408</v>
      </c>
      <c r="J23" s="14" t="s">
        <v>409</v>
      </c>
      <c r="Q23" s="9"/>
      <c r="W23" s="10"/>
      <c r="AB23" s="9"/>
      <c r="AC23" s="9"/>
      <c r="AJ23" s="9"/>
      <c r="AN23" s="9"/>
      <c r="AO23" s="15"/>
      <c r="AP23" s="9"/>
      <c r="AT23" s="9"/>
      <c r="BA23" s="9"/>
      <c r="BH23" s="9"/>
      <c r="BO23" s="9"/>
      <c r="BV23" s="9"/>
      <c r="CB23" s="9"/>
      <c r="CG23" s="9"/>
      <c r="CL23" s="9"/>
      <c r="CP23" s="9"/>
      <c r="DE23" s="2" t="s">
        <v>406</v>
      </c>
      <c r="DF23" s="2" t="s">
        <v>407</v>
      </c>
      <c r="DG23" s="2" t="s">
        <v>408</v>
      </c>
      <c r="DH23" s="14" t="s">
        <v>409</v>
      </c>
      <c r="DI23" s="2" t="s">
        <v>143</v>
      </c>
      <c r="DJ23" s="2">
        <v>5222</v>
      </c>
      <c r="DQ23" s="2" t="s">
        <v>410</v>
      </c>
      <c r="DS23" s="2">
        <v>38557</v>
      </c>
      <c r="DT23" s="2">
        <v>9.11</v>
      </c>
      <c r="DX23" s="2">
        <v>355</v>
      </c>
      <c r="DY23" s="8"/>
    </row>
    <row r="24" spans="1:156" x14ac:dyDescent="0.25">
      <c r="A24" s="2" t="s">
        <v>411</v>
      </c>
      <c r="B24" s="2">
        <v>1.46422665249867</v>
      </c>
      <c r="C24" s="2">
        <v>2.7591552826693038</v>
      </c>
      <c r="D24" s="2">
        <v>2.5325190121376502</v>
      </c>
      <c r="E24" s="2">
        <v>25.156706013500699</v>
      </c>
      <c r="F24" s="2">
        <v>5.2855535954269704E-7</v>
      </c>
      <c r="G24" s="2">
        <v>1.3636273876885301E-4</v>
      </c>
      <c r="H24" s="2" t="s">
        <v>167</v>
      </c>
      <c r="I24" s="2" t="s">
        <v>87</v>
      </c>
      <c r="J24" s="2" t="str">
        <f>HYPERLINK("https://vectorbase.org/vectorbase/app/record/gene/AGAP003282","AGAP003282-RB")</f>
        <v>AGAP003282-RB</v>
      </c>
      <c r="K24" s="2" t="str">
        <f>HYPERLINK(".\links\pep\AGAP003282-PB-pep.txt","AGAP003282-PB")</f>
        <v>AGAP003282-PB</v>
      </c>
      <c r="L24" s="8" t="s">
        <v>88</v>
      </c>
      <c r="M24" s="2">
        <v>2545</v>
      </c>
      <c r="N24" s="2">
        <v>0</v>
      </c>
      <c r="O24" s="2">
        <v>2</v>
      </c>
      <c r="P24" s="2" t="s">
        <v>412</v>
      </c>
      <c r="Q24" s="9" t="s">
        <v>413</v>
      </c>
      <c r="R24" s="2" t="s">
        <v>286</v>
      </c>
      <c r="S24" s="2" t="str">
        <f>HYPERLINK(".\links\PFAM\AGAP003282-PB-PFAM.txt","PFAM")</f>
        <v>PFAM</v>
      </c>
      <c r="T24" s="2">
        <v>2.0000000000000002E-86</v>
      </c>
      <c r="U24" s="2">
        <v>100</v>
      </c>
      <c r="V24" s="2" t="s">
        <v>414</v>
      </c>
      <c r="W24" s="10" t="s">
        <v>415</v>
      </c>
      <c r="X24" s="2" t="s">
        <v>286</v>
      </c>
      <c r="Y24" s="2" t="str">
        <f>HYPERLINK(".\links\REFSEQVERTEBRATE95\AGAP003282-PB-REFSEQVERTEBRATE95.txt","REFSEQVERTEBRATE95")</f>
        <v>REFSEQVERTEBRATE95</v>
      </c>
      <c r="Z24" s="13">
        <v>0</v>
      </c>
      <c r="AA24" s="2">
        <v>48.4</v>
      </c>
      <c r="AB24" s="11" t="str">
        <f>HYPERLINK(".\links\pep\AGAP003282-PB-sulf.txt","2")</f>
        <v>2</v>
      </c>
      <c r="AC24" s="11" t="str">
        <f>HYPERLINK(".\links\Sigp\AGAP003282-PB-SigP.txt","CYT")</f>
        <v>CYT</v>
      </c>
      <c r="AD24" s="2" t="s">
        <v>94</v>
      </c>
      <c r="AE24" s="2">
        <v>269.18200000000002</v>
      </c>
      <c r="AF24" s="2">
        <v>9</v>
      </c>
      <c r="AG24" s="2" t="s">
        <v>94</v>
      </c>
      <c r="AH24" s="2" t="s">
        <v>94</v>
      </c>
      <c r="AI24" s="2" t="s">
        <v>416</v>
      </c>
      <c r="AJ24" s="11">
        <v>0</v>
      </c>
      <c r="AK24" s="2" t="s">
        <v>94</v>
      </c>
      <c r="AL24" s="2" t="s">
        <v>94</v>
      </c>
      <c r="AM24" s="2" t="s">
        <v>94</v>
      </c>
      <c r="AN24" s="11" t="str">
        <f>HYPERLINK(".\links\gpi\AGAP003282-PB-gpi.txt","N")</f>
        <v>N</v>
      </c>
      <c r="AO24" s="12" t="str">
        <f>HYPERLINK(".\links\netoglyc\AGAP003282-PB-netoglyc.txt","28")</f>
        <v>28</v>
      </c>
      <c r="AP24" s="11">
        <v>18.7</v>
      </c>
      <c r="AQ24" s="2">
        <v>9.8000000000000007</v>
      </c>
      <c r="AR24" s="2">
        <v>7.3</v>
      </c>
      <c r="AS24" s="2" t="s">
        <v>97</v>
      </c>
      <c r="AT24" s="9" t="str">
        <f>HYPERLINK(".\links\NR-LIGHT\AGAP003282-PB-NR-LIGHT.txt","AGAP003282-PB")</f>
        <v>AGAP003282-PB</v>
      </c>
      <c r="AU24" s="2" t="str">
        <f>HYPERLINK("http://www.ncbi.nlm.nih.gov/sutils/blink.cgi?pid=XP_003436434.1","0.0")</f>
        <v>0.0</v>
      </c>
      <c r="AV24" s="2" t="str">
        <f>HYPERLINK("http://www.ncbi.nlm.nih.gov/protein/XP_003436434.1","XP_003436434.1")</f>
        <v>XP_003436434.1</v>
      </c>
      <c r="AW24" s="2">
        <v>100</v>
      </c>
      <c r="AX24" s="2">
        <v>100</v>
      </c>
      <c r="AY24" s="2">
        <v>100</v>
      </c>
      <c r="AZ24" s="2" t="s">
        <v>98</v>
      </c>
      <c r="BA24" s="9" t="str">
        <f>HYPERLINK(".\links\REFSEQ-INVERTEBRATE\AGAP003282-PB-REFSEQ-INVERTEBRATE.txt","AGAP003282-PB")</f>
        <v>AGAP003282-PB</v>
      </c>
      <c r="BB24" s="2" t="str">
        <f>HYPERLINK("http://www.ncbi.nlm.nih.gov/sutils/blink.cgi?pid=XP_003436434.1","0.0")</f>
        <v>0.0</v>
      </c>
      <c r="BC24" s="2" t="str">
        <f>HYPERLINK("http://www.ncbi.nlm.nih.gov/protein/XP_003436434.1","XP_003436434.1")</f>
        <v>XP_003436434.1</v>
      </c>
      <c r="BD24" s="2">
        <v>100</v>
      </c>
      <c r="BE24" s="2">
        <v>100</v>
      </c>
      <c r="BF24" s="2">
        <v>100</v>
      </c>
      <c r="BG24" s="2" t="s">
        <v>98</v>
      </c>
      <c r="BH24" s="9" t="str">
        <f>HYPERLINK(".\links\REFSEQ-PROTOZOA\AGAP003282-PB-REFSEQ-PROTOZOA.txt","hypothetical protein PTSG_04671")</f>
        <v>hypothetical protein PTSG_04671</v>
      </c>
      <c r="BI24" s="2" t="str">
        <f>HYPERLINK("http://www.ncbi.nlm.nih.gov/sutils/blink.cgi?pid=XP_004994761.1","1E-071")</f>
        <v>1E-071</v>
      </c>
      <c r="BJ24" s="2" t="str">
        <f>HYPERLINK("http://www.ncbi.nlm.nih.gov/protein/XP_004994761.1","XP_004994761.1")</f>
        <v>XP_004994761.1</v>
      </c>
      <c r="BK24" s="2">
        <v>25</v>
      </c>
      <c r="BL24" s="2">
        <v>41</v>
      </c>
      <c r="BM24" s="2">
        <v>84</v>
      </c>
      <c r="BN24" s="2" t="s">
        <v>117</v>
      </c>
      <c r="BO24" s="9" t="str">
        <f>HYPERLINK(".\links\SWISSP\AGAP003282-PB-SWISSP.txt","Histone-lysine N-methyltransferase, H3 lysine-79 specific")</f>
        <v>Histone-lysine N-methyltransferase, H3 lysine-79 specific</v>
      </c>
      <c r="BP24" s="2" t="str">
        <f>HYPERLINK("http://www.uniprot.org/uniprot/Q8INR6","1E-167")</f>
        <v>1E-167</v>
      </c>
      <c r="BQ24" s="2" t="str">
        <f>HYPERLINK("http://www.uniprot.org/uniprot/Q8INR6#expression","Q8INR6")</f>
        <v>Q8INR6</v>
      </c>
      <c r="BR24" s="2">
        <v>28</v>
      </c>
      <c r="BS24" s="2">
        <v>41</v>
      </c>
      <c r="BT24" s="2">
        <v>109</v>
      </c>
      <c r="BU24" s="2" t="s">
        <v>100</v>
      </c>
      <c r="BV24" s="9" t="str">
        <f>HYPERLINK(".\links\FLYBASE\AGAP003282-PB-FLYBASE.txt","FBpp0292800")</f>
        <v>FBpp0292800</v>
      </c>
      <c r="BW24" s="2" t="str">
        <f>HYPERLINK("http://flybase.org/reports/FBgn0264495#alliance_summary_container","1E-147")</f>
        <v>1E-147</v>
      </c>
      <c r="BX24" s="2">
        <v>1848</v>
      </c>
      <c r="BY24" s="2">
        <v>61</v>
      </c>
      <c r="BZ24" s="2">
        <v>78</v>
      </c>
      <c r="CA24" s="2">
        <v>20</v>
      </c>
      <c r="CB24" s="9" t="str">
        <f>HYPERLINK(".\links\CDD\AGAP003282-PB-CDD.txt","DOT1, Histone methylation protein DOT1")</f>
        <v>DOT1, Histone methylation protein DOT1</v>
      </c>
      <c r="CC24" s="13">
        <v>9.9999999999999998E-86</v>
      </c>
      <c r="CD24" s="2">
        <v>100</v>
      </c>
      <c r="CE24" s="2" t="s">
        <v>417</v>
      </c>
      <c r="CF24" s="2" t="s">
        <v>418</v>
      </c>
      <c r="CG24" s="9" t="str">
        <f>HYPERLINK(".\links\KOG\AGAP003282-PB-KOG.txt","Putative protein methyltransferase involved in meiosis and transcriptional silencing (Dot1)")</f>
        <v>Putative protein methyltransferase involved in meiosis and transcriptional silencing (Dot1)</v>
      </c>
      <c r="CH24" s="13">
        <v>9.9999999999999993E-41</v>
      </c>
      <c r="CI24" s="2">
        <v>54.4</v>
      </c>
      <c r="CJ24" s="2" t="s">
        <v>419</v>
      </c>
      <c r="CK24" s="2" t="s">
        <v>420</v>
      </c>
      <c r="CL24" s="9" t="str">
        <f>HYPERLINK(".\links\PFAM\AGAP003282-PB-PFAM.txt","DOT1, Histone methylation protein DOT1")</f>
        <v>DOT1, Histone methylation protein DOT1</v>
      </c>
      <c r="CM24" s="13">
        <v>2.0000000000000002E-86</v>
      </c>
      <c r="CN24" s="2">
        <v>100</v>
      </c>
      <c r="CO24" s="2" t="s">
        <v>417</v>
      </c>
      <c r="CP24" s="9" t="str">
        <f>HYPERLINK(".\links\SMART\AGAP003282-PB-SMART.txt","Amelogenin, Amelogenins, cell adhesion proteins, play a role in the biomineralisation of teeth")</f>
        <v>Amelogenin, Amelogenins, cell adhesion proteins, play a role in the biomineralisation of teeth</v>
      </c>
      <c r="CQ24" s="13">
        <v>3.0000000000000001E-3</v>
      </c>
      <c r="CR24" s="2">
        <v>41.8</v>
      </c>
      <c r="CS24" s="2" t="s">
        <v>421</v>
      </c>
      <c r="CT24" s="2" t="s">
        <v>414</v>
      </c>
      <c r="CU24" s="2" t="s">
        <v>414</v>
      </c>
      <c r="CV24" s="2" t="s">
        <v>414</v>
      </c>
      <c r="CW24" s="2" t="str">
        <f>HYPERLINK(".\links\pep\AGAP003282-PB-pep.txt","AGAP003282-PB")</f>
        <v>AGAP003282-PB</v>
      </c>
      <c r="CX24" s="2" t="s">
        <v>88</v>
      </c>
      <c r="CY24" s="2">
        <v>2579</v>
      </c>
      <c r="CZ24" s="2" t="s">
        <v>106</v>
      </c>
      <c r="DA24" s="2" t="s">
        <v>422</v>
      </c>
      <c r="DB24" s="2">
        <v>0</v>
      </c>
      <c r="DC24" s="2">
        <v>3</v>
      </c>
      <c r="DD24" s="2" t="str">
        <f>HYPERLINK("https://www.kegg.jp/kegg-bin/search_pathway_text?map=aga&amp;keyword=AGAP003282&amp;mode=1&amp;viewImage=true","AGAP003282")</f>
        <v>AGAP003282</v>
      </c>
      <c r="DE24" s="2" t="s">
        <v>411</v>
      </c>
      <c r="DF24" s="2" t="s">
        <v>167</v>
      </c>
      <c r="DG24" s="2" t="s">
        <v>87</v>
      </c>
      <c r="DH24" s="2" t="str">
        <f>HYPERLINK("https://vectorbase.org/vectorbase/app/record/gene/AGAP003282","AGAP003282-RB")</f>
        <v>AGAP003282-RB</v>
      </c>
      <c r="DI24" s="2" t="s">
        <v>108</v>
      </c>
      <c r="DJ24" s="2">
        <v>16507</v>
      </c>
      <c r="DK24" s="2" t="str">
        <f>HYPERLINK(".\links\netoglyc\AGAP003282-PB-netoglyc.txt","39")</f>
        <v>39</v>
      </c>
      <c r="DL24" s="2">
        <v>19.2</v>
      </c>
      <c r="DM24" s="2">
        <v>9.6999999999999993</v>
      </c>
      <c r="DN24" s="2">
        <v>7.4</v>
      </c>
      <c r="DO24" s="2" t="s">
        <v>97</v>
      </c>
      <c r="DP24" s="2" t="s">
        <v>423</v>
      </c>
      <c r="DQ24" s="2" t="str">
        <f>HYPERLINK(".\links\Sigp\AGAP003282-PB-SigP.txt","CYT")</f>
        <v>CYT</v>
      </c>
      <c r="DR24" s="2" t="s">
        <v>94</v>
      </c>
      <c r="DS24" s="2">
        <v>271.55700000000002</v>
      </c>
      <c r="DT24" s="2">
        <v>9.33</v>
      </c>
      <c r="DU24" s="2" t="s">
        <v>94</v>
      </c>
      <c r="DV24" s="2" t="s">
        <v>94</v>
      </c>
      <c r="DW24" s="2" t="s">
        <v>416</v>
      </c>
      <c r="DX24" s="2">
        <v>2579</v>
      </c>
      <c r="DY24" s="8">
        <v>0</v>
      </c>
      <c r="DZ24" s="2" t="s">
        <v>94</v>
      </c>
      <c r="EA24" s="2" t="s">
        <v>94</v>
      </c>
      <c r="EB24" s="2" t="s">
        <v>94</v>
      </c>
      <c r="EC24" s="2" t="str">
        <f>HYPERLINK(".\links\gpi\AGAP003282-PB-gpi.txt","Y-NoSP")</f>
        <v>Y-NoSP</v>
      </c>
      <c r="ED24" s="2">
        <v>0.34</v>
      </c>
      <c r="EF24" s="2">
        <v>13</v>
      </c>
      <c r="EG24" s="2" t="str">
        <f>HYPERLINK(".\links\pep\AGAP003282-PB-sulf.txt","1")</f>
        <v>1</v>
      </c>
      <c r="EH24" s="2" t="s">
        <v>94</v>
      </c>
      <c r="EI24" s="2">
        <v>19.154711128344299</v>
      </c>
      <c r="EJ24" s="2">
        <v>7.4447460255913098</v>
      </c>
      <c r="EK24" s="2">
        <v>9.6549050019387401</v>
      </c>
      <c r="EL24" s="2">
        <v>17.099651027530101</v>
      </c>
      <c r="EM24" s="2">
        <v>4</v>
      </c>
      <c r="EN24" s="2">
        <v>8</v>
      </c>
      <c r="EO24" s="2">
        <v>10</v>
      </c>
      <c r="EP24" s="2" t="s">
        <v>94</v>
      </c>
      <c r="EQ24" s="2" t="s">
        <v>94</v>
      </c>
      <c r="ER24" s="2" t="s">
        <v>94</v>
      </c>
      <c r="ES24" s="2" t="s">
        <v>94</v>
      </c>
      <c r="ET24" s="2" t="str">
        <f>HYPERLINK(".\links\REFSEQ-INVERTEBRATE\AGAP003282-PB-REFSEQ-INVERTEBRATE.txt","AGAP003282-PA")</f>
        <v>AGAP003282-PA</v>
      </c>
      <c r="EU24" s="2" t="str">
        <f>HYPERLINK("http://www.ncbi.nlm.nih.gov/sutils/blink.cgi?pid=XP_307790.5","0.0")</f>
        <v>0.0</v>
      </c>
      <c r="EV24" s="2" t="str">
        <f>HYPERLINK("http://www.ncbi.nlm.nih.gov/protein/XP_307790.5","XP_307790.5")</f>
        <v>XP_307790.5</v>
      </c>
      <c r="EW24" s="2">
        <v>100</v>
      </c>
      <c r="EX24" s="2">
        <v>100</v>
      </c>
      <c r="EY24" s="2">
        <v>100</v>
      </c>
      <c r="EZ24" s="2" t="s">
        <v>98</v>
      </c>
    </row>
    <row r="25" spans="1:156" x14ac:dyDescent="0.25">
      <c r="A25" s="2" t="s">
        <v>424</v>
      </c>
      <c r="B25" s="2">
        <v>1.4631129269126</v>
      </c>
      <c r="C25" s="2">
        <v>2.7570261036438959</v>
      </c>
      <c r="D25" s="2">
        <v>5.5424973086138296</v>
      </c>
      <c r="E25" s="2">
        <v>36.3722341493811</v>
      </c>
      <c r="F25" s="2">
        <v>1.63008967609735E-9</v>
      </c>
      <c r="G25" s="2">
        <v>1.40143255153206E-6</v>
      </c>
      <c r="H25" s="2" t="s">
        <v>167</v>
      </c>
      <c r="I25" s="2" t="s">
        <v>87</v>
      </c>
      <c r="J25" s="2" t="str">
        <f>HYPERLINK("https://vectorbase.org/vectorbase/app/record/gene/AGAP003738","AGAP003738-RA")</f>
        <v>AGAP003738-RA</v>
      </c>
      <c r="K25" s="2" t="str">
        <f>HYPERLINK(".\links\pep\AGAP003738-PA-pep.txt","AGAP003738-PA")</f>
        <v>AGAP003738-PA</v>
      </c>
      <c r="L25" s="8" t="s">
        <v>88</v>
      </c>
      <c r="M25" s="2">
        <v>1009</v>
      </c>
      <c r="N25" s="2">
        <v>0</v>
      </c>
      <c r="O25" s="2">
        <v>1</v>
      </c>
      <c r="P25" s="2" t="s">
        <v>94</v>
      </c>
      <c r="Q25" s="9" t="s">
        <v>425</v>
      </c>
      <c r="R25" s="2" t="s">
        <v>426</v>
      </c>
      <c r="S25" s="2" t="str">
        <f>HYPERLINK(".\links\CDD\AGAP003738-PA-CDD.txt","CDD")</f>
        <v>CDD</v>
      </c>
      <c r="T25" s="2">
        <v>9.0000000000000002E-64</v>
      </c>
      <c r="U25" s="2">
        <v>100</v>
      </c>
      <c r="V25" s="2" t="s">
        <v>427</v>
      </c>
      <c r="W25" s="10" t="s">
        <v>428</v>
      </c>
      <c r="X25" s="2" t="s">
        <v>426</v>
      </c>
      <c r="Y25" s="2" t="str">
        <f>HYPERLINK(".\links\ARTHORPODA\AGAP003738-PA-ARTHORPODA.txt","ARTHORPODA")</f>
        <v>ARTHORPODA</v>
      </c>
      <c r="Z25" s="13">
        <v>0</v>
      </c>
      <c r="AA25" s="2">
        <v>100</v>
      </c>
      <c r="AB25" s="11" t="str">
        <f>HYPERLINK(".\links\pep\AGAP003738-PA-sulf.txt","3")</f>
        <v>3</v>
      </c>
      <c r="AC25" s="11" t="str">
        <f>HYPERLINK(".\links\Sigp\AGAP003738-PA-SigP.txt","SIG")</f>
        <v>SIG</v>
      </c>
      <c r="AD25" s="2" t="s">
        <v>429</v>
      </c>
      <c r="AE25" s="2">
        <v>114.199</v>
      </c>
      <c r="AF25" s="2">
        <v>5.66</v>
      </c>
      <c r="AG25" s="2">
        <v>110.28</v>
      </c>
      <c r="AH25" s="2">
        <v>5.52</v>
      </c>
      <c r="AI25" s="2" t="s">
        <v>430</v>
      </c>
      <c r="AJ25" s="11" t="str">
        <f>HYPERLINK(".\links\tmhmm\AGAP003738-PA-tmhmm.txt","1")</f>
        <v>1</v>
      </c>
      <c r="AK25" s="2">
        <v>2.2000000000000002</v>
      </c>
      <c r="AL25" s="2">
        <v>96.5</v>
      </c>
      <c r="AM25" s="2">
        <v>1.3</v>
      </c>
      <c r="AN25" s="11" t="str">
        <f>HYPERLINK(".\links\gpi\AGAP003738-PA-gpi.txt","Y")</f>
        <v>Y</v>
      </c>
      <c r="AO25" s="12" t="str">
        <f>HYPERLINK(".\links\netoglyc\AGAP003738-PA-netoglyc.txt","5")</f>
        <v>5</v>
      </c>
      <c r="AP25" s="11">
        <v>13.2</v>
      </c>
      <c r="AQ25" s="2">
        <v>5.9</v>
      </c>
      <c r="AR25" s="2">
        <v>6.3</v>
      </c>
      <c r="AS25" s="2">
        <v>0.3</v>
      </c>
      <c r="AT25" s="9" t="str">
        <f>HYPERLINK(".\links\NR-LIGHT\AGAP003738-PA-NR-LIGHT.txt","AGAP003738-PA")</f>
        <v>AGAP003738-PA</v>
      </c>
      <c r="AU25" s="2" t="str">
        <f>HYPERLINK("http://www.ncbi.nlm.nih.gov/sutils/blink.cgi?pid=XP_310270.2","0.0")</f>
        <v>0.0</v>
      </c>
      <c r="AV25" s="2" t="str">
        <f>HYPERLINK("http://www.ncbi.nlm.nih.gov/protein/XP_310270.2","XP_310270.2")</f>
        <v>XP_310270.2</v>
      </c>
      <c r="AW25" s="2">
        <v>100</v>
      </c>
      <c r="AX25" s="2">
        <v>100</v>
      </c>
      <c r="AY25" s="2">
        <v>100</v>
      </c>
      <c r="AZ25" s="2" t="s">
        <v>98</v>
      </c>
      <c r="BA25" s="9" t="str">
        <f>HYPERLINK(".\links\REFSEQ-INVERTEBRATE\AGAP003738-PA-REFSEQ-INVERTEBRATE.txt","AGAP003738-PA")</f>
        <v>AGAP003738-PA</v>
      </c>
      <c r="BB25" s="2" t="str">
        <f>HYPERLINK("http://www.ncbi.nlm.nih.gov/sutils/blink.cgi?pid=XP_310270.2","0.0")</f>
        <v>0.0</v>
      </c>
      <c r="BC25" s="2" t="str">
        <f>HYPERLINK("http://www.ncbi.nlm.nih.gov/protein/XP_310270.2","XP_310270.2")</f>
        <v>XP_310270.2</v>
      </c>
      <c r="BD25" s="2">
        <v>100</v>
      </c>
      <c r="BE25" s="2">
        <v>100</v>
      </c>
      <c r="BF25" s="2">
        <v>100</v>
      </c>
      <c r="BG25" s="2" t="s">
        <v>98</v>
      </c>
      <c r="BH25" s="9" t="str">
        <f>HYPERLINK(".\links\REFSEQ-PROTOZOA\AGAP003738-PA-REFSEQ-PROTOZOA.txt","laccase 1")</f>
        <v>laccase 1</v>
      </c>
      <c r="BI25" s="2" t="str">
        <f>HYPERLINK("http://www.ncbi.nlm.nih.gov/sutils/blink.cgi?pid=XP_004993075.1","4E-029")</f>
        <v>4E-029</v>
      </c>
      <c r="BJ25" s="2" t="str">
        <f>HYPERLINK("http://www.ncbi.nlm.nih.gov/protein/XP_004993075.1","XP_004993075.1")</f>
        <v>XP_004993075.1</v>
      </c>
      <c r="BK25" s="2">
        <v>30</v>
      </c>
      <c r="BL25" s="2">
        <v>43</v>
      </c>
      <c r="BM25" s="2">
        <v>36</v>
      </c>
      <c r="BN25" s="2" t="s">
        <v>117</v>
      </c>
      <c r="BO25" s="9" t="str">
        <f>HYPERLINK(".\links\SWISSP\AGAP003738-PA-SWISSP.txt","Laccase-1")</f>
        <v>Laccase-1</v>
      </c>
      <c r="BP25" s="2" t="str">
        <f>HYPERLINK("http://www.uniprot.org/uniprot/J9VY90","2E-029")</f>
        <v>2E-029</v>
      </c>
      <c r="BQ25" s="2" t="str">
        <f>HYPERLINK("http://www.uniprot.org/uniprot/J9VY90#expression","J9VY90")</f>
        <v>J9VY90</v>
      </c>
      <c r="BR25" s="2">
        <v>41</v>
      </c>
      <c r="BS25" s="2">
        <v>56</v>
      </c>
      <c r="BT25" s="2">
        <v>27</v>
      </c>
      <c r="BU25" s="2" t="s">
        <v>431</v>
      </c>
      <c r="BV25" s="9" t="str">
        <f>HYPERLINK(".\links\FLYBASE\AGAP003738-PA-FLYBASE.txt","FBpp0292900")</f>
        <v>FBpp0292900</v>
      </c>
      <c r="BW25" s="2" t="str">
        <f>HYPERLINK("http://flybase.org/reports/FBgn0032116#alliance_summary_container","0.0")</f>
        <v>0.0</v>
      </c>
      <c r="BX25" s="2">
        <v>959</v>
      </c>
      <c r="BY25" s="2">
        <v>49</v>
      </c>
      <c r="BZ25" s="2">
        <v>64</v>
      </c>
      <c r="CA25" s="2">
        <v>93</v>
      </c>
      <c r="CB25" s="9" t="str">
        <f>HYPERLINK(".\links\CDD\AGAP003738-PA-CDD.txt","CuRO_3_tcLLC2_insect_like, The third cupredoxin domain of the insect laccases similar to laccase 2 in Tribolium castaneum")</f>
        <v>CuRO_3_tcLLC2_insect_like, The third cupredoxin domain of the insect laccases similar to laccase 2 in Tribolium castaneum</v>
      </c>
      <c r="CC25" s="13">
        <v>9.0000000000000002E-64</v>
      </c>
      <c r="CD25" s="2">
        <v>100</v>
      </c>
      <c r="CE25" s="2" t="s">
        <v>432</v>
      </c>
      <c r="CF25" s="2" t="s">
        <v>433</v>
      </c>
      <c r="CG25" s="9" t="str">
        <f>HYPERLINK(".\links\KOG\AGAP003738-PA-KOG.txt","Multicopper oxidases")</f>
        <v>Multicopper oxidases</v>
      </c>
      <c r="CH25" s="13">
        <v>1.9999999999999999E-60</v>
      </c>
      <c r="CI25" s="2">
        <v>68.400000000000006</v>
      </c>
      <c r="CJ25" s="2" t="s">
        <v>434</v>
      </c>
      <c r="CK25" s="2" t="s">
        <v>104</v>
      </c>
      <c r="CL25" s="9" t="str">
        <f>HYPERLINK(".\links\PFAM\AGAP003738-PA-PFAM.txt","Cu-oxidase_3, Multicopper oxidase")</f>
        <v>Cu-oxidase_3, Multicopper oxidase</v>
      </c>
      <c r="CM25" s="13">
        <v>6.0000000000000005E-42</v>
      </c>
      <c r="CN25" s="2">
        <v>92.4</v>
      </c>
      <c r="CO25" s="2" t="s">
        <v>435</v>
      </c>
      <c r="CP25" s="9" t="str">
        <f>HYPERLINK(".\links\SMART\AGAP003738-PA-SMART.txt","VWC, von Willebrand factor (vWF) type C domain")</f>
        <v>VWC, von Willebrand factor (vWF) type C domain</v>
      </c>
      <c r="CQ25" s="13">
        <v>1E-3</v>
      </c>
      <c r="CR25" s="2">
        <v>106.8</v>
      </c>
      <c r="CS25" s="2" t="s">
        <v>436</v>
      </c>
      <c r="CT25" s="2" t="s">
        <v>427</v>
      </c>
      <c r="CU25" s="2" t="s">
        <v>427</v>
      </c>
      <c r="CV25" s="2" t="s">
        <v>427</v>
      </c>
      <c r="CW25" s="2" t="str">
        <f>HYPERLINK(".\links\pep\AGAP003738-PA-pep.txt","AGAP003738-PA")</f>
        <v>AGAP003738-PA</v>
      </c>
      <c r="CX25" s="2" t="s">
        <v>88</v>
      </c>
      <c r="CY25" s="2">
        <v>1009</v>
      </c>
      <c r="CZ25" s="2" t="s">
        <v>106</v>
      </c>
      <c r="DA25" s="2" t="s">
        <v>437</v>
      </c>
      <c r="DB25" s="2">
        <v>0</v>
      </c>
      <c r="DC25" s="2">
        <v>1</v>
      </c>
      <c r="DD25" s="2" t="str">
        <f>HYPERLINK("https://www.kegg.jp/kegg-bin/search_pathway_text?map=aga&amp;keyword=AGAP003738&amp;mode=1&amp;viewImage=true","AGAP003738")</f>
        <v>AGAP003738</v>
      </c>
      <c r="DE25" s="2" t="s">
        <v>424</v>
      </c>
      <c r="DF25" s="2" t="s">
        <v>167</v>
      </c>
      <c r="DG25" s="2" t="s">
        <v>87</v>
      </c>
      <c r="DH25" s="2" t="str">
        <f>HYPERLINK("https://vectorbase.org/vectorbase/app/record/gene/AGAP003738","AGAP003738-RA")</f>
        <v>AGAP003738-RA</v>
      </c>
      <c r="DI25" s="2" t="s">
        <v>108</v>
      </c>
      <c r="DJ25" s="2">
        <v>3994</v>
      </c>
      <c r="DK25" s="2" t="str">
        <f>HYPERLINK(".\links\netoglyc\AGAP003738-PA-netoglyc.txt","5")</f>
        <v>5</v>
      </c>
      <c r="DL25" s="2">
        <v>13.2</v>
      </c>
      <c r="DM25" s="2">
        <v>5.9</v>
      </c>
      <c r="DN25" s="2">
        <v>6.3</v>
      </c>
      <c r="DO25" s="2">
        <v>0.3</v>
      </c>
      <c r="DP25" s="2" t="s">
        <v>438</v>
      </c>
      <c r="DQ25" s="2" t="str">
        <f>HYPERLINK(".\links\Sigp\AGAP003738-PA-SigP.txt","SIG")</f>
        <v>SIG</v>
      </c>
      <c r="DR25" s="2" t="s">
        <v>429</v>
      </c>
      <c r="DS25" s="2">
        <v>114.199</v>
      </c>
      <c r="DT25" s="2">
        <v>5.66</v>
      </c>
      <c r="DU25" s="2">
        <v>110.28</v>
      </c>
      <c r="DV25" s="2">
        <v>5.52</v>
      </c>
      <c r="DW25" s="2" t="s">
        <v>430</v>
      </c>
      <c r="DX25" s="2">
        <v>1009</v>
      </c>
      <c r="DY25" s="8" t="str">
        <f>HYPERLINK(".\links\tmhmm\AGAP003738-PA-tmhmm.txt","1")</f>
        <v>1</v>
      </c>
      <c r="DZ25" s="2">
        <v>2.2000000000000002</v>
      </c>
      <c r="EA25" s="2">
        <v>96.5</v>
      </c>
      <c r="EB25" s="2">
        <v>1.3</v>
      </c>
      <c r="EC25" s="2" t="str">
        <f>HYPERLINK(".\links\gpi\AGAP003738-PA-gpi.txt","Y-NoSP")</f>
        <v>Y-NoSP</v>
      </c>
      <c r="ED25" s="2">
        <v>0.22</v>
      </c>
      <c r="EF25" s="2">
        <v>43</v>
      </c>
      <c r="EG25" s="2" t="str">
        <f>HYPERLINK(".\links\pep\AGAP003738-PA-sulf.txt","3")</f>
        <v>3</v>
      </c>
      <c r="EH25" s="2" t="s">
        <v>94</v>
      </c>
      <c r="EI25" s="2">
        <v>13.181367690783</v>
      </c>
      <c r="EJ25" s="2">
        <v>6.3429137760158598</v>
      </c>
      <c r="EK25" s="2">
        <v>5.9464816650148702</v>
      </c>
      <c r="EL25" s="2">
        <v>12.289395441030701</v>
      </c>
      <c r="EM25" s="2">
        <v>4</v>
      </c>
      <c r="EN25" s="2">
        <v>1</v>
      </c>
      <c r="EO25" s="2">
        <v>5</v>
      </c>
      <c r="EP25" s="2" t="s">
        <v>94</v>
      </c>
      <c r="EQ25" s="2" t="s">
        <v>94</v>
      </c>
      <c r="ER25" s="2" t="s">
        <v>94</v>
      </c>
      <c r="ES25" s="2" t="s">
        <v>94</v>
      </c>
      <c r="ET25" s="2" t="str">
        <f>HYPERLINK(".\links\REFSEQ-INVERTEBRATE\AGAP003738-PA-REFSEQ-INVERTEBRATE.txt","AGAP003738-PA")</f>
        <v>AGAP003738-PA</v>
      </c>
      <c r="EU25" s="2" t="str">
        <f>HYPERLINK("http://www.ncbi.nlm.nih.gov/sutils/blink.cgi?pid=XP_310270.2","0.0")</f>
        <v>0.0</v>
      </c>
      <c r="EV25" s="2" t="str">
        <f>HYPERLINK("http://www.ncbi.nlm.nih.gov/protein/XP_310270.2","XP_310270.2")</f>
        <v>XP_310270.2</v>
      </c>
      <c r="EW25" s="2">
        <v>100</v>
      </c>
      <c r="EX25" s="2">
        <v>100</v>
      </c>
      <c r="EY25" s="2">
        <v>100</v>
      </c>
      <c r="EZ25" s="2" t="s">
        <v>98</v>
      </c>
    </row>
    <row r="26" spans="1:156" x14ac:dyDescent="0.25">
      <c r="A26" s="2" t="s">
        <v>439</v>
      </c>
      <c r="B26" s="2">
        <v>1.4532729285185499</v>
      </c>
      <c r="C26" s="2">
        <v>2.7382856050527669</v>
      </c>
      <c r="D26" s="2">
        <v>5.0652825036990796</v>
      </c>
      <c r="E26" s="2">
        <v>65.164612148101099</v>
      </c>
      <c r="F26" s="2">
        <v>6.8895687132809105E-16</v>
      </c>
      <c r="G26" s="2">
        <v>2.1718217107165898E-12</v>
      </c>
      <c r="H26" s="2" t="s">
        <v>167</v>
      </c>
      <c r="I26" s="2" t="s">
        <v>87</v>
      </c>
      <c r="J26" s="2" t="str">
        <f>HYPERLINK("https://vectorbase.org/vectorbase/app/record/gene/AGAP001515","AGAP001515-RA")</f>
        <v>AGAP001515-RA</v>
      </c>
      <c r="K26" s="2" t="str">
        <f>HYPERLINK(".\links\pep\AGAP001515-PA-pep.txt","AGAP001515-PA")</f>
        <v>AGAP001515-PA</v>
      </c>
      <c r="L26" s="8" t="s">
        <v>88</v>
      </c>
      <c r="M26" s="2">
        <v>190</v>
      </c>
      <c r="N26" s="2">
        <v>0</v>
      </c>
      <c r="O26" s="2">
        <v>0</v>
      </c>
      <c r="P26" s="2" t="s">
        <v>94</v>
      </c>
      <c r="Q26" s="9" t="s">
        <v>440</v>
      </c>
      <c r="R26" s="2" t="s">
        <v>238</v>
      </c>
      <c r="S26" s="2" t="str">
        <f>HYPERLINK(".\links\REFSEQ-INVERTEBRATE\AGAP001515-PA-REFSEQ-INVERTEBRATE.txt","REFSEQ-INVERTEBRATE")</f>
        <v>REFSEQ-INVERTEBRATE</v>
      </c>
      <c r="T26" s="2">
        <v>3.0000000000000001E-84</v>
      </c>
      <c r="U26" s="2">
        <v>100</v>
      </c>
      <c r="V26" s="2" t="s">
        <v>441</v>
      </c>
      <c r="W26" s="10" t="s">
        <v>442</v>
      </c>
      <c r="X26" s="2" t="s">
        <v>238</v>
      </c>
      <c r="Y26" s="2" t="str">
        <f>HYPERLINK(".\links\REFSEQ-INVERTEBRATE\AGAP001515-PA-REFSEQ-INVERTEBRATE.txt","REFSEQ-INVERTEBRATE")</f>
        <v>REFSEQ-INVERTEBRATE</v>
      </c>
      <c r="Z26" s="13">
        <v>0</v>
      </c>
      <c r="AA26" s="2">
        <v>91.1</v>
      </c>
      <c r="AB26" s="11" t="s">
        <v>94</v>
      </c>
      <c r="AC26" s="11" t="str">
        <f>HYPERLINK(".\links\Sigp\AGAP001515-PA-SigP.txt","CYT")</f>
        <v>CYT</v>
      </c>
      <c r="AD26" s="2" t="s">
        <v>94</v>
      </c>
      <c r="AE26" s="2">
        <v>21.622</v>
      </c>
      <c r="AF26" s="2">
        <v>9.0399999999999991</v>
      </c>
      <c r="AG26" s="2" t="s">
        <v>94</v>
      </c>
      <c r="AH26" s="2" t="s">
        <v>94</v>
      </c>
      <c r="AI26" s="2" t="s">
        <v>443</v>
      </c>
      <c r="AJ26" s="11">
        <v>0</v>
      </c>
      <c r="AK26" s="2" t="s">
        <v>94</v>
      </c>
      <c r="AL26" s="2" t="s">
        <v>94</v>
      </c>
      <c r="AM26" s="2" t="s">
        <v>94</v>
      </c>
      <c r="AN26" s="11" t="str">
        <f>HYPERLINK(".\links\gpi\AGAP001515-PA-gpi.txt","N")</f>
        <v>N</v>
      </c>
      <c r="AO26" s="12" t="str">
        <f>HYPERLINK(".\links\netoglyc\AGAP001515-PA-netoglyc.txt","1")</f>
        <v>1</v>
      </c>
      <c r="AP26" s="11">
        <v>10.5</v>
      </c>
      <c r="AQ26" s="2">
        <v>5.3</v>
      </c>
      <c r="AR26" s="2">
        <v>5.8</v>
      </c>
      <c r="AS26" s="2" t="s">
        <v>97</v>
      </c>
      <c r="AT26" s="9" t="str">
        <f>HYPERLINK(".\links\NR-LIGHT\AGAP001515-PA-NR-LIGHT.txt","AGAP001515-PA")</f>
        <v>AGAP001515-PA</v>
      </c>
      <c r="AU26" s="2" t="str">
        <f>HYPERLINK("http://www.ncbi.nlm.nih.gov/sutils/blink.cgi?pid=XP_551305.4","1E-104")</f>
        <v>1E-104</v>
      </c>
      <c r="AV26" s="2" t="str">
        <f>HYPERLINK("http://www.ncbi.nlm.nih.gov/protein/XP_551305.4","XP_551305.4")</f>
        <v>XP_551305.4</v>
      </c>
      <c r="AW26" s="2">
        <v>100</v>
      </c>
      <c r="AX26" s="2">
        <v>100</v>
      </c>
      <c r="AY26" s="2">
        <v>100</v>
      </c>
      <c r="AZ26" s="2" t="s">
        <v>98</v>
      </c>
      <c r="BA26" s="9" t="str">
        <f>HYPERLINK(".\links\REFSEQ-INVERTEBRATE\AGAP001515-PA-REFSEQ-INVERTEBRATE.txt","AGAP001515-PA")</f>
        <v>AGAP001515-PA</v>
      </c>
      <c r="BB26" s="2" t="str">
        <f>HYPERLINK("http://www.ncbi.nlm.nih.gov/sutils/blink.cgi?pid=XP_551305.4","1E-104")</f>
        <v>1E-104</v>
      </c>
      <c r="BC26" s="2" t="str">
        <f>HYPERLINK("http://www.ncbi.nlm.nih.gov/protein/XP_551305.4","XP_551305.4")</f>
        <v>XP_551305.4</v>
      </c>
      <c r="BD26" s="2">
        <v>100</v>
      </c>
      <c r="BE26" s="2">
        <v>100</v>
      </c>
      <c r="BF26" s="2">
        <v>100</v>
      </c>
      <c r="BG26" s="2" t="s">
        <v>98</v>
      </c>
      <c r="BH26" s="9" t="str">
        <f>HYPERLINK(".\links\REFSEQ-PROTOZOA\AGAP001515-PA-REFSEQ-PROTOZOA.txt","hypothetical protein AURANDRAFT_7936, partial")</f>
        <v>hypothetical protein AURANDRAFT_7936, partial</v>
      </c>
      <c r="BI26" s="2" t="str">
        <f>HYPERLINK("http://www.ncbi.nlm.nih.gov/sutils/blink.cgi?pid=XP_009036465.1","1E-008")</f>
        <v>1E-008</v>
      </c>
      <c r="BJ26" s="2" t="str">
        <f>HYPERLINK("http://www.ncbi.nlm.nih.gov/protein/XP_009036465.1","XP_009036465.1")</f>
        <v>XP_009036465.1</v>
      </c>
      <c r="BK26" s="2">
        <v>36</v>
      </c>
      <c r="BL26" s="2">
        <v>56</v>
      </c>
      <c r="BM26" s="2">
        <v>100</v>
      </c>
      <c r="BN26" s="2" t="s">
        <v>338</v>
      </c>
      <c r="BO26" s="9" t="str">
        <f>HYPERLINK(".\links\SWISSP\AGAP001515-PA-SWISSP.txt","Actin-binding Rho-activating protein")</f>
        <v>Actin-binding Rho-activating protein</v>
      </c>
      <c r="BP26" s="2" t="str">
        <f>HYPERLINK("http://www.uniprot.org/uniprot/Q8BUZ1","2E-023")</f>
        <v>2E-023</v>
      </c>
      <c r="BQ26" s="2" t="str">
        <f>HYPERLINK("http://www.uniprot.org/uniprot/Q8BUZ1#expression","Q8BUZ1")</f>
        <v>Q8BUZ1</v>
      </c>
      <c r="BR26" s="2">
        <v>46</v>
      </c>
      <c r="BS26" s="2">
        <v>63</v>
      </c>
      <c r="BT26" s="2">
        <v>36</v>
      </c>
      <c r="BU26" s="2" t="s">
        <v>339</v>
      </c>
      <c r="BV26" s="9" t="str">
        <f>HYPERLINK(".\links\FLYBASE\AGAP001515-PA-FLYBASE.txt","FBpp0302639")</f>
        <v>FBpp0302639</v>
      </c>
      <c r="BW26" s="2" t="str">
        <f>HYPERLINK("http://flybase.org/reports/FBgn0023540#alliance_summary_container","2E-74")</f>
        <v>2E-74</v>
      </c>
      <c r="BX26" s="2">
        <v>371</v>
      </c>
      <c r="BY26" s="2">
        <v>59</v>
      </c>
      <c r="BZ26" s="2">
        <v>76</v>
      </c>
      <c r="CA26" s="2">
        <v>51</v>
      </c>
      <c r="CB26" s="9" t="str">
        <f>HYPERLINK(".\links\CDD\AGAP001515-PA-CDD.txt","Costars, Costars")</f>
        <v>Costars, Costars</v>
      </c>
      <c r="CC26" s="13">
        <v>9.9999999999999996E-24</v>
      </c>
      <c r="CD26" s="2">
        <v>112</v>
      </c>
      <c r="CE26" s="2" t="s">
        <v>444</v>
      </c>
      <c r="CF26" s="2" t="s">
        <v>445</v>
      </c>
      <c r="CG26" s="9" t="str">
        <f>HYPERLINK(".\links\KOG\AGAP001515-PA-KOG.txt","Uncharacterized conserved protein")</f>
        <v>Uncharacterized conserved protein</v>
      </c>
      <c r="CH26" s="13">
        <v>6.0000000000000006E-39</v>
      </c>
      <c r="CI26" s="2">
        <v>77.099999999999994</v>
      </c>
      <c r="CJ26" s="2" t="s">
        <v>446</v>
      </c>
      <c r="CK26" s="2" t="s">
        <v>447</v>
      </c>
      <c r="CL26" s="9" t="str">
        <f>HYPERLINK(".\links\PFAM\AGAP001515-PA-PFAM.txt","Costars, Costars")</f>
        <v>Costars, Costars</v>
      </c>
      <c r="CM26" s="13">
        <v>3E-24</v>
      </c>
      <c r="CN26" s="2">
        <v>112</v>
      </c>
      <c r="CO26" s="2" t="s">
        <v>444</v>
      </c>
      <c r="CP26" s="9" t="str">
        <f>HYPERLINK(".\links\SMART\AGAP001515-PA-SMART.txt","TOP4c, DNA Topoisomerase IV")</f>
        <v>TOP4c, DNA Topoisomerase IV</v>
      </c>
      <c r="CQ26" s="13">
        <v>1.4</v>
      </c>
      <c r="CR26" s="2">
        <v>10.6</v>
      </c>
      <c r="CS26" s="2" t="s">
        <v>448</v>
      </c>
      <c r="CT26" s="2" t="s">
        <v>441</v>
      </c>
      <c r="CU26" s="2" t="s">
        <v>441</v>
      </c>
      <c r="CV26" s="2" t="s">
        <v>441</v>
      </c>
      <c r="CW26" s="2" t="str">
        <f>HYPERLINK(".\links\pep\AGAP001515-PA-pep.txt","AGAP001515-PA")</f>
        <v>AGAP001515-PA</v>
      </c>
      <c r="CX26" s="2" t="s">
        <v>88</v>
      </c>
      <c r="CY26" s="2">
        <v>190</v>
      </c>
      <c r="CZ26" s="2" t="s">
        <v>106</v>
      </c>
      <c r="DA26" s="2" t="s">
        <v>449</v>
      </c>
      <c r="DB26" s="2">
        <v>0</v>
      </c>
      <c r="DC26" s="2">
        <v>0</v>
      </c>
      <c r="DD26" s="2" t="str">
        <f>HYPERLINK("https://www.kegg.jp/kegg-bin/search_pathway_text?map=aga&amp;keyword=AGAP001515&amp;mode=1&amp;viewImage=true","AGAP001515")</f>
        <v>AGAP001515</v>
      </c>
      <c r="DE26" s="2" t="s">
        <v>439</v>
      </c>
      <c r="DF26" s="2" t="s">
        <v>167</v>
      </c>
      <c r="DG26" s="2" t="s">
        <v>87</v>
      </c>
      <c r="DH26" s="2" t="str">
        <f>HYPERLINK("https://vectorbase.org/vectorbase/app/record/gene/AGAP001515","AGAP001515-RA")</f>
        <v>AGAP001515-RA</v>
      </c>
      <c r="DI26" s="2" t="s">
        <v>143</v>
      </c>
      <c r="DJ26" s="2">
        <v>3079</v>
      </c>
      <c r="DK26" s="2" t="str">
        <f>HYPERLINK(".\links\netoglyc\AGAP001515-PA-netoglyc.txt","1")</f>
        <v>1</v>
      </c>
      <c r="DL26" s="2">
        <v>10.5</v>
      </c>
      <c r="DM26" s="2">
        <v>5.3</v>
      </c>
      <c r="DN26" s="2">
        <v>5.8</v>
      </c>
      <c r="DO26" s="2" t="s">
        <v>97</v>
      </c>
      <c r="DP26" s="2" t="s">
        <v>94</v>
      </c>
      <c r="DQ26" s="2" t="str">
        <f>HYPERLINK(".\links\Sigp\AGAP001515-PA-SigP.txt","CYT")</f>
        <v>CYT</v>
      </c>
      <c r="DR26" s="2" t="s">
        <v>94</v>
      </c>
      <c r="DS26" s="2">
        <v>21.622</v>
      </c>
      <c r="DT26" s="2">
        <v>9.0399999999999991</v>
      </c>
      <c r="DU26" s="2" t="s">
        <v>94</v>
      </c>
      <c r="DV26" s="2" t="s">
        <v>94</v>
      </c>
      <c r="DW26" s="2" t="s">
        <v>443</v>
      </c>
      <c r="DX26" s="2">
        <v>190</v>
      </c>
      <c r="DY26" s="8">
        <v>0</v>
      </c>
      <c r="DZ26" s="2" t="s">
        <v>94</v>
      </c>
      <c r="EA26" s="2" t="s">
        <v>94</v>
      </c>
      <c r="EB26" s="2" t="s">
        <v>94</v>
      </c>
      <c r="EC26" s="2" t="str">
        <f>HYPERLINK(".\links\gpi\AGAP001515-PA-gpi.txt","N")</f>
        <v>N</v>
      </c>
      <c r="ED26" s="2">
        <v>0.2</v>
      </c>
      <c r="EF26" s="2">
        <v>2</v>
      </c>
      <c r="EG26" s="2" t="s">
        <v>94</v>
      </c>
      <c r="EH26" s="2" t="s">
        <v>94</v>
      </c>
      <c r="EI26" s="2">
        <v>10.526315789473699</v>
      </c>
      <c r="EJ26" s="2">
        <v>5.7894736842105301</v>
      </c>
      <c r="EK26" s="2">
        <v>5.2631578947368398</v>
      </c>
      <c r="EL26" s="2">
        <v>11.0526315789474</v>
      </c>
      <c r="EM26" s="2" t="s">
        <v>94</v>
      </c>
      <c r="EN26" s="2" t="s">
        <v>94</v>
      </c>
      <c r="EO26" s="2" t="s">
        <v>94</v>
      </c>
      <c r="EP26" s="2" t="s">
        <v>94</v>
      </c>
      <c r="EQ26" s="2" t="s">
        <v>94</v>
      </c>
      <c r="ER26" s="2" t="s">
        <v>94</v>
      </c>
      <c r="ES26" s="2" t="s">
        <v>94</v>
      </c>
      <c r="ET26" s="2" t="str">
        <f>HYPERLINK(".\links\REFSEQ-INVERTEBRATE\AGAP001515-PA-REFSEQ-INVERTEBRATE.txt","AGAP001515-PA")</f>
        <v>AGAP001515-PA</v>
      </c>
      <c r="EU26" s="2" t="str">
        <f>HYPERLINK("http://www.ncbi.nlm.nih.gov/sutils/blink.cgi?pid=XP_551305.4","1E-140")</f>
        <v>1E-140</v>
      </c>
      <c r="EV26" s="2" t="str">
        <f>HYPERLINK("http://www.ncbi.nlm.nih.gov/protein/XP_551305.4","XP_551305.4")</f>
        <v>XP_551305.4</v>
      </c>
      <c r="EW26" s="2">
        <v>100</v>
      </c>
      <c r="EX26" s="2">
        <v>100</v>
      </c>
      <c r="EY26" s="2">
        <v>100</v>
      </c>
      <c r="EZ26" s="2" t="s">
        <v>98</v>
      </c>
    </row>
    <row r="27" spans="1:156" x14ac:dyDescent="0.25">
      <c r="A27" s="2" t="s">
        <v>450</v>
      </c>
      <c r="B27" s="2">
        <v>1.44175794305472</v>
      </c>
      <c r="C27" s="2">
        <v>2.7165167507209609</v>
      </c>
      <c r="D27" s="2">
        <v>4.6029026423708599</v>
      </c>
      <c r="E27" s="2">
        <v>26.3253041151704</v>
      </c>
      <c r="F27" s="2">
        <v>2.8848413503835102E-7</v>
      </c>
      <c r="G27" s="2">
        <v>9.0939815501922994E-5</v>
      </c>
      <c r="H27" s="2" t="s">
        <v>451</v>
      </c>
      <c r="I27" s="2" t="s">
        <v>87</v>
      </c>
      <c r="J27" s="2" t="str">
        <f>HYPERLINK("https://vectorbase.org/vectorbase/app/record/gene/AGAP004119","AGAP004119-RA")</f>
        <v>AGAP004119-RA</v>
      </c>
      <c r="K27" s="2" t="str">
        <f>HYPERLINK(".\links\pep\AGAP004119-PA-pep.txt","AGAP004119-PA")</f>
        <v>AGAP004119-PA</v>
      </c>
      <c r="L27" s="8" t="s">
        <v>88</v>
      </c>
      <c r="M27" s="2">
        <v>1164</v>
      </c>
      <c r="N27" s="2">
        <v>0</v>
      </c>
      <c r="O27" s="2">
        <v>2</v>
      </c>
      <c r="P27" s="2" t="s">
        <v>452</v>
      </c>
      <c r="Q27" s="9" t="s">
        <v>453</v>
      </c>
      <c r="R27" s="2" t="s">
        <v>318</v>
      </c>
      <c r="S27" s="2" t="str">
        <f>HYPERLINK(".\links\KOG\AGAP004119-PA-KOG.txt","KOG")</f>
        <v>KOG</v>
      </c>
      <c r="T27" s="2">
        <v>3.9999999999999998E-38</v>
      </c>
      <c r="U27" s="2">
        <v>64.599999999999994</v>
      </c>
      <c r="V27" s="2" t="s">
        <v>454</v>
      </c>
      <c r="W27" s="10" t="s">
        <v>455</v>
      </c>
      <c r="X27" s="2" t="s">
        <v>347</v>
      </c>
      <c r="Y27" s="2" t="str">
        <f>HYPERLINK(".\links\KOG\AGAP004119-PA-KOG.txt","KOG")</f>
        <v>KOG</v>
      </c>
      <c r="Z27" s="2">
        <v>0</v>
      </c>
      <c r="AA27" s="2">
        <v>107</v>
      </c>
      <c r="AB27" s="11" t="s">
        <v>94</v>
      </c>
      <c r="AC27" s="11" t="str">
        <f>HYPERLINK(".\links\Sigp\AGAP004119-PA-SigP.txt","CYT")</f>
        <v>CYT</v>
      </c>
      <c r="AD27" s="2" t="s">
        <v>94</v>
      </c>
      <c r="AE27" s="2">
        <v>129.893</v>
      </c>
      <c r="AF27" s="2">
        <v>5.54</v>
      </c>
      <c r="AG27" s="2" t="s">
        <v>94</v>
      </c>
      <c r="AH27" s="2" t="s">
        <v>94</v>
      </c>
      <c r="AI27" s="2" t="s">
        <v>390</v>
      </c>
      <c r="AJ27" s="11">
        <v>0</v>
      </c>
      <c r="AK27" s="2" t="s">
        <v>94</v>
      </c>
      <c r="AL27" s="2" t="s">
        <v>94</v>
      </c>
      <c r="AM27" s="2" t="s">
        <v>94</v>
      </c>
      <c r="AN27" s="11" t="str">
        <f>HYPERLINK(".\links\gpi\AGAP004119-PA-gpi.txt","N")</f>
        <v>N</v>
      </c>
      <c r="AO27" s="12" t="str">
        <f>HYPERLINK(".\links\netoglyc\AGAP004119-PA-netoglyc.txt","9")</f>
        <v>9</v>
      </c>
      <c r="AP27" s="11">
        <v>15.1</v>
      </c>
      <c r="AQ27" s="2">
        <v>4.8</v>
      </c>
      <c r="AR27" s="2">
        <v>5.2</v>
      </c>
      <c r="AS27" s="2" t="s">
        <v>97</v>
      </c>
      <c r="AT27" s="9" t="str">
        <f>HYPERLINK(".\links\NR-LIGHT\AGAP004119-PA-NR-LIGHT.txt","AGAP004119-PA")</f>
        <v>AGAP004119-PA</v>
      </c>
      <c r="AU27" s="2" t="str">
        <f>HYPERLINK("http://www.ncbi.nlm.nih.gov/sutils/blink.cgi?pid=XP_312997.5","0.0")</f>
        <v>0.0</v>
      </c>
      <c r="AV27" s="2" t="str">
        <f>HYPERLINK("http://www.ncbi.nlm.nih.gov/protein/XP_312997.5","XP_312997.5")</f>
        <v>XP_312997.5</v>
      </c>
      <c r="AW27" s="2">
        <v>97</v>
      </c>
      <c r="AX27" s="2">
        <v>97</v>
      </c>
      <c r="AY27" s="2">
        <v>101</v>
      </c>
      <c r="AZ27" s="2" t="s">
        <v>98</v>
      </c>
      <c r="BA27" s="9" t="str">
        <f>HYPERLINK(".\links\REFSEQ-INVERTEBRATE\AGAP004119-PA-REFSEQ-INVERTEBRATE.txt","AGAP004119-PA")</f>
        <v>AGAP004119-PA</v>
      </c>
      <c r="BB27" s="2" t="str">
        <f>HYPERLINK("http://www.ncbi.nlm.nih.gov/sutils/blink.cgi?pid=XP_312997.5","0.0")</f>
        <v>0.0</v>
      </c>
      <c r="BC27" s="2" t="str">
        <f>HYPERLINK("http://www.ncbi.nlm.nih.gov/protein/XP_312997.5","XP_312997.5")</f>
        <v>XP_312997.5</v>
      </c>
      <c r="BD27" s="2">
        <v>97</v>
      </c>
      <c r="BE27" s="2">
        <v>97</v>
      </c>
      <c r="BF27" s="2">
        <v>101</v>
      </c>
      <c r="BG27" s="2" t="s">
        <v>98</v>
      </c>
      <c r="BH27" s="9" t="str">
        <f>HYPERLINK(".\links\REFSEQ-PROTOZOA\AGAP004119-PA-REFSEQ-PROTOZOA.txt","cyclic nucleotide phosphodiesterase")</f>
        <v>cyclic nucleotide phosphodiesterase</v>
      </c>
      <c r="BI27" s="2" t="str">
        <f>HYPERLINK("http://www.ncbi.nlm.nih.gov/sutils/blink.cgi?pid=XP_004996423.1","1E-123")</f>
        <v>1E-123</v>
      </c>
      <c r="BJ27" s="2" t="str">
        <f>HYPERLINK("http://www.ncbi.nlm.nih.gov/protein/XP_004996423.1","XP_004996423.1")</f>
        <v>XP_004996423.1</v>
      </c>
      <c r="BK27" s="2">
        <v>38</v>
      </c>
      <c r="BL27" s="2">
        <v>55</v>
      </c>
      <c r="BM27" s="2">
        <v>68</v>
      </c>
      <c r="BN27" s="2" t="s">
        <v>117</v>
      </c>
      <c r="BO27" s="9" t="str">
        <f>HYPERLINK(".\links\SWISSP\AGAP004119-PA-SWISSP.txt","cGMP-specific 3',5'-cyclic phosphodiesterase")</f>
        <v>cGMP-specific 3',5'-cyclic phosphodiesterase</v>
      </c>
      <c r="BP27" s="2" t="str">
        <f>HYPERLINK("http://www.uniprot.org/uniprot/Q9VFI9","0.0")</f>
        <v>0.0</v>
      </c>
      <c r="BQ27" s="2" t="str">
        <f>HYPERLINK("http://www.uniprot.org/uniprot/Q9VFI9#expression","Q9VFI9")</f>
        <v>Q9VFI9</v>
      </c>
      <c r="BR27" s="2">
        <v>66</v>
      </c>
      <c r="BS27" s="2">
        <v>76</v>
      </c>
      <c r="BT27" s="2">
        <v>99</v>
      </c>
      <c r="BU27" s="2" t="s">
        <v>100</v>
      </c>
      <c r="BV27" s="9" t="str">
        <f>HYPERLINK(".\links\FLYBASE\AGAP004119-PA-FLYBASE.txt","FBpp0303081")</f>
        <v>FBpp0303081</v>
      </c>
      <c r="BW27" s="2" t="str">
        <f>HYPERLINK("http://flybase.org/reports/FBgn0038237#alliance_summary_container","0.0")</f>
        <v>0.0</v>
      </c>
      <c r="BX27" s="2">
        <v>1124</v>
      </c>
      <c r="BY27" s="2">
        <v>66</v>
      </c>
      <c r="BZ27" s="2">
        <v>75</v>
      </c>
      <c r="CA27" s="2">
        <v>97</v>
      </c>
      <c r="CB27" s="9" t="str">
        <f>HYPERLINK(".\links\CDD\AGAP004119-PA-CDD.txt","PDEase_I, 3'5'-cyclic nucleotide phosphodiesterase")</f>
        <v>PDEase_I, 3'5'-cyclic nucleotide phosphodiesterase</v>
      </c>
      <c r="CC27" s="13">
        <v>9.9999999999999999E-93</v>
      </c>
      <c r="CD27" s="2">
        <v>100.9</v>
      </c>
      <c r="CE27" s="2" t="s">
        <v>456</v>
      </c>
      <c r="CF27" s="2" t="s">
        <v>457</v>
      </c>
      <c r="CG27" s="9" t="str">
        <f>HYPERLINK(".\links\KOG\AGAP004119-PA-KOG.txt","Cyclic nucleotide phosphodiesterase")</f>
        <v>Cyclic nucleotide phosphodiesterase</v>
      </c>
      <c r="CH27" s="13">
        <v>0</v>
      </c>
      <c r="CI27" s="2">
        <v>108.2</v>
      </c>
      <c r="CJ27" s="2" t="s">
        <v>325</v>
      </c>
      <c r="CK27" s="2" t="s">
        <v>326</v>
      </c>
      <c r="CL27" s="9" t="str">
        <f>HYPERLINK(".\links\PFAM\AGAP004119-PA-PFAM.txt","PDEase_I, 3'5'-cyclic nucleotide phosphodiesterase")</f>
        <v>PDEase_I, 3'5'-cyclic nucleotide phosphodiesterase</v>
      </c>
      <c r="CM27" s="13">
        <v>3.0000000000000001E-93</v>
      </c>
      <c r="CN27" s="2">
        <v>100.9</v>
      </c>
      <c r="CO27" s="2" t="s">
        <v>456</v>
      </c>
      <c r="CP27" s="9" t="str">
        <f>HYPERLINK(".\links\SMART\AGAP004119-PA-SMART.txt","GAF, Domain present in phytochromes and cGMP-specific phosphodiesterases")</f>
        <v>GAF, Domain present in phytochromes and cGMP-specific phosphodiesterases</v>
      </c>
      <c r="CQ27" s="13">
        <v>1.9999999999999999E-20</v>
      </c>
      <c r="CR27" s="2">
        <v>107.4</v>
      </c>
      <c r="CS27" s="2" t="s">
        <v>323</v>
      </c>
      <c r="CT27" s="2" t="s">
        <v>454</v>
      </c>
      <c r="CU27" s="2" t="s">
        <v>454</v>
      </c>
      <c r="CV27" s="2" t="s">
        <v>454</v>
      </c>
      <c r="CW27" s="2" t="str">
        <f>HYPERLINK(".\links\pep\AGAP004119-PA-pep.txt","AGAP004119-PA")</f>
        <v>AGAP004119-PA</v>
      </c>
      <c r="CX27" s="2" t="s">
        <v>88</v>
      </c>
      <c r="CY27" s="2">
        <v>1164</v>
      </c>
      <c r="CZ27" s="2" t="s">
        <v>106</v>
      </c>
      <c r="DA27" s="2" t="s">
        <v>458</v>
      </c>
      <c r="DB27" s="2">
        <v>0</v>
      </c>
      <c r="DC27" s="2">
        <v>2</v>
      </c>
      <c r="DD27" s="2" t="str">
        <f>HYPERLINK("https://www.kegg.jp/kegg-bin/search_pathway_text?map=aga&amp;keyword=AGAP004119&amp;mode=1&amp;viewImage=true","AGAP004119")</f>
        <v>AGAP004119</v>
      </c>
      <c r="DE27" s="2" t="s">
        <v>450</v>
      </c>
      <c r="DF27" s="2" t="s">
        <v>451</v>
      </c>
      <c r="DG27" s="2" t="s">
        <v>87</v>
      </c>
      <c r="DH27" s="2" t="str">
        <f>HYPERLINK("https://vectorbase.org/vectorbase/app/record/gene/AGAP004119","AGAP004119-RA")</f>
        <v>AGAP004119-RA</v>
      </c>
      <c r="DI27" s="2" t="s">
        <v>108</v>
      </c>
      <c r="DJ27" s="2">
        <v>5433</v>
      </c>
      <c r="DK27" s="2" t="str">
        <f>HYPERLINK(".\links\netoglyc\AGAP004119-PA-netoglyc.txt","9")</f>
        <v>9</v>
      </c>
      <c r="DL27" s="2">
        <v>15.1</v>
      </c>
      <c r="DM27" s="2">
        <v>4.8</v>
      </c>
      <c r="DN27" s="2">
        <v>5.2</v>
      </c>
      <c r="DO27" s="2" t="s">
        <v>97</v>
      </c>
      <c r="DP27" s="2" t="s">
        <v>94</v>
      </c>
      <c r="DQ27" s="2" t="str">
        <f>HYPERLINK(".\links\Sigp\AGAP004119-PA-SigP.txt","CYT")</f>
        <v>CYT</v>
      </c>
      <c r="DR27" s="2" t="s">
        <v>94</v>
      </c>
      <c r="DS27" s="2">
        <v>129.893</v>
      </c>
      <c r="DT27" s="2">
        <v>5.54</v>
      </c>
      <c r="DU27" s="2" t="s">
        <v>94</v>
      </c>
      <c r="DV27" s="2" t="s">
        <v>94</v>
      </c>
      <c r="DW27" s="2" t="s">
        <v>390</v>
      </c>
      <c r="DX27" s="2">
        <v>1164</v>
      </c>
      <c r="DY27" s="8">
        <v>0</v>
      </c>
      <c r="DZ27" s="2" t="s">
        <v>94</v>
      </c>
      <c r="EA27" s="2" t="s">
        <v>94</v>
      </c>
      <c r="EB27" s="2" t="s">
        <v>94</v>
      </c>
      <c r="EC27" s="2" t="str">
        <f>HYPERLINK(".\links\gpi\AGAP004119-PA-gpi.txt","Y-NoSP")</f>
        <v>Y-NoSP</v>
      </c>
      <c r="ED27" s="2">
        <v>0.12</v>
      </c>
      <c r="EF27" s="2">
        <v>29</v>
      </c>
      <c r="EG27" s="2" t="s">
        <v>94</v>
      </c>
      <c r="EH27" s="2" t="s">
        <v>94</v>
      </c>
      <c r="EI27" s="2">
        <v>15.1202749140893</v>
      </c>
      <c r="EJ27" s="2">
        <v>5.1546391752577296</v>
      </c>
      <c r="EK27" s="2">
        <v>4.8109965635738803</v>
      </c>
      <c r="EL27" s="2">
        <v>9.9656357388316206</v>
      </c>
      <c r="EM27" s="2" t="s">
        <v>94</v>
      </c>
      <c r="EN27" s="2" t="s">
        <v>94</v>
      </c>
      <c r="EO27" s="2">
        <v>2</v>
      </c>
      <c r="EP27" s="2" t="s">
        <v>94</v>
      </c>
      <c r="EQ27" s="2" t="s">
        <v>94</v>
      </c>
      <c r="ER27" s="2" t="s">
        <v>94</v>
      </c>
      <c r="ES27" s="2" t="s">
        <v>94</v>
      </c>
      <c r="ET27" s="2" t="str">
        <f>HYPERLINK(".\links\REFSEQ-INVERTEBRATE\AGAP004119-PA-REFSEQ-INVERTEBRATE.txt","AGAP004119-PA")</f>
        <v>AGAP004119-PA</v>
      </c>
      <c r="EU27" s="2" t="str">
        <f>HYPERLINK("http://www.ncbi.nlm.nih.gov/sutils/blink.cgi?pid=XP_312997.5","0.0")</f>
        <v>0.0</v>
      </c>
      <c r="EV27" s="2" t="str">
        <f>HYPERLINK("http://www.ncbi.nlm.nih.gov/protein/XP_312997.5","XP_312997.5")</f>
        <v>XP_312997.5</v>
      </c>
      <c r="EW27" s="2">
        <v>97</v>
      </c>
      <c r="EX27" s="2">
        <v>97</v>
      </c>
      <c r="EY27" s="2">
        <v>101</v>
      </c>
      <c r="EZ27" s="2" t="s">
        <v>98</v>
      </c>
    </row>
    <row r="28" spans="1:156" x14ac:dyDescent="0.25">
      <c r="A28" s="2" t="s">
        <v>459</v>
      </c>
      <c r="B28" s="2">
        <v>1.4204944250968701</v>
      </c>
      <c r="C28" s="2">
        <v>2.6767723073264964</v>
      </c>
      <c r="D28" s="2">
        <v>2.1137186004433102</v>
      </c>
      <c r="E28" s="2">
        <v>21.7336183726573</v>
      </c>
      <c r="F28" s="2">
        <v>3.1325333014271999E-6</v>
      </c>
      <c r="G28" s="2">
        <v>5.19725744413983E-4</v>
      </c>
      <c r="H28" s="2" t="s">
        <v>167</v>
      </c>
      <c r="I28" s="2" t="s">
        <v>87</v>
      </c>
      <c r="J28" s="2" t="str">
        <f>HYPERLINK("https://vectorbase.org/vectorbase/app/record/gene/AGAP005305","AGAP005305-RA")</f>
        <v>AGAP005305-RA</v>
      </c>
      <c r="K28" s="2" t="str">
        <f>HYPERLINK(".\links\pep\AGAP005305-PA-pep.txt","AGAP005305-PA")</f>
        <v>AGAP005305-PA</v>
      </c>
      <c r="L28" s="8" t="s">
        <v>88</v>
      </c>
      <c r="M28" s="2">
        <v>1062</v>
      </c>
      <c r="N28" s="2">
        <v>0</v>
      </c>
      <c r="O28" s="2">
        <v>1</v>
      </c>
      <c r="P28" s="2" t="s">
        <v>94</v>
      </c>
      <c r="Q28" s="9" t="s">
        <v>460</v>
      </c>
      <c r="R28" s="2" t="s">
        <v>253</v>
      </c>
      <c r="S28" s="2" t="str">
        <f>HYPERLINK(".\links\REFSEQ-INVERTEBRATE\AGAP005305-PA-REFSEQ-INVERTEBRATE.txt","REFSEQ-INVERTEBRATE")</f>
        <v>REFSEQ-INVERTEBRATE</v>
      </c>
      <c r="T28" s="2">
        <v>0</v>
      </c>
      <c r="U28" s="2">
        <v>102.7</v>
      </c>
      <c r="V28" s="2" t="s">
        <v>461</v>
      </c>
      <c r="W28" s="10" t="s">
        <v>462</v>
      </c>
      <c r="X28" s="2" t="s">
        <v>318</v>
      </c>
      <c r="Y28" s="2" t="str">
        <f>HYPERLINK(".\links\CDD\AGAP005305-PA-CDD.txt","CDD")</f>
        <v>CDD</v>
      </c>
      <c r="Z28" s="13">
        <v>1.9999999999999999E-39</v>
      </c>
      <c r="AA28" s="2">
        <v>102.2</v>
      </c>
      <c r="AB28" s="11" t="s">
        <v>94</v>
      </c>
      <c r="AC28" s="11" t="str">
        <f>HYPERLINK(".\links\Sigp\AGAP005305-PA-SigP.txt","CYT")</f>
        <v>CYT</v>
      </c>
      <c r="AD28" s="2" t="s">
        <v>94</v>
      </c>
      <c r="AE28" s="2">
        <v>116.99299999999999</v>
      </c>
      <c r="AF28" s="2">
        <v>5.52</v>
      </c>
      <c r="AG28" s="2" t="s">
        <v>94</v>
      </c>
      <c r="AH28" s="2" t="s">
        <v>94</v>
      </c>
      <c r="AI28" s="2" t="s">
        <v>463</v>
      </c>
      <c r="AJ28" s="11">
        <v>0</v>
      </c>
      <c r="AK28" s="2" t="s">
        <v>94</v>
      </c>
      <c r="AL28" s="2" t="s">
        <v>94</v>
      </c>
      <c r="AM28" s="2" t="s">
        <v>94</v>
      </c>
      <c r="AN28" s="11" t="str">
        <f>HYPERLINK(".\links\gpi\AGAP005305-PA-gpi.txt","N")</f>
        <v>N</v>
      </c>
      <c r="AO28" s="12" t="str">
        <f>HYPERLINK(".\links\netoglyc\AGAP005305-PA-netoglyc.txt","16")</f>
        <v>16</v>
      </c>
      <c r="AP28" s="11">
        <v>13.8</v>
      </c>
      <c r="AQ28" s="2">
        <v>8.1</v>
      </c>
      <c r="AR28" s="2">
        <v>5.5</v>
      </c>
      <c r="AS28" s="2">
        <v>0.6</v>
      </c>
      <c r="AT28" s="9" t="str">
        <f>HYPERLINK(".\links\NR-LIGHT\AGAP005305-PA-NR-LIGHT.txt","AGAP005305-PA")</f>
        <v>AGAP005305-PA</v>
      </c>
      <c r="AU28" s="2" t="str">
        <f>HYPERLINK("http://www.ncbi.nlm.nih.gov/sutils/blink.cgi?pid=XP_309097.4","0.0")</f>
        <v>0.0</v>
      </c>
      <c r="AV28" s="2" t="str">
        <f>HYPERLINK("http://www.ncbi.nlm.nih.gov/protein/XP_309097.4","XP_309097.4")</f>
        <v>XP_309097.4</v>
      </c>
      <c r="AW28" s="2">
        <v>96</v>
      </c>
      <c r="AX28" s="2">
        <v>96</v>
      </c>
      <c r="AY28" s="2">
        <v>103</v>
      </c>
      <c r="AZ28" s="2" t="s">
        <v>98</v>
      </c>
      <c r="BA28" s="9" t="str">
        <f>HYPERLINK(".\links\REFSEQ-INVERTEBRATE\AGAP005305-PA-REFSEQ-INVERTEBRATE.txt","AGAP005305-PA")</f>
        <v>AGAP005305-PA</v>
      </c>
      <c r="BB28" s="2" t="str">
        <f>HYPERLINK("http://www.ncbi.nlm.nih.gov/sutils/blink.cgi?pid=XP_309097.4","0.0")</f>
        <v>0.0</v>
      </c>
      <c r="BC28" s="2" t="str">
        <f>HYPERLINK("http://www.ncbi.nlm.nih.gov/protein/XP_309097.4","XP_309097.4")</f>
        <v>XP_309097.4</v>
      </c>
      <c r="BD28" s="2">
        <v>96</v>
      </c>
      <c r="BE28" s="2">
        <v>96</v>
      </c>
      <c r="BF28" s="2">
        <v>103</v>
      </c>
      <c r="BG28" s="2" t="s">
        <v>98</v>
      </c>
      <c r="BH28" s="9" t="str">
        <f>HYPERLINK(".\links\REFSEQ-PROTOZOA\AGAP005305-PA-REFSEQ-PROTOZOA.txt","SPRY domain-containing protein, putative")</f>
        <v>SPRY domain-containing protein, putative</v>
      </c>
      <c r="BI28" s="2" t="str">
        <f>HYPERLINK("http://www.ncbi.nlm.nih.gov/sutils/blink.cgi?pid=XP_013333506.1","2E-037")</f>
        <v>2E-037</v>
      </c>
      <c r="BJ28" s="2" t="str">
        <f>HYPERLINK("http://www.ncbi.nlm.nih.gov/protein/XP_013333506.1","XP_013333506.1")</f>
        <v>XP_013333506.1</v>
      </c>
      <c r="BK28" s="2">
        <v>25</v>
      </c>
      <c r="BL28" s="2">
        <v>48</v>
      </c>
      <c r="BM28" s="2">
        <v>58</v>
      </c>
      <c r="BN28" s="2" t="s">
        <v>464</v>
      </c>
      <c r="BO28" s="9" t="str">
        <f>HYPERLINK(".\links\SWISSP\AGAP005305-PA-SWISSP.txt","Heterogeneous nuclear ribonucleoprotein U")</f>
        <v>Heterogeneous nuclear ribonucleoprotein U</v>
      </c>
      <c r="BP28" s="2" t="str">
        <f>HYPERLINK("http://www.uniprot.org/uniprot/Q6IMY8","2E-049")</f>
        <v>2E-049</v>
      </c>
      <c r="BQ28" s="2" t="str">
        <f>HYPERLINK("http://www.uniprot.org/uniprot/Q6IMY8#expression","Q6IMY8")</f>
        <v>Q6IMY8</v>
      </c>
      <c r="BR28" s="2">
        <v>35</v>
      </c>
      <c r="BS28" s="2">
        <v>54</v>
      </c>
      <c r="BT28" s="2">
        <v>45</v>
      </c>
      <c r="BU28" s="2" t="s">
        <v>177</v>
      </c>
      <c r="BV28" s="9" t="str">
        <f>HYPERLINK(".\links\FLYBASE\AGAP005305-PA-FLYBASE.txt","FBpp0085841")</f>
        <v>FBpp0085841</v>
      </c>
      <c r="BW28" s="2" t="str">
        <f>HYPERLINK("http://flybase.org/reports/FBgn0050122#alliance_summary_container","5E-76")</f>
        <v>5E-76</v>
      </c>
      <c r="BX28" s="2">
        <v>1271</v>
      </c>
      <c r="BY28" s="2">
        <v>33</v>
      </c>
      <c r="BZ28" s="2">
        <v>48</v>
      </c>
      <c r="CA28" s="2">
        <v>48</v>
      </c>
      <c r="CB28" s="9" t="str">
        <f>HYPERLINK(".\links\CDD\AGAP005305-PA-CDD.txt","SPRY_hnRNP, SPRY domain in heterogeneous nuclear ribonucleoprotein U-like (hnRNP) protein 1")</f>
        <v>SPRY_hnRNP, SPRY domain in heterogeneous nuclear ribonucleoprotein U-like (hnRNP) protein 1</v>
      </c>
      <c r="CC28" s="13">
        <v>9.0000000000000002E-59</v>
      </c>
      <c r="CD28" s="2">
        <v>102.3</v>
      </c>
      <c r="CE28" s="2" t="s">
        <v>465</v>
      </c>
      <c r="CF28" s="2" t="s">
        <v>466</v>
      </c>
      <c r="CG28" s="9" t="str">
        <f>HYPERLINK(".\links\KOG\AGAP005305-PA-KOG.txt","Putative DEAD-box RNA helicase DDX1")</f>
        <v>Putative DEAD-box RNA helicase DDX1</v>
      </c>
      <c r="CH28" s="13">
        <v>5.0000000000000004E-19</v>
      </c>
      <c r="CI28" s="2">
        <v>25.7</v>
      </c>
      <c r="CJ28" s="2" t="s">
        <v>467</v>
      </c>
      <c r="CK28" s="2" t="s">
        <v>372</v>
      </c>
      <c r="CL28" s="9" t="str">
        <f>HYPERLINK(".\links\PFAM\AGAP005305-PA-PFAM.txt","AAA_33, AAA domain")</f>
        <v>AAA_33, AAA domain</v>
      </c>
      <c r="CM28" s="13">
        <v>3.0000000000000001E-26</v>
      </c>
      <c r="CN28" s="2">
        <v>105.6</v>
      </c>
      <c r="CO28" s="2" t="s">
        <v>468</v>
      </c>
      <c r="CP28" s="9" t="str">
        <f>HYPERLINK(".\links\SMART\AGAP005305-PA-SMART.txt","SPRY, Domain in SPla and the RYanodine Receptor")</f>
        <v>SPRY, Domain in SPla and the RYanodine Receptor</v>
      </c>
      <c r="CQ28" s="13">
        <v>2.9999999999999998E-14</v>
      </c>
      <c r="CR28" s="2">
        <v>117.2</v>
      </c>
      <c r="CS28" s="2" t="s">
        <v>469</v>
      </c>
      <c r="CT28" s="2" t="s">
        <v>461</v>
      </c>
      <c r="CU28" s="2" t="s">
        <v>461</v>
      </c>
      <c r="CV28" s="2" t="s">
        <v>461</v>
      </c>
      <c r="CW28" s="2" t="str">
        <f>HYPERLINK(".\links\pep\AGAP005305-PA-pep.txt","AGAP005305-PA")</f>
        <v>AGAP005305-PA</v>
      </c>
      <c r="CX28" s="2" t="s">
        <v>88</v>
      </c>
      <c r="CY28" s="2">
        <v>1062</v>
      </c>
      <c r="CZ28" s="2" t="s">
        <v>106</v>
      </c>
      <c r="DA28" s="2" t="s">
        <v>470</v>
      </c>
      <c r="DB28" s="2">
        <v>0</v>
      </c>
      <c r="DC28" s="2">
        <v>1</v>
      </c>
      <c r="DD28" s="2" t="str">
        <f>HYPERLINK("https://www.kegg.jp/kegg-bin/search_pathway_text?map=aga&amp;keyword=AGAP005305&amp;mode=1&amp;viewImage=true","AGAP005305")</f>
        <v>AGAP005305</v>
      </c>
      <c r="DE28" s="2" t="s">
        <v>459</v>
      </c>
      <c r="DF28" s="2" t="s">
        <v>167</v>
      </c>
      <c r="DG28" s="2" t="s">
        <v>87</v>
      </c>
      <c r="DH28" s="2" t="str">
        <f>HYPERLINK("https://vectorbase.org/vectorbase/app/record/gene/AGAP005305","AGAP005305-RA")</f>
        <v>AGAP005305-RA</v>
      </c>
      <c r="DI28" s="2" t="s">
        <v>250</v>
      </c>
      <c r="DJ28" s="2">
        <v>6678</v>
      </c>
      <c r="DK28" s="2" t="str">
        <f>HYPERLINK(".\links\netoglyc\AGAP005305-PA-netoglyc.txt","16")</f>
        <v>16</v>
      </c>
      <c r="DL28" s="2">
        <v>13.8</v>
      </c>
      <c r="DM28" s="2">
        <v>8.1</v>
      </c>
      <c r="DN28" s="2">
        <v>5.5</v>
      </c>
      <c r="DO28" s="2">
        <v>0.6</v>
      </c>
      <c r="DP28" s="2" t="s">
        <v>471</v>
      </c>
      <c r="DQ28" s="2" t="str">
        <f>HYPERLINK(".\links\Sigp\AGAP005305-PA-SigP.txt","CYT")</f>
        <v>CYT</v>
      </c>
      <c r="DR28" s="2" t="s">
        <v>94</v>
      </c>
      <c r="DS28" s="2">
        <v>116.99299999999999</v>
      </c>
      <c r="DT28" s="2">
        <v>5.52</v>
      </c>
      <c r="DU28" s="2" t="s">
        <v>94</v>
      </c>
      <c r="DV28" s="2" t="s">
        <v>94</v>
      </c>
      <c r="DW28" s="2" t="s">
        <v>463</v>
      </c>
      <c r="DX28" s="2">
        <v>1062</v>
      </c>
      <c r="DY28" s="8">
        <v>0</v>
      </c>
      <c r="DZ28" s="2" t="s">
        <v>94</v>
      </c>
      <c r="EA28" s="2" t="s">
        <v>94</v>
      </c>
      <c r="EB28" s="2" t="s">
        <v>94</v>
      </c>
      <c r="EC28" s="2" t="str">
        <f>HYPERLINK(".\links\gpi\AGAP005305-PA-gpi.txt","Y-NoSP")</f>
        <v>Y-NoSP</v>
      </c>
      <c r="ED28" s="2">
        <v>0.25</v>
      </c>
      <c r="EF28" s="2">
        <v>7</v>
      </c>
      <c r="EG28" s="2" t="s">
        <v>94</v>
      </c>
      <c r="EH28" s="2" t="s">
        <v>94</v>
      </c>
      <c r="EI28" s="2">
        <v>13.841807909604499</v>
      </c>
      <c r="EJ28" s="2">
        <v>5.4613935969868201</v>
      </c>
      <c r="EK28" s="2">
        <v>8.0979284369114897</v>
      </c>
      <c r="EL28" s="2">
        <v>13.559322033898299</v>
      </c>
      <c r="EM28" s="2">
        <v>1</v>
      </c>
      <c r="EN28" s="2">
        <v>3</v>
      </c>
      <c r="EO28" s="2">
        <v>3</v>
      </c>
      <c r="EP28" s="2" t="s">
        <v>94</v>
      </c>
      <c r="EQ28" s="2" t="s">
        <v>94</v>
      </c>
      <c r="ER28" s="2" t="s">
        <v>94</v>
      </c>
      <c r="ES28" s="2" t="s">
        <v>94</v>
      </c>
      <c r="ET28" s="2" t="str">
        <f>HYPERLINK(".\links\REFSEQ-INVERTEBRATE\AGAP005305-PA-REFSEQ-INVERTEBRATE.txt","AGAP005305-PA")</f>
        <v>AGAP005305-PA</v>
      </c>
      <c r="EU28" s="2" t="str">
        <f>HYPERLINK("http://www.ncbi.nlm.nih.gov/sutils/blink.cgi?pid=XP_309097.4","0.0")</f>
        <v>0.0</v>
      </c>
      <c r="EV28" s="2" t="str">
        <f>HYPERLINK("http://www.ncbi.nlm.nih.gov/protein/XP_309097.4","XP_309097.4")</f>
        <v>XP_309097.4</v>
      </c>
      <c r="EW28" s="2">
        <v>96</v>
      </c>
      <c r="EX28" s="2">
        <v>96</v>
      </c>
      <c r="EY28" s="2">
        <v>103</v>
      </c>
      <c r="EZ28" s="2" t="s">
        <v>98</v>
      </c>
    </row>
    <row r="29" spans="1:156" x14ac:dyDescent="0.25">
      <c r="A29" s="2" t="s">
        <v>472</v>
      </c>
      <c r="B29" s="2">
        <v>1.40761438519092</v>
      </c>
      <c r="C29" s="2">
        <v>2.6529810768952791</v>
      </c>
      <c r="D29" s="2">
        <v>3.2127164211086501</v>
      </c>
      <c r="E29" s="2">
        <v>21.849271428778501</v>
      </c>
      <c r="F29" s="2">
        <v>2.94928562653719E-6</v>
      </c>
      <c r="G29" s="2">
        <v>5.0711625763931304E-4</v>
      </c>
      <c r="H29" s="2" t="s">
        <v>473</v>
      </c>
      <c r="I29" s="2" t="s">
        <v>87</v>
      </c>
      <c r="J29" s="2" t="str">
        <f>HYPERLINK("https://vectorbase.org/vectorbase/app/record/gene/AGAP000009","AGAP000009-RB")</f>
        <v>AGAP000009-RB</v>
      </c>
      <c r="K29" s="2" t="str">
        <f>HYPERLINK(".\links\pep\AGAP000009-PB-pep.txt","AGAP000009-PB")</f>
        <v>AGAP000009-PB</v>
      </c>
      <c r="L29" s="8" t="s">
        <v>88</v>
      </c>
      <c r="M29" s="2">
        <v>1192</v>
      </c>
      <c r="N29" s="2">
        <v>0</v>
      </c>
      <c r="O29" s="2">
        <v>6</v>
      </c>
      <c r="P29" s="2" t="s">
        <v>474</v>
      </c>
      <c r="Q29" s="9" t="s">
        <v>475</v>
      </c>
      <c r="R29" s="2" t="s">
        <v>347</v>
      </c>
      <c r="S29" s="2" t="str">
        <f>HYPERLINK(".\links\KOG\AGAP000009-PB-KOG.txt","KOG")</f>
        <v>KOG</v>
      </c>
      <c r="T29" s="2">
        <v>9.9999999999999999E-93</v>
      </c>
      <c r="U29" s="2">
        <v>106.5</v>
      </c>
      <c r="V29" s="2" t="s">
        <v>476</v>
      </c>
      <c r="W29" s="10" t="s">
        <v>477</v>
      </c>
      <c r="X29" s="2" t="s">
        <v>347</v>
      </c>
      <c r="Y29" s="2" t="str">
        <f>HYPERLINK(".\links\KOG\AGAP000009-PB-KOG.txt","KOG")</f>
        <v>KOG</v>
      </c>
      <c r="Z29" s="13">
        <v>3.9999999999999999E-48</v>
      </c>
      <c r="AA29" s="2">
        <v>54.6</v>
      </c>
      <c r="AB29" s="11" t="s">
        <v>94</v>
      </c>
      <c r="AC29" s="11" t="str">
        <f>HYPERLINK(".\links\Sigp\AGAP000009-PB-SigP.txt","CYT")</f>
        <v>CYT</v>
      </c>
      <c r="AD29" s="2" t="s">
        <v>94</v>
      </c>
      <c r="AE29" s="2">
        <v>130.755</v>
      </c>
      <c r="AF29" s="2">
        <v>7.65</v>
      </c>
      <c r="AG29" s="2" t="s">
        <v>94</v>
      </c>
      <c r="AH29" s="2" t="s">
        <v>94</v>
      </c>
      <c r="AI29" s="2" t="s">
        <v>478</v>
      </c>
      <c r="AJ29" s="11">
        <v>0</v>
      </c>
      <c r="AK29" s="2" t="s">
        <v>94</v>
      </c>
      <c r="AL29" s="2" t="s">
        <v>94</v>
      </c>
      <c r="AM29" s="2" t="s">
        <v>94</v>
      </c>
      <c r="AN29" s="11" t="str">
        <f>HYPERLINK(".\links\gpi\AGAP000009-PB-gpi.txt","N")</f>
        <v>N</v>
      </c>
      <c r="AO29" s="12" t="str">
        <f>HYPERLINK(".\links\netoglyc\AGAP000009-PB-netoglyc.txt","0")</f>
        <v>0</v>
      </c>
      <c r="AP29" s="11">
        <v>17.899999999999999</v>
      </c>
      <c r="AQ29" s="2">
        <v>8.1</v>
      </c>
      <c r="AR29" s="2">
        <v>5</v>
      </c>
      <c r="AS29" s="2" t="s">
        <v>97</v>
      </c>
      <c r="AT29" s="9" t="str">
        <f>HYPERLINK(".\links\NR-LIGHT\AGAP000009-PB-NR-LIGHT.txt","AGAP000009-PC")</f>
        <v>AGAP000009-PC</v>
      </c>
      <c r="AU29" s="2" t="str">
        <f>HYPERLINK("http://www.ncbi.nlm.nih.gov/sutils/blink.cgi?pid=XP_003436897.1","0.0")</f>
        <v>0.0</v>
      </c>
      <c r="AV29" s="2" t="str">
        <f>HYPERLINK("http://www.ncbi.nlm.nih.gov/protein/XP_003436897.1","XP_003436897.1")</f>
        <v>XP_003436897.1</v>
      </c>
      <c r="AW29" s="2">
        <v>97</v>
      </c>
      <c r="AX29" s="2">
        <v>97</v>
      </c>
      <c r="AY29" s="2">
        <v>100</v>
      </c>
      <c r="AZ29" s="2" t="s">
        <v>98</v>
      </c>
      <c r="BA29" s="9" t="str">
        <f>HYPERLINK(".\links\REFSEQ-INVERTEBRATE\AGAP000009-PB-REFSEQ-INVERTEBRATE.txt","AGAP000009-PC")</f>
        <v>AGAP000009-PC</v>
      </c>
      <c r="BB29" s="2" t="str">
        <f>HYPERLINK("http://www.ncbi.nlm.nih.gov/sutils/blink.cgi?pid=XP_003436897.1","0.0")</f>
        <v>0.0</v>
      </c>
      <c r="BC29" s="2" t="str">
        <f>HYPERLINK("http://www.ncbi.nlm.nih.gov/protein/XP_003436897.1","XP_003436897.1")</f>
        <v>XP_003436897.1</v>
      </c>
      <c r="BD29" s="2">
        <v>97</v>
      </c>
      <c r="BE29" s="2">
        <v>97</v>
      </c>
      <c r="BF29" s="2">
        <v>100</v>
      </c>
      <c r="BG29" s="2" t="s">
        <v>98</v>
      </c>
      <c r="BH29" s="9" t="str">
        <f>HYPERLINK(".\links\REFSEQ-PROTOZOA\AGAP000009-PB-REFSEQ-PROTOZOA.txt","hypothetical protein CAOG_01480")</f>
        <v>hypothetical protein CAOG_01480</v>
      </c>
      <c r="BI29" s="2" t="str">
        <f>HYPERLINK("http://www.ncbi.nlm.nih.gov/sutils/blink.cgi?pid=XP_004364348.2","7E-070")</f>
        <v>7E-070</v>
      </c>
      <c r="BJ29" s="2" t="str">
        <f>HYPERLINK("http://www.ncbi.nlm.nih.gov/protein/XP_004364348.2","XP_004364348.2")</f>
        <v>XP_004364348.2</v>
      </c>
      <c r="BK29" s="2">
        <v>32</v>
      </c>
      <c r="BL29" s="2">
        <v>50</v>
      </c>
      <c r="BM29" s="2">
        <v>40</v>
      </c>
      <c r="BN29" s="2" t="s">
        <v>227</v>
      </c>
      <c r="BO29" s="9" t="str">
        <f>HYPERLINK(".\links\SWISSP\AGAP000009-PB-SWISSP.txt","Syntaxin-binding protein 5")</f>
        <v>Syntaxin-binding protein 5</v>
      </c>
      <c r="BP29" s="2" t="str">
        <f>HYPERLINK("http://www.uniprot.org/uniprot/Q5T5C0","0.0")</f>
        <v>0.0</v>
      </c>
      <c r="BQ29" s="2" t="str">
        <f>HYPERLINK("http://www.uniprot.org/uniprot/Q5T5C0#expression","Q5T5C0")</f>
        <v>Q5T5C0</v>
      </c>
      <c r="BR29" s="2">
        <v>45</v>
      </c>
      <c r="BS29" s="2">
        <v>62</v>
      </c>
      <c r="BT29" s="2">
        <v>106</v>
      </c>
      <c r="BU29" s="2" t="s">
        <v>196</v>
      </c>
      <c r="BV29" s="9" t="str">
        <f>HYPERLINK(".\links\FLYBASE\AGAP000009-PB-FLYBASE.txt","FBpp0300334")</f>
        <v>FBpp0300334</v>
      </c>
      <c r="BW29" s="2" t="str">
        <f>HYPERLINK("http://flybase.org/reports/FBgn0030412#alliance_summary_container","0.0")</f>
        <v>0.0</v>
      </c>
      <c r="BX29" s="2">
        <v>1254</v>
      </c>
      <c r="BY29" s="2">
        <v>56</v>
      </c>
      <c r="BZ29" s="2">
        <v>73</v>
      </c>
      <c r="CA29" s="2">
        <v>74</v>
      </c>
      <c r="CB29" s="9" t="str">
        <f>HYPERLINK(".\links\CDD\AGAP000009-PB-CDD.txt","LLGL, LLGL2")</f>
        <v>LLGL, LLGL2</v>
      </c>
      <c r="CC29" s="13">
        <v>5.9999999999999998E-35</v>
      </c>
      <c r="CD29" s="2">
        <v>108.9</v>
      </c>
      <c r="CE29" s="2" t="s">
        <v>479</v>
      </c>
      <c r="CF29" s="2" t="s">
        <v>480</v>
      </c>
      <c r="CG29" s="9" t="str">
        <f>HYPERLINK(".\links\KOG\AGAP000009-PB-KOG.txt","Tomosyn and related SNARE-interacting proteins")</f>
        <v>Tomosyn and related SNARE-interacting proteins</v>
      </c>
      <c r="CH29" s="13">
        <v>9.9999999999999999E-93</v>
      </c>
      <c r="CI29" s="2">
        <v>106.5</v>
      </c>
      <c r="CJ29" s="2" t="s">
        <v>481</v>
      </c>
      <c r="CK29" s="2" t="s">
        <v>482</v>
      </c>
      <c r="CL29" s="9" t="str">
        <f>HYPERLINK(".\links\PFAM\AGAP000009-PB-PFAM.txt","LLGL, LLGL2")</f>
        <v>LLGL, LLGL2</v>
      </c>
      <c r="CM29" s="13">
        <v>1E-35</v>
      </c>
      <c r="CN29" s="2">
        <v>108.9</v>
      </c>
      <c r="CO29" s="2" t="s">
        <v>479</v>
      </c>
      <c r="CP29" s="9" t="str">
        <f>HYPERLINK(".\links\SMART\AGAP000009-PB-SMART.txt","PRP, Major prion protein")</f>
        <v>PRP, Major prion protein</v>
      </c>
      <c r="CQ29" s="13">
        <v>4.0000000000000002E-4</v>
      </c>
      <c r="CR29" s="2">
        <v>20.2</v>
      </c>
      <c r="CS29" s="2" t="s">
        <v>483</v>
      </c>
      <c r="CT29" s="2" t="s">
        <v>476</v>
      </c>
      <c r="CU29" s="2" t="s">
        <v>476</v>
      </c>
      <c r="CV29" s="2" t="s">
        <v>476</v>
      </c>
      <c r="CW29" s="2" t="str">
        <f>HYPERLINK(".\links\pep\AGAP000009-PB-pep.txt","AGAP000009-PB")</f>
        <v>AGAP000009-PB</v>
      </c>
      <c r="CX29" s="2" t="s">
        <v>88</v>
      </c>
      <c r="CY29" s="2">
        <v>1192</v>
      </c>
      <c r="CZ29" s="2" t="s">
        <v>106</v>
      </c>
      <c r="DA29" s="2" t="s">
        <v>484</v>
      </c>
      <c r="DB29" s="2">
        <v>0</v>
      </c>
      <c r="DC29" s="2">
        <v>6</v>
      </c>
      <c r="DD29" s="2" t="str">
        <f>HYPERLINK("https://www.kegg.jp/kegg-bin/search_pathway_text?map=aga&amp;keyword=AGAP000009&amp;mode=1&amp;viewImage=true","AGAP000009")</f>
        <v>AGAP000009</v>
      </c>
      <c r="DE29" s="2" t="s">
        <v>472</v>
      </c>
      <c r="DF29" s="2" t="s">
        <v>473</v>
      </c>
      <c r="DG29" s="2" t="s">
        <v>87</v>
      </c>
      <c r="DH29" s="2" t="str">
        <f>HYPERLINK("https://vectorbase.org/vectorbase/app/record/gene/AGAP000009","AGAP000009-RB")</f>
        <v>AGAP000009-RB</v>
      </c>
      <c r="DI29" s="2" t="s">
        <v>108</v>
      </c>
      <c r="DJ29" s="2">
        <v>8216</v>
      </c>
      <c r="DK29" s="2" t="str">
        <f>HYPERLINK(".\links\netoglyc\AGAP000009-PB-netoglyc.txt","0")</f>
        <v>0</v>
      </c>
      <c r="DL29" s="2">
        <v>17.899999999999999</v>
      </c>
      <c r="DM29" s="2">
        <v>8.1</v>
      </c>
      <c r="DN29" s="2">
        <v>5</v>
      </c>
      <c r="DO29" s="2" t="s">
        <v>97</v>
      </c>
      <c r="DP29" s="2" t="s">
        <v>485</v>
      </c>
      <c r="DQ29" s="2" t="str">
        <f>HYPERLINK(".\links\Sigp\AGAP000009-PB-SigP.txt","CYT")</f>
        <v>CYT</v>
      </c>
      <c r="DR29" s="2" t="s">
        <v>94</v>
      </c>
      <c r="DS29" s="2">
        <v>130.755</v>
      </c>
      <c r="DT29" s="2">
        <v>7.65</v>
      </c>
      <c r="DU29" s="2" t="s">
        <v>94</v>
      </c>
      <c r="DV29" s="2" t="s">
        <v>94</v>
      </c>
      <c r="DW29" s="2" t="s">
        <v>478</v>
      </c>
      <c r="DX29" s="2">
        <v>1192</v>
      </c>
      <c r="DY29" s="8">
        <v>0</v>
      </c>
      <c r="DZ29" s="2" t="s">
        <v>94</v>
      </c>
      <c r="EA29" s="2" t="s">
        <v>94</v>
      </c>
      <c r="EB29" s="2" t="s">
        <v>94</v>
      </c>
      <c r="EC29" s="2" t="str">
        <f>HYPERLINK(".\links\gpi\AGAP000009-PB-gpi.txt","Y-NoSP")</f>
        <v>Y-NoSP</v>
      </c>
      <c r="ED29" s="2">
        <v>0.18</v>
      </c>
      <c r="EF29" s="2">
        <v>32</v>
      </c>
      <c r="EG29" s="2" t="s">
        <v>94</v>
      </c>
      <c r="EH29" s="2" t="s">
        <v>94</v>
      </c>
      <c r="EI29" s="2">
        <v>17.869127516778502</v>
      </c>
      <c r="EJ29" s="2">
        <v>5.0335570469798698</v>
      </c>
      <c r="EK29" s="2">
        <v>8.1375838926174495</v>
      </c>
      <c r="EL29" s="2">
        <v>13.171140939597301</v>
      </c>
      <c r="EM29" s="2">
        <v>1</v>
      </c>
      <c r="EN29" s="2">
        <v>5</v>
      </c>
      <c r="EO29" s="2">
        <v>6</v>
      </c>
      <c r="EP29" s="2" t="s">
        <v>94</v>
      </c>
      <c r="EQ29" s="2" t="s">
        <v>94</v>
      </c>
      <c r="ER29" s="2" t="s">
        <v>94</v>
      </c>
      <c r="ES29" s="2" t="s">
        <v>486</v>
      </c>
      <c r="ET29" s="2" t="str">
        <f>HYPERLINK(".\links\REFSEQ-INVERTEBRATE\AGAP000009-PB-REFSEQ-INVERTEBRATE.txt","AGAP000009-PC")</f>
        <v>AGAP000009-PC</v>
      </c>
      <c r="EU29" s="2" t="str">
        <f>HYPERLINK("http://www.ncbi.nlm.nih.gov/sutils/blink.cgi?pid=XP_003436897.1","0.0")</f>
        <v>0.0</v>
      </c>
      <c r="EV29" s="2" t="str">
        <f>HYPERLINK("http://www.ncbi.nlm.nih.gov/protein/XP_003436897.1","XP_003436897.1")</f>
        <v>XP_003436897.1</v>
      </c>
      <c r="EW29" s="2">
        <v>97</v>
      </c>
      <c r="EX29" s="2">
        <v>97</v>
      </c>
      <c r="EY29" s="2">
        <v>100</v>
      </c>
      <c r="EZ29" s="2" t="s">
        <v>98</v>
      </c>
    </row>
    <row r="30" spans="1:156" x14ac:dyDescent="0.25">
      <c r="A30" s="2" t="s">
        <v>487</v>
      </c>
      <c r="B30" s="2">
        <v>1.4054449398464901</v>
      </c>
      <c r="C30" s="2">
        <v>2.6489946680899643</v>
      </c>
      <c r="D30" s="2">
        <v>4.5375597674683501</v>
      </c>
      <c r="E30" s="2">
        <v>22.7124919971242</v>
      </c>
      <c r="F30" s="2">
        <v>1.8814079373057799E-6</v>
      </c>
      <c r="G30" s="2">
        <v>3.5584949726201503E-4</v>
      </c>
      <c r="H30" s="2" t="s">
        <v>488</v>
      </c>
      <c r="I30" s="2" t="s">
        <v>87</v>
      </c>
      <c r="J30" s="2" t="str">
        <f>HYPERLINK("https://vectorbase.org/vectorbase/app/record/gene/AGAP012141","AGAP012141-RB")</f>
        <v>AGAP012141-RB</v>
      </c>
      <c r="K30" s="2" t="str">
        <f>HYPERLINK(".\links\pep\AGAP012141-PB-pep.txt","AGAP012141-PB")</f>
        <v>AGAP012141-PB</v>
      </c>
      <c r="L30" s="8" t="s">
        <v>88</v>
      </c>
      <c r="M30" s="2">
        <v>1602</v>
      </c>
      <c r="N30" s="2">
        <v>0</v>
      </c>
      <c r="O30" s="2">
        <v>2</v>
      </c>
      <c r="P30" s="2" t="s">
        <v>489</v>
      </c>
      <c r="Q30" s="9" t="s">
        <v>490</v>
      </c>
      <c r="R30" s="2" t="s">
        <v>491</v>
      </c>
      <c r="S30" s="2" t="str">
        <f>HYPERLINK(".\links\KOG\AGAP012141-PB-KOG.txt","KOG")</f>
        <v>KOG</v>
      </c>
      <c r="T30" s="2">
        <v>8.9999999999999997E-45</v>
      </c>
      <c r="U30" s="2">
        <v>34.299999999999997</v>
      </c>
      <c r="V30" s="2" t="s">
        <v>492</v>
      </c>
      <c r="W30" s="10" t="s">
        <v>493</v>
      </c>
      <c r="X30" s="2" t="s">
        <v>333</v>
      </c>
      <c r="Y30" s="2" t="str">
        <f>HYPERLINK(".\links\ARTHORPODA\AGAP012141-PB-ARTHORPODA.txt","ARTHORPODA")</f>
        <v>ARTHORPODA</v>
      </c>
      <c r="Z30" s="2">
        <v>0</v>
      </c>
      <c r="AA30" s="2">
        <v>98.8</v>
      </c>
      <c r="AB30" s="11" t="str">
        <f>HYPERLINK(".\links\pep\AGAP012141-PB-sulf.txt","1")</f>
        <v>1</v>
      </c>
      <c r="AC30" s="11" t="str">
        <f>HYPERLINK(".\links\Sigp\AGAP012141-PB-SigP.txt","CYT")</f>
        <v>CYT</v>
      </c>
      <c r="AD30" s="2" t="s">
        <v>94</v>
      </c>
      <c r="AE30" s="2">
        <v>174.61699999999999</v>
      </c>
      <c r="AF30" s="2">
        <v>7.68</v>
      </c>
      <c r="AG30" s="2" t="s">
        <v>94</v>
      </c>
      <c r="AH30" s="2" t="s">
        <v>94</v>
      </c>
      <c r="AI30" s="2" t="s">
        <v>494</v>
      </c>
      <c r="AJ30" s="11" t="str">
        <f>HYPERLINK(".\links\tmhmm\AGAP012141-PB-tmhmm.txt","4")</f>
        <v>4</v>
      </c>
      <c r="AK30" s="2">
        <v>5.5</v>
      </c>
      <c r="AL30" s="2">
        <v>93.6</v>
      </c>
      <c r="AM30" s="2">
        <v>0.9</v>
      </c>
      <c r="AN30" s="11" t="str">
        <f>HYPERLINK(".\links\gpi\AGAP012141-PB-gpi.txt","N")</f>
        <v>N</v>
      </c>
      <c r="AO30" s="12" t="str">
        <f>HYPERLINK(".\links\netoglyc\AGAP012141-PB-netoglyc.txt","2")</f>
        <v>2</v>
      </c>
      <c r="AP30" s="11">
        <v>14.9</v>
      </c>
      <c r="AQ30" s="2">
        <v>8.1999999999999993</v>
      </c>
      <c r="AR30" s="2">
        <v>4.9000000000000004</v>
      </c>
      <c r="AS30" s="2" t="s">
        <v>97</v>
      </c>
      <c r="AT30" s="9" t="str">
        <f>HYPERLINK(".\links\NR-LIGHT\AGAP012141-PB-NR-LIGHT.txt","kinase D-interacting substrate of 220 kDa-like isoform X2")</f>
        <v>kinase D-interacting substrate of 220 kDa-like isoform X2</v>
      </c>
      <c r="AU30" s="2" t="str">
        <f>HYPERLINK("http://www.ncbi.nlm.nih.gov/sutils/blink.cgi?pid=XP_019562993.1","0.0")</f>
        <v>0.0</v>
      </c>
      <c r="AV30" s="2" t="str">
        <f>HYPERLINK("http://www.ncbi.nlm.nih.gov/protein/XP_019562993.1","XP_019562993.1")</f>
        <v>XP_019562993.1</v>
      </c>
      <c r="AW30" s="2">
        <v>78</v>
      </c>
      <c r="AX30" s="2">
        <v>86</v>
      </c>
      <c r="AY30" s="2">
        <v>104</v>
      </c>
      <c r="AZ30" s="2" t="s">
        <v>495</v>
      </c>
      <c r="BA30" s="9" t="str">
        <f>HYPERLINK(".\links\REFSEQ-INVERTEBRATE\AGAP012141-PB-REFSEQ-INVERTEBRATE.txt","kinase D-interacting substrate of 220 kDa-like isoform X2")</f>
        <v>kinase D-interacting substrate of 220 kDa-like isoform X2</v>
      </c>
      <c r="BB30" s="2" t="str">
        <f>HYPERLINK("http://www.ncbi.nlm.nih.gov/sutils/blink.cgi?pid=XP_019562993.1","0.0")</f>
        <v>0.0</v>
      </c>
      <c r="BC30" s="2" t="str">
        <f>HYPERLINK("http://www.ncbi.nlm.nih.gov/protein/XP_019562993.1","XP_019562993.1")</f>
        <v>XP_019562993.1</v>
      </c>
      <c r="BD30" s="2">
        <v>78</v>
      </c>
      <c r="BE30" s="2">
        <v>86</v>
      </c>
      <c r="BF30" s="2">
        <v>104</v>
      </c>
      <c r="BG30" s="2" t="s">
        <v>495</v>
      </c>
      <c r="BH30" s="9" t="str">
        <f>HYPERLINK(".\links\REFSEQ-PROTOZOA\AGAP012141-PB-REFSEQ-PROTOZOA.txt","ankyrin repeat protein")</f>
        <v>ankyrin repeat protein</v>
      </c>
      <c r="BI30" s="2" t="str">
        <f>HYPERLINK("http://www.ncbi.nlm.nih.gov/sutils/blink.cgi?pid=XP_001316882.1","9E-055")</f>
        <v>9E-055</v>
      </c>
      <c r="BJ30" s="2" t="str">
        <f>HYPERLINK("http://www.ncbi.nlm.nih.gov/protein/XP_001316882.1","XP_001316882.1")</f>
        <v>XP_001316882.1</v>
      </c>
      <c r="BK30" s="2">
        <v>34</v>
      </c>
      <c r="BL30" s="2">
        <v>49</v>
      </c>
      <c r="BM30" s="2">
        <v>48</v>
      </c>
      <c r="BN30" s="2" t="s">
        <v>496</v>
      </c>
      <c r="BO30" s="9" t="str">
        <f>HYPERLINK(".\links\SWISSP\AGAP012141-PB-SWISSP.txt","Kinase D-interacting substrate of 220 kDa")</f>
        <v>Kinase D-interacting substrate of 220 kDa</v>
      </c>
      <c r="BP30" s="2" t="str">
        <f>HYPERLINK("http://www.uniprot.org/uniprot/Q9ULH0","0.0")</f>
        <v>0.0</v>
      </c>
      <c r="BQ30" s="2" t="str">
        <f>HYPERLINK("http://www.uniprot.org/uniprot/Q9ULH0#expression","Q9ULH0")</f>
        <v>Q9ULH0</v>
      </c>
      <c r="BR30" s="2">
        <v>39</v>
      </c>
      <c r="BS30" s="2">
        <v>57</v>
      </c>
      <c r="BT30" s="2">
        <v>76</v>
      </c>
      <c r="BU30" s="2" t="s">
        <v>196</v>
      </c>
      <c r="BV30" s="9" t="str">
        <f>HYPERLINK(".\links\FLYBASE\AGAP012141-PB-FLYBASE.txt","FBpp0291843")</f>
        <v>FBpp0291843</v>
      </c>
      <c r="BW30" s="2" t="str">
        <f>HYPERLINK("http://flybase.org/reports/FBgn0261554#alliance_summary_container","0.0")</f>
        <v>0.0</v>
      </c>
      <c r="BX30" s="2">
        <v>1550</v>
      </c>
      <c r="BY30" s="2">
        <v>62</v>
      </c>
      <c r="BZ30" s="2">
        <v>74</v>
      </c>
      <c r="CA30" s="2">
        <v>97</v>
      </c>
      <c r="CB30" s="9" t="str">
        <f>HYPERLINK(".\links\CDD\AGAP012141-PB-CDD.txt","KAP_NTPase, KAP family P-loop domain")</f>
        <v>KAP_NTPase, KAP family P-loop domain</v>
      </c>
      <c r="CC30" s="13">
        <v>9.9999999999999993E-35</v>
      </c>
      <c r="CD30" s="2">
        <v>81.2</v>
      </c>
      <c r="CE30" s="2" t="s">
        <v>497</v>
      </c>
      <c r="CF30" s="2" t="s">
        <v>498</v>
      </c>
      <c r="CG30" s="9" t="str">
        <f>HYPERLINK(".\links\KOG\AGAP012141-PB-KOG.txt","Ankyrin")</f>
        <v>Ankyrin</v>
      </c>
      <c r="CH30" s="13">
        <v>8.9999999999999997E-45</v>
      </c>
      <c r="CI30" s="2">
        <v>34.4</v>
      </c>
      <c r="CJ30" s="2" t="s">
        <v>499</v>
      </c>
      <c r="CK30" s="2" t="s">
        <v>200</v>
      </c>
      <c r="CL30" s="9" t="str">
        <f>HYPERLINK(".\links\PFAM\AGAP012141-PB-PFAM.txt","KAP_NTPase, KAP family P-loop domain")</f>
        <v>KAP_NTPase, KAP family P-loop domain</v>
      </c>
      <c r="CM30" s="13">
        <v>2E-35</v>
      </c>
      <c r="CN30" s="2">
        <v>81.2</v>
      </c>
      <c r="CO30" s="2" t="s">
        <v>497</v>
      </c>
      <c r="CP30" s="9" t="str">
        <f>HYPERLINK(".\links\SMART\AGAP012141-PB-SMART.txt","ANK, ankyrin repeats")</f>
        <v>ANK, ankyrin repeats</v>
      </c>
      <c r="CQ30" s="13">
        <v>2.9999999999999997E-4</v>
      </c>
      <c r="CR30" s="2">
        <v>96.7</v>
      </c>
      <c r="CS30" s="2" t="s">
        <v>500</v>
      </c>
      <c r="CT30" s="2" t="s">
        <v>492</v>
      </c>
      <c r="CU30" s="2" t="s">
        <v>492</v>
      </c>
      <c r="CV30" s="2" t="s">
        <v>492</v>
      </c>
      <c r="CW30" s="2" t="str">
        <f>HYPERLINK(".\links\pep\AGAP012141-PB-pep.txt","AGAP012141-PB")</f>
        <v>AGAP012141-PB</v>
      </c>
      <c r="CX30" s="2" t="s">
        <v>88</v>
      </c>
      <c r="CY30" s="2">
        <v>1602</v>
      </c>
      <c r="CZ30" s="2" t="s">
        <v>106</v>
      </c>
      <c r="DA30" s="2" t="s">
        <v>501</v>
      </c>
      <c r="DB30" s="2">
        <v>0</v>
      </c>
      <c r="DC30" s="2">
        <v>2</v>
      </c>
      <c r="DD30" s="2" t="str">
        <f>HYPERLINK("https://www.kegg.jp/kegg-bin/search_pathway_text?map=aga&amp;keyword=AGAP012141&amp;mode=1&amp;viewImage=true","AGAP012141")</f>
        <v>AGAP012141</v>
      </c>
      <c r="DE30" s="2" t="s">
        <v>487</v>
      </c>
      <c r="DF30" s="2" t="s">
        <v>488</v>
      </c>
      <c r="DG30" s="2" t="s">
        <v>87</v>
      </c>
      <c r="DH30" s="2" t="str">
        <f>HYPERLINK("https://vectorbase.org/vectorbase/app/record/gene/AGAP012141","AGAP012141-RB")</f>
        <v>AGAP012141-RB</v>
      </c>
      <c r="DI30" s="2" t="s">
        <v>108</v>
      </c>
      <c r="DJ30" s="2">
        <v>5806</v>
      </c>
      <c r="DK30" s="2" t="str">
        <f>HYPERLINK(".\links\netoglyc\AGAP012141-PB-netoglyc.txt","2")</f>
        <v>2</v>
      </c>
      <c r="DL30" s="2">
        <v>14.9</v>
      </c>
      <c r="DM30" s="2">
        <v>8.1999999999999993</v>
      </c>
      <c r="DN30" s="2">
        <v>4.9000000000000004</v>
      </c>
      <c r="DO30" s="2" t="s">
        <v>97</v>
      </c>
      <c r="DP30" s="2" t="s">
        <v>502</v>
      </c>
      <c r="DQ30" s="2" t="str">
        <f>HYPERLINK(".\links\Sigp\AGAP012141-PB-SigP.txt","CYT")</f>
        <v>CYT</v>
      </c>
      <c r="DR30" s="2" t="s">
        <v>94</v>
      </c>
      <c r="DS30" s="2">
        <v>174.61699999999999</v>
      </c>
      <c r="DT30" s="2">
        <v>7.68</v>
      </c>
      <c r="DU30" s="2" t="s">
        <v>94</v>
      </c>
      <c r="DV30" s="2" t="s">
        <v>94</v>
      </c>
      <c r="DW30" s="2" t="s">
        <v>494</v>
      </c>
      <c r="DX30" s="2">
        <v>1602</v>
      </c>
      <c r="DY30" s="8" t="str">
        <f>HYPERLINK(".\links\tmhmm\AGAP012141-PB-tmhmm.txt","4")</f>
        <v>4</v>
      </c>
      <c r="DZ30" s="2">
        <v>5.5</v>
      </c>
      <c r="EA30" s="2">
        <v>93.6</v>
      </c>
      <c r="EB30" s="2">
        <v>0.9</v>
      </c>
      <c r="EC30" s="2" t="str">
        <f>HYPERLINK(".\links\gpi\AGAP012141-PB-gpi.txt","Y-NoSP")</f>
        <v>Y-NoSP</v>
      </c>
      <c r="ED30" s="2">
        <v>0.17</v>
      </c>
      <c r="EF30" s="2">
        <v>13</v>
      </c>
      <c r="EG30" s="2" t="str">
        <f>HYPERLINK(".\links\pep\AGAP012141-PB-sulf.txt","1")</f>
        <v>1</v>
      </c>
      <c r="EH30" s="2" t="s">
        <v>94</v>
      </c>
      <c r="EI30" s="2">
        <v>14.856429463171001</v>
      </c>
      <c r="EJ30" s="2">
        <v>4.8689138576779003</v>
      </c>
      <c r="EK30" s="2">
        <v>8.2397003745318393</v>
      </c>
      <c r="EL30" s="2">
        <v>13.1086142322097</v>
      </c>
      <c r="EM30" s="2">
        <v>2</v>
      </c>
      <c r="EN30" s="2">
        <v>5</v>
      </c>
      <c r="EO30" s="2">
        <v>5</v>
      </c>
      <c r="EP30" s="2" t="s">
        <v>94</v>
      </c>
      <c r="EQ30" s="2" t="s">
        <v>94</v>
      </c>
      <c r="ER30" s="2" t="s">
        <v>94</v>
      </c>
      <c r="ES30" s="2" t="s">
        <v>94</v>
      </c>
      <c r="ET30" s="2" t="str">
        <f>HYPERLINK(".\links\REFSEQ-INVERTEBRATE\AGAP012141-PB-REFSEQ-INVERTEBRATE.txt","kinase D-interacting substrate of 220 kDa isoform X7")</f>
        <v>kinase D-interacting substrate of 220 kDa isoform X7</v>
      </c>
      <c r="EU30" s="2" t="str">
        <f>HYPERLINK("http://www.ncbi.nlm.nih.gov/sutils/blink.cgi?pid=XP_035893889.1","0.0")</f>
        <v>0.0</v>
      </c>
      <c r="EV30" s="2" t="str">
        <f>HYPERLINK("http://www.ncbi.nlm.nih.gov/protein/XP_035893889.1","XP_035893889.1")</f>
        <v>XP_035893889.1</v>
      </c>
      <c r="EW30" s="2">
        <v>90</v>
      </c>
      <c r="EX30" s="2">
        <v>92</v>
      </c>
      <c r="EY30" s="2">
        <v>102</v>
      </c>
      <c r="EZ30" s="2" t="s">
        <v>184</v>
      </c>
    </row>
    <row r="31" spans="1:156" x14ac:dyDescent="0.25">
      <c r="A31" s="2" t="s">
        <v>503</v>
      </c>
      <c r="B31" s="2">
        <v>1.3924595925274801</v>
      </c>
      <c r="C31" s="2">
        <v>2.6252586922174221</v>
      </c>
      <c r="D31" s="2">
        <v>9.9220287221645993</v>
      </c>
      <c r="E31" s="2">
        <v>72.172421755765001</v>
      </c>
      <c r="F31" s="2">
        <v>1.9719239224678901E-17</v>
      </c>
      <c r="G31" s="2">
        <v>9.3242422673894104E-14</v>
      </c>
      <c r="H31" s="2" t="s">
        <v>504</v>
      </c>
      <c r="I31" s="2" t="s">
        <v>94</v>
      </c>
      <c r="J31" s="2" t="str">
        <f>HYPERLINK("https://vectorbase.org/vectorbase/app/record/gene/AGAP003926","AGAP003926-RA")</f>
        <v>AGAP003926-RA</v>
      </c>
      <c r="K31" s="2" t="str">
        <f>HYPERLINK(".\links\pep\AGAP003926-PA-pep.txt","AGAP003926-PA")</f>
        <v>AGAP003926-PA</v>
      </c>
      <c r="L31" s="8" t="s">
        <v>88</v>
      </c>
      <c r="M31" s="2">
        <v>876</v>
      </c>
      <c r="N31" s="2">
        <v>0</v>
      </c>
      <c r="O31" s="2">
        <v>2</v>
      </c>
      <c r="P31" s="2" t="s">
        <v>505</v>
      </c>
      <c r="Q31" s="9" t="s">
        <v>506</v>
      </c>
      <c r="R31" s="2" t="s">
        <v>507</v>
      </c>
      <c r="S31" s="2" t="str">
        <f>HYPERLINK(".\links\KOG\AGAP003926-PA-KOG.txt","KOG")</f>
        <v>KOG</v>
      </c>
      <c r="T31" s="2">
        <v>0</v>
      </c>
      <c r="U31" s="2">
        <v>80.599999999999994</v>
      </c>
      <c r="V31" s="2" t="s">
        <v>508</v>
      </c>
      <c r="W31" s="10" t="s">
        <v>509</v>
      </c>
      <c r="X31" s="2" t="s">
        <v>510</v>
      </c>
      <c r="Y31" s="2" t="str">
        <f>HYPERLINK(".\links\COG\AGAP003926-PA-COG.txt","COG")</f>
        <v>COG</v>
      </c>
      <c r="Z31" s="13">
        <v>1.9999999999999999E-60</v>
      </c>
      <c r="AA31" s="2">
        <v>66.8</v>
      </c>
      <c r="AB31" s="11" t="s">
        <v>94</v>
      </c>
      <c r="AC31" s="11" t="str">
        <f>HYPERLINK(".\links\Sigp\AGAP003926-PA-SigP.txt","SIG")</f>
        <v>SIG</v>
      </c>
      <c r="AD31" s="2" t="s">
        <v>511</v>
      </c>
      <c r="AE31" s="2">
        <v>99.200999999999993</v>
      </c>
      <c r="AF31" s="2">
        <v>5.71</v>
      </c>
      <c r="AG31" s="2">
        <v>97.04</v>
      </c>
      <c r="AH31" s="2">
        <v>5.72</v>
      </c>
      <c r="AI31" s="2" t="s">
        <v>512</v>
      </c>
      <c r="AJ31" s="11">
        <v>0</v>
      </c>
      <c r="AK31" s="2" t="s">
        <v>94</v>
      </c>
      <c r="AL31" s="2" t="s">
        <v>94</v>
      </c>
      <c r="AM31" s="2" t="s">
        <v>94</v>
      </c>
      <c r="AN31" s="11" t="str">
        <f>HYPERLINK(".\links\gpi\AGAP003926-PA-gpi.txt","N")</f>
        <v>N</v>
      </c>
      <c r="AO31" s="12" t="str">
        <f>HYPERLINK(".\links\netoglyc\AGAP003926-PA-netoglyc.txt","0")</f>
        <v>0</v>
      </c>
      <c r="AP31" s="11">
        <v>13.1</v>
      </c>
      <c r="AQ31" s="2">
        <v>4.8</v>
      </c>
      <c r="AR31" s="2">
        <v>5.5</v>
      </c>
      <c r="AS31" s="2" t="s">
        <v>97</v>
      </c>
      <c r="AT31" s="9" t="str">
        <f>HYPERLINK(".\links\NR-LIGHT\AGAP003926-PA-NR-LIGHT.txt","AGAP003926-PA")</f>
        <v>AGAP003926-PA</v>
      </c>
      <c r="AU31" s="2" t="str">
        <f>HYPERLINK("http://www.ncbi.nlm.nih.gov/sutils/blink.cgi?pid=XP_318379.5","0.0")</f>
        <v>0.0</v>
      </c>
      <c r="AV31" s="2" t="str">
        <f>HYPERLINK("http://www.ncbi.nlm.nih.gov/protein/XP_318379.5","XP_318379.5")</f>
        <v>XP_318379.5</v>
      </c>
      <c r="AW31" s="2">
        <v>100</v>
      </c>
      <c r="AX31" s="2">
        <v>100</v>
      </c>
      <c r="AY31" s="2">
        <v>100</v>
      </c>
      <c r="AZ31" s="2" t="s">
        <v>98</v>
      </c>
      <c r="BA31" s="9" t="str">
        <f>HYPERLINK(".\links\REFSEQ-INVERTEBRATE\AGAP003926-PA-REFSEQ-INVERTEBRATE.txt","AGAP003926-PA")</f>
        <v>AGAP003926-PA</v>
      </c>
      <c r="BB31" s="2" t="str">
        <f>HYPERLINK("http://www.ncbi.nlm.nih.gov/sutils/blink.cgi?pid=XP_318379.5","0.0")</f>
        <v>0.0</v>
      </c>
      <c r="BC31" s="2" t="str">
        <f>HYPERLINK("http://www.ncbi.nlm.nih.gov/protein/XP_318379.5","XP_318379.5")</f>
        <v>XP_318379.5</v>
      </c>
      <c r="BD31" s="2">
        <v>100</v>
      </c>
      <c r="BE31" s="2">
        <v>100</v>
      </c>
      <c r="BF31" s="2">
        <v>100</v>
      </c>
      <c r="BG31" s="2" t="s">
        <v>98</v>
      </c>
      <c r="BH31" s="9" t="str">
        <f>HYPERLINK(".\links\REFSEQ-PROTOZOA\AGAP003926-PA-REFSEQ-PROTOZOA.txt","membrane alanine aminopeptidase")</f>
        <v>membrane alanine aminopeptidase</v>
      </c>
      <c r="BI31" s="2" t="str">
        <f>HYPERLINK("http://www.ncbi.nlm.nih.gov/sutils/blink.cgi?pid=XP_004364718.1","2E-086")</f>
        <v>2E-086</v>
      </c>
      <c r="BJ31" s="2" t="str">
        <f>HYPERLINK("http://www.ncbi.nlm.nih.gov/protein/XP_004364718.1","XP_004364718.1")</f>
        <v>XP_004364718.1</v>
      </c>
      <c r="BK31" s="2">
        <v>34</v>
      </c>
      <c r="BL31" s="2">
        <v>50</v>
      </c>
      <c r="BM31" s="2">
        <v>67</v>
      </c>
      <c r="BN31" s="2" t="s">
        <v>227</v>
      </c>
      <c r="BO31" s="9" t="str">
        <f>HYPERLINK(".\links\SWISSP\AGAP003926-PA-SWISSP.txt","Glutamyl aminopeptidase")</f>
        <v>Glutamyl aminopeptidase</v>
      </c>
      <c r="BP31" s="2" t="str">
        <f>HYPERLINK("http://www.uniprot.org/uniprot/P50123","2E-078")</f>
        <v>2E-078</v>
      </c>
      <c r="BQ31" s="2" t="str">
        <f>HYPERLINK("http://www.uniprot.org/uniprot/P50123#expression","P50123")</f>
        <v>P50123</v>
      </c>
      <c r="BR31" s="2">
        <v>31</v>
      </c>
      <c r="BS31" s="2">
        <v>47</v>
      </c>
      <c r="BT31" s="2">
        <v>70</v>
      </c>
      <c r="BU31" s="2" t="s">
        <v>177</v>
      </c>
      <c r="BV31" s="9" t="str">
        <f>HYPERLINK(".\links\FLYBASE\AGAP003926-PA-FLYBASE.txt","FBpp0305587")</f>
        <v>FBpp0305587</v>
      </c>
      <c r="BW31" s="2" t="str">
        <f>HYPERLINK("http://flybase.org/reports/FBgn0261243#alliance_summary_container","1E-86")</f>
        <v>1E-86</v>
      </c>
      <c r="BX31" s="2">
        <v>866</v>
      </c>
      <c r="BY31" s="2">
        <v>30</v>
      </c>
      <c r="BZ31" s="2">
        <v>50</v>
      </c>
      <c r="CA31" s="2">
        <v>70</v>
      </c>
      <c r="CB31" s="9" t="str">
        <f>HYPERLINK(".\links\CDD\AGAP003926-PA-CDD.txt","M1_APN_2, Peptidase M1 Aminopeptidase N family incudes tricorn interacting factor F3, Endoplasmic reticulum aminopeptidase 1 (ERAP1), Aminopeptidase Q (APQ)")</f>
        <v>M1_APN_2, Peptidase M1 Aminopeptidase N family incudes tricorn interacting factor F3, Endoplasmic reticulum aminopeptidase 1 (ERAP1), Aminopeptidase Q (APQ)</v>
      </c>
      <c r="CC31" s="13">
        <v>9.9999999999999995E-127</v>
      </c>
      <c r="CD31" s="2">
        <v>102.2</v>
      </c>
      <c r="CE31" s="2" t="s">
        <v>513</v>
      </c>
      <c r="CF31" s="2" t="s">
        <v>514</v>
      </c>
      <c r="CG31" s="9" t="str">
        <f>HYPERLINK(".\links\KOG\AGAP003926-PA-KOG.txt","Puromycin-sensitive aminopeptidase and related aminopeptidases")</f>
        <v>Puromycin-sensitive aminopeptidase and related aminopeptidases</v>
      </c>
      <c r="CH31" s="13">
        <v>1.0000000000000001E-128</v>
      </c>
      <c r="CI31" s="2">
        <v>80.7</v>
      </c>
      <c r="CJ31" s="2" t="s">
        <v>515</v>
      </c>
      <c r="CK31" s="2" t="s">
        <v>516</v>
      </c>
      <c r="CL31" s="9" t="str">
        <f>HYPERLINK(".\links\PFAM\AGAP003926-PA-PFAM.txt","Peptidase_M1, Peptidase family M1")</f>
        <v>Peptidase_M1, Peptidase family M1</v>
      </c>
      <c r="CM31" s="13">
        <v>6.0000000000000002E-84</v>
      </c>
      <c r="CN31" s="2">
        <v>102.1</v>
      </c>
      <c r="CO31" s="2" t="s">
        <v>517</v>
      </c>
      <c r="CP31" s="9" t="str">
        <f>HYPERLINK(".\links\SMART\AGAP003926-PA-SMART.txt","Biotin_carb_C, Biotin carboxylase C-terminal domain")</f>
        <v>Biotin_carb_C, Biotin carboxylase C-terminal domain</v>
      </c>
      <c r="CQ31" s="13">
        <v>0.81</v>
      </c>
      <c r="CR31" s="2">
        <v>22.4</v>
      </c>
      <c r="CS31" s="2" t="s">
        <v>518</v>
      </c>
      <c r="CT31" s="2" t="s">
        <v>508</v>
      </c>
      <c r="CU31" s="2" t="s">
        <v>508</v>
      </c>
      <c r="CV31" s="2" t="s">
        <v>508</v>
      </c>
      <c r="CW31" s="2" t="str">
        <f>HYPERLINK(".\links\pep\AGAP003926-PA-pep.txt","AGAP003926-PA")</f>
        <v>AGAP003926-PA</v>
      </c>
      <c r="CX31" s="2" t="s">
        <v>88</v>
      </c>
      <c r="CY31" s="2">
        <v>876</v>
      </c>
      <c r="CZ31" s="2" t="s">
        <v>106</v>
      </c>
      <c r="DA31" s="2">
        <v>0</v>
      </c>
      <c r="DB31" s="2">
        <v>2</v>
      </c>
      <c r="DD31" s="2" t="str">
        <f>HYPERLINK("https://www.kegg.jp/kegg-bin/search_pathway_text?map=aga&amp;keyword=AGAP003926&amp;mode=1&amp;viewImage=true","AGAP003926")</f>
        <v>AGAP003926</v>
      </c>
      <c r="DE31" s="2" t="s">
        <v>503</v>
      </c>
      <c r="DF31" s="2" t="s">
        <v>504</v>
      </c>
      <c r="DG31" s="2" t="s">
        <v>94</v>
      </c>
      <c r="DH31" s="2" t="str">
        <f>HYPERLINK("https://vectorbase.org/vectorbase/app/record/gene/AGAP003926","AGAP003926-RA")</f>
        <v>AGAP003926-RA</v>
      </c>
      <c r="DI31" s="2" t="s">
        <v>250</v>
      </c>
      <c r="DJ31" s="2">
        <v>2631</v>
      </c>
      <c r="DK31" s="2" t="str">
        <f>HYPERLINK(".\links\netoglyc\AGAP003926-PA-netoglyc.txt","0")</f>
        <v>0</v>
      </c>
      <c r="DL31" s="2">
        <v>13.1</v>
      </c>
      <c r="DM31" s="2">
        <v>4.8</v>
      </c>
      <c r="DN31" s="2">
        <v>5.5</v>
      </c>
      <c r="DO31" s="2" t="s">
        <v>97</v>
      </c>
      <c r="DP31" s="2" t="s">
        <v>94</v>
      </c>
      <c r="DQ31" s="2" t="str">
        <f>HYPERLINK(".\links\Sigp\AGAP003926-PA-SigP.txt","SIG")</f>
        <v>SIG</v>
      </c>
      <c r="DR31" s="2" t="s">
        <v>511</v>
      </c>
      <c r="DS31" s="2">
        <v>99.200999999999993</v>
      </c>
      <c r="DT31" s="2">
        <v>5.71</v>
      </c>
      <c r="DU31" s="2">
        <v>97.04</v>
      </c>
      <c r="DV31" s="2">
        <v>5.72</v>
      </c>
      <c r="DW31" s="2" t="s">
        <v>512</v>
      </c>
      <c r="DX31" s="2">
        <v>876</v>
      </c>
      <c r="DY31" s="8">
        <v>0</v>
      </c>
      <c r="DZ31" s="2" t="s">
        <v>94</v>
      </c>
      <c r="EA31" s="2" t="s">
        <v>94</v>
      </c>
      <c r="EB31" s="2" t="s">
        <v>94</v>
      </c>
      <c r="EC31" s="2" t="str">
        <f>HYPERLINK(".\links\gpi\AGAP003926-PA-gpi.txt","N")</f>
        <v>N</v>
      </c>
      <c r="ED31" s="2">
        <v>0.19</v>
      </c>
      <c r="EF31" s="2">
        <v>9</v>
      </c>
      <c r="EG31" s="2" t="s">
        <v>94</v>
      </c>
      <c r="EH31" s="2" t="s">
        <v>94</v>
      </c>
      <c r="EI31" s="2">
        <v>13.127853881278501</v>
      </c>
      <c r="EJ31" s="2">
        <v>5.4794520547945202</v>
      </c>
      <c r="EK31" s="2">
        <v>4.7945205479452104</v>
      </c>
      <c r="EL31" s="2">
        <v>10.2739726027397</v>
      </c>
      <c r="EM31" s="2" t="s">
        <v>94</v>
      </c>
      <c r="EN31" s="2" t="s">
        <v>94</v>
      </c>
      <c r="EO31" s="2">
        <v>4</v>
      </c>
      <c r="EP31" s="2" t="s">
        <v>94</v>
      </c>
      <c r="EQ31" s="2" t="s">
        <v>94</v>
      </c>
      <c r="ER31" s="2" t="s">
        <v>94</v>
      </c>
      <c r="ES31" s="2" t="s">
        <v>94</v>
      </c>
      <c r="ET31" s="2" t="str">
        <f>HYPERLINK(".\links\REFSEQ-INVERTEBRATE\AGAP003926-PA-REFSEQ-INVERTEBRATE.txt","AGAP003926-PA")</f>
        <v>AGAP003926-PA</v>
      </c>
      <c r="EU31" s="2" t="str">
        <f>HYPERLINK("http://www.ncbi.nlm.nih.gov/sutils/blink.cgi?pid=XP_318379.5","0.0")</f>
        <v>0.0</v>
      </c>
      <c r="EV31" s="2" t="str">
        <f>HYPERLINK("http://www.ncbi.nlm.nih.gov/protein/XP_318379.5","XP_318379.5")</f>
        <v>XP_318379.5</v>
      </c>
      <c r="EW31" s="2">
        <v>100</v>
      </c>
      <c r="EX31" s="2">
        <v>100</v>
      </c>
      <c r="EY31" s="2">
        <v>100</v>
      </c>
      <c r="EZ31" s="2" t="s">
        <v>98</v>
      </c>
    </row>
    <row r="32" spans="1:156" x14ac:dyDescent="0.25">
      <c r="A32" s="2" t="s">
        <v>519</v>
      </c>
      <c r="B32" s="2">
        <v>1.3503905448689799</v>
      </c>
      <c r="C32" s="2">
        <v>2.5498114081082837</v>
      </c>
      <c r="D32" s="2">
        <v>3.9049769681453101</v>
      </c>
      <c r="E32" s="2">
        <v>31.5832817203407</v>
      </c>
      <c r="F32" s="2">
        <v>1.9106745678583199E-8</v>
      </c>
      <c r="G32" s="2">
        <v>1.05914824763096E-5</v>
      </c>
      <c r="H32" s="2" t="s">
        <v>520</v>
      </c>
      <c r="I32" s="2" t="s">
        <v>87</v>
      </c>
      <c r="J32" s="2" t="str">
        <f>HYPERLINK("https://vectorbase.org/vectorbase/app/record/gene/AGAP000448","AGAP000448-RA")</f>
        <v>AGAP000448-RA</v>
      </c>
      <c r="K32" s="2" t="str">
        <f>HYPERLINK(".\links\pep\AGAP000448-PA-pep.txt","AGAP000448-PA")</f>
        <v>AGAP000448-PA</v>
      </c>
      <c r="L32" s="8" t="s">
        <v>88</v>
      </c>
      <c r="M32" s="2">
        <v>300</v>
      </c>
      <c r="N32" s="2">
        <v>0</v>
      </c>
      <c r="O32" s="2">
        <v>0</v>
      </c>
      <c r="P32" s="2" t="s">
        <v>521</v>
      </c>
      <c r="Q32" s="9" t="s">
        <v>522</v>
      </c>
      <c r="R32" s="2" t="s">
        <v>523</v>
      </c>
      <c r="S32" s="2" t="str">
        <f>HYPERLINK(".\links\KOG\AGAP000448-PA-KOG.txt","KOG")</f>
        <v>KOG</v>
      </c>
      <c r="T32" s="2">
        <v>4E-35</v>
      </c>
      <c r="U32" s="2">
        <v>90.6</v>
      </c>
      <c r="V32" s="2" t="s">
        <v>524</v>
      </c>
      <c r="W32" s="10" t="s">
        <v>525</v>
      </c>
      <c r="X32" s="2" t="s">
        <v>523</v>
      </c>
      <c r="Y32" s="2" t="str">
        <f>HYPERLINK(".\links\REFSEQVERTEBRATE95\AGAP000448-PA-REFSEQVERTEBRATE95.txt","REFSEQVERTEBRATE95")</f>
        <v>REFSEQVERTEBRATE95</v>
      </c>
      <c r="Z32" s="2">
        <v>0</v>
      </c>
      <c r="AA32" s="2">
        <v>93.8</v>
      </c>
      <c r="AB32" s="11" t="s">
        <v>94</v>
      </c>
      <c r="AC32" s="11" t="str">
        <f>HYPERLINK(".\links\Sigp\AGAP000448-PA-SigP.txt","CYT")</f>
        <v>CYT</v>
      </c>
      <c r="AD32" s="2" t="s">
        <v>94</v>
      </c>
      <c r="AE32" s="2">
        <v>32.256</v>
      </c>
      <c r="AF32" s="2">
        <v>9.57</v>
      </c>
      <c r="AG32" s="2" t="s">
        <v>94</v>
      </c>
      <c r="AH32" s="2" t="s">
        <v>94</v>
      </c>
      <c r="AI32" s="2" t="s">
        <v>526</v>
      </c>
      <c r="AJ32" s="11" t="str">
        <f>HYPERLINK(".\links\tmhmm\AGAP000448-PA-tmhmm.txt","3")</f>
        <v>3</v>
      </c>
      <c r="AK32" s="2">
        <v>19.7</v>
      </c>
      <c r="AL32" s="2">
        <v>13.7</v>
      </c>
      <c r="AM32" s="2">
        <v>66.7</v>
      </c>
      <c r="AN32" s="11" t="str">
        <f>HYPERLINK(".\links\gpi\AGAP000448-PA-gpi.txt","N")</f>
        <v>N</v>
      </c>
      <c r="AO32" s="12" t="str">
        <f>HYPERLINK(".\links\netoglyc\AGAP000448-PA-netoglyc.txt","0")</f>
        <v>0</v>
      </c>
      <c r="AP32" s="11">
        <v>13.7</v>
      </c>
      <c r="AQ32" s="2">
        <v>10.7</v>
      </c>
      <c r="AR32" s="2">
        <v>4.3</v>
      </c>
      <c r="AS32" s="2">
        <v>1</v>
      </c>
      <c r="AT32" s="9" t="str">
        <f>HYPERLINK(".\links\NR-LIGHT\AGAP000448-PA-NR-LIGHT.txt","hypothetical protein ZHAS_00006225")</f>
        <v>hypothetical protein ZHAS_00006225</v>
      </c>
      <c r="AU32" s="2" t="str">
        <f>HYPERLINK("http://www.ncbi.nlm.nih.gov/sutils/blink.cgi?pid=KFB38906.1","1E-148")</f>
        <v>1E-148</v>
      </c>
      <c r="AV32" s="2" t="str">
        <f>HYPERLINK("http://www.ncbi.nlm.nih.gov/protein/KFB38906.1","KFB38906.1")</f>
        <v>KFB38906.1</v>
      </c>
      <c r="AW32" s="2">
        <v>88</v>
      </c>
      <c r="AX32" s="2">
        <v>91</v>
      </c>
      <c r="AY32" s="2">
        <v>100</v>
      </c>
      <c r="AZ32" s="2" t="s">
        <v>174</v>
      </c>
      <c r="BA32" s="9" t="str">
        <f>HYPERLINK(".\links\REFSEQ-INVERTEBRATE\AGAP000448-PA-REFSEQ-INVERTEBRATE.txt","mitochondrial ornithine transporter 1-like")</f>
        <v>mitochondrial ornithine transporter 1-like</v>
      </c>
      <c r="BB32" s="2" t="str">
        <f>HYPERLINK("http://www.ncbi.nlm.nih.gov/sutils/blink.cgi?pid=XP_019530043.1","1E-130")</f>
        <v>1E-130</v>
      </c>
      <c r="BC32" s="2" t="str">
        <f>HYPERLINK("http://www.ncbi.nlm.nih.gov/protein/XP_019530043.1","XP_019530043.1")</f>
        <v>XP_019530043.1</v>
      </c>
      <c r="BD32" s="2">
        <v>76</v>
      </c>
      <c r="BE32" s="2">
        <v>87</v>
      </c>
      <c r="BF32" s="2">
        <v>99</v>
      </c>
      <c r="BG32" s="2" t="s">
        <v>495</v>
      </c>
      <c r="BH32" s="9" t="str">
        <f>HYPERLINK(".\links\REFSEQ-PROTOZOA\AGAP000448-PA-REFSEQ-PROTOZOA.txt","carrier superfamily protein")</f>
        <v>carrier superfamily protein</v>
      </c>
      <c r="BI32" s="2" t="str">
        <f>HYPERLINK("http://www.ncbi.nlm.nih.gov/sutils/blink.cgi?pid=XP_004353185.1","9E-045")</f>
        <v>9E-045</v>
      </c>
      <c r="BJ32" s="2" t="str">
        <f>HYPERLINK("http://www.ncbi.nlm.nih.gov/protein/XP_004353185.1","XP_004353185.1")</f>
        <v>XP_004353185.1</v>
      </c>
      <c r="BK32" s="2">
        <v>37</v>
      </c>
      <c r="BL32" s="2">
        <v>53</v>
      </c>
      <c r="BM32" s="2">
        <v>95</v>
      </c>
      <c r="BN32" s="2" t="s">
        <v>527</v>
      </c>
      <c r="BO32" s="9" t="str">
        <f>HYPERLINK(".\links\SWISSP\AGAP000448-PA-SWISSP.txt","Mitochondrial ornithine transporter 1")</f>
        <v>Mitochondrial ornithine transporter 1</v>
      </c>
      <c r="BP32" s="2" t="str">
        <f>HYPERLINK("http://www.uniprot.org/uniprot/Q9Y619","2E-074")</f>
        <v>2E-074</v>
      </c>
      <c r="BQ32" s="2" t="str">
        <f>HYPERLINK("http://www.uniprot.org/uniprot/Q9Y619#expression","Q9Y619")</f>
        <v>Q9Y619</v>
      </c>
      <c r="BR32" s="2">
        <v>49</v>
      </c>
      <c r="BS32" s="2">
        <v>66</v>
      </c>
      <c r="BT32" s="2">
        <v>97</v>
      </c>
      <c r="BU32" s="2" t="s">
        <v>196</v>
      </c>
      <c r="BV32" s="9" t="str">
        <f>HYPERLINK(".\links\FLYBASE\AGAP000448-PA-FLYBASE.txt","FBpp0302592")</f>
        <v>FBpp0302592</v>
      </c>
      <c r="BW32" s="2" t="str">
        <f>HYPERLINK("http://flybase.org/reports/FBgn0030218#alliance_summary_container","1E-134")</f>
        <v>1E-134</v>
      </c>
      <c r="BX32" s="2">
        <v>305</v>
      </c>
      <c r="BY32" s="2">
        <v>62</v>
      </c>
      <c r="BZ32" s="2">
        <v>75</v>
      </c>
      <c r="CA32" s="2">
        <v>100</v>
      </c>
      <c r="CB32" s="9" t="str">
        <f>HYPERLINK(".\links\CDD\AGAP000448-PA-CDD.txt","Mito_carr, Mitochondrial carrier protein")</f>
        <v>Mito_carr, Mitochondrial carrier protein</v>
      </c>
      <c r="CC32" s="13">
        <v>2E-16</v>
      </c>
      <c r="CD32" s="2">
        <v>97.9</v>
      </c>
      <c r="CE32" s="2" t="s">
        <v>528</v>
      </c>
      <c r="CF32" s="2" t="s">
        <v>529</v>
      </c>
      <c r="CG32" s="9" t="str">
        <f>HYPERLINK(".\links\KOG\AGAP000448-PA-KOG.txt","Mitochondrial ornithine transporter")</f>
        <v>Mitochondrial ornithine transporter</v>
      </c>
      <c r="CH32" s="13">
        <v>1E-107</v>
      </c>
      <c r="CI32" s="2">
        <v>100.7</v>
      </c>
      <c r="CJ32" s="2" t="s">
        <v>530</v>
      </c>
      <c r="CK32" s="2" t="s">
        <v>531</v>
      </c>
      <c r="CL32" s="9" t="str">
        <f>HYPERLINK(".\links\PFAM\AGAP000448-PA-PFAM.txt","Mito_carr, Mitochondrial carrier protein")</f>
        <v>Mito_carr, Mitochondrial carrier protein</v>
      </c>
      <c r="CM32" s="13">
        <v>4.0000000000000003E-17</v>
      </c>
      <c r="CN32" s="2">
        <v>97.9</v>
      </c>
      <c r="CO32" s="2" t="s">
        <v>528</v>
      </c>
      <c r="CP32" s="9" t="str">
        <f>HYPERLINK(".\links\SMART\AGAP000448-PA-SMART.txt","STI, Soybean trypsin inhibitor (Kunitz) family of protease inhibitors")</f>
        <v>STI, Soybean trypsin inhibitor (Kunitz) family of protease inhibitors</v>
      </c>
      <c r="CQ32" s="13">
        <v>2.8</v>
      </c>
      <c r="CR32" s="2">
        <v>24.4</v>
      </c>
      <c r="CS32" s="2" t="s">
        <v>532</v>
      </c>
      <c r="CT32" s="2" t="s">
        <v>524</v>
      </c>
      <c r="CU32" s="2" t="s">
        <v>524</v>
      </c>
      <c r="CV32" s="2" t="s">
        <v>524</v>
      </c>
      <c r="CW32" s="2" t="str">
        <f>HYPERLINK(".\links\pep\AGAP000448-PA-pep.txt","AGAP000448-PA")</f>
        <v>AGAP000448-PA</v>
      </c>
      <c r="CX32" s="2" t="s">
        <v>88</v>
      </c>
      <c r="CY32" s="2">
        <v>300</v>
      </c>
      <c r="CZ32" s="2" t="s">
        <v>106</v>
      </c>
      <c r="DA32" s="2" t="s">
        <v>533</v>
      </c>
      <c r="DB32" s="2">
        <v>0</v>
      </c>
      <c r="DC32" s="2">
        <v>0</v>
      </c>
      <c r="DD32" s="2" t="str">
        <f>HYPERLINK("https://www.kegg.jp/kegg-bin/search_pathway_text?map=aga&amp;keyword=AGAP000448&amp;mode=1&amp;viewImage=true","AGAP000448")</f>
        <v>AGAP000448</v>
      </c>
      <c r="DE32" s="2" t="s">
        <v>519</v>
      </c>
      <c r="DF32" s="2" t="s">
        <v>520</v>
      </c>
      <c r="DG32" s="2" t="s">
        <v>87</v>
      </c>
      <c r="DH32" s="2" t="str">
        <f>HYPERLINK("https://vectorbase.org/vectorbase/app/record/gene/AGAP000448","AGAP000448-RA")</f>
        <v>AGAP000448-RA</v>
      </c>
      <c r="DI32" s="2" t="s">
        <v>125</v>
      </c>
      <c r="DJ32" s="2">
        <v>1623</v>
      </c>
      <c r="DK32" s="2" t="str">
        <f>HYPERLINK(".\links\netoglyc\AGAP000448-PA-netoglyc.txt","0")</f>
        <v>0</v>
      </c>
      <c r="DL32" s="2">
        <v>13.7</v>
      </c>
      <c r="DM32" s="2">
        <v>10.7</v>
      </c>
      <c r="DN32" s="2">
        <v>4.3</v>
      </c>
      <c r="DO32" s="2">
        <v>1</v>
      </c>
      <c r="DP32" s="2" t="s">
        <v>94</v>
      </c>
      <c r="DQ32" s="2" t="str">
        <f>HYPERLINK(".\links\Sigp\AGAP000448-PA-SigP.txt","CYT")</f>
        <v>CYT</v>
      </c>
      <c r="DR32" s="2" t="s">
        <v>94</v>
      </c>
      <c r="DS32" s="2">
        <v>32.256</v>
      </c>
      <c r="DT32" s="2">
        <v>9.57</v>
      </c>
      <c r="DU32" s="2" t="s">
        <v>94</v>
      </c>
      <c r="DV32" s="2" t="s">
        <v>94</v>
      </c>
      <c r="DW32" s="2" t="s">
        <v>526</v>
      </c>
      <c r="DX32" s="2">
        <v>300</v>
      </c>
      <c r="DY32" s="8" t="str">
        <f>HYPERLINK(".\links\tmhmm\AGAP000448-PA-tmhmm.txt","3")</f>
        <v>3</v>
      </c>
      <c r="DZ32" s="2">
        <v>19.7</v>
      </c>
      <c r="EA32" s="2">
        <v>13.7</v>
      </c>
      <c r="EB32" s="2">
        <v>66.7</v>
      </c>
      <c r="EC32" s="2" t="str">
        <f>HYPERLINK(".\links\gpi\AGAP000448-PA-gpi.txt","Y-NoSP")</f>
        <v>Y-NoSP</v>
      </c>
      <c r="ED32" s="2">
        <v>0.36</v>
      </c>
      <c r="EF32" s="2">
        <v>4</v>
      </c>
      <c r="EG32" s="2" t="s">
        <v>94</v>
      </c>
      <c r="EH32" s="2" t="s">
        <v>94</v>
      </c>
      <c r="EI32" s="2">
        <v>13.6666666666667</v>
      </c>
      <c r="EJ32" s="2">
        <v>4.3333333333333304</v>
      </c>
      <c r="EK32" s="2">
        <v>10.6666666666667</v>
      </c>
      <c r="EL32" s="2">
        <v>15</v>
      </c>
      <c r="EM32" s="2" t="s">
        <v>94</v>
      </c>
      <c r="EN32" s="2">
        <v>2</v>
      </c>
      <c r="EO32" s="2">
        <v>5</v>
      </c>
      <c r="EP32" s="2" t="s">
        <v>94</v>
      </c>
      <c r="EQ32" s="2" t="s">
        <v>94</v>
      </c>
      <c r="ER32" s="2" t="s">
        <v>94</v>
      </c>
      <c r="ES32" s="2" t="s">
        <v>94</v>
      </c>
      <c r="ET32" s="2" t="str">
        <f>HYPERLINK(".\links\REFSEQ-INVERTEBRATE\AGAP000448-PA-REFSEQ-INVERTEBRATE.txt","mitochondrial ornithine transporter 1")</f>
        <v>mitochondrial ornithine transporter 1</v>
      </c>
      <c r="EU32" s="2" t="str">
        <f>HYPERLINK("http://www.ncbi.nlm.nih.gov/sutils/blink.cgi?pid=XP_035919537.1","0.0")</f>
        <v>0.0</v>
      </c>
      <c r="EV32" s="2" t="str">
        <f>HYPERLINK("http://www.ncbi.nlm.nih.gov/protein/XP_035919537.1","XP_035919537.1")</f>
        <v>XP_035919537.1</v>
      </c>
      <c r="EW32" s="2">
        <v>90</v>
      </c>
      <c r="EX32" s="2">
        <v>93</v>
      </c>
      <c r="EY32" s="2">
        <v>100</v>
      </c>
      <c r="EZ32" s="2" t="s">
        <v>184</v>
      </c>
    </row>
    <row r="33" spans="1:156" x14ac:dyDescent="0.25">
      <c r="A33" s="2" t="s">
        <v>534</v>
      </c>
      <c r="B33" s="2">
        <v>1.3155691336842701</v>
      </c>
      <c r="C33" s="2">
        <v>2.4890050090167026</v>
      </c>
      <c r="D33" s="2">
        <v>0.87004278467639296</v>
      </c>
      <c r="E33" s="2">
        <v>13.9994391273797</v>
      </c>
      <c r="F33" s="2">
        <v>1.8286517285981199E-4</v>
      </c>
      <c r="G33" s="2">
        <v>1.10304320656928E-2</v>
      </c>
      <c r="H33" s="2" t="s">
        <v>167</v>
      </c>
      <c r="I33" s="2" t="s">
        <v>87</v>
      </c>
      <c r="J33" s="2" t="str">
        <f>HYPERLINK("https://vectorbase.org/vectorbase/app/record/gene/AGAP005345","AGAP005345-RA")</f>
        <v>AGAP005345-RA</v>
      </c>
      <c r="K33" s="2" t="str">
        <f>HYPERLINK(".\links\pep\AGAP005345-PA-pep.txt","AGAP005345-PA")</f>
        <v>AGAP005345-PA</v>
      </c>
      <c r="L33" s="8" t="s">
        <v>88</v>
      </c>
      <c r="M33" s="2">
        <v>894</v>
      </c>
      <c r="N33" s="2">
        <v>0</v>
      </c>
      <c r="O33" s="2">
        <v>2</v>
      </c>
      <c r="P33" s="2" t="s">
        <v>94</v>
      </c>
      <c r="Q33" s="9" t="s">
        <v>535</v>
      </c>
      <c r="R33" s="2" t="s">
        <v>289</v>
      </c>
      <c r="S33" s="2" t="str">
        <f>HYPERLINK(".\links\KOG\AGAP005345-PA-KOG.txt","KOG")</f>
        <v>KOG</v>
      </c>
      <c r="T33" s="2">
        <v>2.9999999999999999E-50</v>
      </c>
      <c r="U33" s="2">
        <v>40</v>
      </c>
      <c r="V33" s="2" t="s">
        <v>536</v>
      </c>
      <c r="W33" s="10" t="s">
        <v>537</v>
      </c>
      <c r="X33" s="2" t="s">
        <v>289</v>
      </c>
      <c r="Y33" s="2" t="str">
        <f>HYPERLINK(".\links\ARTHORPODA\AGAP005345-PA-ARTHORPODA.txt","ARTHORPODA")</f>
        <v>ARTHORPODA</v>
      </c>
      <c r="Z33" s="2">
        <v>0</v>
      </c>
      <c r="AA33" s="2">
        <v>100</v>
      </c>
      <c r="AB33" s="11" t="str">
        <f>HYPERLINK(".\links\pep\AGAP005345-PA-sulf.txt","3")</f>
        <v>3</v>
      </c>
      <c r="AC33" s="11" t="str">
        <f>HYPERLINK(".\links\Sigp\AGAP005345-PA-SigP.txt","CYT")</f>
        <v>CYT</v>
      </c>
      <c r="AD33" s="2" t="s">
        <v>94</v>
      </c>
      <c r="AE33" s="2">
        <v>99.433000000000007</v>
      </c>
      <c r="AF33" s="2">
        <v>5.47</v>
      </c>
      <c r="AG33" s="2" t="s">
        <v>94</v>
      </c>
      <c r="AH33" s="2" t="s">
        <v>94</v>
      </c>
      <c r="AI33" s="2" t="s">
        <v>463</v>
      </c>
      <c r="AJ33" s="11">
        <v>0</v>
      </c>
      <c r="AK33" s="2" t="s">
        <v>94</v>
      </c>
      <c r="AL33" s="2" t="s">
        <v>94</v>
      </c>
      <c r="AM33" s="2" t="s">
        <v>94</v>
      </c>
      <c r="AN33" s="11" t="str">
        <f>HYPERLINK(".\links\gpi\AGAP005345-PA-gpi.txt","N")</f>
        <v>N</v>
      </c>
      <c r="AO33" s="12" t="str">
        <f>HYPERLINK(".\links\netoglyc\AGAP005345-PA-netoglyc.txt","15")</f>
        <v>15</v>
      </c>
      <c r="AP33" s="11">
        <v>17.899999999999999</v>
      </c>
      <c r="AQ33" s="2">
        <v>6.4</v>
      </c>
      <c r="AR33" s="2">
        <v>5.8</v>
      </c>
      <c r="AS33" s="2" t="s">
        <v>97</v>
      </c>
      <c r="AT33" s="9" t="str">
        <f>HYPERLINK(".\links\NR-LIGHT\AGAP005345-PA-NR-LIGHT.txt","AGAP005345-PA")</f>
        <v>AGAP005345-PA</v>
      </c>
      <c r="AU33" s="2" t="str">
        <f>HYPERLINK("http://www.ncbi.nlm.nih.gov/sutils/blink.cgi?pid=XP_315358.4","0.0")</f>
        <v>0.0</v>
      </c>
      <c r="AV33" s="2" t="str">
        <f>HYPERLINK("http://www.ncbi.nlm.nih.gov/protein/XP_315358.4","XP_315358.4")</f>
        <v>XP_315358.4</v>
      </c>
      <c r="AW33" s="2">
        <v>100</v>
      </c>
      <c r="AX33" s="2">
        <v>100</v>
      </c>
      <c r="AY33" s="2">
        <v>100</v>
      </c>
      <c r="AZ33" s="2" t="s">
        <v>98</v>
      </c>
      <c r="BA33" s="9" t="str">
        <f>HYPERLINK(".\links\REFSEQ-INVERTEBRATE\AGAP005345-PA-REFSEQ-INVERTEBRATE.txt","AGAP005345-PA")</f>
        <v>AGAP005345-PA</v>
      </c>
      <c r="BB33" s="2" t="str">
        <f>HYPERLINK("http://www.ncbi.nlm.nih.gov/sutils/blink.cgi?pid=XP_315358.4","0.0")</f>
        <v>0.0</v>
      </c>
      <c r="BC33" s="2" t="str">
        <f>HYPERLINK("http://www.ncbi.nlm.nih.gov/protein/XP_315358.4","XP_315358.4")</f>
        <v>XP_315358.4</v>
      </c>
      <c r="BD33" s="2">
        <v>100</v>
      </c>
      <c r="BE33" s="2">
        <v>100</v>
      </c>
      <c r="BF33" s="2">
        <v>100</v>
      </c>
      <c r="BG33" s="2" t="s">
        <v>98</v>
      </c>
      <c r="BH33" s="9" t="str">
        <f>HYPERLINK(".\links\REFSEQ-PROTOZOA\AGAP005345-PA-REFSEQ-PROTOZOA.txt","hypothetical protein PTSG_08019")</f>
        <v>hypothetical protein PTSG_08019</v>
      </c>
      <c r="BI33" s="2" t="str">
        <f>HYPERLINK("http://www.ncbi.nlm.nih.gov/sutils/blink.cgi?pid=XP_004991041.1","5E-019")</f>
        <v>5E-019</v>
      </c>
      <c r="BJ33" s="2" t="str">
        <f>HYPERLINK("http://www.ncbi.nlm.nih.gov/protein/XP_004991041.1","XP_004991041.1")</f>
        <v>XP_004991041.1</v>
      </c>
      <c r="BK33" s="2">
        <v>21</v>
      </c>
      <c r="BL33" s="2">
        <v>37</v>
      </c>
      <c r="BM33" s="2">
        <v>77</v>
      </c>
      <c r="BN33" s="2" t="s">
        <v>117</v>
      </c>
      <c r="BO33" s="9" t="str">
        <f>HYPERLINK(".\links\SWISSP\AGAP005345-PA-SWISSP.txt","La-related protein 6")</f>
        <v>La-related protein 6</v>
      </c>
      <c r="BP33" s="2" t="str">
        <f>HYPERLINK("http://www.uniprot.org/uniprot/Q9BRS8","5E-035")</f>
        <v>5E-035</v>
      </c>
      <c r="BQ33" s="2" t="str">
        <f>HYPERLINK("http://www.uniprot.org/uniprot/Q9BRS8#expression","Q9BRS8")</f>
        <v>Q9BRS8</v>
      </c>
      <c r="BR33" s="2">
        <v>35</v>
      </c>
      <c r="BS33" s="2">
        <v>55</v>
      </c>
      <c r="BT33" s="2">
        <v>53</v>
      </c>
      <c r="BU33" s="2" t="s">
        <v>196</v>
      </c>
      <c r="BV33" s="9" t="str">
        <f>HYPERLINK(".\links\FLYBASE\AGAP005345-PA-FLYBASE.txt","FBpp0311633")</f>
        <v>FBpp0311633</v>
      </c>
      <c r="BW33" s="2" t="str">
        <f>HYPERLINK("http://flybase.org/reports/FBgn0033936#alliance_summary_container","1E-124")</f>
        <v>1E-124</v>
      </c>
      <c r="BX33" s="2">
        <v>867</v>
      </c>
      <c r="BY33" s="2">
        <v>42</v>
      </c>
      <c r="BZ33" s="2">
        <v>54</v>
      </c>
      <c r="CA33" s="2">
        <v>75</v>
      </c>
      <c r="CB33" s="9" t="str">
        <f>HYPERLINK(".\links\CDD\AGAP005345-PA-CDD.txt","LARP_6, La RNA-binding domain of La-related protein 6")</f>
        <v>LARP_6, La RNA-binding domain of La-related protein 6</v>
      </c>
      <c r="CC33" s="13">
        <v>6.0000000000000001E-32</v>
      </c>
      <c r="CD33" s="2">
        <v>100</v>
      </c>
      <c r="CE33" s="2" t="s">
        <v>538</v>
      </c>
      <c r="CF33" s="2" t="s">
        <v>539</v>
      </c>
      <c r="CG33" s="9" t="str">
        <f>HYPERLINK(".\links\KOG\AGAP005345-PA-KOG.txt","Predicted RNA-binding protein")</f>
        <v>Predicted RNA-binding protein</v>
      </c>
      <c r="CH33" s="13">
        <v>2.9999999999999999E-50</v>
      </c>
      <c r="CI33" s="2">
        <v>40.1</v>
      </c>
      <c r="CJ33" s="2" t="s">
        <v>540</v>
      </c>
      <c r="CK33" s="2" t="s">
        <v>122</v>
      </c>
      <c r="CL33" s="9" t="str">
        <f>HYPERLINK(".\links\PFAM\AGAP005345-PA-PFAM.txt","La, La domain")</f>
        <v>La, La domain</v>
      </c>
      <c r="CM33" s="13">
        <v>9.9999999999999998E-20</v>
      </c>
      <c r="CN33" s="2">
        <v>100</v>
      </c>
      <c r="CO33" s="2" t="s">
        <v>541</v>
      </c>
      <c r="CP33" s="9" t="str">
        <f>HYPERLINK(".\links\SMART\AGAP005345-PA-SMART.txt","LA, Domain in the RNA-binding Lupus La protein")</f>
        <v>LA, Domain in the RNA-binding Lupus La protein</v>
      </c>
      <c r="CQ33" s="13">
        <v>4.0000000000000002E-25</v>
      </c>
      <c r="CR33" s="2">
        <v>101.3</v>
      </c>
      <c r="CS33" s="2" t="s">
        <v>542</v>
      </c>
      <c r="CT33" s="2" t="s">
        <v>536</v>
      </c>
      <c r="CU33" s="2" t="s">
        <v>536</v>
      </c>
      <c r="CV33" s="2" t="s">
        <v>536</v>
      </c>
      <c r="CW33" s="2" t="str">
        <f>HYPERLINK(".\links\pep\AGAP005345-PA-pep.txt","AGAP005345-PA")</f>
        <v>AGAP005345-PA</v>
      </c>
      <c r="CX33" s="2" t="s">
        <v>88</v>
      </c>
      <c r="CY33" s="2">
        <v>894</v>
      </c>
      <c r="CZ33" s="2" t="s">
        <v>106</v>
      </c>
      <c r="DA33" s="2" t="s">
        <v>543</v>
      </c>
      <c r="DB33" s="2">
        <v>0</v>
      </c>
      <c r="DC33" s="2">
        <v>2</v>
      </c>
      <c r="DD33" s="2" t="str">
        <f>HYPERLINK("https://www.kegg.jp/kegg-bin/search_pathway_text?map=aga&amp;keyword=AGAP005345&amp;mode=1&amp;viewImage=true","AGAP005345")</f>
        <v>AGAP005345</v>
      </c>
      <c r="DE33" s="2" t="s">
        <v>544</v>
      </c>
      <c r="DF33" s="2" t="s">
        <v>167</v>
      </c>
      <c r="DG33" s="2" t="s">
        <v>87</v>
      </c>
      <c r="DH33" s="2" t="str">
        <f>HYPERLINK("https://vectorbase.org/vectorbase/app/record/gene/AGAP005345","AGAP005345-RA")</f>
        <v>AGAP005345-RA</v>
      </c>
      <c r="DI33" s="2" t="s">
        <v>250</v>
      </c>
      <c r="DJ33" s="2">
        <v>2685</v>
      </c>
      <c r="DK33" s="2" t="str">
        <f>HYPERLINK(".\links\netoglyc\AGAP005345-PA-netoglyc.txt","15")</f>
        <v>15</v>
      </c>
      <c r="DL33" s="2">
        <v>17.899999999999999</v>
      </c>
      <c r="DM33" s="2">
        <v>6.4</v>
      </c>
      <c r="DN33" s="2">
        <v>5.8</v>
      </c>
      <c r="DO33" s="2" t="s">
        <v>97</v>
      </c>
      <c r="DP33" s="2" t="s">
        <v>545</v>
      </c>
      <c r="DQ33" s="2" t="str">
        <f>HYPERLINK(".\links\Sigp\AGAP005345-PA-SigP.txt","CYT")</f>
        <v>CYT</v>
      </c>
      <c r="DR33" s="2" t="s">
        <v>94</v>
      </c>
      <c r="DS33" s="2">
        <v>99.433000000000007</v>
      </c>
      <c r="DT33" s="2">
        <v>5.47</v>
      </c>
      <c r="DU33" s="2" t="s">
        <v>94</v>
      </c>
      <c r="DV33" s="2" t="s">
        <v>94</v>
      </c>
      <c r="DW33" s="2" t="s">
        <v>463</v>
      </c>
      <c r="DX33" s="2">
        <v>894</v>
      </c>
      <c r="DY33" s="8">
        <v>0</v>
      </c>
      <c r="DZ33" s="2" t="s">
        <v>94</v>
      </c>
      <c r="EA33" s="2" t="s">
        <v>94</v>
      </c>
      <c r="EB33" s="2" t="s">
        <v>94</v>
      </c>
      <c r="EC33" s="2" t="str">
        <f>HYPERLINK(".\links\gpi\AGAP005345-PA-gpi.txt","Y-NoSP")</f>
        <v>Y-NoSP</v>
      </c>
      <c r="ED33" s="2">
        <v>0.26</v>
      </c>
      <c r="EF33" s="2">
        <v>16</v>
      </c>
      <c r="EG33" s="2" t="str">
        <f>HYPERLINK(".\links\pep\AGAP005345-PA-sulf.txt","3")</f>
        <v>3</v>
      </c>
      <c r="EH33" s="2" t="s">
        <v>94</v>
      </c>
      <c r="EI33" s="2">
        <v>17.8970917225951</v>
      </c>
      <c r="EJ33" s="2">
        <v>5.8165548098434003</v>
      </c>
      <c r="EK33" s="2">
        <v>6.3758389261744997</v>
      </c>
      <c r="EL33" s="2">
        <v>12.1923937360179</v>
      </c>
      <c r="EM33" s="2" t="s">
        <v>94</v>
      </c>
      <c r="EN33" s="2">
        <v>1</v>
      </c>
      <c r="EO33" s="2">
        <v>1</v>
      </c>
      <c r="EP33" s="2" t="s">
        <v>94</v>
      </c>
      <c r="EQ33" s="2" t="s">
        <v>94</v>
      </c>
      <c r="ER33" s="2" t="s">
        <v>94</v>
      </c>
      <c r="ES33" s="2" t="s">
        <v>94</v>
      </c>
      <c r="ET33" s="2" t="str">
        <f>HYPERLINK(".\links\REFSEQ-INVERTEBRATE\AGAP005345-PA-REFSEQ-INVERTEBRATE.txt","AGAP005345-PA")</f>
        <v>AGAP005345-PA</v>
      </c>
      <c r="EU33" s="2" t="str">
        <f>HYPERLINK("http://www.ncbi.nlm.nih.gov/sutils/blink.cgi?pid=XP_315358.4","0.0")</f>
        <v>0.0</v>
      </c>
      <c r="EV33" s="2" t="str">
        <f>HYPERLINK("http://www.ncbi.nlm.nih.gov/protein/XP_315358.4","XP_315358.4")</f>
        <v>XP_315358.4</v>
      </c>
      <c r="EW33" s="2">
        <v>100</v>
      </c>
      <c r="EX33" s="2">
        <v>100</v>
      </c>
      <c r="EY33" s="2">
        <v>100</v>
      </c>
      <c r="EZ33" s="2" t="s">
        <v>98</v>
      </c>
    </row>
    <row r="34" spans="1:156" x14ac:dyDescent="0.25">
      <c r="A34" s="2" t="s">
        <v>546</v>
      </c>
      <c r="B34" s="2">
        <v>1.30709797554118</v>
      </c>
      <c r="C34" s="2">
        <v>2.4744329940508427</v>
      </c>
      <c r="D34" s="2">
        <v>6.8923246495277297</v>
      </c>
      <c r="E34" s="2">
        <v>27.0621700637545</v>
      </c>
      <c r="F34" s="2">
        <v>1.9701594947634001E-7</v>
      </c>
      <c r="G34" s="2">
        <v>6.4247580489577396E-5</v>
      </c>
      <c r="H34" s="2" t="s">
        <v>547</v>
      </c>
      <c r="I34" s="2" t="s">
        <v>87</v>
      </c>
      <c r="J34" s="2" t="str">
        <f>HYPERLINK("https://vectorbase.org/vectorbase/app/record/gene/AGAP000367","AGAP000367-RA")</f>
        <v>AGAP000367-RA</v>
      </c>
      <c r="K34" s="2" t="str">
        <f>HYPERLINK(".\links\pep\AGAP000367-PA-pep.txt","AGAP000367-PA")</f>
        <v>AGAP000367-PA</v>
      </c>
      <c r="L34" s="8" t="s">
        <v>88</v>
      </c>
      <c r="M34" s="2">
        <v>294</v>
      </c>
      <c r="N34" s="2">
        <v>0</v>
      </c>
      <c r="O34" s="2">
        <v>5</v>
      </c>
      <c r="P34" s="2" t="s">
        <v>548</v>
      </c>
      <c r="Q34" s="9" t="s">
        <v>549</v>
      </c>
      <c r="R34" s="2" t="s">
        <v>550</v>
      </c>
      <c r="S34" s="2" t="str">
        <f>HYPERLINK(".\links\KOG\AGAP000367-PA-KOG.txt","KOG")</f>
        <v>KOG</v>
      </c>
      <c r="T34" s="2">
        <v>2.0000000000000001E-97</v>
      </c>
      <c r="U34" s="2">
        <v>97.6</v>
      </c>
      <c r="V34" s="2" t="s">
        <v>551</v>
      </c>
      <c r="W34" s="10" t="s">
        <v>552</v>
      </c>
      <c r="X34" s="2" t="s">
        <v>550</v>
      </c>
      <c r="Y34" s="2" t="str">
        <f>HYPERLINK(".\links\KOG\AGAP000367-PA-KOG.txt","KOG")</f>
        <v>KOG</v>
      </c>
      <c r="Z34" s="2">
        <v>0</v>
      </c>
      <c r="AA34" s="2">
        <v>95.3</v>
      </c>
      <c r="AB34" s="11" t="s">
        <v>94</v>
      </c>
      <c r="AC34" s="11" t="str">
        <f>HYPERLINK(".\links\Sigp\AGAP000367-PA-SigP.txt","CYT")</f>
        <v>CYT</v>
      </c>
      <c r="AD34" s="2" t="s">
        <v>94</v>
      </c>
      <c r="AE34" s="2">
        <v>32.222999999999999</v>
      </c>
      <c r="AF34" s="2">
        <v>5.4</v>
      </c>
      <c r="AG34" s="2" t="s">
        <v>94</v>
      </c>
      <c r="AH34" s="2" t="s">
        <v>94</v>
      </c>
      <c r="AI34" s="2" t="s">
        <v>463</v>
      </c>
      <c r="AJ34" s="11">
        <v>0</v>
      </c>
      <c r="AK34" s="2" t="s">
        <v>94</v>
      </c>
      <c r="AL34" s="2" t="s">
        <v>94</v>
      </c>
      <c r="AM34" s="2" t="s">
        <v>94</v>
      </c>
      <c r="AN34" s="11" t="str">
        <f>HYPERLINK(".\links\gpi\AGAP000367-PA-gpi.txt","N")</f>
        <v>N</v>
      </c>
      <c r="AO34" s="12" t="str">
        <f>HYPERLINK(".\links\netoglyc\AGAP000367-PA-netoglyc.txt","1")</f>
        <v>1</v>
      </c>
      <c r="AP34" s="11">
        <v>8.5</v>
      </c>
      <c r="AQ34" s="2">
        <v>8.1999999999999993</v>
      </c>
      <c r="AR34" s="2">
        <v>7.1</v>
      </c>
      <c r="AS34" s="2" t="s">
        <v>97</v>
      </c>
      <c r="AT34" s="9" t="str">
        <f>HYPERLINK(".\links\NR-LIGHT\AGAP000367-PA-NR-LIGHT.txt","AGAP000367-PA")</f>
        <v>AGAP000367-PA</v>
      </c>
      <c r="AU34" s="2" t="str">
        <f>HYPERLINK("http://www.ncbi.nlm.nih.gov/sutils/blink.cgi?pid=XP_310743.3","1E-169")</f>
        <v>1E-169</v>
      </c>
      <c r="AV34" s="2" t="str">
        <f>HYPERLINK("http://www.ncbi.nlm.nih.gov/protein/XP_310743.3","XP_310743.3")</f>
        <v>XP_310743.3</v>
      </c>
      <c r="AW34" s="2">
        <v>100</v>
      </c>
      <c r="AX34" s="2">
        <v>100</v>
      </c>
      <c r="AY34" s="2">
        <v>100</v>
      </c>
      <c r="AZ34" s="2" t="s">
        <v>98</v>
      </c>
      <c r="BA34" s="9" t="str">
        <f>HYPERLINK(".\links\REFSEQ-INVERTEBRATE\AGAP000367-PA-REFSEQ-INVERTEBRATE.txt","AGAP000367-PA")</f>
        <v>AGAP000367-PA</v>
      </c>
      <c r="BB34" s="2" t="str">
        <f>HYPERLINK("http://www.ncbi.nlm.nih.gov/sutils/blink.cgi?pid=XP_310743.3","1E-169")</f>
        <v>1E-169</v>
      </c>
      <c r="BC34" s="2" t="str">
        <f>HYPERLINK("http://www.ncbi.nlm.nih.gov/protein/XP_310743.3","XP_310743.3")</f>
        <v>XP_310743.3</v>
      </c>
      <c r="BD34" s="2">
        <v>100</v>
      </c>
      <c r="BE34" s="2">
        <v>100</v>
      </c>
      <c r="BF34" s="2">
        <v>100</v>
      </c>
      <c r="BG34" s="2" t="s">
        <v>98</v>
      </c>
      <c r="BH34" s="9" t="str">
        <f>HYPERLINK(".\links\REFSEQ-PROTOZOA\AGAP000367-PA-REFSEQ-PROTOZOA.txt","juvenile hormone binding protein")</f>
        <v>juvenile hormone binding protein</v>
      </c>
      <c r="BI34" s="2" t="str">
        <f>HYPERLINK("http://www.ncbi.nlm.nih.gov/sutils/blink.cgi?pid=XP_004998999.1","4E-072")</f>
        <v>4E-072</v>
      </c>
      <c r="BJ34" s="2" t="str">
        <f>HYPERLINK("http://www.ncbi.nlm.nih.gov/protein/XP_004998999.1","XP_004998999.1")</f>
        <v>XP_004998999.1</v>
      </c>
      <c r="BK34" s="2">
        <v>48</v>
      </c>
      <c r="BL34" s="2">
        <v>63</v>
      </c>
      <c r="BM34" s="2">
        <v>92</v>
      </c>
      <c r="BN34" s="2" t="s">
        <v>117</v>
      </c>
      <c r="BO34" s="9" t="str">
        <f>HYPERLINK(".\links\SWISSP\AGAP000367-PA-SWISSP.txt","Glyoxalase domain-containing protein 4")</f>
        <v>Glyoxalase domain-containing protein 4</v>
      </c>
      <c r="BP34" s="2" t="str">
        <f>HYPERLINK("http://www.uniprot.org/uniprot/Q5I0D1","4E-073")</f>
        <v>4E-073</v>
      </c>
      <c r="BQ34" s="2" t="str">
        <f>HYPERLINK("http://www.uniprot.org/uniprot/Q5I0D1#expression","Q5I0D1")</f>
        <v>Q5I0D1</v>
      </c>
      <c r="BR34" s="2">
        <v>47</v>
      </c>
      <c r="BS34" s="2">
        <v>66</v>
      </c>
      <c r="BT34" s="2">
        <v>99</v>
      </c>
      <c r="BU34" s="2" t="s">
        <v>177</v>
      </c>
      <c r="BV34" s="9" t="str">
        <f>HYPERLINK(".\links\FLYBASE\AGAP000367-PA-FLYBASE.txt","FBpp0308695")</f>
        <v>FBpp0308695</v>
      </c>
      <c r="BW34" s="2" t="str">
        <f>HYPERLINK("http://flybase.org/reports/FBgn0031143#alliance_summary_container","1E-128")</f>
        <v>1E-128</v>
      </c>
      <c r="BX34" s="2">
        <v>288</v>
      </c>
      <c r="BY34" s="2">
        <v>60</v>
      </c>
      <c r="BZ34" s="2">
        <v>74</v>
      </c>
      <c r="CA34" s="2">
        <v>101</v>
      </c>
      <c r="CB34" s="9" t="str">
        <f>HYPERLINK(".\links\CDD\AGAP000367-PA-CDD.txt","GLOD4_N, N-terminal domain of human glyoxalase domain-containing protein 4 and similar proteins")</f>
        <v>GLOD4_N, N-terminal domain of human glyoxalase domain-containing protein 4 and similar proteins</v>
      </c>
      <c r="CC34" s="13">
        <v>3.0000000000000002E-60</v>
      </c>
      <c r="CD34" s="2">
        <v>101.6</v>
      </c>
      <c r="CE34" s="2" t="s">
        <v>553</v>
      </c>
      <c r="CF34" s="2" t="s">
        <v>554</v>
      </c>
      <c r="CG34" s="9" t="str">
        <f>HYPERLINK(".\links\KOG\AGAP000367-PA-KOG.txt","Predicted glyoxalase")</f>
        <v>Predicted glyoxalase</v>
      </c>
      <c r="CH34" s="13">
        <v>2.0000000000000001E-97</v>
      </c>
      <c r="CI34" s="2">
        <v>97.7</v>
      </c>
      <c r="CJ34" s="2" t="s">
        <v>555</v>
      </c>
      <c r="CK34" s="2" t="s">
        <v>556</v>
      </c>
      <c r="CL34" s="9" t="str">
        <f>HYPERLINK(".\links\PFAM\AGAP000367-PA-PFAM.txt","Glyoxalase, Glyoxalase/Bleomycin resistance protein/Dioxygenase superfamily")</f>
        <v>Glyoxalase, Glyoxalase/Bleomycin resistance protein/Dioxygenase superfamily</v>
      </c>
      <c r="CM34" s="13">
        <v>6.9999999999999994E-5</v>
      </c>
      <c r="CN34" s="2">
        <v>109.9</v>
      </c>
      <c r="CO34" s="2" t="s">
        <v>557</v>
      </c>
      <c r="CP34" s="9" t="str">
        <f>HYPERLINK(".\links\SMART\AGAP000367-PA-SMART.txt","ZU5, Domain present in ZO-1 and Unc5-like netrin receptors")</f>
        <v>ZU5, Domain present in ZO-1 and Unc5-like netrin receptors</v>
      </c>
      <c r="CQ34" s="13">
        <v>1.7</v>
      </c>
      <c r="CR34" s="2">
        <v>47.1</v>
      </c>
      <c r="CS34" s="2" t="s">
        <v>558</v>
      </c>
      <c r="CT34" s="2" t="s">
        <v>551</v>
      </c>
      <c r="CU34" s="2" t="s">
        <v>551</v>
      </c>
      <c r="CV34" s="2" t="s">
        <v>551</v>
      </c>
      <c r="CW34" s="2" t="str">
        <f>HYPERLINK(".\links\pep\AGAP000367-PA-pep.txt","AGAP000367-PA")</f>
        <v>AGAP000367-PA</v>
      </c>
      <c r="CX34" s="2" t="s">
        <v>88</v>
      </c>
      <c r="CY34" s="2">
        <v>294</v>
      </c>
      <c r="CZ34" s="2" t="s">
        <v>106</v>
      </c>
      <c r="DA34" s="2" t="s">
        <v>559</v>
      </c>
      <c r="DB34" s="2">
        <v>0</v>
      </c>
      <c r="DC34" s="2">
        <v>5</v>
      </c>
      <c r="DD34" s="2" t="str">
        <f>HYPERLINK("https://www.kegg.jp/kegg-bin/search_pathway_text?map=aga&amp;keyword=AGAP000367&amp;mode=1&amp;viewImage=true","AGAP000367")</f>
        <v>AGAP000367</v>
      </c>
      <c r="DE34" s="2" t="s">
        <v>546</v>
      </c>
      <c r="DF34" s="2" t="s">
        <v>547</v>
      </c>
      <c r="DG34" s="2" t="s">
        <v>87</v>
      </c>
      <c r="DH34" s="2" t="str">
        <f>HYPERLINK("https://vectorbase.org/vectorbase/app/record/gene/AGAP000367","AGAP000367-RA")</f>
        <v>AGAP000367-RA</v>
      </c>
      <c r="DI34" s="2" t="s">
        <v>108</v>
      </c>
      <c r="DJ34" s="2">
        <v>1552</v>
      </c>
      <c r="DK34" s="2" t="str">
        <f>HYPERLINK(".\links\netoglyc\AGAP000367-PA-netoglyc.txt","1")</f>
        <v>1</v>
      </c>
      <c r="DL34" s="2">
        <v>8.5</v>
      </c>
      <c r="DM34" s="2">
        <v>8.1999999999999993</v>
      </c>
      <c r="DN34" s="2">
        <v>7.1</v>
      </c>
      <c r="DO34" s="2" t="s">
        <v>97</v>
      </c>
      <c r="DP34" s="2" t="s">
        <v>94</v>
      </c>
      <c r="DQ34" s="2" t="str">
        <f>HYPERLINK(".\links\Sigp\AGAP000367-PA-SigP.txt","CYT")</f>
        <v>CYT</v>
      </c>
      <c r="DR34" s="2" t="s">
        <v>94</v>
      </c>
      <c r="DS34" s="2">
        <v>32.222999999999999</v>
      </c>
      <c r="DT34" s="2">
        <v>5.4</v>
      </c>
      <c r="DU34" s="2" t="s">
        <v>94</v>
      </c>
      <c r="DV34" s="2" t="s">
        <v>94</v>
      </c>
      <c r="DW34" s="2" t="s">
        <v>463</v>
      </c>
      <c r="DX34" s="2">
        <v>294</v>
      </c>
      <c r="DY34" s="8">
        <v>0</v>
      </c>
      <c r="DZ34" s="2" t="s">
        <v>94</v>
      </c>
      <c r="EA34" s="2" t="s">
        <v>94</v>
      </c>
      <c r="EB34" s="2" t="s">
        <v>94</v>
      </c>
      <c r="EC34" s="2" t="str">
        <f>HYPERLINK(".\links\gpi\AGAP000367-PA-gpi.txt","Y-NoSP")</f>
        <v>Y-NoSP</v>
      </c>
      <c r="ED34" s="2">
        <v>0.27</v>
      </c>
      <c r="EF34" s="2">
        <v>3</v>
      </c>
      <c r="EG34" s="2" t="s">
        <v>94</v>
      </c>
      <c r="EH34" s="2" t="s">
        <v>94</v>
      </c>
      <c r="EI34" s="2">
        <v>8.5034013605442205</v>
      </c>
      <c r="EJ34" s="2">
        <v>7.1428571428571397</v>
      </c>
      <c r="EK34" s="2">
        <v>8.1632653061224492</v>
      </c>
      <c r="EL34" s="2">
        <v>15.3061224489796</v>
      </c>
      <c r="EM34" s="2">
        <v>1</v>
      </c>
      <c r="EN34" s="2" t="s">
        <v>94</v>
      </c>
      <c r="EO34" s="2">
        <v>3</v>
      </c>
      <c r="EP34" s="2" t="s">
        <v>94</v>
      </c>
      <c r="EQ34" s="2" t="s">
        <v>94</v>
      </c>
      <c r="ER34" s="2" t="s">
        <v>94</v>
      </c>
      <c r="ES34" s="2" t="s">
        <v>94</v>
      </c>
      <c r="ET34" s="2" t="str">
        <f>HYPERLINK(".\links\REFSEQ-INVERTEBRATE\AGAP000367-PA-REFSEQ-INVERTEBRATE.txt","AGAP000367-PA")</f>
        <v>AGAP000367-PA</v>
      </c>
      <c r="EU34" s="2" t="str">
        <f>HYPERLINK("http://www.ncbi.nlm.nih.gov/sutils/blink.cgi?pid=XP_310743.3","0.0")</f>
        <v>0.0</v>
      </c>
      <c r="EV34" s="2" t="str">
        <f>HYPERLINK("http://www.ncbi.nlm.nih.gov/protein/XP_310743.3","XP_310743.3")</f>
        <v>XP_310743.3</v>
      </c>
      <c r="EW34" s="2">
        <v>100</v>
      </c>
      <c r="EX34" s="2">
        <v>100</v>
      </c>
      <c r="EY34" s="2">
        <v>100</v>
      </c>
      <c r="EZ34" s="2" t="s">
        <v>98</v>
      </c>
    </row>
    <row r="35" spans="1:156" x14ac:dyDescent="0.25">
      <c r="A35" s="2" t="s">
        <v>560</v>
      </c>
      <c r="B35" s="2">
        <v>1.2580486835951801</v>
      </c>
      <c r="C35" s="2">
        <v>2.3917203005450856</v>
      </c>
      <c r="D35" s="2">
        <v>5.2145938834358301</v>
      </c>
      <c r="E35" s="2">
        <v>24.048035955139799</v>
      </c>
      <c r="F35" s="2">
        <v>9.3962055596559595E-7</v>
      </c>
      <c r="G35" s="2">
        <v>2.0193893514103501E-4</v>
      </c>
      <c r="H35" s="2" t="s">
        <v>561</v>
      </c>
      <c r="I35" s="2" t="s">
        <v>87</v>
      </c>
      <c r="J35" s="2" t="str">
        <f>HYPERLINK("https://vectorbase.org/vectorbase/app/record/gene/AGAP000785","AGAP000785-RA")</f>
        <v>AGAP000785-RA</v>
      </c>
      <c r="K35" s="2" t="str">
        <f>HYPERLINK(".\links\pep\AGAP000785-PA-pep.txt","AGAP000785-PA")</f>
        <v>AGAP000785-PA</v>
      </c>
      <c r="L35" s="8" t="s">
        <v>88</v>
      </c>
      <c r="M35" s="2">
        <v>534</v>
      </c>
      <c r="N35" s="2">
        <v>0</v>
      </c>
      <c r="O35" s="2">
        <v>1</v>
      </c>
      <c r="P35" s="2" t="s">
        <v>562</v>
      </c>
      <c r="Q35" s="9" t="s">
        <v>563</v>
      </c>
      <c r="R35" s="2" t="s">
        <v>564</v>
      </c>
      <c r="S35" s="2" t="str">
        <f>HYPERLINK(".\links\CDD\AGAP000785-PA-CDD.txt","CDD")</f>
        <v>CDD</v>
      </c>
      <c r="T35" s="2">
        <v>9.9999999999999994E-37</v>
      </c>
      <c r="U35" s="2">
        <v>44.7</v>
      </c>
      <c r="V35" s="2" t="s">
        <v>565</v>
      </c>
      <c r="W35" s="10" t="s">
        <v>566</v>
      </c>
      <c r="X35" s="2" t="s">
        <v>564</v>
      </c>
      <c r="Y35" s="2" t="str">
        <f>HYPERLINK(".\links\REFSEQ-INVERTEBRATE\AGAP000785-PA-REFSEQ-INVERTEBRATE.txt","REFSEQ-INVERTEBRATE")</f>
        <v>REFSEQ-INVERTEBRATE</v>
      </c>
      <c r="Z35" s="13">
        <v>0</v>
      </c>
      <c r="AA35" s="2">
        <v>100</v>
      </c>
      <c r="AB35" s="11" t="str">
        <f>HYPERLINK(".\links\pep\AGAP000785-PA-sulf.txt","1")</f>
        <v>1</v>
      </c>
      <c r="AC35" s="11" t="str">
        <f>HYPERLINK(".\links\Sigp\AGAP000785-PA-SigP.txt","CYT")</f>
        <v>CYT</v>
      </c>
      <c r="AD35" s="2" t="s">
        <v>94</v>
      </c>
      <c r="AE35" s="2">
        <v>57.856999999999999</v>
      </c>
      <c r="AF35" s="2">
        <v>8.36</v>
      </c>
      <c r="AG35" s="2" t="s">
        <v>94</v>
      </c>
      <c r="AH35" s="2" t="s">
        <v>94</v>
      </c>
      <c r="AI35" s="2" t="s">
        <v>567</v>
      </c>
      <c r="AJ35" s="11" t="str">
        <f>HYPERLINK(".\links\tmhmm\AGAP000785-PA-tmhmm.txt","12")</f>
        <v>12</v>
      </c>
      <c r="AK35" s="2">
        <v>48.7</v>
      </c>
      <c r="AL35" s="2">
        <v>15.5</v>
      </c>
      <c r="AM35" s="2">
        <v>35.799999999999997</v>
      </c>
      <c r="AN35" s="11" t="str">
        <f>HYPERLINK(".\links\gpi\AGAP000785-PA-gpi.txt","N")</f>
        <v>N</v>
      </c>
      <c r="AO35" s="12" t="str">
        <f>HYPERLINK(".\links\netoglyc\AGAP000785-PA-netoglyc.txt","0")</f>
        <v>0</v>
      </c>
      <c r="AP35" s="11">
        <v>13.1</v>
      </c>
      <c r="AQ35" s="2">
        <v>8.4</v>
      </c>
      <c r="AR35" s="2">
        <v>2.8</v>
      </c>
      <c r="AS35" s="2" t="s">
        <v>97</v>
      </c>
      <c r="AT35" s="9" t="str">
        <f>HYPERLINK(".\links\NR-LIGHT\AGAP000785-PA-NR-LIGHT.txt","AGAP000785-PA")</f>
        <v>AGAP000785-PA</v>
      </c>
      <c r="AU35" s="2" t="str">
        <f>HYPERLINK("http://www.ncbi.nlm.nih.gov/sutils/blink.cgi?pid=XP_311324.5","0.0")</f>
        <v>0.0</v>
      </c>
      <c r="AV35" s="2" t="str">
        <f>HYPERLINK("http://www.ncbi.nlm.nih.gov/protein/XP_311324.5","XP_311324.5")</f>
        <v>XP_311324.5</v>
      </c>
      <c r="AW35" s="2">
        <v>100</v>
      </c>
      <c r="AX35" s="2">
        <v>100</v>
      </c>
      <c r="AY35" s="2">
        <v>100</v>
      </c>
      <c r="AZ35" s="2" t="s">
        <v>98</v>
      </c>
      <c r="BA35" s="9" t="str">
        <f>HYPERLINK(".\links\REFSEQ-INVERTEBRATE\AGAP000785-PA-REFSEQ-INVERTEBRATE.txt","AGAP000785-PA")</f>
        <v>AGAP000785-PA</v>
      </c>
      <c r="BB35" s="2" t="str">
        <f>HYPERLINK("http://www.ncbi.nlm.nih.gov/sutils/blink.cgi?pid=XP_311324.5","0.0")</f>
        <v>0.0</v>
      </c>
      <c r="BC35" s="2" t="str">
        <f>HYPERLINK("http://www.ncbi.nlm.nih.gov/protein/XP_311324.5","XP_311324.5")</f>
        <v>XP_311324.5</v>
      </c>
      <c r="BD35" s="2">
        <v>100</v>
      </c>
      <c r="BE35" s="2">
        <v>100</v>
      </c>
      <c r="BF35" s="2">
        <v>100</v>
      </c>
      <c r="BG35" s="2" t="s">
        <v>98</v>
      </c>
      <c r="BH35" s="9" t="str">
        <f>HYPERLINK(".\links\REFSEQ-PROTOZOA\AGAP000785-PA-REFSEQ-PROTOZOA.txt","major facilitator superfamily transporter")</f>
        <v>major facilitator superfamily transporter</v>
      </c>
      <c r="BI35" s="2" t="str">
        <f>HYPERLINK("http://www.ncbi.nlm.nih.gov/sutils/blink.cgi?pid=XP_013758517.1","1E-027")</f>
        <v>1E-027</v>
      </c>
      <c r="BJ35" s="2" t="str">
        <f>HYPERLINK("http://www.ncbi.nlm.nih.gov/protein/XP_013758517.1","XP_013758517.1")</f>
        <v>XP_013758517.1</v>
      </c>
      <c r="BK35" s="2">
        <v>21</v>
      </c>
      <c r="BL35" s="2">
        <v>42</v>
      </c>
      <c r="BM35" s="2">
        <v>103</v>
      </c>
      <c r="BN35" s="2" t="s">
        <v>256</v>
      </c>
      <c r="BO35" s="9" t="str">
        <f>HYPERLINK(".\links\SWISSP\AGAP000785-PA-SWISSP.txt","Synaptic vesicle glycoprotein 2C")</f>
        <v>Synaptic vesicle glycoprotein 2C</v>
      </c>
      <c r="BP35" s="2" t="str">
        <f>HYPERLINK("http://www.uniprot.org/uniprot/Q496J9","1E-033")</f>
        <v>1E-033</v>
      </c>
      <c r="BQ35" s="2" t="str">
        <f>HYPERLINK("http://www.uniprot.org/uniprot/Q496J9#expression","Q496J9")</f>
        <v>Q496J9</v>
      </c>
      <c r="BR35" s="2">
        <v>29</v>
      </c>
      <c r="BS35" s="2">
        <v>47</v>
      </c>
      <c r="BT35" s="2">
        <v>44</v>
      </c>
      <c r="BU35" s="2" t="s">
        <v>196</v>
      </c>
      <c r="BV35" s="9" t="str">
        <f>HYPERLINK(".\links\FLYBASE\AGAP000785-PA-FLYBASE.txt","FBpp0111892")</f>
        <v>FBpp0111892</v>
      </c>
      <c r="BW35" s="2" t="str">
        <f>HYPERLINK("http://flybase.org/reports/FBgn0030331#alliance_summary_container","2E-98")</f>
        <v>2E-98</v>
      </c>
      <c r="BX35" s="2">
        <v>545</v>
      </c>
      <c r="BY35" s="2">
        <v>35</v>
      </c>
      <c r="BZ35" s="2">
        <v>57</v>
      </c>
      <c r="CA35" s="2">
        <v>88</v>
      </c>
      <c r="CB35" s="9" t="str">
        <f>HYPERLINK(".\links\CDD\AGAP000785-PA-CDD.txt","synaptic_vesicle_protein_2C, synaptic vesicle protein SV2")</f>
        <v>synaptic_vesicle_protein_2C, synaptic vesicle protein SV2</v>
      </c>
      <c r="CC35" s="13">
        <v>9.9999999999999994E-37</v>
      </c>
      <c r="CD35" s="2">
        <v>44.7</v>
      </c>
      <c r="CE35" s="2" t="s">
        <v>568</v>
      </c>
      <c r="CF35" s="2" t="s">
        <v>569</v>
      </c>
      <c r="CG35" s="9" t="str">
        <f>HYPERLINK(".\links\KOG\AGAP000785-PA-KOG.txt","Synaptic vesicle transporter SVOP and related transporters (major facilitator superfamily)")</f>
        <v>Synaptic vesicle transporter SVOP and related transporters (major facilitator superfamily)</v>
      </c>
      <c r="CH35" s="13">
        <v>9.9999999999999994E-37</v>
      </c>
      <c r="CI35" s="2">
        <v>96.7</v>
      </c>
      <c r="CJ35" s="2" t="s">
        <v>570</v>
      </c>
      <c r="CK35" s="2" t="s">
        <v>122</v>
      </c>
      <c r="CL35" s="9" t="str">
        <f>HYPERLINK(".\links\PFAM\AGAP000785-PA-PFAM.txt","Sugar_tr, Sugar (and other) transporter")</f>
        <v>Sugar_tr, Sugar (and other) transporter</v>
      </c>
      <c r="CM35" s="13">
        <v>1E-14</v>
      </c>
      <c r="CN35" s="2">
        <v>40.9</v>
      </c>
      <c r="CO35" s="2" t="s">
        <v>119</v>
      </c>
      <c r="CP35" s="9" t="str">
        <f>HYPERLINK(".\links\SMART\AGAP000785-PA-SMART.txt","ArfGap, Putative GTP-ase activating proteins for the small GTPase, ARF")</f>
        <v>ArfGap, Putative GTP-ase activating proteins for the small GTPase, ARF</v>
      </c>
      <c r="CQ35" s="13">
        <v>1.2</v>
      </c>
      <c r="CR35" s="2">
        <v>33.6</v>
      </c>
      <c r="CS35" s="2" t="s">
        <v>571</v>
      </c>
      <c r="CT35" s="2" t="s">
        <v>565</v>
      </c>
      <c r="CU35" s="2" t="s">
        <v>565</v>
      </c>
      <c r="CV35" s="2" t="s">
        <v>565</v>
      </c>
      <c r="CW35" s="2" t="str">
        <f>HYPERLINK(".\links\pep\AGAP000785-PA-pep.txt","AGAP000785-PA")</f>
        <v>AGAP000785-PA</v>
      </c>
      <c r="CX35" s="2" t="s">
        <v>88</v>
      </c>
      <c r="CY35" s="2">
        <v>534</v>
      </c>
      <c r="CZ35" s="2" t="s">
        <v>106</v>
      </c>
      <c r="DA35" s="2" t="s">
        <v>572</v>
      </c>
      <c r="DB35" s="2">
        <v>0</v>
      </c>
      <c r="DC35" s="2">
        <v>1</v>
      </c>
      <c r="DD35" s="2" t="str">
        <f>HYPERLINK("https://www.kegg.jp/kegg-bin/search_pathway_text?map=aga&amp;keyword=AGAP000785&amp;mode=1&amp;viewImage=true","AGAP000785")</f>
        <v>AGAP000785</v>
      </c>
      <c r="DE35" s="2" t="s">
        <v>560</v>
      </c>
      <c r="DF35" s="2" t="s">
        <v>561</v>
      </c>
      <c r="DG35" s="2" t="s">
        <v>87</v>
      </c>
      <c r="DH35" s="2" t="str">
        <f>HYPERLINK("https://vectorbase.org/vectorbase/app/record/gene/AGAP000785","AGAP000785-RA")</f>
        <v>AGAP000785-RA</v>
      </c>
      <c r="DI35" s="2" t="s">
        <v>108</v>
      </c>
      <c r="DJ35" s="2">
        <v>1936</v>
      </c>
      <c r="DK35" s="2" t="str">
        <f>HYPERLINK(".\links\netoglyc\AGAP000785-PA-netoglyc.txt","0")</f>
        <v>0</v>
      </c>
      <c r="DL35" s="2">
        <v>13.1</v>
      </c>
      <c r="DM35" s="2">
        <v>8.4</v>
      </c>
      <c r="DN35" s="2">
        <v>2.8</v>
      </c>
      <c r="DO35" s="2" t="s">
        <v>97</v>
      </c>
      <c r="DP35" s="2" t="s">
        <v>94</v>
      </c>
      <c r="DQ35" s="2" t="str">
        <f>HYPERLINK(".\links\Sigp\AGAP000785-PA-SigP.txt","CYT")</f>
        <v>CYT</v>
      </c>
      <c r="DR35" s="2" t="s">
        <v>94</v>
      </c>
      <c r="DS35" s="2">
        <v>57.856999999999999</v>
      </c>
      <c r="DT35" s="2">
        <v>8.36</v>
      </c>
      <c r="DU35" s="2" t="s">
        <v>94</v>
      </c>
      <c r="DV35" s="2" t="s">
        <v>94</v>
      </c>
      <c r="DW35" s="2" t="s">
        <v>567</v>
      </c>
      <c r="DX35" s="2">
        <v>534</v>
      </c>
      <c r="DY35" s="8" t="str">
        <f>HYPERLINK(".\links\tmhmm\AGAP000785-PA-tmhmm.txt","12")</f>
        <v>12</v>
      </c>
      <c r="DZ35" s="2">
        <v>48.7</v>
      </c>
      <c r="EA35" s="2">
        <v>15.5</v>
      </c>
      <c r="EB35" s="2">
        <v>35.799999999999997</v>
      </c>
      <c r="EC35" s="2" t="str">
        <f>HYPERLINK(".\links\gpi\AGAP000785-PA-gpi.txt","Y-NoSP")</f>
        <v>Y-NoSP</v>
      </c>
      <c r="ED35" s="2">
        <v>0.36</v>
      </c>
      <c r="EF35" s="2">
        <v>13</v>
      </c>
      <c r="EG35" s="2" t="str">
        <f>HYPERLINK(".\links\pep\AGAP000785-PA-sulf.txt","1")</f>
        <v>1</v>
      </c>
      <c r="EH35" s="2" t="s">
        <v>94</v>
      </c>
      <c r="EI35" s="2">
        <v>13.1086142322097</v>
      </c>
      <c r="EJ35" s="2">
        <v>2.80898876404494</v>
      </c>
      <c r="EK35" s="2">
        <v>8.4269662921348303</v>
      </c>
      <c r="EL35" s="2">
        <v>11.235955056179799</v>
      </c>
      <c r="EM35" s="2" t="s">
        <v>94</v>
      </c>
      <c r="EN35" s="2">
        <v>1</v>
      </c>
      <c r="EO35" s="2">
        <v>1</v>
      </c>
      <c r="EP35" s="2" t="s">
        <v>94</v>
      </c>
      <c r="EQ35" s="2" t="s">
        <v>94</v>
      </c>
      <c r="ER35" s="2" t="s">
        <v>94</v>
      </c>
      <c r="ES35" s="2" t="s">
        <v>94</v>
      </c>
      <c r="ET35" s="2" t="str">
        <f>HYPERLINK(".\links\REFSEQ-INVERTEBRATE\AGAP000785-PA-REFSEQ-INVERTEBRATE.txt","AGAP000785-PA")</f>
        <v>AGAP000785-PA</v>
      </c>
      <c r="EU35" s="2" t="str">
        <f>HYPERLINK("http://www.ncbi.nlm.nih.gov/sutils/blink.cgi?pid=XP_311324.5","0.0")</f>
        <v>0.0</v>
      </c>
      <c r="EV35" s="2" t="str">
        <f>HYPERLINK("http://www.ncbi.nlm.nih.gov/protein/XP_311324.5","XP_311324.5")</f>
        <v>XP_311324.5</v>
      </c>
      <c r="EW35" s="2">
        <v>100</v>
      </c>
      <c r="EX35" s="2">
        <v>100</v>
      </c>
      <c r="EY35" s="2">
        <v>100</v>
      </c>
      <c r="EZ35" s="2" t="s">
        <v>98</v>
      </c>
    </row>
    <row r="36" spans="1:156" x14ac:dyDescent="0.25">
      <c r="A36" s="2" t="s">
        <v>573</v>
      </c>
      <c r="B36" s="2">
        <v>1.2406096113195499</v>
      </c>
      <c r="C36" s="2">
        <v>2.3629835915195305</v>
      </c>
      <c r="D36" s="2">
        <v>2.8008139760739299</v>
      </c>
      <c r="E36" s="2">
        <v>13.213896026916901</v>
      </c>
      <c r="F36" s="2">
        <v>2.7788112910695202E-4</v>
      </c>
      <c r="G36" s="2">
        <v>1.52461191809169E-2</v>
      </c>
      <c r="H36" s="2" t="s">
        <v>574</v>
      </c>
      <c r="I36" s="2" t="s">
        <v>87</v>
      </c>
      <c r="J36" s="2" t="str">
        <f>HYPERLINK("https://vectorbase.org/vectorbase/app/record/gene/AGAP004744","AGAP004744-RA")</f>
        <v>AGAP004744-RA</v>
      </c>
      <c r="K36" s="2" t="str">
        <f>HYPERLINK(".\links\pep\AGAP004744-PA-pep.txt","AGAP004744-PA")</f>
        <v>AGAP004744-PA</v>
      </c>
      <c r="L36" s="8" t="s">
        <v>88</v>
      </c>
      <c r="M36" s="2">
        <v>446</v>
      </c>
      <c r="N36" s="2">
        <v>0</v>
      </c>
      <c r="O36" s="2">
        <v>2</v>
      </c>
      <c r="P36" s="2" t="s">
        <v>575</v>
      </c>
      <c r="Q36" s="9" t="s">
        <v>576</v>
      </c>
      <c r="R36" s="2" t="s">
        <v>577</v>
      </c>
      <c r="S36" s="2" t="str">
        <f>HYPERLINK(".\links\KOG\AGAP004744-PA-KOG.txt","KOG")</f>
        <v>KOG</v>
      </c>
      <c r="T36" s="2">
        <v>0</v>
      </c>
      <c r="U36" s="2">
        <v>95.3</v>
      </c>
      <c r="V36" s="2" t="s">
        <v>578</v>
      </c>
      <c r="W36" s="10" t="s">
        <v>133</v>
      </c>
      <c r="X36" s="2" t="s">
        <v>577</v>
      </c>
      <c r="Y36" s="2" t="str">
        <f>HYPERLINK(".\links\COG\AGAP004744-PA-COG.txt","COG")</f>
        <v>COG</v>
      </c>
      <c r="Z36" s="2">
        <v>0</v>
      </c>
      <c r="AA36" s="2">
        <v>102.3</v>
      </c>
      <c r="AB36" s="11" t="str">
        <f>HYPERLINK(".\links\pep\AGAP004744-PA-sulf.txt","2")</f>
        <v>2</v>
      </c>
      <c r="AC36" s="11" t="str">
        <f>HYPERLINK(".\links\Sigp\AGAP004744-PA-SigP.txt","CYT")</f>
        <v>CYT</v>
      </c>
      <c r="AD36" s="2" t="s">
        <v>94</v>
      </c>
      <c r="AE36" s="2">
        <v>48.645000000000003</v>
      </c>
      <c r="AF36" s="2">
        <v>7.06</v>
      </c>
      <c r="AG36" s="2" t="s">
        <v>94</v>
      </c>
      <c r="AH36" s="2" t="s">
        <v>94</v>
      </c>
      <c r="AI36" s="2" t="s">
        <v>579</v>
      </c>
      <c r="AJ36" s="11">
        <v>0</v>
      </c>
      <c r="AK36" s="2" t="s">
        <v>94</v>
      </c>
      <c r="AL36" s="2" t="s">
        <v>94</v>
      </c>
      <c r="AM36" s="2" t="s">
        <v>94</v>
      </c>
      <c r="AN36" s="11" t="str">
        <f>HYPERLINK(".\links\gpi\AGAP004744-PA-gpi.txt","N")</f>
        <v>N</v>
      </c>
      <c r="AO36" s="12" t="str">
        <f>HYPERLINK(".\links\netoglyc\AGAP004744-PA-netoglyc.txt","0")</f>
        <v>0</v>
      </c>
      <c r="AP36" s="11">
        <v>8.1</v>
      </c>
      <c r="AQ36" s="2">
        <v>7.2</v>
      </c>
      <c r="AR36" s="2">
        <v>3.1</v>
      </c>
      <c r="AS36" s="2" t="s">
        <v>97</v>
      </c>
      <c r="AT36" s="9" t="str">
        <f>HYPERLINK(".\links\NR-LIGHT\AGAP004744-PA-NR-LIGHT.txt","AGAP004744-PA")</f>
        <v>AGAP004744-PA</v>
      </c>
      <c r="AU36" s="2" t="str">
        <f>HYPERLINK("http://www.ncbi.nlm.nih.gov/sutils/blink.cgi?pid=XP_318074.3","0.0")</f>
        <v>0.0</v>
      </c>
      <c r="AV36" s="2" t="str">
        <f>HYPERLINK("http://www.ncbi.nlm.nih.gov/protein/XP_318074.3","XP_318074.3")</f>
        <v>XP_318074.3</v>
      </c>
      <c r="AW36" s="2">
        <v>100</v>
      </c>
      <c r="AX36" s="2">
        <v>100</v>
      </c>
      <c r="AY36" s="2">
        <v>100</v>
      </c>
      <c r="AZ36" s="2" t="s">
        <v>98</v>
      </c>
      <c r="BA36" s="9" t="str">
        <f>HYPERLINK(".\links\REFSEQ-INVERTEBRATE\AGAP004744-PA-REFSEQ-INVERTEBRATE.txt","AGAP004744-PA")</f>
        <v>AGAP004744-PA</v>
      </c>
      <c r="BB36" s="2" t="str">
        <f>HYPERLINK("http://www.ncbi.nlm.nih.gov/sutils/blink.cgi?pid=XP_318074.3","0.0")</f>
        <v>0.0</v>
      </c>
      <c r="BC36" s="2" t="str">
        <f>HYPERLINK("http://www.ncbi.nlm.nih.gov/protein/XP_318074.3","XP_318074.3")</f>
        <v>XP_318074.3</v>
      </c>
      <c r="BD36" s="2">
        <v>100</v>
      </c>
      <c r="BE36" s="2">
        <v>100</v>
      </c>
      <c r="BF36" s="2">
        <v>100</v>
      </c>
      <c r="BG36" s="2" t="s">
        <v>98</v>
      </c>
      <c r="BH36" s="9" t="str">
        <f>HYPERLINK(".\links\REFSEQ-PROTOZOA\AGAP004744-PA-REFSEQ-PROTOZOA.txt","succinate-CoA ligase")</f>
        <v>succinate-CoA ligase</v>
      </c>
      <c r="BI36" s="2" t="str">
        <f>HYPERLINK("http://www.ncbi.nlm.nih.gov/sutils/blink.cgi?pid=XP_004349845.1","1E-140")</f>
        <v>1E-140</v>
      </c>
      <c r="BJ36" s="2" t="str">
        <f>HYPERLINK("http://www.ncbi.nlm.nih.gov/protein/XP_004349845.1","XP_004349845.1")</f>
        <v>XP_004349845.1</v>
      </c>
      <c r="BK36" s="2">
        <v>59</v>
      </c>
      <c r="BL36" s="2">
        <v>78</v>
      </c>
      <c r="BM36" s="2">
        <v>90</v>
      </c>
      <c r="BN36" s="2" t="s">
        <v>227</v>
      </c>
      <c r="BO36" s="9" t="str">
        <f>HYPERLINK(".\links\SWISSP\AGAP004744-PA-SWISSP.txt","Succinate--CoA ligase [ADP-forming] subunit beta, mitochondrial")</f>
        <v>Succinate--CoA ligase [ADP-forming] subunit beta, mitochondrial</v>
      </c>
      <c r="BP36" s="2" t="str">
        <f>HYPERLINK("http://www.uniprot.org/uniprot/Q9Z2I9","1E-145")</f>
        <v>1E-145</v>
      </c>
      <c r="BQ36" s="2" t="str">
        <f>HYPERLINK("http://www.uniprot.org/uniprot/Q9Z2I9#expression","Q9Z2I9")</f>
        <v>Q9Z2I9</v>
      </c>
      <c r="BR36" s="2">
        <v>62</v>
      </c>
      <c r="BS36" s="2">
        <v>80</v>
      </c>
      <c r="BT36" s="2">
        <v>89</v>
      </c>
      <c r="BU36" s="2" t="s">
        <v>339</v>
      </c>
      <c r="BV36" s="9" t="str">
        <f>HYPERLINK(".\links\FLYBASE\AGAP004744-PA-FLYBASE.txt","FBpp0306437")</f>
        <v>FBpp0306437</v>
      </c>
      <c r="BW36" s="2" t="str">
        <f>HYPERLINK("http://flybase.org/reports/FBgn0037643#alliance_summary_container","0.0")</f>
        <v>0.0</v>
      </c>
      <c r="BX36" s="2">
        <v>451</v>
      </c>
      <c r="BY36" s="2">
        <v>72</v>
      </c>
      <c r="BZ36" s="2">
        <v>84</v>
      </c>
      <c r="CA36" s="2">
        <v>99</v>
      </c>
      <c r="CB36" s="9" t="str">
        <f>HYPERLINK(".\links\CDD\AGAP004744-PA-CDD.txt","PLN00124, succinyl-CoA ligase")</f>
        <v>PLN00124, succinyl-CoA ligase</v>
      </c>
      <c r="CC36" s="13">
        <v>9.9999999999999995E-144</v>
      </c>
      <c r="CD36" s="2">
        <v>97.6</v>
      </c>
      <c r="CE36" s="2" t="s">
        <v>580</v>
      </c>
      <c r="CF36" s="2" t="s">
        <v>581</v>
      </c>
      <c r="CG36" s="9" t="str">
        <f>HYPERLINK(".\links\KOG\AGAP004744-PA-KOG.txt","beta subunit")</f>
        <v>beta subunit</v>
      </c>
      <c r="CH36" s="13">
        <v>9.9999999999999997E-155</v>
      </c>
      <c r="CI36" s="2">
        <v>95.6</v>
      </c>
      <c r="CJ36" s="2" t="s">
        <v>582</v>
      </c>
      <c r="CK36" s="2" t="s">
        <v>531</v>
      </c>
      <c r="CL36" s="9" t="str">
        <f>HYPERLINK(".\links\PFAM\AGAP004744-PA-PFAM.txt","ATP-grasp_2, ATP-grasp domain")</f>
        <v>ATP-grasp_2, ATP-grasp domain</v>
      </c>
      <c r="CM36" s="13">
        <v>2.9999999999999998E-63</v>
      </c>
      <c r="CN36" s="2">
        <v>103.5</v>
      </c>
      <c r="CO36" s="2" t="s">
        <v>583</v>
      </c>
      <c r="CP36" s="9" t="str">
        <f>HYPERLINK(".\links\SMART\AGAP004744-PA-SMART.txt","PCRF, This domain is found in peptide chain release factors")</f>
        <v>PCRF, This domain is found in peptide chain release factors</v>
      </c>
      <c r="CQ36" s="13">
        <v>1.8</v>
      </c>
      <c r="CR36" s="2">
        <v>25.9</v>
      </c>
      <c r="CS36" s="2" t="s">
        <v>584</v>
      </c>
      <c r="CT36" s="2" t="s">
        <v>578</v>
      </c>
      <c r="CU36" s="2" t="s">
        <v>578</v>
      </c>
      <c r="CV36" s="2" t="s">
        <v>578</v>
      </c>
      <c r="CW36" s="2" t="str">
        <f>HYPERLINK(".\links\pep\AGAP004744-PA-pep.txt","AGAP004744-PA")</f>
        <v>AGAP004744-PA</v>
      </c>
      <c r="CX36" s="2" t="s">
        <v>88</v>
      </c>
      <c r="CY36" s="2">
        <v>446</v>
      </c>
      <c r="CZ36" s="2" t="s">
        <v>106</v>
      </c>
      <c r="DA36" s="2" t="s">
        <v>585</v>
      </c>
      <c r="DB36" s="2">
        <v>0</v>
      </c>
      <c r="DC36" s="2">
        <v>2</v>
      </c>
      <c r="DD36" s="2" t="str">
        <f>HYPERLINK("https://www.kegg.jp/kegg-bin/search_pathway_text?map=aga&amp;keyword=AGAP004744&amp;mode=1&amp;viewImage=true","AGAP004744")</f>
        <v>AGAP004744</v>
      </c>
      <c r="DE36" s="2" t="s">
        <v>586</v>
      </c>
      <c r="DF36" s="2" t="s">
        <v>574</v>
      </c>
      <c r="DG36" s="2" t="s">
        <v>87</v>
      </c>
      <c r="DH36" s="2" t="str">
        <f>HYPERLINK("https://vectorbase.org/vectorbase/app/record/gene/AGAP004744","AGAP004744-RA")</f>
        <v>AGAP004744-RA</v>
      </c>
      <c r="DI36" s="2" t="s">
        <v>250</v>
      </c>
      <c r="DJ36" s="2">
        <v>1802</v>
      </c>
      <c r="DK36" s="2" t="str">
        <f>HYPERLINK(".\links\netoglyc\AGAP004744-PA-netoglyc.txt","0")</f>
        <v>0</v>
      </c>
      <c r="DL36" s="2">
        <v>8.1</v>
      </c>
      <c r="DM36" s="2">
        <v>7.2</v>
      </c>
      <c r="DN36" s="2">
        <v>3.1</v>
      </c>
      <c r="DO36" s="2" t="s">
        <v>97</v>
      </c>
      <c r="DP36" s="2" t="s">
        <v>94</v>
      </c>
      <c r="DQ36" s="2" t="str">
        <f>HYPERLINK(".\links\Sigp\AGAP004744-PA-SigP.txt","CYT")</f>
        <v>CYT</v>
      </c>
      <c r="DR36" s="2" t="s">
        <v>94</v>
      </c>
      <c r="DS36" s="2">
        <v>48.645000000000003</v>
      </c>
      <c r="DT36" s="2">
        <v>7.06</v>
      </c>
      <c r="DU36" s="2" t="s">
        <v>94</v>
      </c>
      <c r="DV36" s="2" t="s">
        <v>94</v>
      </c>
      <c r="DW36" s="2" t="s">
        <v>579</v>
      </c>
      <c r="DX36" s="2">
        <v>446</v>
      </c>
      <c r="DY36" s="8">
        <v>0</v>
      </c>
      <c r="DZ36" s="2" t="s">
        <v>94</v>
      </c>
      <c r="EA36" s="2" t="s">
        <v>94</v>
      </c>
      <c r="EB36" s="2" t="s">
        <v>94</v>
      </c>
      <c r="EC36" s="2" t="str">
        <f>HYPERLINK(".\links\gpi\AGAP004744-PA-gpi.txt","N")</f>
        <v>N</v>
      </c>
      <c r="ED36" s="2">
        <v>0.32</v>
      </c>
      <c r="EF36" s="2">
        <v>4</v>
      </c>
      <c r="EG36" s="2" t="str">
        <f>HYPERLINK(".\links\pep\AGAP004744-PA-sulf.txt","2")</f>
        <v>2</v>
      </c>
      <c r="EH36" s="2" t="s">
        <v>94</v>
      </c>
      <c r="EI36" s="2">
        <v>8.0717488789237706</v>
      </c>
      <c r="EJ36" s="2">
        <v>3.1390134529148002</v>
      </c>
      <c r="EK36" s="2">
        <v>7.1748878923766801</v>
      </c>
      <c r="EL36" s="2">
        <v>10.3139013452915</v>
      </c>
      <c r="EM36" s="2" t="s">
        <v>94</v>
      </c>
      <c r="EN36" s="2">
        <v>3</v>
      </c>
      <c r="EO36" s="2">
        <v>3</v>
      </c>
      <c r="EP36" s="2" t="s">
        <v>94</v>
      </c>
      <c r="EQ36" s="2" t="s">
        <v>94</v>
      </c>
      <c r="ER36" s="2" t="s">
        <v>94</v>
      </c>
      <c r="ES36" s="2" t="s">
        <v>94</v>
      </c>
      <c r="ET36" s="2" t="str">
        <f>HYPERLINK(".\links\REFSEQ-INVERTEBRATE\AGAP004744-PA-REFSEQ-INVERTEBRATE.txt","AGAP004744-PA")</f>
        <v>AGAP004744-PA</v>
      </c>
      <c r="EU36" s="2" t="str">
        <f>HYPERLINK("http://www.ncbi.nlm.nih.gov/sutils/blink.cgi?pid=XP_318074.3","0.0")</f>
        <v>0.0</v>
      </c>
      <c r="EV36" s="2" t="str">
        <f>HYPERLINK("http://www.ncbi.nlm.nih.gov/protein/XP_318074.3","XP_318074.3")</f>
        <v>XP_318074.3</v>
      </c>
      <c r="EW36" s="2">
        <v>100</v>
      </c>
      <c r="EX36" s="2">
        <v>100</v>
      </c>
      <c r="EY36" s="2">
        <v>100</v>
      </c>
      <c r="EZ36" s="2" t="s">
        <v>98</v>
      </c>
    </row>
    <row r="37" spans="1:156" x14ac:dyDescent="0.25">
      <c r="A37" s="2" t="s">
        <v>587</v>
      </c>
      <c r="B37" s="2">
        <v>1.1940628612913999</v>
      </c>
      <c r="C37" s="2">
        <v>2.2879616355904933</v>
      </c>
      <c r="D37" s="2">
        <v>2.3028798056269002</v>
      </c>
      <c r="E37" s="2">
        <v>18.073350344571701</v>
      </c>
      <c r="F37" s="2">
        <v>2.1255572901826401E-5</v>
      </c>
      <c r="G37" s="2">
        <v>2.23348836591746E-3</v>
      </c>
      <c r="H37" s="2" t="s">
        <v>588</v>
      </c>
      <c r="I37" s="2" t="s">
        <v>87</v>
      </c>
      <c r="J37" s="2" t="str">
        <f>HYPERLINK("https://vectorbase.org/vectorbase/app/record/gene/AGAP012308","AGAP012308-RA")</f>
        <v>AGAP012308-RA</v>
      </c>
      <c r="K37" s="2" t="str">
        <f>HYPERLINK(".\links\pep\AGAP012308-PA-pep.txt","AGAP012308-PA")</f>
        <v>AGAP012308-PA</v>
      </c>
      <c r="L37" s="8" t="s">
        <v>88</v>
      </c>
      <c r="M37" s="2">
        <v>449</v>
      </c>
      <c r="N37" s="2">
        <v>0</v>
      </c>
      <c r="O37" s="2">
        <v>1</v>
      </c>
      <c r="P37" s="2" t="s">
        <v>589</v>
      </c>
      <c r="Q37" s="9" t="s">
        <v>590</v>
      </c>
      <c r="R37" s="2" t="s">
        <v>591</v>
      </c>
      <c r="S37" s="2" t="str">
        <f>HYPERLINK(".\links\KOG\AGAP012308-PA-KOG.txt","KOG")</f>
        <v>KOG</v>
      </c>
      <c r="T37" s="2">
        <v>0</v>
      </c>
      <c r="U37" s="2">
        <v>86.3</v>
      </c>
      <c r="V37" s="2" t="s">
        <v>592</v>
      </c>
      <c r="W37" s="10" t="s">
        <v>593</v>
      </c>
      <c r="X37" s="2" t="s">
        <v>591</v>
      </c>
      <c r="Y37" s="2" t="str">
        <f>HYPERLINK(".\links\REFSEQ-VIRUS\AGAP012308-PA-REFSEQ-VIRUS.txt","REFSEQ-VIRUS")</f>
        <v>REFSEQ-VIRUS</v>
      </c>
      <c r="Z37" s="2">
        <v>0</v>
      </c>
      <c r="AA37" s="2">
        <v>90.4</v>
      </c>
      <c r="AB37" s="11" t="str">
        <f>HYPERLINK(".\links\pep\AGAP012308-PA-sulf.txt","2")</f>
        <v>2</v>
      </c>
      <c r="AC37" s="11" t="str">
        <f>HYPERLINK(".\links\Sigp\AGAP012308-PA-SigP.txt","CYT")</f>
        <v>CYT</v>
      </c>
      <c r="AD37" s="2" t="s">
        <v>94</v>
      </c>
      <c r="AE37" s="2">
        <v>50.399000000000001</v>
      </c>
      <c r="AF37" s="2">
        <v>5.21</v>
      </c>
      <c r="AG37" s="2" t="s">
        <v>94</v>
      </c>
      <c r="AH37" s="2" t="s">
        <v>94</v>
      </c>
      <c r="AI37" s="2" t="s">
        <v>594</v>
      </c>
      <c r="AJ37" s="11">
        <v>0</v>
      </c>
      <c r="AK37" s="2" t="s">
        <v>94</v>
      </c>
      <c r="AL37" s="2" t="s">
        <v>94</v>
      </c>
      <c r="AM37" s="2" t="s">
        <v>94</v>
      </c>
      <c r="AN37" s="11" t="str">
        <f>HYPERLINK(".\links\gpi\AGAP012308-PA-gpi.txt","N")</f>
        <v>N</v>
      </c>
      <c r="AO37" s="12" t="str">
        <f>HYPERLINK(".\links\netoglyc\AGAP012308-PA-netoglyc.txt","0")</f>
        <v>0</v>
      </c>
      <c r="AP37" s="11">
        <v>9.4</v>
      </c>
      <c r="AQ37" s="2">
        <v>7.3</v>
      </c>
      <c r="AR37" s="2">
        <v>5.3</v>
      </c>
      <c r="AS37" s="2" t="s">
        <v>97</v>
      </c>
      <c r="AT37" s="9" t="str">
        <f>HYPERLINK(".\links\NR-LIGHT\AGAP012308-PA-NR-LIGHT.txt","AGAP012308-PA")</f>
        <v>AGAP012308-PA</v>
      </c>
      <c r="AU37" s="2" t="str">
        <f>HYPERLINK("http://www.ncbi.nlm.nih.gov/sutils/blink.cgi?pid=XP_320233.4","0.0")</f>
        <v>0.0</v>
      </c>
      <c r="AV37" s="2" t="str">
        <f>HYPERLINK("http://www.ncbi.nlm.nih.gov/protein/XP_320233.4","XP_320233.4")</f>
        <v>XP_320233.4</v>
      </c>
      <c r="AW37" s="2">
        <v>100</v>
      </c>
      <c r="AX37" s="2">
        <v>100</v>
      </c>
      <c r="AY37" s="2">
        <v>100</v>
      </c>
      <c r="AZ37" s="2" t="s">
        <v>98</v>
      </c>
      <c r="BA37" s="9" t="str">
        <f>HYPERLINK(".\links\REFSEQ-INVERTEBRATE\AGAP012308-PA-REFSEQ-INVERTEBRATE.txt","AGAP012308-PA")</f>
        <v>AGAP012308-PA</v>
      </c>
      <c r="BB37" s="2" t="str">
        <f>HYPERLINK("http://www.ncbi.nlm.nih.gov/sutils/blink.cgi?pid=XP_320233.4","0.0")</f>
        <v>0.0</v>
      </c>
      <c r="BC37" s="2" t="str">
        <f>HYPERLINK("http://www.ncbi.nlm.nih.gov/protein/XP_320233.4","XP_320233.4")</f>
        <v>XP_320233.4</v>
      </c>
      <c r="BD37" s="2">
        <v>100</v>
      </c>
      <c r="BE37" s="2">
        <v>100</v>
      </c>
      <c r="BF37" s="2">
        <v>100</v>
      </c>
      <c r="BG37" s="2" t="s">
        <v>98</v>
      </c>
      <c r="BH37" s="9" t="str">
        <f>HYPERLINK(".\links\REFSEQ-PROTOZOA\AGAP012308-PA-REFSEQ-PROTOZOA.txt","ornithine decarboxylase, putative")</f>
        <v>ornithine decarboxylase, putative</v>
      </c>
      <c r="BI37" s="2" t="str">
        <f>HYPERLINK("http://www.ncbi.nlm.nih.gov/sutils/blink.cgi?pid=XP_011780677.1","3E-083")</f>
        <v>3E-083</v>
      </c>
      <c r="BJ37" s="2" t="str">
        <f>HYPERLINK("http://www.ncbi.nlm.nih.gov/protein/XP_011780677.1","XP_011780677.1")</f>
        <v>XP_011780677.1</v>
      </c>
      <c r="BK37" s="2">
        <v>44</v>
      </c>
      <c r="BL37" s="2">
        <v>61</v>
      </c>
      <c r="BM37" s="2">
        <v>86</v>
      </c>
      <c r="BN37" s="2" t="s">
        <v>595</v>
      </c>
      <c r="BO37" s="9" t="str">
        <f>HYPERLINK(".\links\SWISSP\AGAP012308-PA-SWISSP.txt","Ornithine decarboxylase")</f>
        <v>Ornithine decarboxylase</v>
      </c>
      <c r="BP37" s="2" t="str">
        <f>HYPERLINK("http://www.uniprot.org/uniprot/P11926","3E-091")</f>
        <v>3E-091</v>
      </c>
      <c r="BQ37" s="2" t="str">
        <f>HYPERLINK("http://www.uniprot.org/uniprot/P11926#expression","P11926")</f>
        <v>P11926</v>
      </c>
      <c r="BR37" s="2">
        <v>42</v>
      </c>
      <c r="BS37" s="2">
        <v>62</v>
      </c>
      <c r="BT37" s="2">
        <v>90</v>
      </c>
      <c r="BU37" s="2" t="s">
        <v>196</v>
      </c>
      <c r="BV37" s="9" t="str">
        <f>HYPERLINK(".\links\FLYBASE\AGAP012308-PA-FLYBASE.txt","FBpp0087939")</f>
        <v>FBpp0087939</v>
      </c>
      <c r="BW37" s="2" t="str">
        <f>HYPERLINK("http://flybase.org/reports/FBgn0013307#alliance_summary_container","9E-98")</f>
        <v>9E-98</v>
      </c>
      <c r="BX37" s="2">
        <v>394</v>
      </c>
      <c r="BY37" s="2">
        <v>39</v>
      </c>
      <c r="BZ37" s="2">
        <v>60</v>
      </c>
      <c r="CA37" s="2">
        <v>97</v>
      </c>
      <c r="CB37" s="9" t="str">
        <f>HYPERLINK(".\links\CDD\AGAP012308-PA-CDD.txt","PLPDE_III_ODC, Type III Pyridoxal 5-phosphate (PLP)-Dependent Enzyme Ornithine Decarboxylase")</f>
        <v>PLPDE_III_ODC, Type III Pyridoxal 5-phosphate (PLP)-Dependent Enzyme Ornithine Decarboxylase</v>
      </c>
      <c r="CC37" s="13">
        <v>1E-139</v>
      </c>
      <c r="CD37" s="2">
        <v>103.3</v>
      </c>
      <c r="CE37" s="2" t="s">
        <v>596</v>
      </c>
      <c r="CF37" s="2" t="s">
        <v>597</v>
      </c>
      <c r="CG37" s="9" t="str">
        <f>HYPERLINK(".\links\KOG\AGAP012308-PA-KOG.txt","Ornithine decarboxylase")</f>
        <v>Ornithine decarboxylase</v>
      </c>
      <c r="CH37" s="13">
        <v>9.9999999999999996E-104</v>
      </c>
      <c r="CI37" s="2">
        <v>86.4</v>
      </c>
      <c r="CJ37" s="2" t="s">
        <v>598</v>
      </c>
      <c r="CK37" s="2" t="s">
        <v>278</v>
      </c>
      <c r="CL37" s="9" t="str">
        <f>HYPERLINK(".\links\PFAM\AGAP012308-PA-PFAM.txt","Orn_Arg_deC_N, Pyridoxal-dependent decarboxylase, pyridoxal binding domain")</f>
        <v>Orn_Arg_deC_N, Pyridoxal-dependent decarboxylase, pyridoxal binding domain</v>
      </c>
      <c r="CM37" s="13">
        <v>2.0000000000000001E-61</v>
      </c>
      <c r="CN37" s="2">
        <v>101.2</v>
      </c>
      <c r="CO37" s="2" t="s">
        <v>599</v>
      </c>
      <c r="CP37" s="9" t="str">
        <f>HYPERLINK(".\links\SMART\AGAP012308-PA-SMART.txt","CHASE, This domain is found in the extracellular portion of receptor-like proteins - such as serine/threonine kinases and adenylyl cyclases")</f>
        <v>CHASE, This domain is found in the extracellular portion of receptor-like proteins - such as serine/threonine kinases and adenylyl cyclases</v>
      </c>
      <c r="CQ37" s="13">
        <v>0.25</v>
      </c>
      <c r="CR37" s="2">
        <v>23.9</v>
      </c>
      <c r="CS37" s="2" t="s">
        <v>600</v>
      </c>
      <c r="CT37" s="2" t="s">
        <v>592</v>
      </c>
      <c r="CU37" s="2" t="s">
        <v>592</v>
      </c>
      <c r="CV37" s="2" t="s">
        <v>592</v>
      </c>
      <c r="CW37" s="2" t="str">
        <f>HYPERLINK(".\links\pep\AGAP012308-PA-pep.txt","AGAP012308-PA")</f>
        <v>AGAP012308-PA</v>
      </c>
      <c r="CX37" s="2" t="s">
        <v>88</v>
      </c>
      <c r="CY37" s="2">
        <v>449</v>
      </c>
      <c r="CZ37" s="2" t="s">
        <v>106</v>
      </c>
      <c r="DA37" s="2" t="s">
        <v>601</v>
      </c>
      <c r="DB37" s="2">
        <v>0</v>
      </c>
      <c r="DC37" s="2">
        <v>1</v>
      </c>
      <c r="DD37" s="2" t="str">
        <f>HYPERLINK("https://www.kegg.jp/kegg-bin/search_pathway_text?map=aga&amp;keyword=AGAP012308&amp;mode=1&amp;viewImage=true","AGAP012308")</f>
        <v>AGAP012308</v>
      </c>
      <c r="DE37" s="2" t="s">
        <v>587</v>
      </c>
      <c r="DF37" s="2" t="s">
        <v>588</v>
      </c>
      <c r="DG37" s="2" t="s">
        <v>87</v>
      </c>
      <c r="DH37" s="2" t="str">
        <f>HYPERLINK("https://vectorbase.org/vectorbase/app/record/gene/AGAP012308","AGAP012308-RA")</f>
        <v>AGAP012308-RA</v>
      </c>
      <c r="DI37" s="2" t="s">
        <v>143</v>
      </c>
      <c r="DJ37" s="2">
        <v>1651</v>
      </c>
      <c r="DK37" s="2" t="str">
        <f>HYPERLINK(".\links\netoglyc\AGAP012308-PA-netoglyc.txt","0")</f>
        <v>0</v>
      </c>
      <c r="DL37" s="2">
        <v>9.4</v>
      </c>
      <c r="DM37" s="2">
        <v>7.3</v>
      </c>
      <c r="DN37" s="2">
        <v>5.3</v>
      </c>
      <c r="DO37" s="2" t="s">
        <v>97</v>
      </c>
      <c r="DP37" s="2" t="s">
        <v>94</v>
      </c>
      <c r="DQ37" s="2" t="str">
        <f>HYPERLINK(".\links\Sigp\AGAP012308-PA-SigP.txt","CYT")</f>
        <v>CYT</v>
      </c>
      <c r="DR37" s="2" t="s">
        <v>94</v>
      </c>
      <c r="DS37" s="2">
        <v>50.399000000000001</v>
      </c>
      <c r="DT37" s="2">
        <v>5.21</v>
      </c>
      <c r="DU37" s="2" t="s">
        <v>94</v>
      </c>
      <c r="DV37" s="2" t="s">
        <v>94</v>
      </c>
      <c r="DW37" s="2" t="s">
        <v>594</v>
      </c>
      <c r="DX37" s="2">
        <v>449</v>
      </c>
      <c r="DY37" s="8">
        <v>0</v>
      </c>
      <c r="DZ37" s="2" t="s">
        <v>94</v>
      </c>
      <c r="EA37" s="2" t="s">
        <v>94</v>
      </c>
      <c r="EB37" s="2" t="s">
        <v>94</v>
      </c>
      <c r="EC37" s="2" t="str">
        <f>HYPERLINK(".\links\gpi\AGAP012308-PA-gpi.txt","Y-NoSP")</f>
        <v>Y-NoSP</v>
      </c>
      <c r="ED37" s="2">
        <v>0.21</v>
      </c>
      <c r="EF37" s="2">
        <v>9</v>
      </c>
      <c r="EG37" s="2" t="str">
        <f>HYPERLINK(".\links\pep\AGAP012308-PA-sulf.txt","2")</f>
        <v>2</v>
      </c>
      <c r="EH37" s="2" t="s">
        <v>94</v>
      </c>
      <c r="EI37" s="2">
        <v>9.3541202672605799</v>
      </c>
      <c r="EJ37" s="2">
        <v>5.3452115812917604</v>
      </c>
      <c r="EK37" s="2">
        <v>7.3496659242761702</v>
      </c>
      <c r="EL37" s="2">
        <v>12.6948775055679</v>
      </c>
      <c r="EM37" s="2" t="s">
        <v>94</v>
      </c>
      <c r="EN37" s="2" t="s">
        <v>94</v>
      </c>
      <c r="EO37" s="2" t="s">
        <v>94</v>
      </c>
      <c r="EP37" s="2" t="s">
        <v>94</v>
      </c>
      <c r="EQ37" s="2" t="s">
        <v>94</v>
      </c>
      <c r="ER37" s="2" t="s">
        <v>94</v>
      </c>
      <c r="ES37" s="2" t="s">
        <v>94</v>
      </c>
      <c r="ET37" s="2" t="str">
        <f>HYPERLINK(".\links\REFSEQ-INVERTEBRATE\AGAP012308-PA-REFSEQ-INVERTEBRATE.txt","AGAP012308-PA")</f>
        <v>AGAP012308-PA</v>
      </c>
      <c r="EU37" s="2" t="str">
        <f>HYPERLINK("http://www.ncbi.nlm.nih.gov/sutils/blink.cgi?pid=XP_320233.4","0.0")</f>
        <v>0.0</v>
      </c>
      <c r="EV37" s="2" t="str">
        <f>HYPERLINK("http://www.ncbi.nlm.nih.gov/protein/XP_320233.4","XP_320233.4")</f>
        <v>XP_320233.4</v>
      </c>
      <c r="EW37" s="2">
        <v>100</v>
      </c>
      <c r="EX37" s="2">
        <v>100</v>
      </c>
      <c r="EY37" s="2">
        <v>100</v>
      </c>
      <c r="EZ37" s="2" t="s">
        <v>98</v>
      </c>
    </row>
    <row r="38" spans="1:156" x14ac:dyDescent="0.25">
      <c r="A38" s="2" t="s">
        <v>602</v>
      </c>
      <c r="B38" s="2">
        <v>1.1927871638246701</v>
      </c>
      <c r="C38" s="2">
        <v>2.2859394086368989</v>
      </c>
      <c r="D38" s="2">
        <v>2.7808663366812798</v>
      </c>
      <c r="E38" s="2">
        <v>14.5733770965871</v>
      </c>
      <c r="F38" s="2">
        <v>1.3480571863473001E-4</v>
      </c>
      <c r="G38" s="2">
        <v>8.9778709938636396E-3</v>
      </c>
      <c r="H38" s="2" t="s">
        <v>603</v>
      </c>
      <c r="I38" s="2" t="s">
        <v>87</v>
      </c>
      <c r="J38" s="2" t="str">
        <f>HYPERLINK("https://vectorbase.org/vectorbase/app/record/gene/AGAP003927","AGAP003927-RA")</f>
        <v>AGAP003927-RA</v>
      </c>
      <c r="K38" s="2" t="str">
        <f>HYPERLINK(".\links\pep\AGAP003927-PA-pep.txt","AGAP003927-PA")</f>
        <v>AGAP003927-PA</v>
      </c>
      <c r="L38" s="8" t="s">
        <v>88</v>
      </c>
      <c r="M38" s="2">
        <v>158</v>
      </c>
      <c r="N38" s="2">
        <v>0</v>
      </c>
      <c r="O38" s="2">
        <v>0</v>
      </c>
      <c r="P38" s="2" t="s">
        <v>604</v>
      </c>
      <c r="Q38" s="9" t="s">
        <v>605</v>
      </c>
      <c r="R38" s="2" t="s">
        <v>606</v>
      </c>
      <c r="S38" s="2" t="str">
        <f>HYPERLINK(".\links\REFSEQ-INVERTEBRATE\AGAP003927-PA-REFSEQ-INVERTEBRATE.txt","REFSEQ-INVERTEBRATE")</f>
        <v>REFSEQ-INVERTEBRATE</v>
      </c>
      <c r="T38" s="2">
        <v>2E-91</v>
      </c>
      <c r="V38" s="2" t="s">
        <v>607</v>
      </c>
      <c r="W38" s="10" t="s">
        <v>605</v>
      </c>
      <c r="X38" s="2" t="s">
        <v>606</v>
      </c>
      <c r="Y38" s="2" t="str">
        <f>HYPERLINK(".\links\REFSEQ-INVERTEBRATE\AGAP003927-PA-REFSEQ-INVERTEBRATE.txt","REFSEQ-INVERTEBRATE")</f>
        <v>REFSEQ-INVERTEBRATE</v>
      </c>
      <c r="Z38" s="2">
        <v>0</v>
      </c>
      <c r="AA38" s="2">
        <v>100</v>
      </c>
      <c r="AB38" s="11" t="str">
        <f>HYPERLINK(".\links\pep\AGAP003927-PA-sulf.txt","1")</f>
        <v>1</v>
      </c>
      <c r="AC38" s="11" t="str">
        <f>HYPERLINK(".\links\Sigp\AGAP003927-PA-SigP.txt","SIG")</f>
        <v>SIG</v>
      </c>
      <c r="AD38" s="2" t="s">
        <v>511</v>
      </c>
      <c r="AE38" s="2">
        <v>18.469000000000001</v>
      </c>
      <c r="AF38" s="2">
        <v>8.8800000000000008</v>
      </c>
      <c r="AG38" s="2">
        <v>16.303999999999998</v>
      </c>
      <c r="AH38" s="2">
        <v>9.25</v>
      </c>
      <c r="AI38" s="2" t="s">
        <v>608</v>
      </c>
      <c r="AJ38" s="11">
        <v>0</v>
      </c>
      <c r="AK38" s="2" t="s">
        <v>94</v>
      </c>
      <c r="AL38" s="2" t="s">
        <v>94</v>
      </c>
      <c r="AM38" s="2" t="s">
        <v>94</v>
      </c>
      <c r="AN38" s="11" t="str">
        <f>HYPERLINK(".\links\gpi\AGAP003927-PA-gpi.txt","N")</f>
        <v>N</v>
      </c>
      <c r="AO38" s="12" t="str">
        <f>HYPERLINK(".\links\netoglyc\AGAP003927-PA-netoglyc.txt","0")</f>
        <v>0</v>
      </c>
      <c r="AP38" s="11">
        <v>12.7</v>
      </c>
      <c r="AQ38" s="2">
        <v>7</v>
      </c>
      <c r="AR38" s="2">
        <v>3.2</v>
      </c>
      <c r="AS38" s="2" t="s">
        <v>97</v>
      </c>
      <c r="AT38" s="9" t="str">
        <f>HYPERLINK(".\links\NR-LIGHT\AGAP003927-PA-NR-LIGHT.txt","AGAP003927-PA")</f>
        <v>AGAP003927-PA</v>
      </c>
      <c r="AU38" s="2" t="str">
        <f>HYPERLINK("http://www.ncbi.nlm.nih.gov/sutils/blink.cgi?pid=XP_001231148.1","2E-091")</f>
        <v>2E-091</v>
      </c>
      <c r="AV38" s="2" t="str">
        <f>HYPERLINK("http://www.ncbi.nlm.nih.gov/protein/XP_001231148.1","XP_001231148.1")</f>
        <v>XP_001231148.1</v>
      </c>
      <c r="AW38" s="2">
        <v>100</v>
      </c>
      <c r="AX38" s="2">
        <v>100</v>
      </c>
      <c r="AY38" s="2">
        <v>100</v>
      </c>
      <c r="AZ38" s="2" t="s">
        <v>98</v>
      </c>
      <c r="BA38" s="9" t="str">
        <f>HYPERLINK(".\links\REFSEQ-INVERTEBRATE\AGAP003927-PA-REFSEQ-INVERTEBRATE.txt","AGAP003927-PA")</f>
        <v>AGAP003927-PA</v>
      </c>
      <c r="BB38" s="2" t="str">
        <f>HYPERLINK("http://www.ncbi.nlm.nih.gov/sutils/blink.cgi?pid=XP_001231148.1","2E-091")</f>
        <v>2E-091</v>
      </c>
      <c r="BC38" s="2" t="str">
        <f>HYPERLINK("http://www.ncbi.nlm.nih.gov/protein/XP_001231148.1","XP_001231148.1")</f>
        <v>XP_001231148.1</v>
      </c>
      <c r="BD38" s="2">
        <v>100</v>
      </c>
      <c r="BE38" s="2">
        <v>100</v>
      </c>
      <c r="BF38" s="2">
        <v>100</v>
      </c>
      <c r="BG38" s="2" t="s">
        <v>98</v>
      </c>
      <c r="BH38" s="9" t="str">
        <f>HYPERLINK(".\links\REFSEQ-PROTOZOA\AGAP003927-PA-REFSEQ-PROTOZOA.txt","hypothetical protein AK88_02876")</f>
        <v>hypothetical protein AK88_02876</v>
      </c>
      <c r="BI38" s="2" t="str">
        <f>HYPERLINK("http://www.ncbi.nlm.nih.gov/sutils/blink.cgi?pid=XP_012335922.1","0.77")</f>
        <v>0.77</v>
      </c>
      <c r="BJ38" s="2" t="str">
        <f>HYPERLINK("http://www.ncbi.nlm.nih.gov/protein/XP_012335922.1","XP_012335922.1")</f>
        <v>XP_012335922.1</v>
      </c>
      <c r="BK38" s="2">
        <v>23</v>
      </c>
      <c r="BL38" s="2">
        <v>52</v>
      </c>
      <c r="BM38" s="2">
        <v>33</v>
      </c>
      <c r="BN38" s="2" t="s">
        <v>609</v>
      </c>
      <c r="BO38" s="9" t="str">
        <f>HYPERLINK(".\links\SWISSP\AGAP003927-PA-SWISSP.txt","Probable insulin-like peptide 7")</f>
        <v>Probable insulin-like peptide 7</v>
      </c>
      <c r="BP38" s="2" t="str">
        <f>HYPERLINK("http://www.uniprot.org/uniprot/Q9W4Q9","6E-035")</f>
        <v>6E-035</v>
      </c>
      <c r="BQ38" s="2" t="str">
        <f>HYPERLINK("http://www.uniprot.org/uniprot/Q9W4Q9#expression","Q9W4Q9")</f>
        <v>Q9W4Q9</v>
      </c>
      <c r="BR38" s="2">
        <v>53</v>
      </c>
      <c r="BS38" s="2">
        <v>68</v>
      </c>
      <c r="BT38" s="2">
        <v>82</v>
      </c>
      <c r="BU38" s="2" t="s">
        <v>100</v>
      </c>
      <c r="BV38" s="9" t="str">
        <f>HYPERLINK(".\links\FLYBASE\AGAP003927-PA-FLYBASE.txt","FBpp0070552")</f>
        <v>FBpp0070552</v>
      </c>
      <c r="BW38" s="2" t="str">
        <f>HYPERLINK("http://flybase.org/reports/FBgn0044046#alliance_summary_container","2E-43")</f>
        <v>2E-43</v>
      </c>
      <c r="BX38" s="2">
        <v>159</v>
      </c>
      <c r="BY38" s="2">
        <v>48</v>
      </c>
      <c r="BZ38" s="2">
        <v>63</v>
      </c>
      <c r="CA38" s="2">
        <v>94</v>
      </c>
      <c r="CB38" s="9" t="str">
        <f>HYPERLINK(".\links\CDD\AGAP003927-PA-CDD.txt","IlGF_relaxin_like, IlGF_like family, relaxin_like subgroup, specific to vertebrates")</f>
        <v>IlGF_relaxin_like, IlGF_like family, relaxin_like subgroup, specific to vertebrates</v>
      </c>
      <c r="CC38" s="13">
        <v>5.9999999999999997E-7</v>
      </c>
      <c r="CD38" s="2">
        <v>167.8</v>
      </c>
      <c r="CE38" s="2" t="s">
        <v>610</v>
      </c>
      <c r="CF38" s="2" t="s">
        <v>611</v>
      </c>
      <c r="CG38" s="9" t="str">
        <f>HYPERLINK(".\links\KOG\AGAP003927-PA-KOG.txt","Prolyl-tRNA synthetase")</f>
        <v>Prolyl-tRNA synthetase</v>
      </c>
      <c r="CH38" s="13">
        <v>7.8</v>
      </c>
      <c r="CI38" s="2">
        <v>4.5</v>
      </c>
      <c r="CJ38" s="2" t="s">
        <v>612</v>
      </c>
      <c r="CK38" s="2" t="s">
        <v>613</v>
      </c>
      <c r="CL38" s="9" t="str">
        <f>HYPERLINK(".\links\PFAM\AGAP003927-PA-PFAM.txt","Rhamno_transf, Putative rhamnosyl transferase")</f>
        <v>Rhamno_transf, Putative rhamnosyl transferase</v>
      </c>
      <c r="CM38" s="13">
        <v>1.5</v>
      </c>
      <c r="CN38" s="2">
        <v>18.7</v>
      </c>
      <c r="CO38" s="2" t="s">
        <v>614</v>
      </c>
      <c r="CP38" s="9" t="str">
        <f>HYPERLINK(".\links\SMART\AGAP003927-PA-SMART.txt","IlGF, Insulin / insulin-like growth factor / relaxin family")</f>
        <v>IlGF, Insulin / insulin-like growth factor / relaxin family</v>
      </c>
      <c r="CQ38" s="13">
        <v>0.26</v>
      </c>
      <c r="CR38" s="2">
        <v>63.6</v>
      </c>
      <c r="CS38" s="2" t="s">
        <v>615</v>
      </c>
      <c r="CT38" s="2" t="s">
        <v>607</v>
      </c>
      <c r="CU38" s="2" t="s">
        <v>607</v>
      </c>
      <c r="CV38" s="2" t="s">
        <v>607</v>
      </c>
      <c r="CW38" s="2" t="str">
        <f>HYPERLINK(".\links\pep\AGAP003927-PA-pep.txt","AGAP003927-PA")</f>
        <v>AGAP003927-PA</v>
      </c>
      <c r="CX38" s="2" t="s">
        <v>88</v>
      </c>
      <c r="CY38" s="2">
        <v>158</v>
      </c>
      <c r="CZ38" s="2" t="s">
        <v>106</v>
      </c>
      <c r="DA38" s="2" t="s">
        <v>616</v>
      </c>
      <c r="DB38" s="2">
        <v>0</v>
      </c>
      <c r="DC38" s="2">
        <v>0</v>
      </c>
      <c r="DD38" s="2" t="str">
        <f>HYPERLINK("https://www.kegg.jp/kegg-bin/search_pathway_text?map=aga&amp;keyword=AGAP003927&amp;mode=1&amp;viewImage=true","AGAP003927")</f>
        <v>AGAP003927</v>
      </c>
      <c r="DE38" s="2" t="s">
        <v>602</v>
      </c>
      <c r="DF38" s="2" t="s">
        <v>603</v>
      </c>
      <c r="DG38" s="2" t="s">
        <v>87</v>
      </c>
      <c r="DH38" s="2" t="str">
        <f>HYPERLINK("https://vectorbase.org/vectorbase/app/record/gene/AGAP003927","AGAP003927-RA")</f>
        <v>AGAP003927-RA</v>
      </c>
      <c r="DI38" s="2" t="s">
        <v>108</v>
      </c>
      <c r="DJ38" s="2">
        <v>734</v>
      </c>
      <c r="DK38" s="2" t="str">
        <f>HYPERLINK(".\links\netoglyc\AGAP003927-PA-netoglyc.txt","0")</f>
        <v>0</v>
      </c>
      <c r="DL38" s="2">
        <v>12.7</v>
      </c>
      <c r="DM38" s="2">
        <v>7</v>
      </c>
      <c r="DN38" s="2">
        <v>3.2</v>
      </c>
      <c r="DO38" s="2" t="s">
        <v>97</v>
      </c>
      <c r="DP38" s="2" t="s">
        <v>94</v>
      </c>
      <c r="DQ38" s="2" t="str">
        <f>HYPERLINK(".\links\Sigp\AGAP003927-PA-SigP.txt","SIG")</f>
        <v>SIG</v>
      </c>
      <c r="DR38" s="2" t="s">
        <v>511</v>
      </c>
      <c r="DS38" s="2">
        <v>18.469000000000001</v>
      </c>
      <c r="DT38" s="2">
        <v>8.8800000000000008</v>
      </c>
      <c r="DU38" s="2">
        <v>16.303999999999998</v>
      </c>
      <c r="DV38" s="2">
        <v>9.25</v>
      </c>
      <c r="DW38" s="2" t="s">
        <v>608</v>
      </c>
      <c r="DX38" s="2">
        <v>158</v>
      </c>
      <c r="DY38" s="8">
        <v>0</v>
      </c>
      <c r="DZ38" s="2" t="s">
        <v>94</v>
      </c>
      <c r="EA38" s="2" t="s">
        <v>94</v>
      </c>
      <c r="EB38" s="2" t="s">
        <v>94</v>
      </c>
      <c r="EC38" s="2" t="str">
        <f>HYPERLINK(".\links\gpi\AGAP003927-PA-gpi.txt","Y-NoSP")</f>
        <v>Y-NoSP</v>
      </c>
      <c r="ED38" s="2">
        <v>0.33</v>
      </c>
      <c r="EE38" s="2" t="s">
        <v>617</v>
      </c>
      <c r="EF38" s="2">
        <v>7</v>
      </c>
      <c r="EG38" s="2" t="str">
        <f>HYPERLINK(".\links\pep\AGAP003927-PA-sulf.txt","1")</f>
        <v>1</v>
      </c>
      <c r="EH38" s="2" t="s">
        <v>94</v>
      </c>
      <c r="EI38" s="2">
        <v>12.6582278481013</v>
      </c>
      <c r="EJ38" s="2">
        <v>3.16455696202532</v>
      </c>
      <c r="EK38" s="2">
        <v>6.9620253164557004</v>
      </c>
      <c r="EL38" s="2">
        <v>10.126582278480999</v>
      </c>
      <c r="EM38" s="2" t="s">
        <v>94</v>
      </c>
      <c r="EN38" s="2" t="s">
        <v>94</v>
      </c>
      <c r="EO38" s="2" t="s">
        <v>94</v>
      </c>
      <c r="EP38" s="2" t="s">
        <v>94</v>
      </c>
      <c r="EQ38" s="2" t="s">
        <v>94</v>
      </c>
      <c r="ER38" s="2" t="s">
        <v>94</v>
      </c>
      <c r="ES38" s="2" t="s">
        <v>94</v>
      </c>
      <c r="ET38" s="2" t="str">
        <f>HYPERLINK(".\links\REFSEQ-INVERTEBRATE\AGAP003927-PA-REFSEQ-INVERTEBRATE.txt","AGAP003927-PA")</f>
        <v>AGAP003927-PA</v>
      </c>
      <c r="EU38" s="2" t="str">
        <f>HYPERLINK("http://www.ncbi.nlm.nih.gov/sutils/blink.cgi?pid=XP_001231148.1","1E-115")</f>
        <v>1E-115</v>
      </c>
      <c r="EV38" s="2" t="str">
        <f>HYPERLINK("http://www.ncbi.nlm.nih.gov/protein/XP_001231148.1","XP_001231148.1")</f>
        <v>XP_001231148.1</v>
      </c>
      <c r="EW38" s="2">
        <v>100</v>
      </c>
      <c r="EX38" s="2">
        <v>100</v>
      </c>
      <c r="EY38" s="2">
        <v>100</v>
      </c>
      <c r="EZ38" s="2" t="s">
        <v>98</v>
      </c>
    </row>
    <row r="39" spans="1:156" x14ac:dyDescent="0.25">
      <c r="A39" s="2" t="s">
        <v>618</v>
      </c>
      <c r="B39" s="2">
        <v>1.1919085367101001</v>
      </c>
      <c r="C39" s="2">
        <v>2.2845476544468308</v>
      </c>
      <c r="D39" s="2">
        <v>3.9849965024978902</v>
      </c>
      <c r="E39" s="2">
        <v>23.525893744636601</v>
      </c>
      <c r="F39" s="2">
        <v>1.2324389517251199E-6</v>
      </c>
      <c r="G39" s="2">
        <v>2.4798245035030799E-4</v>
      </c>
      <c r="H39" s="2" t="s">
        <v>619</v>
      </c>
      <c r="I39" s="2" t="s">
        <v>87</v>
      </c>
      <c r="J39" s="2" t="str">
        <f>HYPERLINK("https://vectorbase.org/vectorbase/app/record/gene/AGAP003005","AGAP003005-RB")</f>
        <v>AGAP003005-RB</v>
      </c>
      <c r="K39" s="2" t="str">
        <f>HYPERLINK(".\links\pep\AGAP003005-PB-pep.txt","AGAP003005-PB")</f>
        <v>AGAP003005-PB</v>
      </c>
      <c r="L39" s="8" t="s">
        <v>88</v>
      </c>
      <c r="M39" s="2">
        <v>1422</v>
      </c>
      <c r="N39" s="2">
        <v>0</v>
      </c>
      <c r="O39" s="2">
        <v>5</v>
      </c>
      <c r="P39" s="2" t="s">
        <v>620</v>
      </c>
      <c r="Q39" s="9" t="s">
        <v>621</v>
      </c>
      <c r="R39" s="2" t="s">
        <v>318</v>
      </c>
      <c r="S39" s="2" t="str">
        <f>HYPERLINK(".\links\CDD\AGAP003005-PB-CDD.txt","CDD")</f>
        <v>CDD</v>
      </c>
      <c r="T39" s="2">
        <v>0</v>
      </c>
      <c r="U39" s="2">
        <v>100</v>
      </c>
      <c r="V39" s="2" t="s">
        <v>622</v>
      </c>
      <c r="W39" s="10" t="s">
        <v>623</v>
      </c>
      <c r="X39" s="2" t="s">
        <v>318</v>
      </c>
      <c r="Y39" s="2" t="str">
        <f>HYPERLINK(".\links\REFSEQ-PROTOZOA\AGAP003005-PB-REFSEQ-PROTOZOA.txt","REFSEQ-PROTOZOA")</f>
        <v>REFSEQ-PROTOZOA</v>
      </c>
      <c r="Z39" s="2">
        <v>0</v>
      </c>
      <c r="AA39" s="2">
        <v>48.1</v>
      </c>
      <c r="AB39" s="11" t="s">
        <v>94</v>
      </c>
      <c r="AC39" s="11" t="str">
        <f>HYPERLINK(".\links\Sigp\AGAP003005-PB-SigP.txt","CYT")</f>
        <v>CYT</v>
      </c>
      <c r="AD39" s="2" t="s">
        <v>94</v>
      </c>
      <c r="AE39" s="2">
        <v>152.34399999999999</v>
      </c>
      <c r="AF39" s="2">
        <v>7.8</v>
      </c>
      <c r="AG39" s="2" t="s">
        <v>94</v>
      </c>
      <c r="AH39" s="2" t="s">
        <v>94</v>
      </c>
      <c r="AI39" s="2" t="s">
        <v>624</v>
      </c>
      <c r="AJ39" s="11">
        <v>0</v>
      </c>
      <c r="AK39" s="2" t="s">
        <v>94</v>
      </c>
      <c r="AL39" s="2" t="s">
        <v>94</v>
      </c>
      <c r="AM39" s="2" t="s">
        <v>94</v>
      </c>
      <c r="AN39" s="11" t="str">
        <f>HYPERLINK(".\links\gpi\AGAP003005-PB-gpi.txt","N")</f>
        <v>N</v>
      </c>
      <c r="AO39" s="12" t="str">
        <f>HYPERLINK(".\links\netoglyc\AGAP003005-PB-netoglyc.txt","11")</f>
        <v>11</v>
      </c>
      <c r="AP39" s="11">
        <v>18.8</v>
      </c>
      <c r="AQ39" s="2">
        <v>7.8</v>
      </c>
      <c r="AR39" s="2">
        <v>5.8</v>
      </c>
      <c r="AS39" s="2">
        <v>0.2</v>
      </c>
      <c r="AT39" s="9" t="str">
        <f>HYPERLINK(".\links\NR-LIGHT\AGAP003005-PB-NR-LIGHT.txt","AGAP003005-PB")</f>
        <v>AGAP003005-PB</v>
      </c>
      <c r="AU39" s="2" t="str">
        <f>HYPERLINK("http://www.ncbi.nlm.nih.gov/sutils/blink.cgi?pid=XP_003436351.1","0.0")</f>
        <v>0.0</v>
      </c>
      <c r="AV39" s="2" t="str">
        <f>HYPERLINK("http://www.ncbi.nlm.nih.gov/protein/XP_003436351.1","XP_003436351.1")</f>
        <v>XP_003436351.1</v>
      </c>
      <c r="AW39" s="2">
        <v>100</v>
      </c>
      <c r="AX39" s="2">
        <v>100</v>
      </c>
      <c r="AY39" s="2">
        <v>100</v>
      </c>
      <c r="AZ39" s="2" t="s">
        <v>98</v>
      </c>
      <c r="BA39" s="9" t="str">
        <f>HYPERLINK(".\links\REFSEQ-INVERTEBRATE\AGAP003005-PB-REFSEQ-INVERTEBRATE.txt","AGAP003005-PC")</f>
        <v>AGAP003005-PC</v>
      </c>
      <c r="BB39" s="2" t="str">
        <f>HYPERLINK("http://www.ncbi.nlm.nih.gov/sutils/blink.cgi?pid=XP_003436352.1","0.0")</f>
        <v>0.0</v>
      </c>
      <c r="BC39" s="2" t="str">
        <f>HYPERLINK("http://www.ncbi.nlm.nih.gov/protein/XP_003436352.1","XP_003436352.1")</f>
        <v>XP_003436352.1</v>
      </c>
      <c r="BD39" s="2">
        <v>100</v>
      </c>
      <c r="BE39" s="2">
        <v>100</v>
      </c>
      <c r="BF39" s="2">
        <v>100</v>
      </c>
      <c r="BG39" s="2" t="s">
        <v>98</v>
      </c>
      <c r="BH39" s="9" t="str">
        <f>HYPERLINK(".\links\REFSEQ-PROTOZOA\AGAP003005-PB-REFSEQ-PROTOZOA.txt","CAMK/CAMKL/QIK protein kinase")</f>
        <v>CAMK/CAMKL/QIK protein kinase</v>
      </c>
      <c r="BI39" s="2" t="str">
        <f>HYPERLINK("http://www.ncbi.nlm.nih.gov/sutils/blink.cgi?pid=XP_014157038.1","1E-102")</f>
        <v>1E-102</v>
      </c>
      <c r="BJ39" s="2" t="str">
        <f>HYPERLINK("http://www.ncbi.nlm.nih.gov/protein/XP_014157038.1","XP_014157038.1")</f>
        <v>XP_014157038.1</v>
      </c>
      <c r="BK39" s="2">
        <v>55</v>
      </c>
      <c r="BL39" s="2">
        <v>75</v>
      </c>
      <c r="BM39" s="2">
        <v>32</v>
      </c>
      <c r="BN39" s="2" t="s">
        <v>368</v>
      </c>
      <c r="BO39" s="9" t="str">
        <f>HYPERLINK(".\links\SWISSP\AGAP003005-PB-SWISSP.txt","Serine/threonine-protein kinase SIK2")</f>
        <v>Serine/threonine-protein kinase SIK2</v>
      </c>
      <c r="BP39" s="2" t="str">
        <f>HYPERLINK("http://www.uniprot.org/uniprot/Q9H0K1","1E-136")</f>
        <v>1E-136</v>
      </c>
      <c r="BQ39" s="2" t="str">
        <f>HYPERLINK("http://www.uniprot.org/uniprot/Q9H0K1#expression","Q9H0K1")</f>
        <v>Q9H0K1</v>
      </c>
      <c r="BR39" s="2">
        <v>64</v>
      </c>
      <c r="BS39" s="2">
        <v>77</v>
      </c>
      <c r="BT39" s="2">
        <v>41</v>
      </c>
      <c r="BU39" s="2" t="s">
        <v>196</v>
      </c>
      <c r="BV39" s="9" t="str">
        <f>HYPERLINK(".\links\FLYBASE\AGAP003005-PB-FLYBASE.txt","FBpp0070326")</f>
        <v>FBpp0070326</v>
      </c>
      <c r="BW39" s="2" t="str">
        <f>HYPERLINK("http://flybase.org/reports/FBgn0025625#alliance_summary_container","1E-174")</f>
        <v>1E-174</v>
      </c>
      <c r="BX39" s="2">
        <v>1398</v>
      </c>
      <c r="BY39" s="2">
        <v>73</v>
      </c>
      <c r="BZ39" s="2">
        <v>84</v>
      </c>
      <c r="CA39" s="2">
        <v>26</v>
      </c>
      <c r="CB39" s="9" t="str">
        <f>HYPERLINK(".\links\CDD\AGAP003005-PB-CDD.txt","STKc_SIK, Catalytic domain of the Serine/Threonine Kinases, Salt-Inducible kinases")</f>
        <v>STKc_SIK, Catalytic domain of the Serine/Threonine Kinases, Salt-Inducible kinases</v>
      </c>
      <c r="CC39" s="13">
        <v>1E-165</v>
      </c>
      <c r="CD39" s="2">
        <v>100</v>
      </c>
      <c r="CE39" s="2" t="s">
        <v>625</v>
      </c>
      <c r="CF39" s="2" t="s">
        <v>626</v>
      </c>
      <c r="CG39" s="9" t="str">
        <f>HYPERLINK(".\links\KOG\AGAP003005-PB-KOG.txt","Serine/threonine protein kinase")</f>
        <v>Serine/threonine protein kinase</v>
      </c>
      <c r="CH39" s="13">
        <v>9.9999999999999998E-122</v>
      </c>
      <c r="CI39" s="2">
        <v>55.4</v>
      </c>
      <c r="CJ39" s="2" t="s">
        <v>627</v>
      </c>
      <c r="CK39" s="2" t="s">
        <v>122</v>
      </c>
      <c r="CL39" s="9" t="str">
        <f>HYPERLINK(".\links\PFAM\AGAP003005-PB-PFAM.txt","Pkinase, Protein kinase domain")</f>
        <v>Pkinase, Protein kinase domain</v>
      </c>
      <c r="CM39" s="13">
        <v>3.9999999999999999E-85</v>
      </c>
      <c r="CN39" s="2">
        <v>100.4</v>
      </c>
      <c r="CO39" s="2" t="s">
        <v>628</v>
      </c>
      <c r="CP39" s="9" t="str">
        <f>HYPERLINK(".\links\SMART\AGAP003005-PB-SMART.txt","S_TKc, Serine/Threonine protein kinases, catalytic domain")</f>
        <v>S_TKc, Serine/Threonine protein kinases, catalytic domain</v>
      </c>
      <c r="CQ39" s="13">
        <v>7.9999999999999999E-95</v>
      </c>
      <c r="CR39" s="2">
        <v>100.8</v>
      </c>
      <c r="CS39" s="2" t="s">
        <v>629</v>
      </c>
      <c r="CT39" s="2" t="s">
        <v>622</v>
      </c>
      <c r="CU39" s="2" t="s">
        <v>622</v>
      </c>
      <c r="CV39" s="2" t="s">
        <v>622</v>
      </c>
      <c r="CW39" s="2" t="str">
        <f>HYPERLINK(".\links\pep\AGAP003005-PB-pep.txt","AGAP003005-PB")</f>
        <v>AGAP003005-PB</v>
      </c>
      <c r="CX39" s="2" t="s">
        <v>88</v>
      </c>
      <c r="CY39" s="2">
        <v>1422</v>
      </c>
      <c r="CZ39" s="2" t="s">
        <v>106</v>
      </c>
      <c r="DA39" s="2" t="s">
        <v>630</v>
      </c>
      <c r="DB39" s="2">
        <v>0</v>
      </c>
      <c r="DC39" s="2">
        <v>5</v>
      </c>
      <c r="DD39" s="2" t="str">
        <f>HYPERLINK("https://www.kegg.jp/kegg-bin/search_pathway_text?map=aga&amp;keyword=AGAP003005&amp;mode=1&amp;viewImage=true","AGAP003005")</f>
        <v>AGAP003005</v>
      </c>
      <c r="DE39" s="2" t="s">
        <v>618</v>
      </c>
      <c r="DF39" s="2" t="s">
        <v>619</v>
      </c>
      <c r="DG39" s="2" t="s">
        <v>87</v>
      </c>
      <c r="DH39" s="2" t="str">
        <f>HYPERLINK("https://vectorbase.org/vectorbase/app/record/gene/AGAP003005","AGAP003005-RB")</f>
        <v>AGAP003005-RB</v>
      </c>
      <c r="DI39" s="2" t="s">
        <v>125</v>
      </c>
      <c r="DJ39" s="2">
        <v>4852</v>
      </c>
      <c r="DK39" s="2" t="str">
        <f>HYPERLINK(".\links\netoglyc\AGAP003005-PB-netoglyc.txt","11")</f>
        <v>11</v>
      </c>
      <c r="DL39" s="2">
        <v>18.8</v>
      </c>
      <c r="DM39" s="2">
        <v>7.8</v>
      </c>
      <c r="DN39" s="2">
        <v>5.8</v>
      </c>
      <c r="DO39" s="2">
        <v>0.2</v>
      </c>
      <c r="DP39" s="2" t="s">
        <v>94</v>
      </c>
      <c r="DQ39" s="2" t="str">
        <f>HYPERLINK(".\links\Sigp\AGAP003005-PB-SigP.txt","CYT")</f>
        <v>CYT</v>
      </c>
      <c r="DR39" s="2" t="s">
        <v>94</v>
      </c>
      <c r="DS39" s="2">
        <v>152.34399999999999</v>
      </c>
      <c r="DT39" s="2">
        <v>7.8</v>
      </c>
      <c r="DU39" s="2" t="s">
        <v>94</v>
      </c>
      <c r="DV39" s="2" t="s">
        <v>94</v>
      </c>
      <c r="DW39" s="2" t="s">
        <v>624</v>
      </c>
      <c r="DX39" s="2">
        <v>1422</v>
      </c>
      <c r="DY39" s="8">
        <v>0</v>
      </c>
      <c r="DZ39" s="2" t="s">
        <v>94</v>
      </c>
      <c r="EA39" s="2" t="s">
        <v>94</v>
      </c>
      <c r="EB39" s="2" t="s">
        <v>94</v>
      </c>
      <c r="EC39" s="2" t="str">
        <f>HYPERLINK(".\links\gpi\AGAP003005-PB-gpi.txt","Y-NoSP")</f>
        <v>Y-NoSP</v>
      </c>
      <c r="ED39" s="2">
        <v>0.22</v>
      </c>
      <c r="EF39" s="2">
        <v>21</v>
      </c>
      <c r="EG39" s="2" t="s">
        <v>94</v>
      </c>
      <c r="EH39" s="2" t="s">
        <v>94</v>
      </c>
      <c r="EI39" s="2">
        <v>18.776371308016898</v>
      </c>
      <c r="EJ39" s="2">
        <v>5.7665260196905797</v>
      </c>
      <c r="EK39" s="2">
        <v>7.8059071729957799</v>
      </c>
      <c r="EL39" s="2">
        <v>13.5724331926864</v>
      </c>
      <c r="EM39" s="2">
        <v>2</v>
      </c>
      <c r="EN39" s="2">
        <v>6</v>
      </c>
      <c r="EO39" s="2">
        <v>8</v>
      </c>
      <c r="EP39" s="2" t="s">
        <v>94</v>
      </c>
      <c r="EQ39" s="2" t="s">
        <v>94</v>
      </c>
      <c r="ER39" s="2" t="s">
        <v>94</v>
      </c>
      <c r="ES39" s="2" t="s">
        <v>94</v>
      </c>
      <c r="ET39" s="2" t="str">
        <f>HYPERLINK(".\links\REFSEQ-INVERTEBRATE\AGAP003005-PB-REFSEQ-INVERTEBRATE.txt","AGAP003005-PC")</f>
        <v>AGAP003005-PC</v>
      </c>
      <c r="EU39" s="2" t="str">
        <f>HYPERLINK("http://www.ncbi.nlm.nih.gov/sutils/blink.cgi?pid=XP_003436352.1","0.0")</f>
        <v>0.0</v>
      </c>
      <c r="EV39" s="2" t="str">
        <f>HYPERLINK("http://www.ncbi.nlm.nih.gov/protein/XP_003436352.1","XP_003436352.1")</f>
        <v>XP_003436352.1</v>
      </c>
      <c r="EW39" s="2">
        <v>100</v>
      </c>
      <c r="EX39" s="2">
        <v>100</v>
      </c>
      <c r="EY39" s="2">
        <v>100</v>
      </c>
      <c r="EZ39" s="2" t="s">
        <v>98</v>
      </c>
    </row>
    <row r="40" spans="1:156" x14ac:dyDescent="0.25">
      <c r="A40" s="2" t="s">
        <v>631</v>
      </c>
      <c r="B40" s="2">
        <v>1.16517328837742</v>
      </c>
      <c r="C40" s="2">
        <v>2.2426015085031712</v>
      </c>
      <c r="D40" s="2">
        <v>3.5322543963161501</v>
      </c>
      <c r="E40" s="2">
        <v>21.455264703230799</v>
      </c>
      <c r="F40" s="2">
        <v>3.6218024093244E-6</v>
      </c>
      <c r="G40" s="2">
        <v>5.6499158282329997E-4</v>
      </c>
      <c r="H40" s="2" t="s">
        <v>632</v>
      </c>
      <c r="I40" s="2" t="s">
        <v>87</v>
      </c>
      <c r="J40" s="2" t="str">
        <f>HYPERLINK("https://vectorbase.org/vectorbase/app/record/gene/AGAP002224","AGAP002224-RA")</f>
        <v>AGAP002224-RA</v>
      </c>
      <c r="K40" s="2" t="str">
        <f>HYPERLINK(".\links\pep\AGAP002224-PA-pep.txt","AGAP002224-PA")</f>
        <v>AGAP002224-PA</v>
      </c>
      <c r="L40" s="8" t="s">
        <v>88</v>
      </c>
      <c r="M40" s="2">
        <v>888</v>
      </c>
      <c r="N40" s="2">
        <v>0</v>
      </c>
      <c r="O40" s="2">
        <v>0</v>
      </c>
      <c r="P40" s="2" t="s">
        <v>633</v>
      </c>
      <c r="Q40" s="9" t="s">
        <v>634</v>
      </c>
      <c r="R40" s="2" t="s">
        <v>113</v>
      </c>
      <c r="S40" s="2" t="str">
        <f>HYPERLINK(".\links\REFSEQ-INVERTEBRATE\AGAP002224-PA-REFSEQ-INVERTEBRATE.txt","REFSEQ-INVERTEBRATE")</f>
        <v>REFSEQ-INVERTEBRATE</v>
      </c>
      <c r="T40" s="2">
        <v>0</v>
      </c>
      <c r="U40" s="2">
        <v>103.7</v>
      </c>
      <c r="V40" s="2" t="s">
        <v>635</v>
      </c>
      <c r="W40" s="10" t="s">
        <v>636</v>
      </c>
      <c r="X40" s="2" t="s">
        <v>113</v>
      </c>
      <c r="Y40" s="2" t="str">
        <f>HYPERLINK(".\links\UNIPROTKB\AGAP002224-PA-UNIPROTKB.txt","UNIPROTKB")</f>
        <v>UNIPROTKB</v>
      </c>
      <c r="Z40" s="2">
        <v>0</v>
      </c>
      <c r="AA40" s="2">
        <v>58</v>
      </c>
      <c r="AB40" s="11" t="str">
        <f>HYPERLINK(".\links\pep\AGAP002224-PA-sulf.txt","2")</f>
        <v>2</v>
      </c>
      <c r="AC40" s="11" t="str">
        <f>HYPERLINK(".\links\Sigp\AGAP002224-PA-SigP.txt","BL")</f>
        <v>BL</v>
      </c>
      <c r="AD40" s="2" t="s">
        <v>150</v>
      </c>
      <c r="AE40" s="2">
        <v>98.44</v>
      </c>
      <c r="AF40" s="2">
        <v>9.5500000000000007</v>
      </c>
      <c r="AG40" s="2">
        <v>95.838999999999999</v>
      </c>
      <c r="AH40" s="2">
        <v>9.57</v>
      </c>
      <c r="AI40" s="2" t="s">
        <v>637</v>
      </c>
      <c r="AJ40" s="11" t="str">
        <f>HYPERLINK(".\links\tmhmm\AGAP002224-PA-tmhmm.txt","6")</f>
        <v>6</v>
      </c>
      <c r="AK40" s="2">
        <v>14.1</v>
      </c>
      <c r="AL40" s="2">
        <v>73.3</v>
      </c>
      <c r="AM40" s="2">
        <v>12.6</v>
      </c>
      <c r="AN40" s="11" t="str">
        <f>HYPERLINK(".\links\gpi\AGAP002224-PA-gpi.txt","N")</f>
        <v>N</v>
      </c>
      <c r="AO40" s="12" t="str">
        <f>HYPERLINK(".\links\netoglyc\AGAP002224-PA-netoglyc.txt","8")</f>
        <v>8</v>
      </c>
      <c r="AP40" s="11">
        <v>16.8</v>
      </c>
      <c r="AQ40" s="2">
        <v>7.7</v>
      </c>
      <c r="AR40" s="2">
        <v>7.7</v>
      </c>
      <c r="AS40" s="2" t="s">
        <v>97</v>
      </c>
      <c r="AT40" s="9" t="str">
        <f>HYPERLINK(".\links\NR-LIGHT\AGAP002224-PA-NR-LIGHT.txt","AGAP002224-PA")</f>
        <v>AGAP002224-PA</v>
      </c>
      <c r="AU40" s="2" t="str">
        <f>HYPERLINK("http://www.ncbi.nlm.nih.gov/sutils/blink.cgi?pid=XP_001687831.2","0.0")</f>
        <v>0.0</v>
      </c>
      <c r="AV40" s="2" t="str">
        <f>HYPERLINK("http://www.ncbi.nlm.nih.gov/protein/XP_001687831.2","XP_001687831.2")</f>
        <v>XP_001687831.2</v>
      </c>
      <c r="AW40" s="2">
        <v>100</v>
      </c>
      <c r="AX40" s="2">
        <v>100</v>
      </c>
      <c r="AY40" s="2">
        <v>100</v>
      </c>
      <c r="AZ40" s="2" t="s">
        <v>98</v>
      </c>
      <c r="BA40" s="9" t="str">
        <f>HYPERLINK(".\links\REFSEQ-INVERTEBRATE\AGAP002224-PA-REFSEQ-INVERTEBRATE.txt","AGAP002224-PA")</f>
        <v>AGAP002224-PA</v>
      </c>
      <c r="BB40" s="2" t="str">
        <f>HYPERLINK("http://www.ncbi.nlm.nih.gov/sutils/blink.cgi?pid=XP_001687831.2","0.0")</f>
        <v>0.0</v>
      </c>
      <c r="BC40" s="2" t="str">
        <f>HYPERLINK("http://www.ncbi.nlm.nih.gov/protein/XP_001687831.2","XP_001687831.2")</f>
        <v>XP_001687831.2</v>
      </c>
      <c r="BD40" s="2">
        <v>100</v>
      </c>
      <c r="BE40" s="2">
        <v>100</v>
      </c>
      <c r="BF40" s="2">
        <v>100</v>
      </c>
      <c r="BG40" s="2" t="s">
        <v>98</v>
      </c>
      <c r="BH40" s="9" t="str">
        <f>HYPERLINK(".\links\REFSEQ-PROTOZOA\AGAP002224-PA-REFSEQ-PROTOZOA.txt","hypothetical protein PTSG_08078")</f>
        <v>hypothetical protein PTSG_08078</v>
      </c>
      <c r="BI40" s="2" t="str">
        <f>HYPERLINK("http://www.ncbi.nlm.nih.gov/sutils/blink.cgi?pid=XP_004991099.1","2E-020")</f>
        <v>2E-020</v>
      </c>
      <c r="BJ40" s="2" t="str">
        <f>HYPERLINK("http://www.ncbi.nlm.nih.gov/protein/XP_004991099.1","XP_004991099.1")</f>
        <v>XP_004991099.1</v>
      </c>
      <c r="BK40" s="2">
        <v>27</v>
      </c>
      <c r="BL40" s="2">
        <v>46</v>
      </c>
      <c r="BM40" s="2">
        <v>25</v>
      </c>
      <c r="BN40" s="2" t="s">
        <v>117</v>
      </c>
      <c r="BO40" s="9" t="str">
        <f>HYPERLINK(".\links\SWISSP\AGAP002224-PA-SWISSP.txt","Open rectifier potassium channel protein 1")</f>
        <v>Open rectifier potassium channel protein 1</v>
      </c>
      <c r="BP40" s="2" t="str">
        <f>HYPERLINK("http://www.uniprot.org/uniprot/Q94526","1E-126")</f>
        <v>1E-126</v>
      </c>
      <c r="BQ40" s="2" t="str">
        <f>HYPERLINK("http://www.uniprot.org/uniprot/Q94526#expression","Q94526")</f>
        <v>Q94526</v>
      </c>
      <c r="BR40" s="2">
        <v>38</v>
      </c>
      <c r="BS40" s="2">
        <v>55</v>
      </c>
      <c r="BT40" s="2">
        <v>76</v>
      </c>
      <c r="BU40" s="2" t="s">
        <v>100</v>
      </c>
      <c r="BV40" s="9" t="str">
        <f>HYPERLINK(".\links\FLYBASE\AGAP002224-PA-FLYBASE.txt","FBpp0312045")</f>
        <v>FBpp0312045</v>
      </c>
      <c r="BW40" s="2" t="str">
        <f>HYPERLINK("http://flybase.org/reports/FBgn0017561#alliance_summary_container","1E-149")</f>
        <v>1E-149</v>
      </c>
      <c r="BX40" s="2">
        <v>1001</v>
      </c>
      <c r="BY40" s="2">
        <v>44</v>
      </c>
      <c r="BZ40" s="2">
        <v>61</v>
      </c>
      <c r="CA40" s="2">
        <v>58</v>
      </c>
      <c r="CB40" s="9" t="str">
        <f>HYPERLINK(".\links\CDD\AGAP002224-PA-CDD.txt","Ion_trans_2, Ion channel")</f>
        <v>Ion_trans_2, Ion channel</v>
      </c>
      <c r="CC40" s="13">
        <v>2.9999999999999998E-14</v>
      </c>
      <c r="CD40" s="2">
        <v>71.099999999999994</v>
      </c>
      <c r="CE40" s="2" t="s">
        <v>638</v>
      </c>
      <c r="CF40" s="2" t="s">
        <v>639</v>
      </c>
      <c r="CG40" s="9" t="str">
        <f>HYPERLINK(".\links\KOG\AGAP002224-PA-KOG.txt","Tandem pore domain K+ channel")</f>
        <v>Tandem pore domain K+ channel</v>
      </c>
      <c r="CH40" s="13">
        <v>3.9999999999999997E-34</v>
      </c>
      <c r="CI40" s="2">
        <v>67</v>
      </c>
      <c r="CJ40" s="2" t="s">
        <v>640</v>
      </c>
      <c r="CK40" s="2" t="s">
        <v>641</v>
      </c>
      <c r="CL40" s="9" t="str">
        <f>HYPERLINK(".\links\PFAM\AGAP002224-PA-PFAM.txt","Ion_trans_2, Ion channel")</f>
        <v>Ion_trans_2, Ion channel</v>
      </c>
      <c r="CM40" s="13">
        <v>5E-15</v>
      </c>
      <c r="CN40" s="2">
        <v>71.099999999999994</v>
      </c>
      <c r="CO40" s="2" t="s">
        <v>638</v>
      </c>
      <c r="CP40" s="9" t="str">
        <f>HYPERLINK(".\links\SMART\AGAP002224-PA-SMART.txt","AgrB, Accessory gene regulator B")</f>
        <v>AgrB, Accessory gene regulator B</v>
      </c>
      <c r="CQ40" s="13">
        <v>0.6</v>
      </c>
      <c r="CR40" s="2">
        <v>9.1999999999999993</v>
      </c>
      <c r="CS40" s="2" t="s">
        <v>642</v>
      </c>
      <c r="CT40" s="2" t="s">
        <v>635</v>
      </c>
      <c r="CU40" s="2" t="s">
        <v>635</v>
      </c>
      <c r="CV40" s="2" t="s">
        <v>635</v>
      </c>
      <c r="CW40" s="2" t="str">
        <f>HYPERLINK(".\links\pep\AGAP002224-PA-pep.txt","AGAP002224-PA")</f>
        <v>AGAP002224-PA</v>
      </c>
      <c r="CX40" s="2" t="s">
        <v>88</v>
      </c>
      <c r="CY40" s="2">
        <v>888</v>
      </c>
      <c r="CZ40" s="2" t="s">
        <v>106</v>
      </c>
      <c r="DA40" s="2" t="s">
        <v>643</v>
      </c>
      <c r="DB40" s="2">
        <v>0</v>
      </c>
      <c r="DC40" s="2">
        <v>0</v>
      </c>
      <c r="DD40" s="2" t="str">
        <f>HYPERLINK("https://www.kegg.jp/kegg-bin/search_pathway_text?map=aga&amp;keyword=AGAP002224&amp;mode=1&amp;viewImage=true","AGAP002224")</f>
        <v>AGAP002224</v>
      </c>
      <c r="DE40" s="2" t="s">
        <v>631</v>
      </c>
      <c r="DF40" s="2" t="s">
        <v>632</v>
      </c>
      <c r="DG40" s="2" t="s">
        <v>87</v>
      </c>
      <c r="DH40" s="2" t="str">
        <f>HYPERLINK("https://vectorbase.org/vectorbase/app/record/gene/AGAP002224","AGAP002224-RA")</f>
        <v>AGAP002224-RA</v>
      </c>
      <c r="DI40" s="2" t="s">
        <v>143</v>
      </c>
      <c r="DJ40" s="2">
        <v>4611</v>
      </c>
      <c r="DK40" s="2" t="str">
        <f>HYPERLINK(".\links\netoglyc\AGAP002224-PA-netoglyc.txt","8")</f>
        <v>8</v>
      </c>
      <c r="DL40" s="2">
        <v>16.8</v>
      </c>
      <c r="DM40" s="2">
        <v>7.7</v>
      </c>
      <c r="DN40" s="2">
        <v>7.7</v>
      </c>
      <c r="DO40" s="2" t="s">
        <v>97</v>
      </c>
      <c r="DP40" s="2" t="s">
        <v>644</v>
      </c>
      <c r="DQ40" s="2" t="str">
        <f>HYPERLINK(".\links\Sigp\AGAP002224-PA-SigP.txt","BL")</f>
        <v>BL</v>
      </c>
      <c r="DR40" s="2" t="s">
        <v>150</v>
      </c>
      <c r="DS40" s="2">
        <v>98.44</v>
      </c>
      <c r="DT40" s="2">
        <v>9.5500000000000007</v>
      </c>
      <c r="DU40" s="2">
        <v>95.838999999999999</v>
      </c>
      <c r="DV40" s="2">
        <v>9.57</v>
      </c>
      <c r="DW40" s="2" t="s">
        <v>637</v>
      </c>
      <c r="DX40" s="2">
        <v>888</v>
      </c>
      <c r="DY40" s="8" t="str">
        <f>HYPERLINK(".\links\tmhmm\AGAP002224-PA-tmhmm.txt","6")</f>
        <v>6</v>
      </c>
      <c r="DZ40" s="2">
        <v>14.1</v>
      </c>
      <c r="EA40" s="2">
        <v>73.3</v>
      </c>
      <c r="EB40" s="2">
        <v>12.6</v>
      </c>
      <c r="EC40" s="2" t="str">
        <f>HYPERLINK(".\links\gpi\AGAP002224-PA-gpi.txt","Y-NoSP")</f>
        <v>Y-NoSP</v>
      </c>
      <c r="ED40" s="2">
        <v>0.22</v>
      </c>
      <c r="EF40" s="2">
        <v>6</v>
      </c>
      <c r="EG40" s="2" t="str">
        <f>HYPERLINK(".\links\pep\AGAP002224-PA-sulf.txt","2")</f>
        <v>2</v>
      </c>
      <c r="EH40" s="2" t="s">
        <v>94</v>
      </c>
      <c r="EI40" s="2">
        <v>16.779279279279301</v>
      </c>
      <c r="EJ40" s="2">
        <v>7.6576576576576603</v>
      </c>
      <c r="EK40" s="2">
        <v>7.6576576576576603</v>
      </c>
      <c r="EL40" s="2">
        <v>15.315315315315299</v>
      </c>
      <c r="EM40" s="2">
        <v>4</v>
      </c>
      <c r="EN40" s="2">
        <v>2</v>
      </c>
      <c r="EO40" s="2">
        <v>5</v>
      </c>
      <c r="EP40" s="2" t="s">
        <v>94</v>
      </c>
      <c r="EQ40" s="2" t="s">
        <v>94</v>
      </c>
      <c r="ER40" s="2" t="s">
        <v>94</v>
      </c>
      <c r="ES40" s="2" t="s">
        <v>94</v>
      </c>
      <c r="ET40" s="2" t="str">
        <f>HYPERLINK(".\links\REFSEQ-INVERTEBRATE\AGAP002224-PA-REFSEQ-INVERTEBRATE.txt","AGAP002224-PA")</f>
        <v>AGAP002224-PA</v>
      </c>
      <c r="EU40" s="2" t="str">
        <f>HYPERLINK("http://www.ncbi.nlm.nih.gov/sutils/blink.cgi?pid=XP_001687831.2","0.0")</f>
        <v>0.0</v>
      </c>
      <c r="EV40" s="2" t="str">
        <f>HYPERLINK("http://www.ncbi.nlm.nih.gov/protein/XP_001687831.2","XP_001687831.2")</f>
        <v>XP_001687831.2</v>
      </c>
      <c r="EW40" s="2">
        <v>100</v>
      </c>
      <c r="EX40" s="2">
        <v>100</v>
      </c>
      <c r="EY40" s="2">
        <v>100</v>
      </c>
      <c r="EZ40" s="2" t="s">
        <v>98</v>
      </c>
    </row>
    <row r="41" spans="1:156" x14ac:dyDescent="0.25">
      <c r="A41" s="2" t="s">
        <v>645</v>
      </c>
      <c r="B41" s="2">
        <v>1.1474195442986901</v>
      </c>
      <c r="C41" s="2">
        <v>2.2151732608707264</v>
      </c>
      <c r="D41" s="2">
        <v>1.6991243338311799</v>
      </c>
      <c r="E41" s="2">
        <v>14.9082654874162</v>
      </c>
      <c r="F41" s="2">
        <v>1.12867382003194E-4</v>
      </c>
      <c r="G41" s="2">
        <v>7.9065691229941205E-3</v>
      </c>
      <c r="H41" s="2" t="s">
        <v>646</v>
      </c>
      <c r="I41" s="2" t="s">
        <v>87</v>
      </c>
      <c r="J41" s="2" t="str">
        <f>HYPERLINK("https://vectorbase.org/vectorbase/app/record/gene/AGAP006403","AGAP006403-RA")</f>
        <v>AGAP006403-RA</v>
      </c>
      <c r="K41" s="2" t="str">
        <f>HYPERLINK(".\links\pep\AGAP006403-PA-pep.txt","AGAP006403-PA")</f>
        <v>AGAP006403-PA</v>
      </c>
      <c r="L41" s="8" t="s">
        <v>88</v>
      </c>
      <c r="M41" s="2">
        <v>1705</v>
      </c>
      <c r="N41" s="2">
        <v>0</v>
      </c>
      <c r="O41" s="2">
        <v>1</v>
      </c>
      <c r="P41" s="2" t="s">
        <v>647</v>
      </c>
      <c r="Q41" s="9" t="s">
        <v>648</v>
      </c>
      <c r="R41" s="2" t="s">
        <v>253</v>
      </c>
      <c r="S41" s="2" t="str">
        <f>HYPERLINK(".\links\REFSEQ-INVERTEBRATE\AGAP006403-PA-REFSEQ-INVERTEBRATE.txt","REFSEQ-INVERTEBRATE")</f>
        <v>REFSEQ-INVERTEBRATE</v>
      </c>
      <c r="T41" s="2">
        <v>0</v>
      </c>
      <c r="U41" s="2">
        <v>100</v>
      </c>
      <c r="V41" s="2" t="s">
        <v>649</v>
      </c>
      <c r="W41" s="10" t="s">
        <v>650</v>
      </c>
      <c r="X41" s="2" t="s">
        <v>651</v>
      </c>
      <c r="Y41" s="2" t="str">
        <f>HYPERLINK(".\links\UNIPROTKB\AGAP006403-PA-UNIPROTKB.txt","UNIPROTKB")</f>
        <v>UNIPROTKB</v>
      </c>
      <c r="Z41" s="13">
        <v>2.0000000000000001E-61</v>
      </c>
      <c r="AA41" s="2">
        <v>70.3</v>
      </c>
      <c r="AB41" s="11" t="str">
        <f>HYPERLINK(".\links\pep\AGAP006403-PA-sulf.txt","2")</f>
        <v>2</v>
      </c>
      <c r="AC41" s="11" t="str">
        <f>HYPERLINK(".\links\Sigp\AGAP006403-PA-SigP.txt","CYT")</f>
        <v>CYT</v>
      </c>
      <c r="AD41" s="2" t="s">
        <v>94</v>
      </c>
      <c r="AE41" s="2">
        <v>178.05</v>
      </c>
      <c r="AF41" s="2">
        <v>9.8699999999999992</v>
      </c>
      <c r="AG41" s="2" t="s">
        <v>94</v>
      </c>
      <c r="AH41" s="2" t="s">
        <v>94</v>
      </c>
      <c r="AI41" s="2" t="s">
        <v>652</v>
      </c>
      <c r="AJ41" s="11">
        <v>0</v>
      </c>
      <c r="AK41" s="2" t="s">
        <v>94</v>
      </c>
      <c r="AL41" s="2" t="s">
        <v>94</v>
      </c>
      <c r="AM41" s="2" t="s">
        <v>94</v>
      </c>
      <c r="AN41" s="11" t="str">
        <f>HYPERLINK(".\links\gpi\AGAP006403-PA-gpi.txt","N")</f>
        <v>N</v>
      </c>
      <c r="AO41" s="12" t="str">
        <f>HYPERLINK(".\links\netoglyc\AGAP006403-PA-netoglyc.txt","125")</f>
        <v>125</v>
      </c>
      <c r="AP41" s="11">
        <v>21.8</v>
      </c>
      <c r="AQ41" s="2">
        <v>5.7</v>
      </c>
      <c r="AR41" s="2">
        <v>14</v>
      </c>
      <c r="AS41" s="2" t="s">
        <v>97</v>
      </c>
      <c r="AT41" s="9" t="str">
        <f>HYPERLINK(".\links\NR-LIGHT\AGAP006403-PA-NR-LIGHT.txt","AGAP006403-PA")</f>
        <v>AGAP006403-PA</v>
      </c>
      <c r="AU41" s="2" t="str">
        <f>HYPERLINK("http://www.ncbi.nlm.nih.gov/sutils/blink.cgi?pid=XP_001237808.2","0.0")</f>
        <v>0.0</v>
      </c>
      <c r="AV41" s="2" t="str">
        <f>HYPERLINK("http://www.ncbi.nlm.nih.gov/protein/XP_001237808.2","XP_001237808.2")</f>
        <v>XP_001237808.2</v>
      </c>
      <c r="AW41" s="2">
        <v>100</v>
      </c>
      <c r="AX41" s="2">
        <v>100</v>
      </c>
      <c r="AY41" s="2">
        <v>100</v>
      </c>
      <c r="AZ41" s="2" t="s">
        <v>98</v>
      </c>
      <c r="BA41" s="9" t="str">
        <f>HYPERLINK(".\links\REFSEQ-INVERTEBRATE\AGAP006403-PA-REFSEQ-INVERTEBRATE.txt","AGAP006403-PA")</f>
        <v>AGAP006403-PA</v>
      </c>
      <c r="BB41" s="2" t="str">
        <f>HYPERLINK("http://www.ncbi.nlm.nih.gov/sutils/blink.cgi?pid=XP_001237808.2","0.0")</f>
        <v>0.0</v>
      </c>
      <c r="BC41" s="2" t="str">
        <f>HYPERLINK("http://www.ncbi.nlm.nih.gov/protein/XP_001237808.2","XP_001237808.2")</f>
        <v>XP_001237808.2</v>
      </c>
      <c r="BD41" s="2">
        <v>100</v>
      </c>
      <c r="BE41" s="2">
        <v>100</v>
      </c>
      <c r="BF41" s="2">
        <v>100</v>
      </c>
      <c r="BG41" s="2" t="s">
        <v>98</v>
      </c>
      <c r="BH41" s="9" t="str">
        <f>HYPERLINK(".\links\REFSEQ-PROTOZOA\AGAP006403-PA-REFSEQ-PROTOZOA.txt","proteophosphoglycan ppg4")</f>
        <v>proteophosphoglycan ppg4</v>
      </c>
      <c r="BI41" s="2" t="str">
        <f>HYPERLINK("http://www.ncbi.nlm.nih.gov/sutils/blink.cgi?pid=XP_001568166.1","1E-079")</f>
        <v>1E-079</v>
      </c>
      <c r="BJ41" s="2" t="str">
        <f>HYPERLINK("http://www.ncbi.nlm.nih.gov/protein/XP_001568166.1","XP_001568166.1")</f>
        <v>XP_001568166.1</v>
      </c>
      <c r="BK41" s="2">
        <v>23</v>
      </c>
      <c r="BL41" s="2">
        <v>41</v>
      </c>
      <c r="BM41" s="2">
        <v>30</v>
      </c>
      <c r="BN41" s="2" t="s">
        <v>653</v>
      </c>
      <c r="BO41" s="9" t="str">
        <f>HYPERLINK(".\links\SWISSP\AGAP006403-PA-SWISSP.txt","Polycomb group protein Psc")</f>
        <v>Polycomb group protein Psc</v>
      </c>
      <c r="BP41" s="2" t="str">
        <f>HYPERLINK("http://www.uniprot.org/uniprot/P35820","1E-103")</f>
        <v>1E-103</v>
      </c>
      <c r="BQ41" s="2" t="str">
        <f>HYPERLINK("http://www.uniprot.org/uniprot/P35820#expression","P35820")</f>
        <v>P35820</v>
      </c>
      <c r="BR41" s="2">
        <v>26</v>
      </c>
      <c r="BS41" s="2">
        <v>40</v>
      </c>
      <c r="BT41" s="2">
        <v>103</v>
      </c>
      <c r="BU41" s="2" t="s">
        <v>100</v>
      </c>
      <c r="BV41" s="9" t="str">
        <f>HYPERLINK(".\links\FLYBASE\AGAP006403-PA-FLYBASE.txt","FBpp0311526")</f>
        <v>FBpp0311526</v>
      </c>
      <c r="BW41" s="2" t="str">
        <f>HYPERLINK("http://flybase.org/reports/FBgn0005624#alliance_summary_container","1E-94")</f>
        <v>1E-94</v>
      </c>
      <c r="BX41" s="2">
        <v>1601</v>
      </c>
      <c r="BY41" s="2">
        <v>45</v>
      </c>
      <c r="BZ41" s="2">
        <v>63</v>
      </c>
      <c r="CA41" s="2">
        <v>23</v>
      </c>
      <c r="CB41" s="9" t="str">
        <f>HYPERLINK(".\links\CDD\AGAP006403-PA-CDD.txt","RING-HC_PCGF, RING finger, HC subclass, found in Polycomb Group RING finger homologs (PCGF1, 2, 3, 4, 5 and 6), and similar proteins")</f>
        <v>RING-HC_PCGF, RING finger, HC subclass, found in Polycomb Group RING finger homologs (PCGF1, 2, 3, 4, 5 and 6), and similar proteins</v>
      </c>
      <c r="CC41" s="13">
        <v>5.9999999999999998E-21</v>
      </c>
      <c r="CD41" s="2">
        <v>100</v>
      </c>
      <c r="CE41" s="2" t="s">
        <v>654</v>
      </c>
      <c r="CF41" s="2" t="s">
        <v>655</v>
      </c>
      <c r="CG41" s="9" t="str">
        <f>HYPERLINK(".\links\KOG\AGAP006403-PA-KOG.txt","Locus-specific chromosome binding proteins")</f>
        <v>Locus-specific chromosome binding proteins</v>
      </c>
      <c r="CH41" s="13">
        <v>9.0000000000000002E-59</v>
      </c>
      <c r="CI41" s="2">
        <v>116.6</v>
      </c>
      <c r="CJ41" s="2" t="s">
        <v>656</v>
      </c>
      <c r="CK41" s="2" t="s">
        <v>447</v>
      </c>
      <c r="CL41" s="9" t="str">
        <f>HYPERLINK(".\links\PFAM\AGAP006403-PA-PFAM.txt","RAWUL, RAWUL domain RING finger- and WD40-associated ubiquitin-like")</f>
        <v>RAWUL, RAWUL domain RING finger- and WD40-associated ubiquitin-like</v>
      </c>
      <c r="CM41" s="13">
        <v>9.9999999999999995E-21</v>
      </c>
      <c r="CN41" s="2">
        <v>104.6</v>
      </c>
      <c r="CO41" s="2" t="s">
        <v>657</v>
      </c>
      <c r="CP41" s="9" t="str">
        <f>HYPERLINK(".\links\SMART\AGAP006403-PA-SMART.txt","RING, Ring finger")</f>
        <v>RING, Ring finger</v>
      </c>
      <c r="CQ41" s="13">
        <v>3E-11</v>
      </c>
      <c r="CR41" s="2">
        <v>100</v>
      </c>
      <c r="CS41" s="2" t="s">
        <v>658</v>
      </c>
      <c r="CT41" s="2" t="s">
        <v>649</v>
      </c>
      <c r="CU41" s="2" t="s">
        <v>649</v>
      </c>
      <c r="CV41" s="2" t="s">
        <v>649</v>
      </c>
      <c r="CW41" s="2" t="str">
        <f>HYPERLINK(".\links\pep\AGAP006403-PA-pep.txt","AGAP006403-PA")</f>
        <v>AGAP006403-PA</v>
      </c>
      <c r="CX41" s="2" t="s">
        <v>88</v>
      </c>
      <c r="CY41" s="2">
        <v>1705</v>
      </c>
      <c r="CZ41" s="2" t="s">
        <v>106</v>
      </c>
      <c r="DA41" s="2" t="s">
        <v>659</v>
      </c>
      <c r="DB41" s="2">
        <v>0</v>
      </c>
      <c r="DC41" s="2">
        <v>1</v>
      </c>
      <c r="DD41" s="2" t="str">
        <f>HYPERLINK("https://www.kegg.jp/kegg-bin/search_pathway_text?map=aga&amp;keyword=AGAP006403&amp;mode=1&amp;viewImage=true","AGAP006403")</f>
        <v>AGAP006403</v>
      </c>
      <c r="DE41" s="2" t="s">
        <v>645</v>
      </c>
      <c r="DF41" s="2" t="s">
        <v>646</v>
      </c>
      <c r="DG41" s="2" t="s">
        <v>87</v>
      </c>
      <c r="DH41" s="2" t="str">
        <f>HYPERLINK("https://vectorbase.org/vectorbase/app/record/gene/AGAP006403","AGAP006403-RA")</f>
        <v>AGAP006403-RA</v>
      </c>
      <c r="DI41" s="2" t="s">
        <v>108</v>
      </c>
      <c r="DJ41" s="2">
        <v>9468</v>
      </c>
      <c r="DK41" s="2" t="str">
        <f>HYPERLINK(".\links\netoglyc\AGAP006403-PA-netoglyc.txt","125")</f>
        <v>125</v>
      </c>
      <c r="DL41" s="2">
        <v>21.8</v>
      </c>
      <c r="DM41" s="2">
        <v>5.7</v>
      </c>
      <c r="DN41" s="2">
        <v>14</v>
      </c>
      <c r="DO41" s="2" t="s">
        <v>97</v>
      </c>
      <c r="DP41" s="2" t="s">
        <v>660</v>
      </c>
      <c r="DQ41" s="2" t="str">
        <f>HYPERLINK(".\links\Sigp\AGAP006403-PA-SigP.txt","CYT")</f>
        <v>CYT</v>
      </c>
      <c r="DR41" s="2" t="s">
        <v>94</v>
      </c>
      <c r="DS41" s="2">
        <v>178.05</v>
      </c>
      <c r="DT41" s="2">
        <v>9.8699999999999992</v>
      </c>
      <c r="DU41" s="2" t="s">
        <v>94</v>
      </c>
      <c r="DV41" s="2" t="s">
        <v>94</v>
      </c>
      <c r="DW41" s="2" t="s">
        <v>652</v>
      </c>
      <c r="DX41" s="2">
        <v>1705</v>
      </c>
      <c r="DY41" s="8">
        <v>0</v>
      </c>
      <c r="DZ41" s="2" t="s">
        <v>94</v>
      </c>
      <c r="EA41" s="2" t="s">
        <v>94</v>
      </c>
      <c r="EB41" s="2" t="s">
        <v>94</v>
      </c>
      <c r="EC41" s="2" t="str">
        <f>HYPERLINK(".\links\gpi\AGAP006403-PA-gpi.txt","Y-NoSP")</f>
        <v>Y-NoSP</v>
      </c>
      <c r="ED41" s="2">
        <v>0.42</v>
      </c>
      <c r="EF41" s="2">
        <v>12</v>
      </c>
      <c r="EG41" s="2" t="str">
        <f>HYPERLINK(".\links\pep\AGAP006403-PA-sulf.txt","2")</f>
        <v>2</v>
      </c>
      <c r="EH41" s="2" t="s">
        <v>94</v>
      </c>
      <c r="EI41" s="2">
        <v>21.818181818181799</v>
      </c>
      <c r="EJ41" s="2">
        <v>13.9589442815249</v>
      </c>
      <c r="EK41" s="2">
        <v>5.7478005865102597</v>
      </c>
      <c r="EL41" s="2">
        <v>19.706744868035202</v>
      </c>
      <c r="EM41" s="2">
        <v>3</v>
      </c>
      <c r="EN41" s="2">
        <v>4</v>
      </c>
      <c r="EO41" s="2">
        <v>6</v>
      </c>
      <c r="EP41" s="2" t="s">
        <v>94</v>
      </c>
      <c r="EQ41" s="2" t="s">
        <v>94</v>
      </c>
      <c r="ER41" s="2" t="s">
        <v>94</v>
      </c>
      <c r="ES41" s="2" t="s">
        <v>94</v>
      </c>
      <c r="ET41" s="2" t="str">
        <f>HYPERLINK(".\links\REFSEQ-INVERTEBRATE\AGAP006403-PA-REFSEQ-INVERTEBRATE.txt","AGAP006403-PA")</f>
        <v>AGAP006403-PA</v>
      </c>
      <c r="EU41" s="2" t="str">
        <f>HYPERLINK("http://www.ncbi.nlm.nih.gov/sutils/blink.cgi?pid=XP_001237808.2","0.0")</f>
        <v>0.0</v>
      </c>
      <c r="EV41" s="2" t="str">
        <f>HYPERLINK("http://www.ncbi.nlm.nih.gov/protein/XP_001237808.2","XP_001237808.2")</f>
        <v>XP_001237808.2</v>
      </c>
      <c r="EW41" s="2">
        <v>100</v>
      </c>
      <c r="EX41" s="2">
        <v>100</v>
      </c>
      <c r="EY41" s="2">
        <v>100</v>
      </c>
      <c r="EZ41" s="2" t="s">
        <v>98</v>
      </c>
    </row>
    <row r="42" spans="1:156" x14ac:dyDescent="0.25">
      <c r="A42" s="2" t="s">
        <v>661</v>
      </c>
      <c r="B42" s="2">
        <v>1.1338815833476501</v>
      </c>
      <c r="C42" s="2">
        <v>2.1944837441700482</v>
      </c>
      <c r="D42" s="2">
        <v>3.9529111540142901</v>
      </c>
      <c r="E42" s="2">
        <v>24.064025797439399</v>
      </c>
      <c r="F42" s="2">
        <v>9.3185016651953898E-7</v>
      </c>
      <c r="G42" s="2">
        <v>2.0193893514103501E-4</v>
      </c>
      <c r="H42" s="2" t="s">
        <v>662</v>
      </c>
      <c r="I42" s="2" t="s">
        <v>87</v>
      </c>
      <c r="J42" s="2" t="str">
        <f>HYPERLINK("https://vectorbase.org/vectorbase/app/record/gene/AGAP001200","AGAP001200-RB")</f>
        <v>AGAP001200-RB</v>
      </c>
      <c r="K42" s="2" t="str">
        <f>HYPERLINK(".\links\pep\AGAP001200-PB-pep.txt","AGAP001200-PB")</f>
        <v>AGAP001200-PB</v>
      </c>
      <c r="L42" s="8" t="s">
        <v>88</v>
      </c>
      <c r="M42" s="2">
        <v>1532</v>
      </c>
      <c r="N42" s="2">
        <v>0</v>
      </c>
      <c r="O42" s="2">
        <v>4</v>
      </c>
      <c r="P42" s="2" t="s">
        <v>663</v>
      </c>
      <c r="Q42" s="9" t="s">
        <v>664</v>
      </c>
      <c r="R42" s="2" t="s">
        <v>550</v>
      </c>
      <c r="S42" s="2" t="str">
        <f>HYPERLINK(".\links\KOG\AGAP001200-PB-KOG.txt","KOG")</f>
        <v>KOG</v>
      </c>
      <c r="T42" s="2">
        <v>0</v>
      </c>
      <c r="U42" s="2">
        <v>100.8</v>
      </c>
      <c r="V42" s="2" t="s">
        <v>665</v>
      </c>
      <c r="W42" s="10" t="s">
        <v>666</v>
      </c>
      <c r="X42" s="2" t="s">
        <v>550</v>
      </c>
      <c r="Y42" s="2" t="str">
        <f>HYPERLINK(".\links\TIGR\AGAP001200-PB-TIGR.txt","TIGR")</f>
        <v>TIGR</v>
      </c>
      <c r="Z42" s="13">
        <v>0</v>
      </c>
      <c r="AA42" s="2">
        <v>102</v>
      </c>
      <c r="AB42" s="11" t="str">
        <f>HYPERLINK(".\links\pep\AGAP001200-PB-sulf.txt","2")</f>
        <v>2</v>
      </c>
      <c r="AC42" s="11" t="str">
        <f>HYPERLINK(".\links\Sigp\AGAP001200-PB-SigP.txt","CYT")</f>
        <v>CYT</v>
      </c>
      <c r="AD42" s="2" t="s">
        <v>94</v>
      </c>
      <c r="AE42" s="2">
        <v>173.37299999999999</v>
      </c>
      <c r="AF42" s="2">
        <v>6.15</v>
      </c>
      <c r="AG42" s="2" t="s">
        <v>94</v>
      </c>
      <c r="AH42" s="2" t="s">
        <v>94</v>
      </c>
      <c r="AI42" s="2" t="s">
        <v>463</v>
      </c>
      <c r="AJ42" s="11">
        <v>0</v>
      </c>
      <c r="AK42" s="2" t="s">
        <v>94</v>
      </c>
      <c r="AL42" s="2" t="s">
        <v>94</v>
      </c>
      <c r="AM42" s="2" t="s">
        <v>94</v>
      </c>
      <c r="AN42" s="11" t="str">
        <f>HYPERLINK(".\links\gpi\AGAP001200-PB-gpi.txt","N")</f>
        <v>N</v>
      </c>
      <c r="AO42" s="12" t="str">
        <f>HYPERLINK(".\links\netoglyc\AGAP001200-PB-netoglyc.txt","0")</f>
        <v>0</v>
      </c>
      <c r="AP42" s="11">
        <v>9.8000000000000007</v>
      </c>
      <c r="AQ42" s="2">
        <v>7.4</v>
      </c>
      <c r="AR42" s="2">
        <v>4.4000000000000004</v>
      </c>
      <c r="AS42" s="2" t="s">
        <v>97</v>
      </c>
      <c r="AT42" s="9" t="str">
        <f>HYPERLINK(".\links\NR-LIGHT\AGAP001200-PB-NR-LIGHT.txt","AGAP001200-PA")</f>
        <v>AGAP001200-PA</v>
      </c>
      <c r="AU42" s="2" t="str">
        <f>HYPERLINK("http://www.ncbi.nlm.nih.gov/sutils/blink.cgi?pid=XP_321957.3","0.0")</f>
        <v>0.0</v>
      </c>
      <c r="AV42" s="2" t="str">
        <f>HYPERLINK("http://www.ncbi.nlm.nih.gov/protein/XP_321957.3","XP_321957.3")</f>
        <v>XP_321957.3</v>
      </c>
      <c r="AW42" s="2">
        <v>100</v>
      </c>
      <c r="AX42" s="2">
        <v>100</v>
      </c>
      <c r="AY42" s="2">
        <v>98</v>
      </c>
      <c r="AZ42" s="2" t="s">
        <v>98</v>
      </c>
      <c r="BA42" s="9" t="str">
        <f>HYPERLINK(".\links\REFSEQ-INVERTEBRATE\AGAP001200-PB-REFSEQ-INVERTEBRATE.txt","AGAP001200-PB")</f>
        <v>AGAP001200-PB</v>
      </c>
      <c r="BB42" s="2" t="str">
        <f>HYPERLINK("http://www.ncbi.nlm.nih.gov/sutils/blink.cgi?pid=XP_003435771.1","0.0")</f>
        <v>0.0</v>
      </c>
      <c r="BC42" s="2" t="str">
        <f>HYPERLINK("http://www.ncbi.nlm.nih.gov/protein/XP_003435771.1","XP_003435771.1")</f>
        <v>XP_003435771.1</v>
      </c>
      <c r="BD42" s="2">
        <v>100</v>
      </c>
      <c r="BE42" s="2">
        <v>100</v>
      </c>
      <c r="BF42" s="2">
        <v>100</v>
      </c>
      <c r="BG42" s="2" t="s">
        <v>98</v>
      </c>
      <c r="BH42" s="9" t="str">
        <f>HYPERLINK(".\links\REFSEQ-PROTOZOA\AGAP001200-PB-REFSEQ-PROTOZOA.txt","hypothetical protein SAMD00019534_064540")</f>
        <v>hypothetical protein SAMD00019534_064540</v>
      </c>
      <c r="BI42" s="2" t="str">
        <f>HYPERLINK("http://www.ncbi.nlm.nih.gov/sutils/blink.cgi?pid=XP_012753728.1","0.0")</f>
        <v>0.0</v>
      </c>
      <c r="BJ42" s="2" t="str">
        <f>HYPERLINK("http://www.ncbi.nlm.nih.gov/protein/XP_012753728.1","XP_012753728.1")</f>
        <v>XP_012753728.1</v>
      </c>
      <c r="BK42" s="2">
        <v>35</v>
      </c>
      <c r="BL42" s="2">
        <v>53</v>
      </c>
      <c r="BM42" s="2">
        <v>103</v>
      </c>
      <c r="BN42" s="2" t="s">
        <v>136</v>
      </c>
      <c r="BO42" s="9" t="str">
        <f>HYPERLINK(".\links\SWISSP\AGAP001200-PB-SWISSP.txt","Glycogen debranching enzyme")</f>
        <v>Glycogen debranching enzyme</v>
      </c>
      <c r="BP42" s="2" t="str">
        <f>HYPERLINK("http://www.uniprot.org/uniprot/Q2PQH8","0.0")</f>
        <v>0.0</v>
      </c>
      <c r="BQ42" s="2" t="str">
        <f>HYPERLINK("http://www.uniprot.org/uniprot/Q2PQH8#expression","Q2PQH8")</f>
        <v>Q2PQH8</v>
      </c>
      <c r="BR42" s="2">
        <v>46</v>
      </c>
      <c r="BS42" s="2">
        <v>63</v>
      </c>
      <c r="BT42" s="2">
        <v>102</v>
      </c>
      <c r="BU42" s="2" t="s">
        <v>667</v>
      </c>
      <c r="BV42" s="9" t="str">
        <f>HYPERLINK(".\links\FLYBASE\AGAP001200-PB-FLYBASE.txt","FBpp0071526")</f>
        <v>FBpp0071526</v>
      </c>
      <c r="BW42" s="2" t="str">
        <f>HYPERLINK("http://flybase.org/reports/FBgn0034618#alliance_summary_container","0.0")</f>
        <v>0.0</v>
      </c>
      <c r="BX42" s="2">
        <v>1629</v>
      </c>
      <c r="BY42" s="2">
        <v>61</v>
      </c>
      <c r="BZ42" s="2">
        <v>76</v>
      </c>
      <c r="CA42" s="2">
        <v>94</v>
      </c>
      <c r="CB42" s="9" t="str">
        <f>HYPERLINK(".\links\CDD\AGAP001200-PB-CDD.txt","Includes:_Amylo-alpha-16-glucosidase, glycogen debranching enzymye")</f>
        <v>Includes:_Amylo-alpha-16-glucosidase, glycogen debranching enzymye</v>
      </c>
      <c r="CC42" s="13">
        <v>0</v>
      </c>
      <c r="CD42" s="2">
        <v>104.4</v>
      </c>
      <c r="CE42" s="2" t="s">
        <v>668</v>
      </c>
      <c r="CF42" s="2" t="s">
        <v>669</v>
      </c>
      <c r="CG42" s="9" t="str">
        <f>HYPERLINK(".\links\KOG\AGAP001200-PB-KOG.txt","Alpha amylase")</f>
        <v>Alpha amylase</v>
      </c>
      <c r="CH42" s="13">
        <v>0</v>
      </c>
      <c r="CI42" s="2">
        <v>100.9</v>
      </c>
      <c r="CJ42" s="2" t="s">
        <v>670</v>
      </c>
      <c r="CK42" s="2" t="s">
        <v>556</v>
      </c>
      <c r="CL42" s="9" t="str">
        <f>HYPERLINK(".\links\PFAM\AGAP001200-PB-PFAM.txt","hDGE_amylase, Glycogen debranching enzyme, glucanotransferase domain")</f>
        <v>hDGE_amylase, Glycogen debranching enzyme, glucanotransferase domain</v>
      </c>
      <c r="CM42" s="13">
        <v>1E-174</v>
      </c>
      <c r="CN42" s="2">
        <v>103.2</v>
      </c>
      <c r="CO42" s="2" t="s">
        <v>671</v>
      </c>
      <c r="CP42" s="9" t="str">
        <f>HYPERLINK(".\links\SMART\AGAP001200-PB-SMART.txt","Aamy, Alpha-amylase domain")</f>
        <v>Aamy, Alpha-amylase domain</v>
      </c>
      <c r="CQ42" s="13">
        <v>0.16</v>
      </c>
      <c r="CR42" s="2">
        <v>46.4</v>
      </c>
      <c r="CS42" s="2" t="s">
        <v>672</v>
      </c>
      <c r="CT42" s="2" t="s">
        <v>665</v>
      </c>
      <c r="CU42" s="2" t="s">
        <v>665</v>
      </c>
      <c r="CV42" s="2" t="s">
        <v>665</v>
      </c>
      <c r="CW42" s="2" t="str">
        <f>HYPERLINK(".\links\pep\AGAP001200-PB-pep.txt","AGAP001200-PB")</f>
        <v>AGAP001200-PB</v>
      </c>
      <c r="CX42" s="2" t="s">
        <v>88</v>
      </c>
      <c r="CY42" s="2">
        <v>1532</v>
      </c>
      <c r="CZ42" s="2" t="s">
        <v>106</v>
      </c>
      <c r="DA42" s="2" t="s">
        <v>673</v>
      </c>
      <c r="DB42" s="2">
        <v>0</v>
      </c>
      <c r="DC42" s="2">
        <v>4</v>
      </c>
      <c r="DD42" s="2" t="str">
        <f>HYPERLINK("https://www.kegg.jp/kegg-bin/search_pathway_text?map=aga&amp;keyword=AGAP001200&amp;mode=1&amp;viewImage=true","AGAP001200")</f>
        <v>AGAP001200</v>
      </c>
      <c r="DE42" s="2" t="s">
        <v>661</v>
      </c>
      <c r="DF42" s="2" t="s">
        <v>662</v>
      </c>
      <c r="DG42" s="2" t="s">
        <v>87</v>
      </c>
      <c r="DH42" s="2" t="str">
        <f>HYPERLINK("https://vectorbase.org/vectorbase/app/record/gene/AGAP001200","AGAP001200-RB")</f>
        <v>AGAP001200-RB</v>
      </c>
      <c r="DI42" s="2" t="s">
        <v>108</v>
      </c>
      <c r="DJ42" s="2">
        <v>4915</v>
      </c>
      <c r="DK42" s="2" t="str">
        <f>HYPERLINK(".\links\netoglyc\AGAP001200-PB-netoglyc.txt","0")</f>
        <v>0</v>
      </c>
      <c r="DL42" s="2">
        <v>9.8000000000000007</v>
      </c>
      <c r="DM42" s="2">
        <v>7.4</v>
      </c>
      <c r="DN42" s="2">
        <v>4.4000000000000004</v>
      </c>
      <c r="DO42" s="2" t="s">
        <v>97</v>
      </c>
      <c r="DP42" s="2" t="s">
        <v>94</v>
      </c>
      <c r="DQ42" s="2" t="str">
        <f>HYPERLINK(".\links\Sigp\AGAP001200-PB-SigP.txt","CYT")</f>
        <v>CYT</v>
      </c>
      <c r="DR42" s="2" t="s">
        <v>94</v>
      </c>
      <c r="DS42" s="2">
        <v>173.37299999999999</v>
      </c>
      <c r="DT42" s="2">
        <v>6.15</v>
      </c>
      <c r="DU42" s="2" t="s">
        <v>94</v>
      </c>
      <c r="DV42" s="2" t="s">
        <v>94</v>
      </c>
      <c r="DW42" s="2" t="s">
        <v>463</v>
      </c>
      <c r="DX42" s="2">
        <v>1532</v>
      </c>
      <c r="DY42" s="8">
        <v>0</v>
      </c>
      <c r="DZ42" s="2" t="s">
        <v>94</v>
      </c>
      <c r="EA42" s="2" t="s">
        <v>94</v>
      </c>
      <c r="EB42" s="2" t="s">
        <v>94</v>
      </c>
      <c r="EC42" s="2" t="str">
        <f>HYPERLINK(".\links\gpi\AGAP001200-PB-gpi.txt","Y-NoSP")</f>
        <v>Y-NoSP</v>
      </c>
      <c r="ED42" s="2">
        <v>0.16</v>
      </c>
      <c r="EF42" s="2">
        <v>38</v>
      </c>
      <c r="EG42" s="2" t="str">
        <f>HYPERLINK(".\links\pep\AGAP001200-PB-sulf.txt","2")</f>
        <v>2</v>
      </c>
      <c r="EH42" s="2" t="s">
        <v>94</v>
      </c>
      <c r="EI42" s="2">
        <v>9.7911227154047005</v>
      </c>
      <c r="EJ42" s="2">
        <v>4.3733681462140996</v>
      </c>
      <c r="EK42" s="2">
        <v>7.4412532637075701</v>
      </c>
      <c r="EL42" s="2">
        <v>11.814621409921701</v>
      </c>
      <c r="EM42" s="2">
        <v>2</v>
      </c>
      <c r="EN42" s="2">
        <v>4</v>
      </c>
      <c r="EO42" s="2">
        <v>4</v>
      </c>
      <c r="EP42" s="2" t="s">
        <v>94</v>
      </c>
      <c r="EQ42" s="2" t="s">
        <v>94</v>
      </c>
      <c r="ER42" s="2" t="s">
        <v>94</v>
      </c>
      <c r="ES42" s="2" t="s">
        <v>94</v>
      </c>
      <c r="ET42" s="2" t="str">
        <f>HYPERLINK(".\links\REFSEQ-INVERTEBRATE\AGAP001200-PB-REFSEQ-INVERTEBRATE.txt","AGAP001200-PA")</f>
        <v>AGAP001200-PA</v>
      </c>
      <c r="EU42" s="2" t="str">
        <f>HYPERLINK("http://www.ncbi.nlm.nih.gov/sutils/blink.cgi?pid=XP_321957.3","0.0")</f>
        <v>0.0</v>
      </c>
      <c r="EV42" s="2" t="str">
        <f>HYPERLINK("http://www.ncbi.nlm.nih.gov/protein/XP_321957.3","XP_321957.3")</f>
        <v>XP_321957.3</v>
      </c>
      <c r="EW42" s="2">
        <v>100</v>
      </c>
      <c r="EX42" s="2">
        <v>100</v>
      </c>
      <c r="EY42" s="2">
        <v>98</v>
      </c>
      <c r="EZ42" s="2" t="s">
        <v>98</v>
      </c>
    </row>
    <row r="43" spans="1:156" x14ac:dyDescent="0.25">
      <c r="A43" s="2" t="s">
        <v>674</v>
      </c>
      <c r="B43" s="2">
        <v>1.1180950984240701</v>
      </c>
      <c r="C43" s="2">
        <v>2.1706018190520382</v>
      </c>
      <c r="D43" s="2">
        <v>6.1643686960464796</v>
      </c>
      <c r="E43" s="2">
        <v>17.5591651774163</v>
      </c>
      <c r="F43" s="2">
        <v>2.7850514951026999E-5</v>
      </c>
      <c r="G43" s="2">
        <v>2.7394640109778198E-3</v>
      </c>
      <c r="H43" s="2" t="s">
        <v>86</v>
      </c>
      <c r="I43" s="2" t="s">
        <v>87</v>
      </c>
      <c r="J43" s="2" t="str">
        <f>HYPERLINK("https://vectorbase.org/vectorbase/app/record/gene/AGAP010961","AGAP010961-RB")</f>
        <v>AGAP010961-RB</v>
      </c>
      <c r="K43" s="2" t="str">
        <f>HYPERLINK(".\links\pep\AGAP010961-PB-pep.txt","AGAP010961-PB")</f>
        <v>AGAP010961-PB</v>
      </c>
      <c r="L43" s="8" t="s">
        <v>88</v>
      </c>
      <c r="M43" s="2">
        <v>525</v>
      </c>
      <c r="N43" s="2">
        <v>0</v>
      </c>
      <c r="O43" s="2">
        <v>4</v>
      </c>
      <c r="P43" s="2" t="s">
        <v>675</v>
      </c>
      <c r="Q43" s="9" t="s">
        <v>676</v>
      </c>
      <c r="R43" s="2" t="s">
        <v>147</v>
      </c>
      <c r="S43" s="2" t="str">
        <f>HYPERLINK(".\links\PFAM\AGAP010961-PB-PFAM.txt","PFAM")</f>
        <v>PFAM</v>
      </c>
      <c r="T43" s="2">
        <v>6.0000000000000003E-72</v>
      </c>
      <c r="U43" s="2">
        <v>105.8</v>
      </c>
      <c r="V43" s="2" t="s">
        <v>677</v>
      </c>
      <c r="W43" s="10" t="s">
        <v>678</v>
      </c>
      <c r="X43" s="2" t="s">
        <v>147</v>
      </c>
      <c r="Y43" s="2" t="str">
        <f>HYPERLINK(".\links\REFSEQVERTEBRATE95\AGAP010961-PB-REFSEQVERTEBRATE95.txt","REFSEQVERTEBRATE95")</f>
        <v>REFSEQVERTEBRATE95</v>
      </c>
      <c r="Z43" s="13">
        <v>0</v>
      </c>
      <c r="AA43" s="2">
        <v>99</v>
      </c>
      <c r="AB43" s="11" t="s">
        <v>94</v>
      </c>
      <c r="AC43" s="11" t="str">
        <f>HYPERLINK(".\links\Sigp\AGAP010961-PB-SigP.txt","BL")</f>
        <v>BL</v>
      </c>
      <c r="AD43" s="2" t="s">
        <v>679</v>
      </c>
      <c r="AE43" s="2">
        <v>60.265000000000001</v>
      </c>
      <c r="AF43" s="2">
        <v>6.31</v>
      </c>
      <c r="AG43" s="2">
        <v>56.475999999999999</v>
      </c>
      <c r="AH43" s="2">
        <v>6.64</v>
      </c>
      <c r="AI43" s="2" t="s">
        <v>680</v>
      </c>
      <c r="AJ43" s="11" t="str">
        <f>HYPERLINK(".\links\tmhmm\AGAP010961-PB-tmhmm.txt","1")</f>
        <v>1</v>
      </c>
      <c r="AK43" s="2">
        <v>4.2</v>
      </c>
      <c r="AL43" s="2">
        <v>93.3</v>
      </c>
      <c r="AM43" s="2">
        <v>2.5</v>
      </c>
      <c r="AN43" s="11" t="str">
        <f>HYPERLINK(".\links\gpi\AGAP010961-PB-gpi.txt","N")</f>
        <v>N</v>
      </c>
      <c r="AO43" s="12" t="str">
        <f>HYPERLINK(".\links\netoglyc\AGAP010961-PB-netoglyc.txt","0")</f>
        <v>0</v>
      </c>
      <c r="AP43" s="11">
        <v>10.9</v>
      </c>
      <c r="AQ43" s="2">
        <v>5</v>
      </c>
      <c r="AR43" s="2">
        <v>6.9</v>
      </c>
      <c r="AS43" s="2" t="s">
        <v>97</v>
      </c>
      <c r="AT43" s="9" t="str">
        <f>HYPERLINK(".\links\NR-LIGHT\AGAP010961-PB-NR-LIGHT.txt","cytochrome P450")</f>
        <v>cytochrome P450</v>
      </c>
      <c r="AU43" s="2" t="str">
        <f>HYPERLINK("http://www.ncbi.nlm.nih.gov/sutils/blink.cgi?pid=ETN67647.1","0.0")</f>
        <v>0.0</v>
      </c>
      <c r="AV43" s="2" t="str">
        <f>HYPERLINK("http://www.ncbi.nlm.nih.gov/protein/ETN67647.1","ETN67647.1")</f>
        <v>ETN67647.1</v>
      </c>
      <c r="AW43" s="2">
        <v>81</v>
      </c>
      <c r="AX43" s="2">
        <v>90</v>
      </c>
      <c r="AY43" s="2">
        <v>99</v>
      </c>
      <c r="AZ43" s="2" t="s">
        <v>291</v>
      </c>
      <c r="BA43" s="9" t="str">
        <f>HYPERLINK(".\links\REFSEQ-INVERTEBRATE\AGAP010961-PB-REFSEQ-INVERTEBRATE.txt","AGAP010961-PA, partial")</f>
        <v>AGAP010961-PA, partial</v>
      </c>
      <c r="BB43" s="2" t="str">
        <f>HYPERLINK("http://www.ncbi.nlm.nih.gov/sutils/blink.cgi?pid=XP_563971.3","0.0")</f>
        <v>0.0</v>
      </c>
      <c r="BC43" s="2" t="str">
        <f>HYPERLINK("http://www.ncbi.nlm.nih.gov/protein/XP_563971.3","XP_563971.3")</f>
        <v>XP_563971.3</v>
      </c>
      <c r="BD43" s="2">
        <v>80</v>
      </c>
      <c r="BE43" s="2">
        <v>85</v>
      </c>
      <c r="BF43" s="2">
        <v>99</v>
      </c>
      <c r="BG43" s="2" t="s">
        <v>98</v>
      </c>
      <c r="BH43" s="9" t="str">
        <f>HYPERLINK(".\links\REFSEQ-PROTOZOA\AGAP010961-PB-REFSEQ-PROTOZOA.txt","cytochrome P450 family monooxygenase")</f>
        <v>cytochrome P450 family monooxygenase</v>
      </c>
      <c r="BI43" s="2" t="str">
        <f>HYPERLINK("http://www.ncbi.nlm.nih.gov/sutils/blink.cgi?pid=XP_001011947.1","7E-029")</f>
        <v>7E-029</v>
      </c>
      <c r="BJ43" s="2" t="str">
        <f>HYPERLINK("http://www.ncbi.nlm.nih.gov/protein/XP_001011947.1","XP_001011947.1")</f>
        <v>XP_001011947.1</v>
      </c>
      <c r="BK43" s="2">
        <v>25</v>
      </c>
      <c r="BL43" s="2">
        <v>43</v>
      </c>
      <c r="BM43" s="2">
        <v>102</v>
      </c>
      <c r="BN43" s="2" t="s">
        <v>681</v>
      </c>
      <c r="BO43" s="9" t="str">
        <f>HYPERLINK(".\links\SWISSP\AGAP010961-PB-SWISSP.txt","Cytochrome P450 6g1")</f>
        <v>Cytochrome P450 6g1</v>
      </c>
      <c r="BP43" s="2" t="str">
        <f>HYPERLINK("http://www.uniprot.org/uniprot/Q9V674","1E-107")</f>
        <v>1E-107</v>
      </c>
      <c r="BQ43" s="2" t="str">
        <f>HYPERLINK("http://www.uniprot.org/uniprot/Q9V674#expression","Q9V674")</f>
        <v>Q9V674</v>
      </c>
      <c r="BR43" s="2">
        <v>39</v>
      </c>
      <c r="BS43" s="2">
        <v>58</v>
      </c>
      <c r="BT43" s="2">
        <v>98</v>
      </c>
      <c r="BU43" s="2" t="s">
        <v>100</v>
      </c>
      <c r="BV43" s="9" t="str">
        <f>HYPERLINK(".\links\FLYBASE\AGAP010961-PB-FLYBASE.txt","FBpp0087117")</f>
        <v>FBpp0087117</v>
      </c>
      <c r="BW43" s="2" t="str">
        <f>HYPERLINK("http://flybase.org/reports/FBgn0033696#alliance_summary_container","1E-132")</f>
        <v>1E-132</v>
      </c>
      <c r="BX43" s="2">
        <v>519</v>
      </c>
      <c r="BY43" s="2">
        <v>39</v>
      </c>
      <c r="BZ43" s="2">
        <v>59</v>
      </c>
      <c r="CA43" s="2">
        <v>100</v>
      </c>
      <c r="CB43" s="9" t="str">
        <f>HYPERLINK(".\links\CDD\AGAP010961-PB-CDD.txt","p450, Cytochrome P450")</f>
        <v>p450, Cytochrome P450</v>
      </c>
      <c r="CC43" s="13">
        <v>3.0000000000000001E-71</v>
      </c>
      <c r="CD43" s="2">
        <v>105.9</v>
      </c>
      <c r="CE43" s="2" t="s">
        <v>101</v>
      </c>
      <c r="CF43" s="2" t="s">
        <v>682</v>
      </c>
      <c r="CG43" s="9" t="str">
        <f>HYPERLINK(".\links\KOG\AGAP010961-PB-KOG.txt","Cytochrome P450 CYP3/CYP5/CYP6/CYP9 subfamilies")</f>
        <v>Cytochrome P450 CYP3/CYP5/CYP6/CYP9 subfamilies</v>
      </c>
      <c r="CH43" s="13">
        <v>9.9999999999999995E-127</v>
      </c>
      <c r="CI43" s="2">
        <v>102.4</v>
      </c>
      <c r="CJ43" s="2" t="s">
        <v>103</v>
      </c>
      <c r="CK43" s="2" t="s">
        <v>104</v>
      </c>
      <c r="CL43" s="9" t="str">
        <f>HYPERLINK(".\links\PFAM\AGAP010961-PB-PFAM.txt","p450, Cytochrome P450")</f>
        <v>p450, Cytochrome P450</v>
      </c>
      <c r="CM43" s="13">
        <v>6.0000000000000003E-72</v>
      </c>
      <c r="CN43" s="2">
        <v>105.9</v>
      </c>
      <c r="CO43" s="2" t="s">
        <v>101</v>
      </c>
      <c r="CP43" s="9" t="str">
        <f>HYPERLINK(".\links\SMART\AGAP010961-PB-SMART.txt","Bgal_small_N, Beta galactosidase small chain")</f>
        <v>Bgal_small_N, Beta galactosidase small chain</v>
      </c>
      <c r="CQ43" s="13">
        <v>0.57999999999999996</v>
      </c>
      <c r="CR43" s="2">
        <v>10.3</v>
      </c>
      <c r="CS43" s="2" t="s">
        <v>683</v>
      </c>
      <c r="CT43" s="2" t="s">
        <v>677</v>
      </c>
      <c r="CU43" s="2" t="s">
        <v>677</v>
      </c>
      <c r="CV43" s="2" t="s">
        <v>677</v>
      </c>
      <c r="CW43" s="2" t="str">
        <f>HYPERLINK(".\links\pep\AGAP010961-PB-pep.txt","AGAP010961-PB")</f>
        <v>AGAP010961-PB</v>
      </c>
      <c r="CX43" s="2" t="s">
        <v>88</v>
      </c>
      <c r="CY43" s="2">
        <v>525</v>
      </c>
      <c r="CZ43" s="2" t="s">
        <v>106</v>
      </c>
      <c r="DA43" s="2" t="s">
        <v>684</v>
      </c>
      <c r="DB43" s="2">
        <v>0</v>
      </c>
      <c r="DC43" s="2">
        <v>4</v>
      </c>
      <c r="DD43" s="2" t="str">
        <f>HYPERLINK("https://www.kegg.jp/kegg-bin/search_pathway_text?map=aga&amp;keyword=AGAP010961&amp;mode=1&amp;viewImage=true","AGAP010961")</f>
        <v>AGAP010961</v>
      </c>
      <c r="DE43" s="2" t="s">
        <v>674</v>
      </c>
      <c r="DF43" s="2" t="s">
        <v>86</v>
      </c>
      <c r="DG43" s="2" t="s">
        <v>87</v>
      </c>
      <c r="DH43" s="2" t="str">
        <f>HYPERLINK("https://vectorbase.org/vectorbase/app/record/gene/AGAP010961","AGAP010961-RB")</f>
        <v>AGAP010961-RB</v>
      </c>
      <c r="DI43" s="2" t="s">
        <v>125</v>
      </c>
      <c r="DJ43" s="2">
        <v>1736</v>
      </c>
      <c r="DK43" s="2" t="str">
        <f>HYPERLINK(".\links\netoglyc\AGAP010961-PB-netoglyc.txt","0")</f>
        <v>0</v>
      </c>
      <c r="DL43" s="2">
        <v>10.9</v>
      </c>
      <c r="DM43" s="2">
        <v>5</v>
      </c>
      <c r="DN43" s="2">
        <v>6.9</v>
      </c>
      <c r="DO43" s="2" t="s">
        <v>97</v>
      </c>
      <c r="DP43" s="2" t="s">
        <v>94</v>
      </c>
      <c r="DQ43" s="2" t="str">
        <f>HYPERLINK(".\links\Sigp\AGAP010961-PB-SigP.txt","BL")</f>
        <v>BL</v>
      </c>
      <c r="DR43" s="2" t="s">
        <v>679</v>
      </c>
      <c r="DS43" s="2">
        <v>60.265000000000001</v>
      </c>
      <c r="DT43" s="2">
        <v>6.31</v>
      </c>
      <c r="DU43" s="2">
        <v>56.475999999999999</v>
      </c>
      <c r="DV43" s="2">
        <v>6.64</v>
      </c>
      <c r="DW43" s="2" t="s">
        <v>680</v>
      </c>
      <c r="DX43" s="2">
        <v>525</v>
      </c>
      <c r="DY43" s="8" t="str">
        <f>HYPERLINK(".\links\tmhmm\AGAP010961-PB-tmhmm.txt","1")</f>
        <v>1</v>
      </c>
      <c r="DZ43" s="2">
        <v>4.2</v>
      </c>
      <c r="EA43" s="2">
        <v>93.3</v>
      </c>
      <c r="EB43" s="2">
        <v>2.5</v>
      </c>
      <c r="EC43" s="2" t="str">
        <f>HYPERLINK(".\links\gpi\AGAP010961-PB-gpi.txt","N")</f>
        <v>N</v>
      </c>
      <c r="ED43" s="2">
        <v>0.25</v>
      </c>
      <c r="EF43" s="2">
        <v>8</v>
      </c>
      <c r="EG43" s="2" t="s">
        <v>94</v>
      </c>
      <c r="EH43" s="2" t="s">
        <v>94</v>
      </c>
      <c r="EI43" s="2">
        <v>10.8571428571429</v>
      </c>
      <c r="EJ43" s="2">
        <v>6.8571428571428603</v>
      </c>
      <c r="EK43" s="2">
        <v>4.9523809523809499</v>
      </c>
      <c r="EL43" s="2">
        <v>11.8095238095238</v>
      </c>
      <c r="EM43" s="2">
        <v>1</v>
      </c>
      <c r="EN43" s="2">
        <v>2</v>
      </c>
      <c r="EO43" s="2">
        <v>2</v>
      </c>
      <c r="EP43" s="2" t="s">
        <v>94</v>
      </c>
      <c r="EQ43" s="2" t="s">
        <v>94</v>
      </c>
      <c r="ER43" s="2" t="s">
        <v>94</v>
      </c>
      <c r="ES43" s="2" t="s">
        <v>94</v>
      </c>
      <c r="ET43" s="2" t="str">
        <f>HYPERLINK(".\links\REFSEQ-INVERTEBRATE\AGAP010961-PB-REFSEQ-INVERTEBRATE.txt","probable cytochrome P450 6g2 isoform X1")</f>
        <v>probable cytochrome P450 6g2 isoform X1</v>
      </c>
      <c r="EU43" s="2" t="str">
        <f>HYPERLINK("http://www.ncbi.nlm.nih.gov/sutils/blink.cgi?pid=XP_035895857.1","0.0")</f>
        <v>0.0</v>
      </c>
      <c r="EV43" s="2" t="str">
        <f>HYPERLINK("http://www.ncbi.nlm.nih.gov/protein/XP_035895857.1","XP_035895857.1")</f>
        <v>XP_035895857.1</v>
      </c>
      <c r="EW43" s="2">
        <v>88</v>
      </c>
      <c r="EX43" s="2">
        <v>94</v>
      </c>
      <c r="EY43" s="2">
        <v>100</v>
      </c>
      <c r="EZ43" s="2" t="s">
        <v>184</v>
      </c>
    </row>
    <row r="44" spans="1:156" x14ac:dyDescent="0.25">
      <c r="A44" s="2" t="s">
        <v>685</v>
      </c>
      <c r="B44" s="2">
        <v>1.0991551770256001</v>
      </c>
      <c r="C44" s="2">
        <v>2.1422920600341997</v>
      </c>
      <c r="D44" s="2">
        <v>6.7716533942995802</v>
      </c>
      <c r="E44" s="2">
        <v>38.462128558876103</v>
      </c>
      <c r="F44" s="2">
        <v>5.5826557522763298E-10</v>
      </c>
      <c r="G44" s="2">
        <v>5.8661306054752503E-7</v>
      </c>
      <c r="H44" s="2" t="s">
        <v>167</v>
      </c>
      <c r="I44" s="2" t="s">
        <v>87</v>
      </c>
      <c r="J44" s="2" t="str">
        <f>HYPERLINK("https://vectorbase.org/vectorbase/app/record/gene/AGAP000718","AGAP000718-RA")</f>
        <v>AGAP000718-RA</v>
      </c>
      <c r="K44" s="2" t="str">
        <f>HYPERLINK(".\links\pep\AGAP000718-PA-pep.txt","AGAP000718-PA")</f>
        <v>AGAP000718-PA</v>
      </c>
      <c r="L44" s="8" t="s">
        <v>88</v>
      </c>
      <c r="M44" s="2">
        <v>683</v>
      </c>
      <c r="N44" s="2">
        <v>0</v>
      </c>
      <c r="O44" s="2">
        <v>3</v>
      </c>
      <c r="P44" s="2" t="s">
        <v>94</v>
      </c>
      <c r="Q44" s="9" t="s">
        <v>686</v>
      </c>
      <c r="R44" s="2" t="s">
        <v>113</v>
      </c>
      <c r="S44" s="2" t="str">
        <f>HYPERLINK(".\links\KOG\AGAP000718-PA-KOG.txt","KOG")</f>
        <v>KOG</v>
      </c>
      <c r="T44" s="2">
        <v>3.0000000000000001E-45</v>
      </c>
      <c r="U44" s="2">
        <v>50.6</v>
      </c>
      <c r="V44" s="2" t="s">
        <v>687</v>
      </c>
      <c r="W44" s="10" t="s">
        <v>688</v>
      </c>
      <c r="X44" s="2" t="s">
        <v>113</v>
      </c>
      <c r="Y44" s="2" t="str">
        <f>HYPERLINK(".\links\REFSEQVERTEBRATE95\AGAP000718-PA-REFSEQVERTEBRATE95.txt","REFSEQVERTEBRATE95")</f>
        <v>REFSEQVERTEBRATE95</v>
      </c>
      <c r="Z44" s="13">
        <v>6.9999999999999999E-23</v>
      </c>
      <c r="AA44" s="2">
        <v>97.9</v>
      </c>
      <c r="AB44" s="11" t="str">
        <f>HYPERLINK(".\links\pep\AGAP000718-PA-sulf.txt","1")</f>
        <v>1</v>
      </c>
      <c r="AC44" s="11" t="str">
        <f>HYPERLINK(".\links\Sigp\AGAP000718-PA-SigP.txt","CYT")</f>
        <v>CYT</v>
      </c>
      <c r="AD44" s="2" t="s">
        <v>94</v>
      </c>
      <c r="AE44" s="2">
        <v>75.034999999999997</v>
      </c>
      <c r="AF44" s="2">
        <v>8.64</v>
      </c>
      <c r="AG44" s="2" t="s">
        <v>94</v>
      </c>
      <c r="AH44" s="2" t="s">
        <v>94</v>
      </c>
      <c r="AI44" s="2" t="s">
        <v>689</v>
      </c>
      <c r="AJ44" s="11" t="str">
        <f>HYPERLINK(".\links\tmhmm\AGAP000718-PA-tmhmm.txt","9")</f>
        <v>9</v>
      </c>
      <c r="AK44" s="2">
        <v>28</v>
      </c>
      <c r="AL44" s="2">
        <v>9.6999999999999993</v>
      </c>
      <c r="AM44" s="2">
        <v>62.4</v>
      </c>
      <c r="AN44" s="11" t="str">
        <f>HYPERLINK(".\links\gpi\AGAP000718-PA-gpi.txt","N")</f>
        <v>N</v>
      </c>
      <c r="AO44" s="12" t="str">
        <f>HYPERLINK(".\links\netoglyc\AGAP000718-PA-netoglyc.txt","3")</f>
        <v>3</v>
      </c>
      <c r="AP44" s="11">
        <v>14.5</v>
      </c>
      <c r="AQ44" s="2">
        <v>6.9</v>
      </c>
      <c r="AR44" s="2">
        <v>6.4</v>
      </c>
      <c r="AS44" s="2" t="s">
        <v>97</v>
      </c>
      <c r="AT44" s="9" t="str">
        <f>HYPERLINK(".\links\NR-LIGHT\AGAP000718-PA-NR-LIGHT.txt","AGAP000718-PA")</f>
        <v>AGAP000718-PA</v>
      </c>
      <c r="AU44" s="2" t="str">
        <f>HYPERLINK("http://www.ncbi.nlm.nih.gov/sutils/blink.cgi?pid=XP_311256.5","0.0")</f>
        <v>0.0</v>
      </c>
      <c r="AV44" s="2" t="str">
        <f>HYPERLINK("http://www.ncbi.nlm.nih.gov/protein/XP_311256.5","XP_311256.5")</f>
        <v>XP_311256.5</v>
      </c>
      <c r="AW44" s="2">
        <v>100</v>
      </c>
      <c r="AX44" s="2">
        <v>100</v>
      </c>
      <c r="AY44" s="2">
        <v>100</v>
      </c>
      <c r="AZ44" s="2" t="s">
        <v>98</v>
      </c>
      <c r="BA44" s="9" t="str">
        <f>HYPERLINK(".\links\REFSEQ-INVERTEBRATE\AGAP000718-PA-REFSEQ-INVERTEBRATE.txt","AGAP000718-PA")</f>
        <v>AGAP000718-PA</v>
      </c>
      <c r="BB44" s="2" t="str">
        <f>HYPERLINK("http://www.ncbi.nlm.nih.gov/sutils/blink.cgi?pid=XP_311256.5","0.0")</f>
        <v>0.0</v>
      </c>
      <c r="BC44" s="2" t="str">
        <f>HYPERLINK("http://www.ncbi.nlm.nih.gov/protein/XP_311256.5","XP_311256.5")</f>
        <v>XP_311256.5</v>
      </c>
      <c r="BD44" s="2">
        <v>100</v>
      </c>
      <c r="BE44" s="2">
        <v>100</v>
      </c>
      <c r="BF44" s="2">
        <v>100</v>
      </c>
      <c r="BG44" s="2" t="s">
        <v>98</v>
      </c>
      <c r="BH44" s="9" t="str">
        <f>HYPERLINK(".\links\REFSEQ-PROTOZOA\AGAP000718-PA-REFSEQ-PROTOZOA.txt","hypothetical protein GUITHDRAFT_102692")</f>
        <v>hypothetical protein GUITHDRAFT_102692</v>
      </c>
      <c r="BI44" s="2" t="str">
        <f>HYPERLINK("http://www.ncbi.nlm.nih.gov/sutils/blink.cgi?pid=XP_005838405.1","9E-013")</f>
        <v>9E-013</v>
      </c>
      <c r="BJ44" s="2" t="str">
        <f>HYPERLINK("http://www.ncbi.nlm.nih.gov/protein/XP_005838405.1","XP_005838405.1")</f>
        <v>XP_005838405.1</v>
      </c>
      <c r="BK44" s="2">
        <v>28</v>
      </c>
      <c r="BL44" s="2">
        <v>50</v>
      </c>
      <c r="BM44" s="2">
        <v>40</v>
      </c>
      <c r="BN44" s="2" t="s">
        <v>690</v>
      </c>
      <c r="BO44" s="9" t="str">
        <f>HYPERLINK(".\links\SWISSP\AGAP000718-PA-SWISSP.txt","Monocarboxylate transporter 13")</f>
        <v>Monocarboxylate transporter 13</v>
      </c>
      <c r="BP44" s="2" t="str">
        <f>HYPERLINK("http://www.uniprot.org/uniprot/Q7RTY0","5E-018")</f>
        <v>5E-018</v>
      </c>
      <c r="BQ44" s="2" t="str">
        <f>HYPERLINK("http://www.uniprot.org/uniprot/Q7RTY0#expression","Q7RTY0")</f>
        <v>Q7RTY0</v>
      </c>
      <c r="BR44" s="2">
        <v>29</v>
      </c>
      <c r="BS44" s="2">
        <v>47</v>
      </c>
      <c r="BT44" s="2">
        <v>43</v>
      </c>
      <c r="BU44" s="2" t="s">
        <v>196</v>
      </c>
      <c r="BV44" s="9" t="str">
        <f>HYPERLINK(".\links\FLYBASE\AGAP000718-PA-FLYBASE.txt","FBpp0074460")</f>
        <v>FBpp0074460</v>
      </c>
      <c r="BW44" s="2" t="str">
        <f>HYPERLINK("http://flybase.org/reports/FBgn0031002#alliance_summary_container","1E-159")</f>
        <v>1E-159</v>
      </c>
      <c r="BX44" s="2">
        <v>600</v>
      </c>
      <c r="BY44" s="2">
        <v>39</v>
      </c>
      <c r="BZ44" s="2">
        <v>57</v>
      </c>
      <c r="CA44" s="2">
        <v>108</v>
      </c>
      <c r="CB44" s="9" t="str">
        <f>HYPERLINK(".\links\CDD\AGAP000718-PA-CDD.txt","Monocarboxylate_transporter_2, monocarboxylate transporter 1")</f>
        <v>Monocarboxylate_transporter_2, monocarboxylate transporter 1</v>
      </c>
      <c r="CC44" s="13">
        <v>3.9999999999999999E-16</v>
      </c>
      <c r="CD44" s="2">
        <v>49.2</v>
      </c>
      <c r="CE44" s="2" t="s">
        <v>691</v>
      </c>
      <c r="CF44" s="2" t="s">
        <v>692</v>
      </c>
      <c r="CG44" s="9" t="str">
        <f>HYPERLINK(".\links\KOG\AGAP000718-PA-KOG.txt","Monocarboxylate transporter")</f>
        <v>Monocarboxylate transporter</v>
      </c>
      <c r="CH44" s="13">
        <v>3.0000000000000001E-45</v>
      </c>
      <c r="CI44" s="2">
        <v>50.7</v>
      </c>
      <c r="CJ44" s="2" t="s">
        <v>693</v>
      </c>
      <c r="CK44" s="2" t="s">
        <v>556</v>
      </c>
      <c r="CL44" s="9" t="str">
        <f>HYPERLINK(".\links\PFAM\AGAP000718-PA-PFAM.txt","MFS_1, Major Facilitator Superfamily")</f>
        <v>MFS_1, Major Facilitator Superfamily</v>
      </c>
      <c r="CM44" s="13">
        <v>3E-10</v>
      </c>
      <c r="CN44" s="2">
        <v>43.9</v>
      </c>
      <c r="CO44" s="2" t="s">
        <v>694</v>
      </c>
      <c r="CP44" s="9" t="str">
        <f>HYPERLINK(".\links\SMART\AGAP000718-PA-SMART.txt","PAW, domain present in PNGases and other hypothetical proteins")</f>
        <v>PAW, domain present in PNGases and other hypothetical proteins</v>
      </c>
      <c r="CQ44" s="13">
        <v>0.51</v>
      </c>
      <c r="CR44" s="2">
        <v>32.6</v>
      </c>
      <c r="CS44" s="2" t="s">
        <v>695</v>
      </c>
      <c r="CT44" s="2" t="s">
        <v>687</v>
      </c>
      <c r="CU44" s="2" t="s">
        <v>687</v>
      </c>
      <c r="CV44" s="2" t="s">
        <v>687</v>
      </c>
      <c r="CW44" s="2" t="str">
        <f>HYPERLINK(".\links\pep\AGAP000718-PA-pep.txt","AGAP000718-PA")</f>
        <v>AGAP000718-PA</v>
      </c>
      <c r="CX44" s="2" t="s">
        <v>88</v>
      </c>
      <c r="CY44" s="2">
        <v>683</v>
      </c>
      <c r="CZ44" s="2" t="s">
        <v>106</v>
      </c>
      <c r="DA44" s="2" t="s">
        <v>696</v>
      </c>
      <c r="DB44" s="2">
        <v>0</v>
      </c>
      <c r="DC44" s="2">
        <v>3</v>
      </c>
      <c r="DD44" s="2" t="str">
        <f>HYPERLINK("https://www.kegg.jp/kegg-bin/search_pathway_text?map=aga&amp;keyword=AGAP000718&amp;mode=1&amp;viewImage=true","AGAP000718")</f>
        <v>AGAP000718</v>
      </c>
      <c r="DE44" s="2" t="s">
        <v>685</v>
      </c>
      <c r="DF44" s="2" t="s">
        <v>167</v>
      </c>
      <c r="DG44" s="2" t="s">
        <v>87</v>
      </c>
      <c r="DH44" s="2" t="str">
        <f>HYPERLINK("https://vectorbase.org/vectorbase/app/record/gene/AGAP000718","AGAP000718-RA")</f>
        <v>AGAP000718-RA</v>
      </c>
      <c r="DI44" s="2" t="s">
        <v>143</v>
      </c>
      <c r="DJ44" s="2">
        <v>2118</v>
      </c>
      <c r="DK44" s="2" t="str">
        <f>HYPERLINK(".\links\netoglyc\AGAP000718-PA-netoglyc.txt","3")</f>
        <v>3</v>
      </c>
      <c r="DL44" s="2">
        <v>14.5</v>
      </c>
      <c r="DM44" s="2">
        <v>6.9</v>
      </c>
      <c r="DN44" s="2">
        <v>6.4</v>
      </c>
      <c r="DO44" s="2" t="s">
        <v>97</v>
      </c>
      <c r="DP44" s="2" t="s">
        <v>94</v>
      </c>
      <c r="DQ44" s="2" t="str">
        <f>HYPERLINK(".\links\Sigp\AGAP000718-PA-SigP.txt","CYT")</f>
        <v>CYT</v>
      </c>
      <c r="DR44" s="2" t="s">
        <v>94</v>
      </c>
      <c r="DS44" s="2">
        <v>75.034999999999997</v>
      </c>
      <c r="DT44" s="2">
        <v>8.64</v>
      </c>
      <c r="DU44" s="2" t="s">
        <v>94</v>
      </c>
      <c r="DV44" s="2" t="s">
        <v>94</v>
      </c>
      <c r="DW44" s="2" t="s">
        <v>689</v>
      </c>
      <c r="DX44" s="2">
        <v>683</v>
      </c>
      <c r="DY44" s="8" t="str">
        <f>HYPERLINK(".\links\tmhmm\AGAP000718-PA-tmhmm.txt","9")</f>
        <v>9</v>
      </c>
      <c r="DZ44" s="2">
        <v>28</v>
      </c>
      <c r="EA44" s="2">
        <v>9.6999999999999993</v>
      </c>
      <c r="EB44" s="2">
        <v>62.4</v>
      </c>
      <c r="EC44" s="2" t="str">
        <f>HYPERLINK(".\links\gpi\AGAP000718-PA-gpi.txt","N")</f>
        <v>N</v>
      </c>
      <c r="ED44" s="2">
        <v>0.18</v>
      </c>
      <c r="EF44" s="2">
        <v>14</v>
      </c>
      <c r="EG44" s="2" t="str">
        <f>HYPERLINK(".\links\pep\AGAP000718-PA-sulf.txt","1")</f>
        <v>1</v>
      </c>
      <c r="EH44" s="2" t="s">
        <v>94</v>
      </c>
      <c r="EI44" s="2">
        <v>14.494875549048301</v>
      </c>
      <c r="EJ44" s="2">
        <v>6.4421669106881403</v>
      </c>
      <c r="EK44" s="2">
        <v>6.8814055636895999</v>
      </c>
      <c r="EL44" s="2">
        <v>13.3235724743777</v>
      </c>
      <c r="EM44" s="2">
        <v>2</v>
      </c>
      <c r="EN44" s="2">
        <v>1</v>
      </c>
      <c r="EO44" s="2">
        <v>2</v>
      </c>
      <c r="EP44" s="2" t="s">
        <v>94</v>
      </c>
      <c r="EQ44" s="2" t="s">
        <v>94</v>
      </c>
      <c r="ER44" s="2" t="s">
        <v>94</v>
      </c>
      <c r="ES44" s="2" t="s">
        <v>94</v>
      </c>
      <c r="ET44" s="2" t="str">
        <f>HYPERLINK(".\links\REFSEQ-INVERTEBRATE\AGAP000718-PA-REFSEQ-INVERTEBRATE.txt","AGAP000718-PA")</f>
        <v>AGAP000718-PA</v>
      </c>
      <c r="EU44" s="2" t="str">
        <f>HYPERLINK("http://www.ncbi.nlm.nih.gov/sutils/blink.cgi?pid=XP_311256.5","0.0")</f>
        <v>0.0</v>
      </c>
      <c r="EV44" s="2" t="str">
        <f>HYPERLINK("http://www.ncbi.nlm.nih.gov/protein/XP_311256.5","XP_311256.5")</f>
        <v>XP_311256.5</v>
      </c>
      <c r="EW44" s="2">
        <v>100</v>
      </c>
      <c r="EX44" s="2">
        <v>100</v>
      </c>
      <c r="EY44" s="2">
        <v>100</v>
      </c>
      <c r="EZ44" s="2" t="s">
        <v>98</v>
      </c>
    </row>
    <row r="45" spans="1:156" x14ac:dyDescent="0.25">
      <c r="A45" s="2" t="s">
        <v>697</v>
      </c>
      <c r="B45" s="2">
        <v>1.0990646441648699</v>
      </c>
      <c r="C45" s="2">
        <v>2.1421576298615164</v>
      </c>
      <c r="D45" s="2">
        <v>4.2768458019661502</v>
      </c>
      <c r="E45" s="2">
        <v>30.429289446736899</v>
      </c>
      <c r="F45" s="2">
        <v>3.4626037538571702E-8</v>
      </c>
      <c r="G45" s="2">
        <v>1.6586579025329301E-5</v>
      </c>
      <c r="H45" s="2" t="s">
        <v>698</v>
      </c>
      <c r="I45" s="2" t="s">
        <v>87</v>
      </c>
      <c r="J45" s="2" t="str">
        <f>HYPERLINK("https://vectorbase.org/vectorbase/app/record/gene/AGAP007521","AGAP007521-RA")</f>
        <v>AGAP007521-RA</v>
      </c>
      <c r="K45" s="2" t="str">
        <f>HYPERLINK(".\links\pep\AGAP007521-PA-pep.txt","AGAP007521-PA")</f>
        <v>AGAP007521-PA</v>
      </c>
      <c r="L45" s="8" t="s">
        <v>88</v>
      </c>
      <c r="M45" s="2">
        <v>1253</v>
      </c>
      <c r="N45" s="2">
        <v>0</v>
      </c>
      <c r="O45" s="2">
        <v>0</v>
      </c>
      <c r="P45" s="2" t="s">
        <v>699</v>
      </c>
      <c r="Q45" s="9" t="s">
        <v>700</v>
      </c>
      <c r="R45" s="2" t="s">
        <v>651</v>
      </c>
      <c r="S45" s="2" t="str">
        <f>HYPERLINK(".\links\REFSEQ-INVERTEBRATE\AGAP007521-PA-REFSEQ-INVERTEBRATE.txt","REFSEQ-INVERTEBRATE")</f>
        <v>REFSEQ-INVERTEBRATE</v>
      </c>
      <c r="T45" s="2">
        <v>0</v>
      </c>
      <c r="U45" s="2">
        <v>116</v>
      </c>
      <c r="V45" s="2" t="s">
        <v>701</v>
      </c>
      <c r="W45" s="10" t="s">
        <v>702</v>
      </c>
      <c r="X45" s="2" t="s">
        <v>703</v>
      </c>
      <c r="Y45" s="2" t="str">
        <f>HYPERLINK(".\links\MEROPS\AGAP007521-PA-MEROPS.txt","MEROPS")</f>
        <v>MEROPS</v>
      </c>
      <c r="Z45" s="13">
        <v>0</v>
      </c>
      <c r="AA45" s="2">
        <v>97</v>
      </c>
      <c r="AB45" s="11" t="str">
        <f>HYPERLINK(".\links\pep\AGAP007521-PA-sulf.txt","1")</f>
        <v>1</v>
      </c>
      <c r="AC45" s="11" t="str">
        <f>HYPERLINK(".\links\Sigp\AGAP007521-PA-SigP.txt","CYT")</f>
        <v>CYT</v>
      </c>
      <c r="AD45" s="2" t="s">
        <v>94</v>
      </c>
      <c r="AE45" s="2">
        <v>130.184</v>
      </c>
      <c r="AF45" s="2">
        <v>9.2200000000000006</v>
      </c>
      <c r="AG45" s="2" t="s">
        <v>94</v>
      </c>
      <c r="AH45" s="2" t="s">
        <v>94</v>
      </c>
      <c r="AI45" s="2" t="s">
        <v>652</v>
      </c>
      <c r="AJ45" s="11">
        <v>0</v>
      </c>
      <c r="AK45" s="2" t="s">
        <v>94</v>
      </c>
      <c r="AL45" s="2" t="s">
        <v>94</v>
      </c>
      <c r="AM45" s="2" t="s">
        <v>94</v>
      </c>
      <c r="AN45" s="11" t="str">
        <f>HYPERLINK(".\links\gpi\AGAP007521-PA-gpi.txt","N")</f>
        <v>N</v>
      </c>
      <c r="AO45" s="12" t="str">
        <f>HYPERLINK(".\links\netoglyc\AGAP007521-PA-netoglyc.txt","19")</f>
        <v>19</v>
      </c>
      <c r="AP45" s="11">
        <v>21.3</v>
      </c>
      <c r="AQ45" s="2">
        <v>13.8</v>
      </c>
      <c r="AR45" s="2">
        <v>4.5</v>
      </c>
      <c r="AS45" s="2">
        <v>0.7</v>
      </c>
      <c r="AT45" s="9" t="str">
        <f>HYPERLINK(".\links\NR-LIGHT\AGAP007521-PA-NR-LIGHT.txt","AGAP007521-PA")</f>
        <v>AGAP007521-PA</v>
      </c>
      <c r="AU45" s="2" t="str">
        <f>HYPERLINK("http://www.ncbi.nlm.nih.gov/sutils/blink.cgi?pid=XP_001687904.1","0.0")</f>
        <v>0.0</v>
      </c>
      <c r="AV45" s="2" t="str">
        <f>HYPERLINK("http://www.ncbi.nlm.nih.gov/protein/XP_001687904.1","XP_001687904.1")</f>
        <v>XP_001687904.1</v>
      </c>
      <c r="AW45" s="2">
        <v>97</v>
      </c>
      <c r="AX45" s="2">
        <v>97</v>
      </c>
      <c r="AY45" s="2">
        <v>103</v>
      </c>
      <c r="AZ45" s="2" t="s">
        <v>98</v>
      </c>
      <c r="BA45" s="9" t="str">
        <f>HYPERLINK(".\links\REFSEQ-INVERTEBRATE\AGAP007521-PA-REFSEQ-INVERTEBRATE.txt","AGAP007521-PA")</f>
        <v>AGAP007521-PA</v>
      </c>
      <c r="BB45" s="2" t="str">
        <f>HYPERLINK("http://www.ncbi.nlm.nih.gov/sutils/blink.cgi?pid=XP_001687904.1","0.0")</f>
        <v>0.0</v>
      </c>
      <c r="BC45" s="2" t="str">
        <f>HYPERLINK("http://www.ncbi.nlm.nih.gov/protein/XP_001687904.1","XP_001687904.1")</f>
        <v>XP_001687904.1</v>
      </c>
      <c r="BD45" s="2">
        <v>97</v>
      </c>
      <c r="BE45" s="2">
        <v>97</v>
      </c>
      <c r="BF45" s="2">
        <v>103</v>
      </c>
      <c r="BG45" s="2" t="s">
        <v>98</v>
      </c>
      <c r="BH45" s="9" t="str">
        <f>HYPERLINK(".\links\REFSEQ-PROTOZOA\AGAP007521-PA-REFSEQ-PROTOZOA.txt","hypothetical protein")</f>
        <v>hypothetical protein</v>
      </c>
      <c r="BI45" s="2" t="str">
        <f>HYPERLINK("http://www.ncbi.nlm.nih.gov/sutils/blink.cgi?pid=XP_001747338.1","5E-059")</f>
        <v>5E-059</v>
      </c>
      <c r="BJ45" s="2" t="str">
        <f>HYPERLINK("http://www.ncbi.nlm.nih.gov/protein/XP_001747338.1","XP_001747338.1")</f>
        <v>XP_001747338.1</v>
      </c>
      <c r="BK45" s="2">
        <v>34</v>
      </c>
      <c r="BL45" s="2">
        <v>52</v>
      </c>
      <c r="BM45" s="2">
        <v>39</v>
      </c>
      <c r="BN45" s="2" t="s">
        <v>704</v>
      </c>
      <c r="BO45" s="9" t="str">
        <f>HYPERLINK(".\links\SWISSP\AGAP007521-PA-SWISSP.txt","Ubiquitin carboxyl-terminal hydrolase 36")</f>
        <v>Ubiquitin carboxyl-terminal hydrolase 36</v>
      </c>
      <c r="BP45" s="2" t="str">
        <f>HYPERLINK("http://www.uniprot.org/uniprot/Q9VRP5","0.0")</f>
        <v>0.0</v>
      </c>
      <c r="BQ45" s="2" t="str">
        <f>HYPERLINK("http://www.uniprot.org/uniprot/Q9VRP5#expression","Q9VRP5")</f>
        <v>Q9VRP5</v>
      </c>
      <c r="BR45" s="2">
        <v>35</v>
      </c>
      <c r="BS45" s="2">
        <v>49</v>
      </c>
      <c r="BT45" s="2">
        <v>121</v>
      </c>
      <c r="BU45" s="2" t="s">
        <v>100</v>
      </c>
      <c r="BV45" s="9" t="str">
        <f>HYPERLINK(".\links\FLYBASE\AGAP007521-PA-FLYBASE.txt","FBpp0300345")</f>
        <v>FBpp0300345</v>
      </c>
      <c r="BW45" s="2" t="str">
        <f>HYPERLINK("http://flybase.org/reports/FBgn0260936#alliance_summary_container","1E-176")</f>
        <v>1E-176</v>
      </c>
      <c r="BX45" s="2">
        <v>976</v>
      </c>
      <c r="BY45" s="2">
        <v>54</v>
      </c>
      <c r="BZ45" s="2">
        <v>68</v>
      </c>
      <c r="CA45" s="2">
        <v>50</v>
      </c>
      <c r="CB45" s="9" t="str">
        <f>HYPERLINK(".\links\CDD\AGAP007521-PA-CDD.txt","Peptidase_C19E, A subfamily of Peptidase C19")</f>
        <v>Peptidase_C19E, A subfamily of Peptidase C19</v>
      </c>
      <c r="CC45" s="13">
        <v>9.9999999999999994E-107</v>
      </c>
      <c r="CD45" s="2">
        <v>101.6</v>
      </c>
      <c r="CE45" s="2" t="s">
        <v>705</v>
      </c>
      <c r="CF45" s="2" t="s">
        <v>706</v>
      </c>
      <c r="CG45" s="9" t="str">
        <f>HYPERLINK(".\links\KOG\AGAP007521-PA-KOG.txt","Ubiquitin carboxyl-terminal hydrolase")</f>
        <v>Ubiquitin carboxyl-terminal hydrolase</v>
      </c>
      <c r="CH45" s="13">
        <v>3.0000000000000002E-76</v>
      </c>
      <c r="CI45" s="2">
        <v>74.5</v>
      </c>
      <c r="CJ45" s="2" t="s">
        <v>707</v>
      </c>
      <c r="CK45" s="2" t="s">
        <v>214</v>
      </c>
      <c r="CL45" s="9" t="str">
        <f>HYPERLINK(".\links\PFAM\AGAP007521-PA-PFAM.txt","UCH, Ubiquitin carboxyl-terminal hydrolase")</f>
        <v>UCH, Ubiquitin carboxyl-terminal hydrolase</v>
      </c>
      <c r="CM45" s="13">
        <v>9.9999999999999998E-67</v>
      </c>
      <c r="CN45" s="2">
        <v>103.2</v>
      </c>
      <c r="CO45" s="2" t="s">
        <v>708</v>
      </c>
      <c r="CP45" s="9" t="str">
        <f>HYPERLINK(".\links\SMART\AGAP007521-PA-SMART.txt","SPT2, SPT2 chromatin protein")</f>
        <v>SPT2, SPT2 chromatin protein</v>
      </c>
      <c r="CQ45" s="13">
        <v>2E-3</v>
      </c>
      <c r="CR45" s="2">
        <v>86.8</v>
      </c>
      <c r="CS45" s="2" t="s">
        <v>709</v>
      </c>
      <c r="CT45" s="2" t="s">
        <v>701</v>
      </c>
      <c r="CU45" s="2" t="s">
        <v>701</v>
      </c>
      <c r="CV45" s="2" t="s">
        <v>701</v>
      </c>
      <c r="CW45" s="2" t="str">
        <f>HYPERLINK(".\links\pep\AGAP007521-PA-pep.txt","AGAP007521-PA")</f>
        <v>AGAP007521-PA</v>
      </c>
      <c r="CX45" s="2" t="s">
        <v>88</v>
      </c>
      <c r="CY45" s="2">
        <v>1253</v>
      </c>
      <c r="CZ45" s="2" t="s">
        <v>106</v>
      </c>
      <c r="DA45" s="2" t="s">
        <v>710</v>
      </c>
      <c r="DB45" s="2">
        <v>0</v>
      </c>
      <c r="DC45" s="2">
        <v>0</v>
      </c>
      <c r="DD45" s="2" t="str">
        <f>HYPERLINK("https://www.kegg.jp/kegg-bin/search_pathway_text?map=aga&amp;keyword=AGAP007521&amp;mode=1&amp;viewImage=true","AGAP007521")</f>
        <v>AGAP007521</v>
      </c>
      <c r="DE45" s="2" t="s">
        <v>697</v>
      </c>
      <c r="DF45" s="2" t="s">
        <v>698</v>
      </c>
      <c r="DG45" s="2" t="s">
        <v>87</v>
      </c>
      <c r="DH45" s="2" t="str">
        <f>HYPERLINK("https://vectorbase.org/vectorbase/app/record/gene/AGAP007521","AGAP007521-RA")</f>
        <v>AGAP007521-RA</v>
      </c>
      <c r="DI45" s="2" t="s">
        <v>125</v>
      </c>
      <c r="DJ45" s="2">
        <v>6072</v>
      </c>
      <c r="DK45" s="2" t="str">
        <f>HYPERLINK(".\links\netoglyc\AGAP007521-PA-netoglyc.txt","19")</f>
        <v>19</v>
      </c>
      <c r="DL45" s="2">
        <v>21.3</v>
      </c>
      <c r="DM45" s="2">
        <v>13.8</v>
      </c>
      <c r="DN45" s="2">
        <v>4.5</v>
      </c>
      <c r="DO45" s="2">
        <v>0.7</v>
      </c>
      <c r="DP45" s="2" t="s">
        <v>94</v>
      </c>
      <c r="DQ45" s="2" t="str">
        <f>HYPERLINK(".\links\Sigp\AGAP007521-PA-SigP.txt","CYT")</f>
        <v>CYT</v>
      </c>
      <c r="DR45" s="2" t="s">
        <v>94</v>
      </c>
      <c r="DS45" s="2">
        <v>130.184</v>
      </c>
      <c r="DT45" s="2">
        <v>9.2200000000000006</v>
      </c>
      <c r="DU45" s="2" t="s">
        <v>94</v>
      </c>
      <c r="DV45" s="2" t="s">
        <v>94</v>
      </c>
      <c r="DW45" s="2" t="s">
        <v>652</v>
      </c>
      <c r="DX45" s="2">
        <v>1253</v>
      </c>
      <c r="DY45" s="8">
        <v>0</v>
      </c>
      <c r="DZ45" s="2" t="s">
        <v>94</v>
      </c>
      <c r="EA45" s="2" t="s">
        <v>94</v>
      </c>
      <c r="EB45" s="2" t="s">
        <v>94</v>
      </c>
      <c r="EC45" s="2" t="str">
        <f>HYPERLINK(".\links\gpi\AGAP007521-PA-gpi.txt","Y-NoSP")</f>
        <v>Y-NoSP</v>
      </c>
      <c r="ED45" s="2">
        <v>0.35</v>
      </c>
      <c r="EF45" s="2">
        <v>14</v>
      </c>
      <c r="EG45" s="2" t="str">
        <f>HYPERLINK(".\links\pep\AGAP007521-PA-sulf.txt","1")</f>
        <v>1</v>
      </c>
      <c r="EH45" s="2" t="s">
        <v>94</v>
      </c>
      <c r="EI45" s="2">
        <v>21.308858739026299</v>
      </c>
      <c r="EJ45" s="2">
        <v>4.5490822027134898</v>
      </c>
      <c r="EK45" s="2">
        <v>13.806863527533899</v>
      </c>
      <c r="EL45" s="2">
        <v>18.355945730247399</v>
      </c>
      <c r="EM45" s="2" t="s">
        <v>94</v>
      </c>
      <c r="EN45" s="2">
        <v>1</v>
      </c>
      <c r="EO45" s="2">
        <v>3</v>
      </c>
      <c r="EP45" s="2" t="s">
        <v>94</v>
      </c>
      <c r="EQ45" s="2" t="s">
        <v>94</v>
      </c>
      <c r="ER45" s="2" t="s">
        <v>94</v>
      </c>
      <c r="ES45" s="2" t="s">
        <v>94</v>
      </c>
      <c r="ET45" s="2" t="str">
        <f>HYPERLINK(".\links\REFSEQ-INVERTEBRATE\AGAP007521-PA-REFSEQ-INVERTEBRATE.txt","AGAP007521-PA")</f>
        <v>AGAP007521-PA</v>
      </c>
      <c r="EU45" s="2" t="str">
        <f>HYPERLINK("http://www.ncbi.nlm.nih.gov/sutils/blink.cgi?pid=XP_001687904.1","0.0")</f>
        <v>0.0</v>
      </c>
      <c r="EV45" s="2" t="str">
        <f>HYPERLINK("http://www.ncbi.nlm.nih.gov/protein/XP_001687904.1","XP_001687904.1")</f>
        <v>XP_001687904.1</v>
      </c>
      <c r="EW45" s="2">
        <v>96</v>
      </c>
      <c r="EX45" s="2">
        <v>96</v>
      </c>
      <c r="EY45" s="2">
        <v>103</v>
      </c>
      <c r="EZ45" s="2" t="s">
        <v>98</v>
      </c>
    </row>
    <row r="46" spans="1:156" x14ac:dyDescent="0.25">
      <c r="A46" s="2" t="s">
        <v>711</v>
      </c>
      <c r="B46" s="2">
        <v>1.0905427945378201</v>
      </c>
      <c r="C46" s="2">
        <v>2.1295414254231546</v>
      </c>
      <c r="D46" s="2">
        <v>1.9375044805789099</v>
      </c>
      <c r="E46" s="2">
        <v>13.092168173310601</v>
      </c>
      <c r="F46" s="2">
        <v>2.96532933222831E-4</v>
      </c>
      <c r="G46" s="2">
        <v>1.58435703360921E-2</v>
      </c>
      <c r="H46" s="2" t="s">
        <v>712</v>
      </c>
      <c r="I46" s="2" t="s">
        <v>87</v>
      </c>
      <c r="J46" s="2" t="str">
        <f>HYPERLINK("https://vectorbase.org/vectorbase/app/record/gene/AGAP002324","AGAP002324-RA")</f>
        <v>AGAP002324-RA</v>
      </c>
      <c r="K46" s="2" t="str">
        <f>HYPERLINK(".\links\pep\AGAP002324-PA-pep.txt","AGAP002324-PA")</f>
        <v>AGAP002324-PA</v>
      </c>
      <c r="L46" s="8" t="s">
        <v>88</v>
      </c>
      <c r="M46" s="2">
        <v>568</v>
      </c>
      <c r="N46" s="2">
        <v>0</v>
      </c>
      <c r="O46" s="2">
        <v>0</v>
      </c>
      <c r="P46" s="2" t="s">
        <v>713</v>
      </c>
      <c r="Q46" s="9" t="s">
        <v>714</v>
      </c>
      <c r="R46" s="2" t="s">
        <v>523</v>
      </c>
      <c r="S46" s="2" t="str">
        <f>HYPERLINK(".\links\REFSEQ-INVERTEBRATE\AGAP002324-PA-REFSEQ-INVERTEBRATE.txt","REFSEQ-INVERTEBRATE")</f>
        <v>REFSEQ-INVERTEBRATE</v>
      </c>
      <c r="T46" s="2">
        <v>0</v>
      </c>
      <c r="U46" s="2">
        <v>100.7</v>
      </c>
      <c r="V46" s="2" t="s">
        <v>715</v>
      </c>
      <c r="W46" s="10" t="s">
        <v>716</v>
      </c>
      <c r="X46" s="2" t="s">
        <v>523</v>
      </c>
      <c r="Y46" s="2" t="str">
        <f>HYPERLINK(".\links\REFSEQVERTEBRATE95\AGAP002324-PA-REFSEQVERTEBRATE95.txt","REFSEQVERTEBRATE95")</f>
        <v>REFSEQVERTEBRATE95</v>
      </c>
      <c r="Z46" s="13">
        <v>2E-85</v>
      </c>
      <c r="AA46" s="2">
        <v>88.6</v>
      </c>
      <c r="AB46" s="11" t="str">
        <f>HYPERLINK(".\links\pep\AGAP002324-PA-sulf.txt","1")</f>
        <v>1</v>
      </c>
      <c r="AC46" s="11" t="str">
        <f>HYPERLINK(".\links\Sigp\AGAP002324-PA-SigP.txt","BL")</f>
        <v>BL</v>
      </c>
      <c r="AD46" s="2" t="s">
        <v>717</v>
      </c>
      <c r="AE46" s="2">
        <v>60.673999999999999</v>
      </c>
      <c r="AF46" s="2">
        <v>8.11</v>
      </c>
      <c r="AG46" s="2">
        <v>45.582999999999998</v>
      </c>
      <c r="AH46" s="2">
        <v>8.5</v>
      </c>
      <c r="AI46" s="2" t="s">
        <v>718</v>
      </c>
      <c r="AJ46" s="11" t="str">
        <f>HYPERLINK(".\links\tmhmm\AGAP002324-PA-tmhmm.txt","10")</f>
        <v>10</v>
      </c>
      <c r="AK46" s="2">
        <v>36.4</v>
      </c>
      <c r="AL46" s="2">
        <v>16.399999999999999</v>
      </c>
      <c r="AM46" s="2">
        <v>47.2</v>
      </c>
      <c r="AN46" s="11" t="str">
        <f>HYPERLINK(".\links\gpi\AGAP002324-PA-gpi.txt","N")</f>
        <v>N</v>
      </c>
      <c r="AO46" s="12" t="str">
        <f>HYPERLINK(".\links\netoglyc\AGAP002324-PA-netoglyc.txt","12")</f>
        <v>12</v>
      </c>
      <c r="AP46" s="11">
        <v>14.3</v>
      </c>
      <c r="AQ46" s="2">
        <v>8.6</v>
      </c>
      <c r="AR46" s="2">
        <v>6.3</v>
      </c>
      <c r="AS46" s="2" t="s">
        <v>97</v>
      </c>
      <c r="AT46" s="9" t="str">
        <f>HYPERLINK(".\links\NR-LIGHT\AGAP002324-PA-NR-LIGHT.txt","AGAP002324-PA")</f>
        <v>AGAP002324-PA</v>
      </c>
      <c r="AU46" s="2" t="str">
        <f>HYPERLINK("http://www.ncbi.nlm.nih.gov/sutils/blink.cgi?pid=XP_312647.5","0.0")</f>
        <v>0.0</v>
      </c>
      <c r="AV46" s="2" t="str">
        <f>HYPERLINK("http://www.ncbi.nlm.nih.gov/protein/XP_312647.5","XP_312647.5")</f>
        <v>XP_312647.5</v>
      </c>
      <c r="AW46" s="2">
        <v>100</v>
      </c>
      <c r="AX46" s="2">
        <v>100</v>
      </c>
      <c r="AY46" s="2">
        <v>100</v>
      </c>
      <c r="AZ46" s="2" t="s">
        <v>98</v>
      </c>
      <c r="BA46" s="9" t="str">
        <f>HYPERLINK(".\links\REFSEQ-INVERTEBRATE\AGAP002324-PA-REFSEQ-INVERTEBRATE.txt","AGAP002324-PA")</f>
        <v>AGAP002324-PA</v>
      </c>
      <c r="BB46" s="2" t="str">
        <f>HYPERLINK("http://www.ncbi.nlm.nih.gov/sutils/blink.cgi?pid=XP_312647.5","0.0")</f>
        <v>0.0</v>
      </c>
      <c r="BC46" s="2" t="str">
        <f>HYPERLINK("http://www.ncbi.nlm.nih.gov/protein/XP_312647.5","XP_312647.5")</f>
        <v>XP_312647.5</v>
      </c>
      <c r="BD46" s="2">
        <v>100</v>
      </c>
      <c r="BE46" s="2">
        <v>100</v>
      </c>
      <c r="BF46" s="2">
        <v>100</v>
      </c>
      <c r="BG46" s="2" t="s">
        <v>98</v>
      </c>
      <c r="BH46" s="9" t="str">
        <f>HYPERLINK(".\links\REFSEQ-PROTOZOA\AGAP002324-PA-REFSEQ-PROTOZOA.txt","hypothetical protein AMSG_08888")</f>
        <v>hypothetical protein AMSG_08888</v>
      </c>
      <c r="BI46" s="2" t="str">
        <f>HYPERLINK("http://www.ncbi.nlm.nih.gov/sutils/blink.cgi?pid=XP_013754428.1","2E-053")</f>
        <v>2E-053</v>
      </c>
      <c r="BJ46" s="2" t="str">
        <f>HYPERLINK("http://www.ncbi.nlm.nih.gov/protein/XP_013754428.1","XP_013754428.1")</f>
        <v>XP_013754428.1</v>
      </c>
      <c r="BK46" s="2">
        <v>36</v>
      </c>
      <c r="BL46" s="2">
        <v>54</v>
      </c>
      <c r="BM46" s="2">
        <v>79</v>
      </c>
      <c r="BN46" s="2" t="s">
        <v>256</v>
      </c>
      <c r="BO46" s="9" t="str">
        <f>HYPERLINK(".\links\SWISSP\AGAP002324-PA-SWISSP.txt","Sodium/hydrogen exchanger 9B2")</f>
        <v>Sodium/hydrogen exchanger 9B2</v>
      </c>
      <c r="BP46" s="2" t="str">
        <f>HYPERLINK("http://www.uniprot.org/uniprot/Q86UD5","1E-068")</f>
        <v>1E-068</v>
      </c>
      <c r="BQ46" s="2" t="str">
        <f>HYPERLINK("http://www.uniprot.org/uniprot/Q86UD5#expression","Q86UD5")</f>
        <v>Q86UD5</v>
      </c>
      <c r="BR46" s="2">
        <v>37</v>
      </c>
      <c r="BS46" s="2">
        <v>55</v>
      </c>
      <c r="BT46" s="2">
        <v>83</v>
      </c>
      <c r="BU46" s="2" t="s">
        <v>196</v>
      </c>
      <c r="BV46" s="9" t="str">
        <f>HYPERLINK(".\links\FLYBASE\AGAP002324-PA-FLYBASE.txt","FBpp0301108")</f>
        <v>FBpp0301108</v>
      </c>
      <c r="BW46" s="2" t="str">
        <f>HYPERLINK("http://flybase.org/reports/FBgn0263390#alliance_summary_container","0.0")</f>
        <v>0.0</v>
      </c>
      <c r="BX46" s="2">
        <v>584</v>
      </c>
      <c r="BY46" s="2">
        <v>58</v>
      </c>
      <c r="BZ46" s="2">
        <v>75</v>
      </c>
      <c r="CA46" s="2">
        <v>82</v>
      </c>
      <c r="CB46" s="9" t="str">
        <f>HYPERLINK(".\links\CDD\AGAP002324-PA-CDD.txt","NhaP, NhaP-type Na+/H+ and K+/H+ antiporters")</f>
        <v>NhaP, NhaP-type Na+/H+ and K+/H+ antiporters</v>
      </c>
      <c r="CC46" s="13">
        <v>9.9999999999999996E-24</v>
      </c>
      <c r="CD46" s="2">
        <v>98.8</v>
      </c>
      <c r="CE46" s="2" t="s">
        <v>719</v>
      </c>
      <c r="CF46" s="2" t="s">
        <v>720</v>
      </c>
      <c r="CG46" s="9" t="str">
        <f>HYPERLINK(".\links\KOG\AGAP002324-PA-KOG.txt","Na+/H+ antiporter")</f>
        <v>Na+/H+ antiporter</v>
      </c>
      <c r="CH46" s="13">
        <v>3.9999999999999999E-12</v>
      </c>
      <c r="CI46" s="2">
        <v>69.8</v>
      </c>
      <c r="CJ46" s="2" t="s">
        <v>721</v>
      </c>
      <c r="CK46" s="2" t="s">
        <v>641</v>
      </c>
      <c r="CL46" s="9" t="str">
        <f>HYPERLINK(".\links\PFAM\AGAP002324-PA-PFAM.txt","Na_H_Exchanger, Sodium/hydrogen exchanger family")</f>
        <v>Na_H_Exchanger, Sodium/hydrogen exchanger family</v>
      </c>
      <c r="CM46" s="13">
        <v>1E-22</v>
      </c>
      <c r="CN46" s="2">
        <v>101.9</v>
      </c>
      <c r="CO46" s="2" t="s">
        <v>722</v>
      </c>
      <c r="CP46" s="9" t="str">
        <f>HYPERLINK(".\links\SMART\AGAP002324-PA-SMART.txt","CM_2, Chorismate mutase type II")</f>
        <v>CM_2, Chorismate mutase type II</v>
      </c>
      <c r="CQ46" s="13">
        <v>0.49</v>
      </c>
      <c r="CR46" s="2">
        <v>39.200000000000003</v>
      </c>
      <c r="CS46" s="2" t="s">
        <v>723</v>
      </c>
      <c r="CT46" s="2" t="s">
        <v>715</v>
      </c>
      <c r="CU46" s="2" t="s">
        <v>715</v>
      </c>
      <c r="CV46" s="2" t="s">
        <v>715</v>
      </c>
      <c r="CW46" s="2" t="str">
        <f>HYPERLINK(".\links\pep\AGAP002324-PA-pep.txt","AGAP002324-PA")</f>
        <v>AGAP002324-PA</v>
      </c>
      <c r="CX46" s="2" t="s">
        <v>88</v>
      </c>
      <c r="CY46" s="2">
        <v>568</v>
      </c>
      <c r="CZ46" s="2" t="s">
        <v>106</v>
      </c>
      <c r="DA46" s="2" t="s">
        <v>724</v>
      </c>
      <c r="DB46" s="2">
        <v>0</v>
      </c>
      <c r="DC46" s="2">
        <v>0</v>
      </c>
      <c r="DD46" s="2" t="str">
        <f>HYPERLINK("https://www.kegg.jp/kegg-bin/search_pathway_text?map=aga&amp;keyword=AGAP002324&amp;mode=1&amp;viewImage=true","AGAP002324")</f>
        <v>AGAP002324</v>
      </c>
      <c r="DE46" s="2" t="s">
        <v>711</v>
      </c>
      <c r="DF46" s="2" t="s">
        <v>712</v>
      </c>
      <c r="DG46" s="2" t="s">
        <v>87</v>
      </c>
      <c r="DH46" s="2" t="str">
        <f>HYPERLINK("https://vectorbase.org/vectorbase/app/record/gene/AGAP002324","AGAP002324-RA")</f>
        <v>AGAP002324-RA</v>
      </c>
      <c r="DI46" s="2" t="s">
        <v>108</v>
      </c>
      <c r="DJ46" s="2">
        <v>2085</v>
      </c>
      <c r="DK46" s="2" t="str">
        <f>HYPERLINK(".\links\netoglyc\AGAP002324-PA-netoglyc.txt","12")</f>
        <v>12</v>
      </c>
      <c r="DL46" s="2">
        <v>14.3</v>
      </c>
      <c r="DM46" s="2">
        <v>8.6</v>
      </c>
      <c r="DN46" s="2">
        <v>6.3</v>
      </c>
      <c r="DO46" s="2" t="s">
        <v>97</v>
      </c>
      <c r="DP46" s="2" t="s">
        <v>94</v>
      </c>
      <c r="DQ46" s="2" t="str">
        <f>HYPERLINK(".\links\Sigp\AGAP002324-PA-SigP.txt","BL")</f>
        <v>BL</v>
      </c>
      <c r="DR46" s="2" t="s">
        <v>717</v>
      </c>
      <c r="DS46" s="2">
        <v>60.673999999999999</v>
      </c>
      <c r="DT46" s="2">
        <v>8.11</v>
      </c>
      <c r="DU46" s="2">
        <v>45.582999999999998</v>
      </c>
      <c r="DV46" s="2">
        <v>8.5</v>
      </c>
      <c r="DW46" s="2" t="s">
        <v>718</v>
      </c>
      <c r="DX46" s="2">
        <v>568</v>
      </c>
      <c r="DY46" s="8" t="str">
        <f>HYPERLINK(".\links\tmhmm\AGAP002324-PA-tmhmm.txt","10")</f>
        <v>10</v>
      </c>
      <c r="DZ46" s="2">
        <v>36.4</v>
      </c>
      <c r="EA46" s="2">
        <v>16.399999999999999</v>
      </c>
      <c r="EB46" s="2">
        <v>47.2</v>
      </c>
      <c r="EC46" s="2" t="str">
        <f>HYPERLINK(".\links\gpi\AGAP002324-PA-gpi.txt","Y-NoSP")</f>
        <v>Y-NoSP</v>
      </c>
      <c r="ED46" s="2">
        <v>0.37</v>
      </c>
      <c r="EF46" s="2">
        <v>6</v>
      </c>
      <c r="EG46" s="2" t="str">
        <f>HYPERLINK(".\links\pep\AGAP002324-PA-sulf.txt","1")</f>
        <v>1</v>
      </c>
      <c r="EH46" s="2" t="s">
        <v>94</v>
      </c>
      <c r="EI46" s="2">
        <v>14.260563380281701</v>
      </c>
      <c r="EJ46" s="2">
        <v>6.3380281690140796</v>
      </c>
      <c r="EK46" s="2">
        <v>8.6267605633802802</v>
      </c>
      <c r="EL46" s="2">
        <v>14.9647887323944</v>
      </c>
      <c r="EM46" s="2" t="s">
        <v>94</v>
      </c>
      <c r="EN46" s="2">
        <v>1</v>
      </c>
      <c r="EO46" s="2">
        <v>1</v>
      </c>
      <c r="EP46" s="2" t="s">
        <v>94</v>
      </c>
      <c r="EQ46" s="2" t="s">
        <v>94</v>
      </c>
      <c r="ER46" s="2" t="s">
        <v>94</v>
      </c>
      <c r="ES46" s="2" t="s">
        <v>94</v>
      </c>
      <c r="ET46" s="2" t="str">
        <f>HYPERLINK(".\links\REFSEQ-INVERTEBRATE\AGAP002324-PA-REFSEQ-INVERTEBRATE.txt","AGAP002324-PA")</f>
        <v>AGAP002324-PA</v>
      </c>
      <c r="EU46" s="2" t="str">
        <f>HYPERLINK("http://www.ncbi.nlm.nih.gov/sutils/blink.cgi?pid=XP_312647.5","0.0")</f>
        <v>0.0</v>
      </c>
      <c r="EV46" s="2" t="str">
        <f>HYPERLINK("http://www.ncbi.nlm.nih.gov/protein/XP_312647.5","XP_312647.5")</f>
        <v>XP_312647.5</v>
      </c>
      <c r="EW46" s="2">
        <v>100</v>
      </c>
      <c r="EX46" s="2">
        <v>100</v>
      </c>
      <c r="EY46" s="2">
        <v>100</v>
      </c>
      <c r="EZ46" s="2" t="s">
        <v>98</v>
      </c>
    </row>
    <row r="47" spans="1:156" x14ac:dyDescent="0.25">
      <c r="A47" s="2" t="s">
        <v>725</v>
      </c>
      <c r="B47" s="2">
        <v>1.0773916250992499</v>
      </c>
      <c r="C47" s="2">
        <v>2.1102173829930515</v>
      </c>
      <c r="D47" s="2">
        <v>5.2393062121873797</v>
      </c>
      <c r="E47" s="2">
        <v>26.1370353354407</v>
      </c>
      <c r="F47" s="2">
        <v>3.1802523578618001E-7</v>
      </c>
      <c r="G47" s="2">
        <v>9.7018214671932301E-5</v>
      </c>
      <c r="H47" s="2" t="s">
        <v>407</v>
      </c>
      <c r="I47" s="2" t="s">
        <v>408</v>
      </c>
      <c r="J47" s="14" t="s">
        <v>726</v>
      </c>
      <c r="Q47" s="9"/>
      <c r="W47" s="10"/>
      <c r="AB47" s="9"/>
      <c r="AC47" s="9"/>
      <c r="AJ47" s="9"/>
      <c r="AN47" s="9"/>
      <c r="AO47" s="15"/>
      <c r="AP47" s="9"/>
      <c r="AT47" s="9"/>
      <c r="BA47" s="9"/>
      <c r="BH47" s="9"/>
      <c r="BO47" s="9"/>
      <c r="BV47" s="9"/>
      <c r="CB47" s="9"/>
      <c r="CG47" s="9"/>
      <c r="CL47" s="9"/>
      <c r="CP47" s="9"/>
      <c r="DE47" s="2" t="s">
        <v>725</v>
      </c>
      <c r="DF47" s="2" t="s">
        <v>407</v>
      </c>
      <c r="DG47" s="2" t="s">
        <v>408</v>
      </c>
      <c r="DH47" s="14" t="s">
        <v>726</v>
      </c>
      <c r="DI47" s="2" t="s">
        <v>108</v>
      </c>
      <c r="DJ47" s="2">
        <v>4834</v>
      </c>
      <c r="DQ47" s="2" t="s">
        <v>410</v>
      </c>
      <c r="DS47" s="2">
        <v>96463</v>
      </c>
      <c r="DT47" s="2">
        <v>6.44</v>
      </c>
      <c r="DX47" s="2">
        <v>851</v>
      </c>
      <c r="DY47" s="8"/>
    </row>
    <row r="48" spans="1:156" x14ac:dyDescent="0.25">
      <c r="A48" s="2" t="s">
        <v>727</v>
      </c>
      <c r="B48" s="2">
        <v>1.07305187066143</v>
      </c>
      <c r="C48" s="2">
        <v>2.1038791999264141</v>
      </c>
      <c r="D48" s="2">
        <v>1.4134409080421499</v>
      </c>
      <c r="E48" s="2">
        <v>12.423202892023999</v>
      </c>
      <c r="F48" s="2">
        <v>4.2403238095325502E-4</v>
      </c>
      <c r="G48" s="2">
        <v>2.0995153019240501E-2</v>
      </c>
      <c r="H48" s="2" t="s">
        <v>728</v>
      </c>
      <c r="I48" s="2" t="s">
        <v>94</v>
      </c>
      <c r="J48" s="2" t="str">
        <f>HYPERLINK("https://vectorbase.org/vectorbase/app/record/gene/AGAP009099","AGAP009099-RA")</f>
        <v>AGAP009099-RA</v>
      </c>
      <c r="K48" s="2" t="str">
        <f>HYPERLINK(".\links\pep\AGAP009099-PA-pep.txt","AGAP009099-PA")</f>
        <v>AGAP009099-PA</v>
      </c>
      <c r="L48" s="8" t="s">
        <v>88</v>
      </c>
      <c r="M48" s="2">
        <v>748</v>
      </c>
      <c r="N48" s="2">
        <v>0</v>
      </c>
      <c r="O48" s="2">
        <v>2</v>
      </c>
      <c r="P48" s="2" t="s">
        <v>729</v>
      </c>
      <c r="Q48" s="9" t="s">
        <v>730</v>
      </c>
      <c r="R48" s="2" t="s">
        <v>591</v>
      </c>
      <c r="S48" s="2" t="str">
        <f>HYPERLINK(".\links\NR-LIGHT\AGAP009099-PA-NR-LIGHT.txt","NR-LIGHT")</f>
        <v>NR-LIGHT</v>
      </c>
      <c r="T48" s="2">
        <v>0</v>
      </c>
      <c r="U48" s="2">
        <v>100</v>
      </c>
      <c r="V48" s="2" t="s">
        <v>731</v>
      </c>
      <c r="W48" s="10" t="s">
        <v>732</v>
      </c>
      <c r="X48" s="2" t="s">
        <v>591</v>
      </c>
      <c r="Y48" s="2" t="str">
        <f>HYPERLINK(".\links\REFSEQVERTEBRATE95\AGAP009099-PA-REFSEQVERTEBRATE95.txt","REFSEQVERTEBRATE95")</f>
        <v>REFSEQVERTEBRATE95</v>
      </c>
      <c r="Z48" s="2">
        <v>0</v>
      </c>
      <c r="AA48" s="2">
        <v>97</v>
      </c>
      <c r="AB48" s="11" t="str">
        <f>HYPERLINK(".\links\pep\AGAP009099-PA-sulf.txt","6")</f>
        <v>6</v>
      </c>
      <c r="AC48" s="11" t="str">
        <f>HYPERLINK(".\links\Sigp\AGAP009099-PA-SigP.txt","CYT")</f>
        <v>CYT</v>
      </c>
      <c r="AD48" s="2" t="s">
        <v>94</v>
      </c>
      <c r="AE48" s="2">
        <v>83.13</v>
      </c>
      <c r="AF48" s="2">
        <v>5.46</v>
      </c>
      <c r="AG48" s="2" t="s">
        <v>94</v>
      </c>
      <c r="AH48" s="2" t="s">
        <v>94</v>
      </c>
      <c r="AI48" s="2" t="s">
        <v>478</v>
      </c>
      <c r="AJ48" s="11">
        <v>0</v>
      </c>
      <c r="AK48" s="2" t="s">
        <v>94</v>
      </c>
      <c r="AL48" s="2" t="s">
        <v>94</v>
      </c>
      <c r="AM48" s="2" t="s">
        <v>94</v>
      </c>
      <c r="AN48" s="11" t="str">
        <f>HYPERLINK(".\links\gpi\AGAP009099-PA-gpi.txt","N")</f>
        <v>N</v>
      </c>
      <c r="AO48" s="12" t="str">
        <f>HYPERLINK(".\links\netoglyc\AGAP009099-PA-netoglyc.txt","2")</f>
        <v>2</v>
      </c>
      <c r="AP48" s="11">
        <v>15.9</v>
      </c>
      <c r="AQ48" s="2">
        <v>6.4</v>
      </c>
      <c r="AR48" s="2">
        <v>5.2</v>
      </c>
      <c r="AS48" s="2" t="s">
        <v>97</v>
      </c>
      <c r="AT48" s="9" t="str">
        <f>HYPERLINK(".\links\NR-LIGHT\AGAP009099-PA-NR-LIGHT.txt","transglutaminase")</f>
        <v>transglutaminase</v>
      </c>
      <c r="AU48" s="2" t="str">
        <f>HYPERLINK("http://www.ncbi.nlm.nih.gov/sutils/blink.cgi?pid=ACZ65013.1","0.0")</f>
        <v>0.0</v>
      </c>
      <c r="AV48" s="2" t="str">
        <f>HYPERLINK("http://www.ncbi.nlm.nih.gov/protein/ACZ65013.1","ACZ65013.1")</f>
        <v>ACZ65013.1</v>
      </c>
      <c r="AW48" s="2">
        <v>100</v>
      </c>
      <c r="AX48" s="2">
        <v>100</v>
      </c>
      <c r="AY48" s="2">
        <v>100</v>
      </c>
      <c r="AZ48" s="2" t="s">
        <v>274</v>
      </c>
      <c r="BA48" s="9" t="str">
        <f>HYPERLINK(".\links\REFSEQ-INVERTEBRATE\AGAP009099-PA-REFSEQ-INVERTEBRATE.txt","annulin-like")</f>
        <v>annulin-like</v>
      </c>
      <c r="BB48" s="2" t="str">
        <f>HYPERLINK("http://www.ncbi.nlm.nih.gov/sutils/blink.cgi?pid=XP_019561751.1","1E-144")</f>
        <v>1E-144</v>
      </c>
      <c r="BC48" s="2" t="str">
        <f>HYPERLINK("http://www.ncbi.nlm.nih.gov/protein/XP_019561751.1","XP_019561751.1")</f>
        <v>XP_019561751.1</v>
      </c>
      <c r="BD48" s="2">
        <v>36</v>
      </c>
      <c r="BE48" s="2">
        <v>57</v>
      </c>
      <c r="BF48" s="2">
        <v>99</v>
      </c>
      <c r="BG48" s="2" t="s">
        <v>495</v>
      </c>
      <c r="BH48" s="9" t="str">
        <f>HYPERLINK(".\links\REFSEQ-PROTOZOA\AGAP009099-PA-REFSEQ-PROTOZOA.txt","hypothetical protein SARC_06203")</f>
        <v>hypothetical protein SARC_06203</v>
      </c>
      <c r="BI48" s="2" t="str">
        <f>HYPERLINK("http://www.ncbi.nlm.nih.gov/sutils/blink.cgi?pid=XP_014155376.1","5E-034")</f>
        <v>5E-034</v>
      </c>
      <c r="BJ48" s="2" t="str">
        <f>HYPERLINK("http://www.ncbi.nlm.nih.gov/protein/XP_014155376.1","XP_014155376.1")</f>
        <v>XP_014155376.1</v>
      </c>
      <c r="BK48" s="2">
        <v>26</v>
      </c>
      <c r="BL48" s="2">
        <v>42</v>
      </c>
      <c r="BM48" s="2">
        <v>65</v>
      </c>
      <c r="BN48" s="2" t="s">
        <v>368</v>
      </c>
      <c r="BO48" s="9" t="str">
        <f>HYPERLINK(".\links\SWISSP\AGAP009099-PA-SWISSP.txt","Annulin")</f>
        <v>Annulin</v>
      </c>
      <c r="BP48" s="2" t="str">
        <f>HYPERLINK("http://www.uniprot.org/uniprot/P52183","1E-131")</f>
        <v>1E-131</v>
      </c>
      <c r="BQ48" s="2" t="str">
        <f>HYPERLINK("http://www.uniprot.org/uniprot/P52183#expression","P52183")</f>
        <v>P52183</v>
      </c>
      <c r="BR48" s="2">
        <v>36</v>
      </c>
      <c r="BS48" s="2">
        <v>53</v>
      </c>
      <c r="BT48" s="2">
        <v>94</v>
      </c>
      <c r="BU48" s="2" t="s">
        <v>733</v>
      </c>
      <c r="BV48" s="9" t="str">
        <f>HYPERLINK(".\links\FLYBASE\AGAP009099-PA-FLYBASE.txt","FBpp0079155")</f>
        <v>FBpp0079155</v>
      </c>
      <c r="BW48" s="2" t="str">
        <f>HYPERLINK("http://flybase.org/reports/FBgn0031975#alliance_summary_container","1E-158")</f>
        <v>1E-158</v>
      </c>
      <c r="BX48" s="2">
        <v>776</v>
      </c>
      <c r="BY48" s="2">
        <v>37</v>
      </c>
      <c r="BZ48" s="2">
        <v>55</v>
      </c>
      <c r="CA48" s="2">
        <v>94</v>
      </c>
      <c r="CB48" s="9" t="str">
        <f>HYPERLINK(".\links\CDD\AGAP009099-PA-CDD.txt","Transglut_N, Transglutaminase family")</f>
        <v>Transglut_N, Transglutaminase family</v>
      </c>
      <c r="CC48" s="13">
        <v>1.9999999999999998E-24</v>
      </c>
      <c r="CD48" s="2">
        <v>124.6</v>
      </c>
      <c r="CE48" s="2" t="s">
        <v>734</v>
      </c>
      <c r="CF48" s="2" t="s">
        <v>735</v>
      </c>
      <c r="CG48" s="9" t="str">
        <f>HYPERLINK(".\links\KOG\AGAP009099-PA-KOG.txt","Peptide:N-glycanase")</f>
        <v>Peptide:N-glycanase</v>
      </c>
      <c r="CH48" s="13">
        <v>0.37</v>
      </c>
      <c r="CI48" s="2">
        <v>6.6</v>
      </c>
      <c r="CJ48" s="2" t="s">
        <v>736</v>
      </c>
      <c r="CK48" s="2" t="s">
        <v>214</v>
      </c>
      <c r="CL48" s="9" t="str">
        <f>HYPERLINK(".\links\PFAM\AGAP009099-PA-PFAM.txt","Transglut_N, Transglutaminase family")</f>
        <v>Transglut_N, Transglutaminase family</v>
      </c>
      <c r="CM48" s="13">
        <v>4.0000000000000002E-25</v>
      </c>
      <c r="CN48" s="2">
        <v>124.6</v>
      </c>
      <c r="CO48" s="2" t="s">
        <v>734</v>
      </c>
      <c r="CP48" s="9" t="str">
        <f>HYPERLINK(".\links\SMART\AGAP009099-PA-SMART.txt","TGc, Transglutaminase/protease-like homologues")</f>
        <v>TGc, Transglutaminase/protease-like homologues</v>
      </c>
      <c r="CQ48" s="13">
        <v>9.9999999999999998E-17</v>
      </c>
      <c r="CR48" s="2">
        <v>136.80000000000001</v>
      </c>
      <c r="CS48" s="2" t="s">
        <v>737</v>
      </c>
      <c r="CT48" s="2" t="s">
        <v>731</v>
      </c>
      <c r="CU48" s="2" t="s">
        <v>731</v>
      </c>
      <c r="CV48" s="2" t="s">
        <v>731</v>
      </c>
      <c r="CW48" s="2" t="str">
        <f>HYPERLINK(".\links\pep\AGAP009099-PA-pep.txt","AGAP009099-PA")</f>
        <v>AGAP009099-PA</v>
      </c>
      <c r="CX48" s="2" t="s">
        <v>88</v>
      </c>
      <c r="CY48" s="2">
        <v>748</v>
      </c>
      <c r="CZ48" s="2" t="s">
        <v>106</v>
      </c>
      <c r="DA48" s="2">
        <v>0</v>
      </c>
      <c r="DB48" s="2">
        <v>2</v>
      </c>
      <c r="DD48" s="2" t="str">
        <f>HYPERLINK("https://www.kegg.jp/kegg-bin/search_pathway_text?map=aga&amp;keyword=AGAP009099&amp;mode=1&amp;viewImage=true","AGAP009099")</f>
        <v>AGAP009099</v>
      </c>
      <c r="DE48" s="2" t="s">
        <v>727</v>
      </c>
      <c r="DF48" s="2" t="s">
        <v>728</v>
      </c>
      <c r="DG48" s="2" t="s">
        <v>94</v>
      </c>
      <c r="DH48" s="2" t="str">
        <f>HYPERLINK("https://vectorbase.org/vectorbase/app/record/gene/AGAP009099","AGAP009099-RA")</f>
        <v>AGAP009099-RA</v>
      </c>
      <c r="DI48" s="2" t="s">
        <v>125</v>
      </c>
      <c r="DJ48" s="2">
        <v>2270</v>
      </c>
      <c r="DK48" s="2" t="str">
        <f>HYPERLINK(".\links\netoglyc\AGAP009099-PA-netoglyc.txt","2")</f>
        <v>2</v>
      </c>
      <c r="DL48" s="2">
        <v>15.9</v>
      </c>
      <c r="DM48" s="2">
        <v>6.4</v>
      </c>
      <c r="DN48" s="2">
        <v>5.2</v>
      </c>
      <c r="DO48" s="2" t="s">
        <v>97</v>
      </c>
      <c r="DP48" s="2" t="s">
        <v>94</v>
      </c>
      <c r="DQ48" s="2" t="str">
        <f>HYPERLINK(".\links\Sigp\AGAP009099-PA-SigP.txt","CYT")</f>
        <v>CYT</v>
      </c>
      <c r="DR48" s="2" t="s">
        <v>94</v>
      </c>
      <c r="DS48" s="2">
        <v>83.13</v>
      </c>
      <c r="DT48" s="2">
        <v>5.46</v>
      </c>
      <c r="DU48" s="2" t="s">
        <v>94</v>
      </c>
      <c r="DV48" s="2" t="s">
        <v>94</v>
      </c>
      <c r="DW48" s="2" t="s">
        <v>478</v>
      </c>
      <c r="DX48" s="2">
        <v>748</v>
      </c>
      <c r="DY48" s="8">
        <v>0</v>
      </c>
      <c r="DZ48" s="2" t="s">
        <v>94</v>
      </c>
      <c r="EA48" s="2" t="s">
        <v>94</v>
      </c>
      <c r="EB48" s="2" t="s">
        <v>94</v>
      </c>
      <c r="EC48" s="2" t="str">
        <f>HYPERLINK(".\links\gpi\AGAP009099-PA-gpi.txt","N")</f>
        <v>N</v>
      </c>
      <c r="ED48" s="2">
        <v>0.19</v>
      </c>
      <c r="EF48" s="2">
        <v>11</v>
      </c>
      <c r="EG48" s="2" t="str">
        <f>HYPERLINK(".\links\pep\AGAP009099-PA-sulf.txt","6")</f>
        <v>6</v>
      </c>
      <c r="EH48" s="2" t="s">
        <v>94</v>
      </c>
      <c r="EI48" s="2">
        <v>15.909090909090899</v>
      </c>
      <c r="EJ48" s="2">
        <v>5.2139037433155098</v>
      </c>
      <c r="EK48" s="2">
        <v>6.4171122994652396</v>
      </c>
      <c r="EL48" s="2">
        <v>11.631016042780701</v>
      </c>
      <c r="EM48" s="2" t="s">
        <v>94</v>
      </c>
      <c r="EN48" s="2">
        <v>4</v>
      </c>
      <c r="EO48" s="2">
        <v>4</v>
      </c>
      <c r="EP48" s="2" t="s">
        <v>94</v>
      </c>
      <c r="EQ48" s="2" t="s">
        <v>94</v>
      </c>
      <c r="ER48" s="2" t="s">
        <v>94</v>
      </c>
      <c r="ES48" s="2" t="s">
        <v>94</v>
      </c>
      <c r="ET48" s="2" t="str">
        <f>HYPERLINK(".\links\REFSEQ-INVERTEBRATE\AGAP009099-PA-REFSEQ-INVERTEBRATE.txt","annulin-like")</f>
        <v>annulin-like</v>
      </c>
      <c r="EU48" s="2" t="str">
        <f>HYPERLINK("http://www.ncbi.nlm.nih.gov/sutils/blink.cgi?pid=XP_035914712.1","0.0")</f>
        <v>0.0</v>
      </c>
      <c r="EV48" s="2" t="str">
        <f>HYPERLINK("http://www.ncbi.nlm.nih.gov/protein/XP_035914712.1","XP_035914712.1")</f>
        <v>XP_035914712.1</v>
      </c>
      <c r="EW48" s="2">
        <v>71</v>
      </c>
      <c r="EX48" s="2">
        <v>84</v>
      </c>
      <c r="EY48" s="2">
        <v>93</v>
      </c>
      <c r="EZ48" s="2" t="s">
        <v>184</v>
      </c>
    </row>
    <row r="49" spans="1:156" x14ac:dyDescent="0.25">
      <c r="A49" s="2" t="s">
        <v>738</v>
      </c>
      <c r="B49" s="2">
        <v>1.0720768908642699</v>
      </c>
      <c r="C49" s="2">
        <v>2.1024578692258324</v>
      </c>
      <c r="D49" s="2">
        <v>8.4767408549034808</v>
      </c>
      <c r="E49" s="2">
        <v>10.9855936642844</v>
      </c>
      <c r="F49" s="2">
        <v>9.1822864019867705E-4</v>
      </c>
      <c r="G49" s="2">
        <v>3.9833432341095799E-2</v>
      </c>
      <c r="H49" s="2" t="s">
        <v>167</v>
      </c>
      <c r="I49" s="2" t="s">
        <v>87</v>
      </c>
      <c r="J49" s="2" t="str">
        <f>HYPERLINK("https://vectorbase.org/vectorbase/app/record/gene/AGAP000023","AGAP000023-RA")</f>
        <v>AGAP000023-RA</v>
      </c>
      <c r="K49" s="2" t="str">
        <f>HYPERLINK(".\links\pep\AGAP000023-PA-pep.txt","AGAP000023-PA")</f>
        <v>AGAP000023-PA</v>
      </c>
      <c r="L49" s="8" t="s">
        <v>88</v>
      </c>
      <c r="M49" s="2">
        <v>383</v>
      </c>
      <c r="N49" s="2">
        <v>0</v>
      </c>
      <c r="O49" s="2">
        <v>0</v>
      </c>
      <c r="P49" s="2" t="s">
        <v>94</v>
      </c>
      <c r="Q49" s="9" t="s">
        <v>739</v>
      </c>
      <c r="R49" s="2" t="s">
        <v>253</v>
      </c>
      <c r="S49" s="2" t="str">
        <f>HYPERLINK(".\links\REFSEQ-INVERTEBRATE\AGAP000023-PA-REFSEQ-INVERTEBRATE.txt","REFSEQ-INVERTEBRATE")</f>
        <v>REFSEQ-INVERTEBRATE</v>
      </c>
      <c r="T49" s="2">
        <v>0</v>
      </c>
      <c r="U49" s="2">
        <v>100</v>
      </c>
      <c r="V49" s="2" t="s">
        <v>739</v>
      </c>
      <c r="W49" s="10" t="s">
        <v>133</v>
      </c>
      <c r="X49" s="2" t="s">
        <v>253</v>
      </c>
      <c r="Y49" s="2" t="str">
        <f>HYPERLINK(".\links\FLYBASE\AGAP000023-PA-FLYBASE.txt","FLYBASE")</f>
        <v>FLYBASE</v>
      </c>
      <c r="Z49" s="2">
        <v>0</v>
      </c>
      <c r="AA49" s="2">
        <v>98.7</v>
      </c>
      <c r="AB49" s="11" t="s">
        <v>94</v>
      </c>
      <c r="AC49" s="11" t="str">
        <f>HYPERLINK(".\links\Sigp\AGAP000023-PA-SigP.txt","CYT")</f>
        <v>CYT</v>
      </c>
      <c r="AD49" s="2" t="s">
        <v>94</v>
      </c>
      <c r="AE49" s="2">
        <v>42.512999999999998</v>
      </c>
      <c r="AF49" s="2">
        <v>6.05</v>
      </c>
      <c r="AG49" s="2" t="s">
        <v>94</v>
      </c>
      <c r="AH49" s="2" t="s">
        <v>94</v>
      </c>
      <c r="AI49" s="2" t="s">
        <v>740</v>
      </c>
      <c r="AJ49" s="11">
        <v>0</v>
      </c>
      <c r="AK49" s="2" t="s">
        <v>94</v>
      </c>
      <c r="AL49" s="2" t="s">
        <v>94</v>
      </c>
      <c r="AM49" s="2" t="s">
        <v>94</v>
      </c>
      <c r="AN49" s="11" t="str">
        <f>HYPERLINK(".\links\gpi\AGAP000023-PA-gpi.txt","N")</f>
        <v>N</v>
      </c>
      <c r="AO49" s="12" t="str">
        <f>HYPERLINK(".\links\netoglyc\AGAP000023-PA-netoglyc.txt","0")</f>
        <v>0</v>
      </c>
      <c r="AP49" s="11">
        <v>12.5</v>
      </c>
      <c r="AQ49" s="2">
        <v>7</v>
      </c>
      <c r="AR49" s="2">
        <v>5</v>
      </c>
      <c r="AS49" s="2" t="s">
        <v>97</v>
      </c>
      <c r="AT49" s="9" t="str">
        <f>HYPERLINK(".\links\NR-LIGHT\AGAP000023-PA-NR-LIGHT.txt","AGAP000023-PA")</f>
        <v>AGAP000023-PA</v>
      </c>
      <c r="AU49" s="2" t="str">
        <f>HYPERLINK("http://www.ncbi.nlm.nih.gov/sutils/blink.cgi?pid=XP_311138.3","0.0")</f>
        <v>0.0</v>
      </c>
      <c r="AV49" s="2" t="str">
        <f>HYPERLINK("http://www.ncbi.nlm.nih.gov/protein/XP_311138.3","XP_311138.3")</f>
        <v>XP_311138.3</v>
      </c>
      <c r="AW49" s="2">
        <v>100</v>
      </c>
      <c r="AX49" s="2">
        <v>100</v>
      </c>
      <c r="AY49" s="2">
        <v>100</v>
      </c>
      <c r="AZ49" s="2" t="s">
        <v>98</v>
      </c>
      <c r="BA49" s="9" t="str">
        <f>HYPERLINK(".\links\REFSEQ-INVERTEBRATE\AGAP000023-PA-REFSEQ-INVERTEBRATE.txt","AGAP000023-PA")</f>
        <v>AGAP000023-PA</v>
      </c>
      <c r="BB49" s="2" t="str">
        <f>HYPERLINK("http://www.ncbi.nlm.nih.gov/sutils/blink.cgi?pid=XP_311138.3","0.0")</f>
        <v>0.0</v>
      </c>
      <c r="BC49" s="2" t="str">
        <f>HYPERLINK("http://www.ncbi.nlm.nih.gov/protein/XP_311138.3","XP_311138.3")</f>
        <v>XP_311138.3</v>
      </c>
      <c r="BD49" s="2">
        <v>100</v>
      </c>
      <c r="BE49" s="2">
        <v>100</v>
      </c>
      <c r="BF49" s="2">
        <v>100</v>
      </c>
      <c r="BG49" s="2" t="s">
        <v>98</v>
      </c>
      <c r="BH49" s="9" t="str">
        <f>HYPERLINK(".\links\REFSEQ-PROTOZOA\AGAP000023-PA-REFSEQ-PROTOZOA.txt","uncharacterized protein")</f>
        <v>uncharacterized protein</v>
      </c>
      <c r="BI49" s="2" t="str">
        <f>HYPERLINK("http://www.ncbi.nlm.nih.gov/sutils/blink.cgi?pid=XP_012898494.1","1E-024")</f>
        <v>1E-024</v>
      </c>
      <c r="BJ49" s="2" t="str">
        <f>HYPERLINK("http://www.ncbi.nlm.nih.gov/protein/XP_012898494.1","XP_012898494.1")</f>
        <v>XP_012898494.1</v>
      </c>
      <c r="BK49" s="2">
        <v>25</v>
      </c>
      <c r="BL49" s="2">
        <v>44</v>
      </c>
      <c r="BM49" s="2">
        <v>42</v>
      </c>
      <c r="BN49" s="2" t="s">
        <v>741</v>
      </c>
      <c r="BO49" s="9" t="str">
        <f>HYPERLINK(".\links\SWISSP\AGAP000023-PA-SWISSP.txt","Protein dcd1A")</f>
        <v>Protein dcd1A</v>
      </c>
      <c r="BP49" s="2" t="str">
        <f>HYPERLINK("http://www.uniprot.org/uniprot/Q55BZ5","0.031")</f>
        <v>0.031</v>
      </c>
      <c r="BQ49" s="2" t="str">
        <f>HYPERLINK("http://www.uniprot.org/uniprot/Q55BZ5#expression","Q55BZ5")</f>
        <v>Q55BZ5</v>
      </c>
      <c r="BR49" s="2">
        <v>22</v>
      </c>
      <c r="BS49" s="2">
        <v>39</v>
      </c>
      <c r="BT49" s="2">
        <v>58</v>
      </c>
      <c r="BU49" s="2" t="s">
        <v>308</v>
      </c>
      <c r="BV49" s="9" t="str">
        <f>HYPERLINK(".\links\FLYBASE\AGAP000023-PA-FLYBASE.txt","FBpp0309288")</f>
        <v>FBpp0309288</v>
      </c>
      <c r="BW49" s="2" t="str">
        <f>HYPERLINK("http://flybase.org/reports/FBgn0086367#alliance_summary_container","1E-150")</f>
        <v>1E-150</v>
      </c>
      <c r="BX49" s="2">
        <v>387</v>
      </c>
      <c r="BY49" s="2">
        <v>56</v>
      </c>
      <c r="BZ49" s="2">
        <v>71</v>
      </c>
      <c r="CA49" s="2">
        <v>99</v>
      </c>
      <c r="CB49" s="9" t="str">
        <f>HYPERLINK(".\links\CDD\AGAP000023-PA-CDD.txt","AAT, Acyl-coenzyme A:6-aminopenicillanic acid acyl-transferase")</f>
        <v>AAT, Acyl-coenzyme A:6-aminopenicillanic acid acyl-transferase</v>
      </c>
      <c r="CC49" s="13">
        <v>1E-53</v>
      </c>
      <c r="CD49" s="2">
        <v>113.2</v>
      </c>
      <c r="CE49" s="2" t="s">
        <v>742</v>
      </c>
      <c r="CF49" s="2" t="s">
        <v>743</v>
      </c>
      <c r="CG49" s="9" t="str">
        <f>HYPERLINK(".\links\KOG\AGAP000023-PA-KOG.txt","Protein tyrosine kinase")</f>
        <v>Protein tyrosine kinase</v>
      </c>
      <c r="CH49" s="13">
        <v>2.5</v>
      </c>
      <c r="CI49" s="2">
        <v>6.7</v>
      </c>
      <c r="CJ49" s="2" t="s">
        <v>744</v>
      </c>
      <c r="CK49" s="2" t="s">
        <v>326</v>
      </c>
      <c r="CL49" s="9" t="str">
        <f>HYPERLINK(".\links\PFAM\AGAP000023-PA-PFAM.txt","AAT, Acyl-coenzyme A:6-aminopenicillanic acid acyl-transferase")</f>
        <v>AAT, Acyl-coenzyme A:6-aminopenicillanic acid acyl-transferase</v>
      </c>
      <c r="CM49" s="13">
        <v>3.0000000000000001E-54</v>
      </c>
      <c r="CN49" s="2">
        <v>113.2</v>
      </c>
      <c r="CO49" s="2" t="s">
        <v>742</v>
      </c>
      <c r="CP49" s="9" t="str">
        <f>HYPERLINK(".\links\SMART\AGAP000023-PA-SMART.txt","PKS_AT, Acyl transferase domain in polyketide synthase (PKS) enzymes")</f>
        <v>PKS_AT, Acyl transferase domain in polyketide synthase (PKS) enzymes</v>
      </c>
      <c r="CQ49" s="13">
        <v>0.98</v>
      </c>
      <c r="CR49" s="2">
        <v>8.1</v>
      </c>
      <c r="CS49" s="2" t="s">
        <v>182</v>
      </c>
      <c r="CT49" s="2" t="s">
        <v>739</v>
      </c>
      <c r="CU49" s="2" t="s">
        <v>739</v>
      </c>
      <c r="CV49" s="2" t="s">
        <v>739</v>
      </c>
      <c r="CW49" s="2" t="str">
        <f>HYPERLINK(".\links\pep\AGAP000023-PA-pep.txt","AGAP000023-PA")</f>
        <v>AGAP000023-PA</v>
      </c>
      <c r="CX49" s="2" t="s">
        <v>88</v>
      </c>
      <c r="CY49" s="2">
        <v>383</v>
      </c>
      <c r="CZ49" s="2" t="s">
        <v>106</v>
      </c>
      <c r="DA49" s="2" t="s">
        <v>745</v>
      </c>
      <c r="DB49" s="2">
        <v>0</v>
      </c>
      <c r="DC49" s="2">
        <v>0</v>
      </c>
      <c r="DD49" s="2" t="str">
        <f>HYPERLINK("https://www.kegg.jp/kegg-bin/search_pathway_text?map=aga&amp;keyword=AGAP000023&amp;mode=1&amp;viewImage=true","AGAP000023")</f>
        <v>AGAP000023</v>
      </c>
      <c r="DE49" s="2" t="s">
        <v>738</v>
      </c>
      <c r="DF49" s="2" t="s">
        <v>167</v>
      </c>
      <c r="DG49" s="2" t="s">
        <v>87</v>
      </c>
      <c r="DH49" s="2" t="str">
        <f>HYPERLINK("https://vectorbase.org/vectorbase/app/record/gene/AGAP000023","AGAP000023-RA")</f>
        <v>AGAP000023-RA</v>
      </c>
      <c r="DI49" s="2" t="s">
        <v>108</v>
      </c>
      <c r="DJ49" s="2">
        <v>1790</v>
      </c>
      <c r="DK49" s="2" t="str">
        <f>HYPERLINK(".\links\netoglyc\AGAP000023-PA-netoglyc.txt","0")</f>
        <v>0</v>
      </c>
      <c r="DL49" s="2">
        <v>12.5</v>
      </c>
      <c r="DM49" s="2">
        <v>7</v>
      </c>
      <c r="DN49" s="2">
        <v>5</v>
      </c>
      <c r="DO49" s="2" t="s">
        <v>97</v>
      </c>
      <c r="DP49" s="2" t="s">
        <v>94</v>
      </c>
      <c r="DQ49" s="2" t="str">
        <f>HYPERLINK(".\links\Sigp\AGAP000023-PA-SigP.txt","CYT")</f>
        <v>CYT</v>
      </c>
      <c r="DR49" s="2" t="s">
        <v>94</v>
      </c>
      <c r="DS49" s="2">
        <v>42.512999999999998</v>
      </c>
      <c r="DT49" s="2">
        <v>6.05</v>
      </c>
      <c r="DU49" s="2" t="s">
        <v>94</v>
      </c>
      <c r="DV49" s="2" t="s">
        <v>94</v>
      </c>
      <c r="DW49" s="2" t="s">
        <v>740</v>
      </c>
      <c r="DX49" s="2">
        <v>383</v>
      </c>
      <c r="DY49" s="8">
        <v>0</v>
      </c>
      <c r="DZ49" s="2" t="s">
        <v>94</v>
      </c>
      <c r="EA49" s="2" t="s">
        <v>94</v>
      </c>
      <c r="EB49" s="2" t="s">
        <v>94</v>
      </c>
      <c r="EC49" s="2" t="str">
        <f>HYPERLINK(".\links\gpi\AGAP000023-PA-gpi.txt","N")</f>
        <v>N</v>
      </c>
      <c r="ED49" s="2">
        <v>0.19</v>
      </c>
      <c r="EF49" s="2">
        <v>7</v>
      </c>
      <c r="EG49" s="2" t="s">
        <v>94</v>
      </c>
      <c r="EH49" s="2" t="s">
        <v>94</v>
      </c>
      <c r="EI49" s="2">
        <v>12.532637075718</v>
      </c>
      <c r="EJ49" s="2">
        <v>4.9608355091383798</v>
      </c>
      <c r="EK49" s="2">
        <v>7.0496083550913804</v>
      </c>
      <c r="EL49" s="2">
        <v>12.010443864229799</v>
      </c>
      <c r="EM49" s="2">
        <v>1</v>
      </c>
      <c r="EN49" s="2" t="s">
        <v>94</v>
      </c>
      <c r="EO49" s="2">
        <v>2</v>
      </c>
      <c r="EP49" s="2" t="s">
        <v>94</v>
      </c>
      <c r="EQ49" s="2" t="s">
        <v>94</v>
      </c>
      <c r="ER49" s="2" t="s">
        <v>94</v>
      </c>
      <c r="ES49" s="2" t="s">
        <v>94</v>
      </c>
      <c r="ET49" s="2" t="str">
        <f>HYPERLINK(".\links\REFSEQ-INVERTEBRATE\AGAP000023-PA-REFSEQ-INVERTEBRATE.txt","AGAP000023-PA")</f>
        <v>AGAP000023-PA</v>
      </c>
      <c r="EU49" s="2" t="str">
        <f>HYPERLINK("http://www.ncbi.nlm.nih.gov/sutils/blink.cgi?pid=XP_311138.3","0.0")</f>
        <v>0.0</v>
      </c>
      <c r="EV49" s="2" t="str">
        <f>HYPERLINK("http://www.ncbi.nlm.nih.gov/protein/XP_311138.3","XP_311138.3")</f>
        <v>XP_311138.3</v>
      </c>
      <c r="EW49" s="2">
        <v>100</v>
      </c>
      <c r="EX49" s="2">
        <v>100</v>
      </c>
      <c r="EY49" s="2">
        <v>100</v>
      </c>
      <c r="EZ49" s="2" t="s">
        <v>98</v>
      </c>
    </row>
    <row r="50" spans="1:156" x14ac:dyDescent="0.25">
      <c r="A50" s="2" t="s">
        <v>746</v>
      </c>
      <c r="B50" s="2">
        <v>1.0635230697034599</v>
      </c>
      <c r="C50" s="2">
        <v>2.0900291583131629</v>
      </c>
      <c r="D50" s="2">
        <v>5.7869546304327404</v>
      </c>
      <c r="E50" s="2">
        <v>12.663081942627199</v>
      </c>
      <c r="F50" s="2">
        <v>3.7294693524352198E-4</v>
      </c>
      <c r="G50" s="2">
        <v>1.9064644143772898E-2</v>
      </c>
      <c r="H50" s="2" t="s">
        <v>747</v>
      </c>
      <c r="I50" s="2" t="s">
        <v>87</v>
      </c>
      <c r="J50" s="2" t="str">
        <f>HYPERLINK("https://vectorbase.org/vectorbase/app/record/gene/AGAP012251","AGAP012251-RB")</f>
        <v>AGAP012251-RB</v>
      </c>
      <c r="K50" s="2" t="str">
        <f>HYPERLINK(".\links\pep\AGAP012251-PB-pep.txt","AGAP012251-PB")</f>
        <v>AGAP012251-PB</v>
      </c>
      <c r="L50" s="8" t="s">
        <v>88</v>
      </c>
      <c r="M50" s="2">
        <v>526</v>
      </c>
      <c r="N50" s="2">
        <v>0</v>
      </c>
      <c r="O50" s="2">
        <v>2</v>
      </c>
      <c r="P50" s="2" t="s">
        <v>748</v>
      </c>
      <c r="Q50" s="9" t="s">
        <v>749</v>
      </c>
      <c r="R50" s="2" t="s">
        <v>113</v>
      </c>
      <c r="S50" s="2" t="str">
        <f>HYPERLINK(".\links\KOG\AGAP012251-PB-KOG.txt","KOG")</f>
        <v>KOG</v>
      </c>
      <c r="T50" s="2">
        <v>0</v>
      </c>
      <c r="U50" s="2">
        <v>101</v>
      </c>
      <c r="V50" s="2" t="s">
        <v>750</v>
      </c>
      <c r="W50" s="10" t="s">
        <v>751</v>
      </c>
      <c r="X50" s="2" t="s">
        <v>113</v>
      </c>
      <c r="Y50" s="2" t="str">
        <f>HYPERLINK(".\links\TIGR\AGAP012251-PB-TIGR.txt","TIGR")</f>
        <v>TIGR</v>
      </c>
      <c r="Z50" s="2">
        <v>0</v>
      </c>
      <c r="AA50" s="2">
        <v>98.9</v>
      </c>
      <c r="AB50" s="11" t="str">
        <f>HYPERLINK(".\links\pep\AGAP012251-PB-sulf.txt","1")</f>
        <v>1</v>
      </c>
      <c r="AC50" s="11" t="str">
        <f>HYPERLINK(".\links\Sigp\AGAP012251-PB-SigP.txt","CYT")</f>
        <v>CYT</v>
      </c>
      <c r="AD50" s="2" t="s">
        <v>94</v>
      </c>
      <c r="AE50" s="2">
        <v>57.985999999999997</v>
      </c>
      <c r="AF50" s="2">
        <v>6.01</v>
      </c>
      <c r="AG50" s="2" t="s">
        <v>94</v>
      </c>
      <c r="AH50" s="2" t="s">
        <v>94</v>
      </c>
      <c r="AI50" s="2" t="s">
        <v>752</v>
      </c>
      <c r="AJ50" s="11" t="str">
        <f>HYPERLINK(".\links\tmhmm\AGAP012251-PB-tmhmm.txt","8")</f>
        <v>8</v>
      </c>
      <c r="AK50" s="2">
        <v>32.299999999999997</v>
      </c>
      <c r="AL50" s="2">
        <v>32.299999999999997</v>
      </c>
      <c r="AM50" s="2">
        <v>35.4</v>
      </c>
      <c r="AN50" s="11" t="str">
        <f>HYPERLINK(".\links\gpi\AGAP012251-PB-gpi.txt","N")</f>
        <v>N</v>
      </c>
      <c r="AO50" s="12" t="str">
        <f>HYPERLINK(".\links\netoglyc\AGAP012251-PB-netoglyc.txt","2")</f>
        <v>2</v>
      </c>
      <c r="AP50" s="11">
        <v>12.7</v>
      </c>
      <c r="AQ50" s="2">
        <v>9.1</v>
      </c>
      <c r="AR50" s="2">
        <v>5.0999999999999996</v>
      </c>
      <c r="AS50" s="2" t="s">
        <v>97</v>
      </c>
      <c r="AT50" s="9" t="str">
        <f>HYPERLINK(".\links\NR-LIGHT\AGAP012251-PB-NR-LIGHT.txt","AGAP012251-PA, partial")</f>
        <v>AGAP012251-PA, partial</v>
      </c>
      <c r="AU50" s="2" t="str">
        <f>HYPERLINK("http://www.ncbi.nlm.nih.gov/sutils/blink.cgi?pid=XP_320291.3","0.0")</f>
        <v>0.0</v>
      </c>
      <c r="AV50" s="2" t="str">
        <f>HYPERLINK("http://www.ncbi.nlm.nih.gov/protein/XP_320291.3","XP_320291.3")</f>
        <v>XP_320291.3</v>
      </c>
      <c r="AW50" s="2">
        <v>100</v>
      </c>
      <c r="AX50" s="2">
        <v>100</v>
      </c>
      <c r="AY50" s="2">
        <v>99</v>
      </c>
      <c r="AZ50" s="2" t="s">
        <v>98</v>
      </c>
      <c r="BA50" s="9" t="str">
        <f>HYPERLINK(".\links\REFSEQ-INVERTEBRATE\AGAP012251-PB-REFSEQ-INVERTEBRATE.txt","AGAP012251-PA, partial")</f>
        <v>AGAP012251-PA, partial</v>
      </c>
      <c r="BB50" s="2" t="str">
        <f>HYPERLINK("http://www.ncbi.nlm.nih.gov/sutils/blink.cgi?pid=XP_320291.3","0.0")</f>
        <v>0.0</v>
      </c>
      <c r="BC50" s="2" t="str">
        <f>HYPERLINK("http://www.ncbi.nlm.nih.gov/protein/XP_320291.3","XP_320291.3")</f>
        <v>XP_320291.3</v>
      </c>
      <c r="BD50" s="2">
        <v>100</v>
      </c>
      <c r="BE50" s="2">
        <v>100</v>
      </c>
      <c r="BF50" s="2">
        <v>99</v>
      </c>
      <c r="BG50" s="2" t="s">
        <v>98</v>
      </c>
      <c r="BH50" s="9" t="str">
        <f>HYPERLINK(".\links\REFSEQ-PROTOZOA\AGAP012251-PB-REFSEQ-PROTOZOA.txt","hypothetical protein")</f>
        <v>hypothetical protein</v>
      </c>
      <c r="BI50" s="2" t="str">
        <f>HYPERLINK("http://www.ncbi.nlm.nih.gov/sutils/blink.cgi?pid=XP_001746784.1","7E-088")</f>
        <v>7E-088</v>
      </c>
      <c r="BJ50" s="2" t="str">
        <f>HYPERLINK("http://www.ncbi.nlm.nih.gov/protein/XP_001746784.1","XP_001746784.1")</f>
        <v>XP_001746784.1</v>
      </c>
      <c r="BK50" s="2">
        <v>41</v>
      </c>
      <c r="BL50" s="2">
        <v>59</v>
      </c>
      <c r="BM50" s="2">
        <v>64</v>
      </c>
      <c r="BN50" s="2" t="s">
        <v>704</v>
      </c>
      <c r="BO50" s="9" t="str">
        <f>HYPERLINK(".\links\SWISSP\AGAP012251-PB-SWISSP.txt","Putative inorganic phosphate cotransporter")</f>
        <v>Putative inorganic phosphate cotransporter</v>
      </c>
      <c r="BP50" s="2" t="str">
        <f>HYPERLINK("http://www.uniprot.org/uniprot/Q9V7S5","0.0")</f>
        <v>0.0</v>
      </c>
      <c r="BQ50" s="2" t="str">
        <f>HYPERLINK("http://www.uniprot.org/uniprot/Q9V7S5#expression","Q9V7S5")</f>
        <v>Q9V7S5</v>
      </c>
      <c r="BR50" s="2">
        <v>70</v>
      </c>
      <c r="BS50" s="2">
        <v>82</v>
      </c>
      <c r="BT50" s="2">
        <v>98</v>
      </c>
      <c r="BU50" s="2" t="s">
        <v>100</v>
      </c>
      <c r="BV50" s="9" t="str">
        <f>HYPERLINK(".\links\FLYBASE\AGAP012251-PB-FLYBASE.txt","FBpp0086261")</f>
        <v>FBpp0086261</v>
      </c>
      <c r="BW50" s="2" t="str">
        <f>HYPERLINK("http://flybase.org/reports/FBgn0024315#alliance_summary_container","0.0")</f>
        <v>0.0</v>
      </c>
      <c r="BX50" s="2">
        <v>529</v>
      </c>
      <c r="BY50" s="2">
        <v>70</v>
      </c>
      <c r="BZ50" s="2">
        <v>82</v>
      </c>
      <c r="CA50" s="2">
        <v>98</v>
      </c>
      <c r="CB50" s="9" t="str">
        <f>HYPERLINK(".\links\CDD\AGAP012251-PB-CDD.txt","Sodium-dependent_phosphate_transport_protein_1, Na(+)-dependent inorganic phosphate cotransporter")</f>
        <v>Sodium-dependent_phosphate_transport_protein_1, Na(+)-dependent inorganic phosphate cotransporter</v>
      </c>
      <c r="CC50" s="13">
        <v>1.0000000000000001E-138</v>
      </c>
      <c r="CD50" s="2">
        <v>98.1</v>
      </c>
      <c r="CE50" s="2" t="s">
        <v>753</v>
      </c>
      <c r="CF50" s="2" t="s">
        <v>754</v>
      </c>
      <c r="CG50" s="9" t="str">
        <f>HYPERLINK(".\links\KOG\AGAP012251-PB-KOG.txt","Permease of the major facilitator superfamily")</f>
        <v>Permease of the major facilitator superfamily</v>
      </c>
      <c r="CH50" s="13">
        <v>1E-127</v>
      </c>
      <c r="CI50" s="2">
        <v>101.5</v>
      </c>
      <c r="CJ50" s="2" t="s">
        <v>755</v>
      </c>
      <c r="CK50" s="2" t="s">
        <v>556</v>
      </c>
      <c r="CL50" s="9" t="str">
        <f>HYPERLINK(".\links\PFAM\AGAP012251-PB-PFAM.txt","MFS_1, Major Facilitator Superfamily")</f>
        <v>MFS_1, Major Facilitator Superfamily</v>
      </c>
      <c r="CM50" s="13">
        <v>6.9999999999999997E-34</v>
      </c>
      <c r="CN50" s="2">
        <v>100.6</v>
      </c>
      <c r="CO50" s="2" t="s">
        <v>694</v>
      </c>
      <c r="CP50" s="9" t="str">
        <f>HYPERLINK(".\links\SMART\AGAP012251-PB-SMART.txt","AHS2, Allophanate hydrolase subunit 2")</f>
        <v>AHS2, Allophanate hydrolase subunit 2</v>
      </c>
      <c r="CQ50" s="13">
        <v>0.5</v>
      </c>
      <c r="CR50" s="2">
        <v>20</v>
      </c>
      <c r="CS50" s="2" t="s">
        <v>756</v>
      </c>
      <c r="CT50" s="2" t="s">
        <v>750</v>
      </c>
      <c r="CU50" s="2" t="s">
        <v>750</v>
      </c>
      <c r="CV50" s="2" t="s">
        <v>750</v>
      </c>
      <c r="CW50" s="2" t="str">
        <f>HYPERLINK(".\links\pep\AGAP012251-PB-pep.txt","AGAP012251-PB")</f>
        <v>AGAP012251-PB</v>
      </c>
      <c r="CX50" s="2" t="s">
        <v>88</v>
      </c>
      <c r="CY50" s="2">
        <v>526</v>
      </c>
      <c r="CZ50" s="2" t="s">
        <v>106</v>
      </c>
      <c r="DA50" s="2" t="s">
        <v>757</v>
      </c>
      <c r="DB50" s="2">
        <v>0</v>
      </c>
      <c r="DC50" s="2">
        <v>2</v>
      </c>
      <c r="DD50" s="2" t="str">
        <f>HYPERLINK("https://www.kegg.jp/kegg-bin/search_pathway_text?map=aga&amp;keyword=AGAP012251&amp;mode=1&amp;viewImage=true","AGAP012251")</f>
        <v>AGAP012251</v>
      </c>
      <c r="DE50" s="2" t="s">
        <v>746</v>
      </c>
      <c r="DF50" s="2" t="s">
        <v>747</v>
      </c>
      <c r="DG50" s="2" t="s">
        <v>87</v>
      </c>
      <c r="DH50" s="2" t="str">
        <f>HYPERLINK("https://vectorbase.org/vectorbase/app/record/gene/AGAP012251","AGAP012251-RB")</f>
        <v>AGAP012251-RB</v>
      </c>
      <c r="DI50" s="2" t="s">
        <v>108</v>
      </c>
      <c r="DJ50" s="2">
        <v>3709</v>
      </c>
      <c r="DK50" s="2" t="str">
        <f>HYPERLINK(".\links\netoglyc\AGAP012251-PB-netoglyc.txt","2")</f>
        <v>2</v>
      </c>
      <c r="DL50" s="2">
        <v>12.7</v>
      </c>
      <c r="DM50" s="2">
        <v>9.1</v>
      </c>
      <c r="DN50" s="2">
        <v>5.0999999999999996</v>
      </c>
      <c r="DO50" s="2" t="s">
        <v>97</v>
      </c>
      <c r="DP50" s="2" t="s">
        <v>94</v>
      </c>
      <c r="DQ50" s="2" t="str">
        <f>HYPERLINK(".\links\Sigp\AGAP012251-PB-SigP.txt","CYT")</f>
        <v>CYT</v>
      </c>
      <c r="DR50" s="2" t="s">
        <v>94</v>
      </c>
      <c r="DS50" s="2">
        <v>57.985999999999997</v>
      </c>
      <c r="DT50" s="2">
        <v>6.01</v>
      </c>
      <c r="DU50" s="2" t="s">
        <v>94</v>
      </c>
      <c r="DV50" s="2" t="s">
        <v>94</v>
      </c>
      <c r="DW50" s="2" t="s">
        <v>752</v>
      </c>
      <c r="DX50" s="2">
        <v>526</v>
      </c>
      <c r="DY50" s="8" t="str">
        <f>HYPERLINK(".\links\tmhmm\AGAP012251-PB-tmhmm.txt","8")</f>
        <v>8</v>
      </c>
      <c r="DZ50" s="2">
        <v>32.299999999999997</v>
      </c>
      <c r="EA50" s="2">
        <v>32.299999999999997</v>
      </c>
      <c r="EB50" s="2">
        <v>35.4</v>
      </c>
      <c r="EC50" s="2" t="str">
        <f>HYPERLINK(".\links\gpi\AGAP012251-PB-gpi.txt","Y-NoSP")</f>
        <v>Y-NoSP</v>
      </c>
      <c r="ED50" s="2">
        <v>0.28000000000000003</v>
      </c>
      <c r="EF50" s="2">
        <v>6</v>
      </c>
      <c r="EG50" s="2" t="str">
        <f>HYPERLINK(".\links\pep\AGAP012251-PB-sulf.txt","1")</f>
        <v>1</v>
      </c>
      <c r="EH50" s="2" t="s">
        <v>94</v>
      </c>
      <c r="EI50" s="2">
        <v>12.737642585551299</v>
      </c>
      <c r="EJ50" s="2">
        <v>5.1330798479087498</v>
      </c>
      <c r="EK50" s="2">
        <v>9.1254752851711007</v>
      </c>
      <c r="EL50" s="2">
        <v>14.258555133079801</v>
      </c>
      <c r="EM50" s="2" t="s">
        <v>94</v>
      </c>
      <c r="EN50" s="2" t="s">
        <v>94</v>
      </c>
      <c r="EO50" s="2" t="s">
        <v>94</v>
      </c>
      <c r="EP50" s="2" t="s">
        <v>94</v>
      </c>
      <c r="EQ50" s="2" t="s">
        <v>94</v>
      </c>
      <c r="ER50" s="2" t="s">
        <v>94</v>
      </c>
      <c r="ES50" s="2" t="s">
        <v>94</v>
      </c>
      <c r="ET50" s="2" t="str">
        <f>HYPERLINK(".\links\REFSEQ-INVERTEBRATE\AGAP012251-PB-REFSEQ-INVERTEBRATE.txt","AGAP012251-PA, partial")</f>
        <v>AGAP012251-PA, partial</v>
      </c>
      <c r="EU50" s="2" t="str">
        <f>HYPERLINK("http://www.ncbi.nlm.nih.gov/sutils/blink.cgi?pid=XP_320291.3","0.0")</f>
        <v>0.0</v>
      </c>
      <c r="EV50" s="2" t="str">
        <f>HYPERLINK("http://www.ncbi.nlm.nih.gov/protein/XP_320291.3","XP_320291.3")</f>
        <v>XP_320291.3</v>
      </c>
      <c r="EW50" s="2">
        <v>100</v>
      </c>
      <c r="EX50" s="2">
        <v>100</v>
      </c>
      <c r="EY50" s="2">
        <v>99</v>
      </c>
      <c r="EZ50" s="2" t="s">
        <v>98</v>
      </c>
    </row>
    <row r="51" spans="1:156" x14ac:dyDescent="0.25">
      <c r="A51" s="2" t="s">
        <v>758</v>
      </c>
      <c r="B51" s="2">
        <v>1.05203283042406</v>
      </c>
      <c r="C51" s="2">
        <v>2.0734493855717444</v>
      </c>
      <c r="D51" s="2">
        <v>7.3447076664662401</v>
      </c>
      <c r="E51" s="2">
        <v>22.535076488280701</v>
      </c>
      <c r="F51" s="2">
        <v>2.0634125944803102E-6</v>
      </c>
      <c r="G51" s="2">
        <v>3.8262142952941798E-4</v>
      </c>
      <c r="H51" s="2" t="s">
        <v>759</v>
      </c>
      <c r="I51" s="2" t="s">
        <v>87</v>
      </c>
      <c r="J51" s="2" t="str">
        <f>HYPERLINK("https://vectorbase.org/vectorbase/app/record/gene/AGAP007390","AGAP007390-RA")</f>
        <v>AGAP007390-RA</v>
      </c>
      <c r="K51" s="2" t="str">
        <f>HYPERLINK(".\links\pep\AGAP007390-PA-pep.txt","AGAP007390-PA")</f>
        <v>AGAP007390-PA</v>
      </c>
      <c r="L51" s="8" t="s">
        <v>88</v>
      </c>
      <c r="M51" s="2">
        <v>680</v>
      </c>
      <c r="N51" s="2">
        <v>0</v>
      </c>
      <c r="O51" s="2">
        <v>1</v>
      </c>
      <c r="P51" s="2" t="s">
        <v>760</v>
      </c>
      <c r="Q51" s="9" t="s">
        <v>761</v>
      </c>
      <c r="R51" s="2" t="s">
        <v>267</v>
      </c>
      <c r="S51" s="2" t="str">
        <f>HYPERLINK(".\links\KOG\AGAP007390-PA-KOG.txt","KOG")</f>
        <v>KOG</v>
      </c>
      <c r="T51" s="2">
        <v>0</v>
      </c>
      <c r="U51" s="2">
        <v>119</v>
      </c>
      <c r="V51" s="2" t="s">
        <v>762</v>
      </c>
      <c r="W51" s="10" t="s">
        <v>763</v>
      </c>
      <c r="X51" s="2" t="s">
        <v>591</v>
      </c>
      <c r="Y51" s="2" t="str">
        <f>HYPERLINK(".\links\EC\AGAP007390-PA-EC.txt","EC")</f>
        <v>EC</v>
      </c>
      <c r="Z51" s="2">
        <v>0</v>
      </c>
      <c r="AA51" s="2">
        <v>106.6</v>
      </c>
      <c r="AB51" s="11" t="str">
        <f>HYPERLINK(".\links\pep\AGAP007390-PA-sulf.txt","1")</f>
        <v>1</v>
      </c>
      <c r="AC51" s="11" t="str">
        <f>HYPERLINK(".\links\Sigp\AGAP007390-PA-SigP.txt","CYT")</f>
        <v>CYT</v>
      </c>
      <c r="AD51" s="2" t="s">
        <v>94</v>
      </c>
      <c r="AE51" s="2">
        <v>78.161000000000001</v>
      </c>
      <c r="AF51" s="2">
        <v>7.98</v>
      </c>
      <c r="AG51" s="2" t="s">
        <v>94</v>
      </c>
      <c r="AH51" s="2" t="s">
        <v>94</v>
      </c>
      <c r="AI51" s="2" t="s">
        <v>764</v>
      </c>
      <c r="AJ51" s="11">
        <v>0</v>
      </c>
      <c r="AK51" s="2" t="s">
        <v>94</v>
      </c>
      <c r="AL51" s="2" t="s">
        <v>94</v>
      </c>
      <c r="AM51" s="2" t="s">
        <v>94</v>
      </c>
      <c r="AN51" s="11" t="str">
        <f>HYPERLINK(".\links\gpi\AGAP007390-PA-gpi.txt","N")</f>
        <v>N</v>
      </c>
      <c r="AO51" s="12" t="str">
        <f>HYPERLINK(".\links\netoglyc\AGAP007390-PA-netoglyc.txt","9")</f>
        <v>9</v>
      </c>
      <c r="AP51" s="11">
        <v>14</v>
      </c>
      <c r="AQ51" s="2">
        <v>4.9000000000000004</v>
      </c>
      <c r="AR51" s="2">
        <v>3.1</v>
      </c>
      <c r="AS51" s="2" t="s">
        <v>97</v>
      </c>
      <c r="AT51" s="9" t="str">
        <f>HYPERLINK(".\links\NR-LIGHT\AGAP007390-PA-NR-LIGHT.txt","AGAP007390-PA")</f>
        <v>AGAP007390-PA</v>
      </c>
      <c r="AU51" s="2" t="str">
        <f>HYPERLINK("http://www.ncbi.nlm.nih.gov/sutils/blink.cgi?pid=XP_308442.4","0.0")</f>
        <v>0.0</v>
      </c>
      <c r="AV51" s="2" t="str">
        <f>HYPERLINK("http://www.ncbi.nlm.nih.gov/protein/XP_308442.4","XP_308442.4")</f>
        <v>XP_308442.4</v>
      </c>
      <c r="AW51" s="2">
        <v>100</v>
      </c>
      <c r="AX51" s="2">
        <v>100</v>
      </c>
      <c r="AY51" s="2">
        <v>100</v>
      </c>
      <c r="AZ51" s="2" t="s">
        <v>98</v>
      </c>
      <c r="BA51" s="9" t="str">
        <f>HYPERLINK(".\links\REFSEQ-INVERTEBRATE\AGAP007390-PA-REFSEQ-INVERTEBRATE.txt","AGAP007390-PA")</f>
        <v>AGAP007390-PA</v>
      </c>
      <c r="BB51" s="2" t="str">
        <f>HYPERLINK("http://www.ncbi.nlm.nih.gov/sutils/blink.cgi?pid=XP_308442.4","0.0")</f>
        <v>0.0</v>
      </c>
      <c r="BC51" s="2" t="str">
        <f>HYPERLINK("http://www.ncbi.nlm.nih.gov/protein/XP_308442.4","XP_308442.4")</f>
        <v>XP_308442.4</v>
      </c>
      <c r="BD51" s="2">
        <v>100</v>
      </c>
      <c r="BE51" s="2">
        <v>100</v>
      </c>
      <c r="BF51" s="2">
        <v>100</v>
      </c>
      <c r="BG51" s="2" t="s">
        <v>98</v>
      </c>
      <c r="BH51" s="9" t="str">
        <f>HYPERLINK(".\links\REFSEQ-PROTOZOA\AGAP007390-PA-REFSEQ-PROTOZOA.txt","peptide-N(4)-(N-acetyl-beta-glucosaminyl) asparagine amidase")</f>
        <v>peptide-N(4)-(N-acetyl-beta-glucosaminyl) asparagine amidase</v>
      </c>
      <c r="BI51" s="2" t="str">
        <f>HYPERLINK("http://www.ncbi.nlm.nih.gov/sutils/blink.cgi?pid=XP_004348203.1","2E-062")</f>
        <v>2E-062</v>
      </c>
      <c r="BJ51" s="2" t="str">
        <f>HYPERLINK("http://www.ncbi.nlm.nih.gov/protein/XP_004348203.1","XP_004348203.1")</f>
        <v>XP_004348203.1</v>
      </c>
      <c r="BK51" s="2">
        <v>36</v>
      </c>
      <c r="BL51" s="2">
        <v>53</v>
      </c>
      <c r="BM51" s="2">
        <v>46</v>
      </c>
      <c r="BN51" s="2" t="s">
        <v>227</v>
      </c>
      <c r="BO51" s="9" t="str">
        <f>HYPERLINK(".\links\SWISSP\AGAP007390-PA-SWISSP.txt","Peptide-N(4)-(N-acetyl-beta-glucosaminyl)asparagine amidase")</f>
        <v>Peptide-N(4)-(N-acetyl-beta-glucosaminyl)asparagine amidase</v>
      </c>
      <c r="BP51" s="2" t="str">
        <f>HYPERLINK("http://www.uniprot.org/uniprot/Q28YQ7","1E-153")</f>
        <v>1E-153</v>
      </c>
      <c r="BQ51" s="2" t="str">
        <f>HYPERLINK("http://www.uniprot.org/uniprot/Q28YQ7#expression","Q28YQ7")</f>
        <v>Q28YQ7</v>
      </c>
      <c r="BR51" s="2">
        <v>44</v>
      </c>
      <c r="BS51" s="2">
        <v>61</v>
      </c>
      <c r="BT51" s="2">
        <v>106</v>
      </c>
      <c r="BU51" s="2" t="s">
        <v>765</v>
      </c>
      <c r="BV51" s="9" t="str">
        <f>HYPERLINK(".\links\FLYBASE\AGAP007390-PA-FLYBASE.txt","FBpp0307273")</f>
        <v>FBpp0307273</v>
      </c>
      <c r="BW51" s="2" t="str">
        <f>HYPERLINK("http://flybase.org/reports/FBgn0033050#alliance_summary_container","0.0")</f>
        <v>0.0</v>
      </c>
      <c r="BX51" s="2">
        <v>631</v>
      </c>
      <c r="BY51" s="2">
        <v>44</v>
      </c>
      <c r="BZ51" s="2">
        <v>60</v>
      </c>
      <c r="CA51" s="2">
        <v>106</v>
      </c>
      <c r="CB51" s="9" t="str">
        <f>HYPERLINK(".\links\CDD\AGAP007390-PA-CDD.txt","PAW, PNGase C-terminal domain, mannose-binding module PAW")</f>
        <v>PAW, PNGase C-terminal domain, mannose-binding module PAW</v>
      </c>
      <c r="CC51" s="13">
        <v>3.9999999999999997E-71</v>
      </c>
      <c r="CD51" s="2">
        <v>107.6</v>
      </c>
      <c r="CE51" s="2" t="s">
        <v>766</v>
      </c>
      <c r="CF51" s="2" t="s">
        <v>767</v>
      </c>
      <c r="CG51" s="9" t="str">
        <f>HYPERLINK(".\links\KOG\AGAP007390-PA-KOG.txt","Peptide:N-glycanase")</f>
        <v>Peptide:N-glycanase</v>
      </c>
      <c r="CH51" s="13">
        <v>1E-108</v>
      </c>
      <c r="CI51" s="2">
        <v>119.4</v>
      </c>
      <c r="CJ51" s="2" t="s">
        <v>736</v>
      </c>
      <c r="CK51" s="2" t="s">
        <v>214</v>
      </c>
      <c r="CL51" s="9" t="str">
        <f>HYPERLINK(".\links\PFAM\AGAP007390-PA-PFAM.txt","PAW, PNGase C-terminal domain, mannose-binding module PAW")</f>
        <v>PAW, PNGase C-terminal domain, mannose-binding module PAW</v>
      </c>
      <c r="CM51" s="13">
        <v>7.9999999999999997E-72</v>
      </c>
      <c r="CN51" s="2">
        <v>107.6</v>
      </c>
      <c r="CO51" s="2" t="s">
        <v>766</v>
      </c>
      <c r="CP51" s="9" t="str">
        <f>HYPERLINK(".\links\SMART\AGAP007390-PA-SMART.txt","TGc, Transglutaminase/protease-like homologues")</f>
        <v>TGc, Transglutaminase/protease-like homologues</v>
      </c>
      <c r="CQ51" s="13">
        <v>5.9999999999999997E-15</v>
      </c>
      <c r="CR51" s="2">
        <v>101.5</v>
      </c>
      <c r="CS51" s="2" t="s">
        <v>737</v>
      </c>
      <c r="CT51" s="2" t="s">
        <v>762</v>
      </c>
      <c r="CU51" s="2" t="s">
        <v>762</v>
      </c>
      <c r="CV51" s="2" t="s">
        <v>762</v>
      </c>
      <c r="CW51" s="2" t="str">
        <f>HYPERLINK(".\links\pep\AGAP007390-PA-pep.txt","AGAP007390-PA")</f>
        <v>AGAP007390-PA</v>
      </c>
      <c r="CX51" s="2" t="s">
        <v>88</v>
      </c>
      <c r="CY51" s="2">
        <v>680</v>
      </c>
      <c r="CZ51" s="2" t="s">
        <v>106</v>
      </c>
      <c r="DA51" s="2" t="s">
        <v>768</v>
      </c>
      <c r="DB51" s="2">
        <v>0</v>
      </c>
      <c r="DC51" s="2">
        <v>1</v>
      </c>
      <c r="DD51" s="2" t="str">
        <f>HYPERLINK("https://www.kegg.jp/kegg-bin/search_pathway_text?map=aga&amp;keyword=AGAP007390&amp;mode=1&amp;viewImage=true","AGAP007390")</f>
        <v>AGAP007390</v>
      </c>
      <c r="DE51" s="2" t="s">
        <v>758</v>
      </c>
      <c r="DF51" s="2" t="s">
        <v>759</v>
      </c>
      <c r="DG51" s="2" t="s">
        <v>87</v>
      </c>
      <c r="DH51" s="2" t="str">
        <f>HYPERLINK("https://vectorbase.org/vectorbase/app/record/gene/AGAP007390","AGAP007390-RA")</f>
        <v>AGAP007390-RA</v>
      </c>
      <c r="DI51" s="2" t="s">
        <v>250</v>
      </c>
      <c r="DJ51" s="2">
        <v>2715</v>
      </c>
      <c r="DK51" s="2" t="str">
        <f>HYPERLINK(".\links\netoglyc\AGAP007390-PA-netoglyc.txt","9")</f>
        <v>9</v>
      </c>
      <c r="DL51" s="2">
        <v>14</v>
      </c>
      <c r="DM51" s="2">
        <v>4.9000000000000004</v>
      </c>
      <c r="DN51" s="2">
        <v>3.1</v>
      </c>
      <c r="DO51" s="2" t="s">
        <v>97</v>
      </c>
      <c r="DP51" s="2" t="s">
        <v>769</v>
      </c>
      <c r="DQ51" s="2" t="str">
        <f>HYPERLINK(".\links\Sigp\AGAP007390-PA-SigP.txt","CYT")</f>
        <v>CYT</v>
      </c>
      <c r="DR51" s="2" t="s">
        <v>94</v>
      </c>
      <c r="DS51" s="2">
        <v>78.161000000000001</v>
      </c>
      <c r="DT51" s="2">
        <v>7.98</v>
      </c>
      <c r="DU51" s="2" t="s">
        <v>94</v>
      </c>
      <c r="DV51" s="2" t="s">
        <v>94</v>
      </c>
      <c r="DW51" s="2" t="s">
        <v>764</v>
      </c>
      <c r="DX51" s="2">
        <v>680</v>
      </c>
      <c r="DY51" s="8">
        <v>0</v>
      </c>
      <c r="DZ51" s="2" t="s">
        <v>94</v>
      </c>
      <c r="EA51" s="2" t="s">
        <v>94</v>
      </c>
      <c r="EB51" s="2" t="s">
        <v>94</v>
      </c>
      <c r="EC51" s="2" t="str">
        <f>HYPERLINK(".\links\gpi\AGAP007390-PA-gpi.txt","Y-NoSP")</f>
        <v>Y-NoSP</v>
      </c>
      <c r="ED51" s="2">
        <v>0.24</v>
      </c>
      <c r="EF51" s="2">
        <v>19</v>
      </c>
      <c r="EG51" s="2" t="str">
        <f>HYPERLINK(".\links\pep\AGAP007390-PA-sulf.txt","1")</f>
        <v>1</v>
      </c>
      <c r="EH51" s="2" t="s">
        <v>94</v>
      </c>
      <c r="EI51" s="2">
        <v>13.9705882352941</v>
      </c>
      <c r="EJ51" s="2">
        <v>3.0882352941176499</v>
      </c>
      <c r="EK51" s="2">
        <v>4.8529411764705896</v>
      </c>
      <c r="EL51" s="2">
        <v>7.9411764705882399</v>
      </c>
      <c r="EM51" s="2" t="s">
        <v>94</v>
      </c>
      <c r="EN51" s="2">
        <v>1</v>
      </c>
      <c r="EO51" s="2">
        <v>1</v>
      </c>
      <c r="EP51" s="2" t="s">
        <v>94</v>
      </c>
      <c r="EQ51" s="2" t="s">
        <v>94</v>
      </c>
      <c r="ER51" s="2" t="s">
        <v>94</v>
      </c>
      <c r="ES51" s="2" t="s">
        <v>94</v>
      </c>
      <c r="ET51" s="2" t="str">
        <f>HYPERLINK(".\links\REFSEQ-INVERTEBRATE\AGAP007390-PA-REFSEQ-INVERTEBRATE.txt","AGAP007390-PA")</f>
        <v>AGAP007390-PA</v>
      </c>
      <c r="EU51" s="2" t="str">
        <f>HYPERLINK("http://www.ncbi.nlm.nih.gov/sutils/blink.cgi?pid=XP_308442.4","0.0")</f>
        <v>0.0</v>
      </c>
      <c r="EV51" s="2" t="str">
        <f>HYPERLINK("http://www.ncbi.nlm.nih.gov/protein/XP_308442.4","XP_308442.4")</f>
        <v>XP_308442.4</v>
      </c>
      <c r="EW51" s="2">
        <v>100</v>
      </c>
      <c r="EX51" s="2">
        <v>100</v>
      </c>
      <c r="EY51" s="2">
        <v>100</v>
      </c>
      <c r="EZ51" s="2" t="s">
        <v>98</v>
      </c>
    </row>
    <row r="52" spans="1:156" x14ac:dyDescent="0.25">
      <c r="A52" s="2" t="s">
        <v>770</v>
      </c>
      <c r="B52" s="2">
        <v>1.03793550419862</v>
      </c>
      <c r="C52" s="2">
        <v>2.0532872970093758</v>
      </c>
      <c r="D52" s="2">
        <v>8.2044684831345407</v>
      </c>
      <c r="E52" s="2">
        <v>21.3217685250521</v>
      </c>
      <c r="F52" s="2">
        <v>3.8829703594326997E-6</v>
      </c>
      <c r="G52" s="2">
        <v>5.82876995065953E-4</v>
      </c>
      <c r="H52" s="2" t="s">
        <v>167</v>
      </c>
      <c r="I52" s="2" t="s">
        <v>87</v>
      </c>
      <c r="J52" s="2" t="str">
        <f>HYPERLINK("https://vectorbase.org/vectorbase/app/record/gene/AGAP029897","AGAP029897-RA")</f>
        <v>AGAP029897-RA</v>
      </c>
      <c r="K52" s="2" t="str">
        <f>HYPERLINK(".\links\pep\AGAP029897-PA-pep.txt","AGAP029897-PA")</f>
        <v>AGAP029897-PA</v>
      </c>
      <c r="Q52" s="9"/>
      <c r="R52" s="2" t="s">
        <v>771</v>
      </c>
      <c r="V52" s="2" t="s">
        <v>772</v>
      </c>
      <c r="W52" s="10" t="s">
        <v>773</v>
      </c>
      <c r="X52" s="2" t="s">
        <v>238</v>
      </c>
      <c r="Y52" s="2" t="str">
        <f>HYPERLINK(".\links\CDD\AGAP029897-PA-CDD.txt","CDD")</f>
        <v>CDD</v>
      </c>
      <c r="Z52" s="13">
        <v>1.9999999999999999E-57</v>
      </c>
      <c r="AA52" s="2">
        <v>100</v>
      </c>
      <c r="AB52" s="9"/>
      <c r="AC52" s="9"/>
      <c r="AJ52" s="9"/>
      <c r="AN52" s="9"/>
      <c r="AO52" s="15"/>
      <c r="AP52" s="9"/>
      <c r="AT52" s="9"/>
      <c r="BA52" s="9"/>
      <c r="BH52" s="9"/>
      <c r="BO52" s="9"/>
      <c r="BV52" s="9"/>
      <c r="CB52" s="9"/>
      <c r="CG52" s="9"/>
      <c r="CL52" s="9"/>
      <c r="CP52" s="9"/>
      <c r="CW52" s="2" t="str">
        <f>HYPERLINK(".\links\pep\AGAP029897-PA-pep.txt","AGAP029897-PA")</f>
        <v>AGAP029897-PA</v>
      </c>
      <c r="CX52" s="2" t="s">
        <v>88</v>
      </c>
      <c r="CY52" s="2">
        <v>16070</v>
      </c>
      <c r="CZ52" s="2" t="s">
        <v>106</v>
      </c>
      <c r="DA52" s="2" t="s">
        <v>774</v>
      </c>
      <c r="DB52" s="2">
        <v>0</v>
      </c>
      <c r="DC52" s="2">
        <v>17</v>
      </c>
      <c r="DD52" s="2" t="str">
        <f>HYPERLINK("https://www.kegg.jp/kegg-bin/search_pathway_text?map=aga&amp;keyword=AGAP029897&amp;mode=1&amp;viewImage=true","AGAP029897")</f>
        <v>AGAP029897</v>
      </c>
      <c r="DE52" s="2" t="s">
        <v>770</v>
      </c>
      <c r="DF52" s="2" t="s">
        <v>167</v>
      </c>
      <c r="DG52" s="2" t="s">
        <v>87</v>
      </c>
      <c r="DH52" s="2" t="str">
        <f>HYPERLINK("https://vectorbase.org/vectorbase/app/record/gene/AGAP029897","AGAP029897-RA")</f>
        <v>AGAP029897-RA</v>
      </c>
      <c r="DI52" s="2" t="s">
        <v>250</v>
      </c>
      <c r="DJ52" s="2">
        <v>49748</v>
      </c>
      <c r="DK52" s="2" t="str">
        <f>HYPERLINK(".\links\netoglyc\AGAP029897-PA-netoglyc.txt","1")</f>
        <v>1</v>
      </c>
      <c r="DL52" s="2">
        <v>16.100000000000001</v>
      </c>
      <c r="DM52" s="2">
        <v>7.1</v>
      </c>
      <c r="DN52" s="2">
        <v>4.3</v>
      </c>
      <c r="DO52" s="2" t="s">
        <v>97</v>
      </c>
      <c r="DP52" s="2" t="s">
        <v>94</v>
      </c>
      <c r="DQ52" s="2" t="s">
        <v>241</v>
      </c>
      <c r="DR52" s="2" t="s">
        <v>94</v>
      </c>
      <c r="DS52" s="2">
        <v>1820.846</v>
      </c>
      <c r="DT52" s="2">
        <v>4.87</v>
      </c>
      <c r="DU52" s="2" t="s">
        <v>94</v>
      </c>
      <c r="DV52" s="2" t="s">
        <v>94</v>
      </c>
      <c r="DW52" s="2" t="s">
        <v>775</v>
      </c>
      <c r="DX52" s="2">
        <v>16070</v>
      </c>
      <c r="DY52" s="8">
        <v>0</v>
      </c>
      <c r="DZ52" s="2" t="s">
        <v>94</v>
      </c>
      <c r="EA52" s="2" t="s">
        <v>94</v>
      </c>
      <c r="EB52" s="2" t="s">
        <v>94</v>
      </c>
      <c r="EC52" s="2" t="str">
        <f>HYPERLINK(".\links\gpi\AGAP029897-PA-gpi.txt","Y-NoSP")</f>
        <v>Y-NoSP</v>
      </c>
      <c r="ED52" s="2">
        <v>0.24</v>
      </c>
      <c r="EF52" s="2">
        <v>146</v>
      </c>
      <c r="EG52" s="2" t="str">
        <f>HYPERLINK(".\links\pep\AGAP029897-PA-sulf.txt","34")</f>
        <v>34</v>
      </c>
      <c r="EH52" s="2" t="s">
        <v>94</v>
      </c>
      <c r="EI52" s="2">
        <v>14.5177349097698</v>
      </c>
      <c r="EJ52" s="2">
        <v>3.2545115121344099</v>
      </c>
      <c r="EK52" s="2">
        <v>3.23584318606098</v>
      </c>
      <c r="EL52" s="2">
        <v>6.4903546981953903</v>
      </c>
      <c r="EM52" s="2">
        <v>1</v>
      </c>
      <c r="EN52" s="2">
        <v>29</v>
      </c>
      <c r="EO52" s="2">
        <v>29</v>
      </c>
      <c r="EP52" s="2" t="s">
        <v>94</v>
      </c>
      <c r="EQ52" s="2" t="s">
        <v>94</v>
      </c>
      <c r="ER52" s="2" t="s">
        <v>94</v>
      </c>
      <c r="ES52" s="2" t="s">
        <v>94</v>
      </c>
      <c r="ET52" s="2" t="str">
        <f>HYPERLINK(".\links\REFSEQ-INVERTEBRATE\AGAP029897-PA-REFSEQ-INVERTEBRATE.txt","nesprin-1 isoform X8")</f>
        <v>nesprin-1 isoform X8</v>
      </c>
      <c r="EU52" s="2" t="str">
        <f>HYPERLINK("http://www.ncbi.nlm.nih.gov/sutils/blink.cgi?pid=XP_035908669.1","0.0")</f>
        <v>0.0</v>
      </c>
      <c r="EV52" s="2" t="str">
        <f>HYPERLINK("http://www.ncbi.nlm.nih.gov/protein/XP_035908669.1","XP_035908669.1")</f>
        <v>XP_035908669.1</v>
      </c>
      <c r="EW52" s="2">
        <v>88</v>
      </c>
      <c r="EX52" s="2">
        <v>92</v>
      </c>
      <c r="EY52" s="2">
        <v>56</v>
      </c>
      <c r="EZ52" s="2" t="s">
        <v>184</v>
      </c>
    </row>
    <row r="53" spans="1:156" x14ac:dyDescent="0.25">
      <c r="A53" s="2" t="s">
        <v>776</v>
      </c>
      <c r="B53" s="2">
        <v>1.02964752312799</v>
      </c>
      <c r="C53" s="2">
        <v>2.0415254083592638</v>
      </c>
      <c r="D53" s="2">
        <v>5.9743991415026896</v>
      </c>
      <c r="E53" s="2">
        <v>13.858354904784401</v>
      </c>
      <c r="F53" s="2">
        <v>1.97118391903236E-4</v>
      </c>
      <c r="G53" s="2">
        <v>1.1724205234144001E-2</v>
      </c>
      <c r="H53" s="2" t="s">
        <v>86</v>
      </c>
      <c r="I53" s="2" t="s">
        <v>87</v>
      </c>
      <c r="J53" s="2" t="str">
        <f>HYPERLINK("https://vectorbase.org/vectorbase/app/record/gene/AGAP010961","AGAP010961-RA")</f>
        <v>AGAP010961-RA</v>
      </c>
      <c r="K53" s="2" t="str">
        <f>HYPERLINK(".\links\pep\AGAP010961-PA-pep.txt","AGAP010961-PA")</f>
        <v>AGAP010961-PA</v>
      </c>
      <c r="L53" s="8" t="s">
        <v>88</v>
      </c>
      <c r="M53" s="2">
        <v>525</v>
      </c>
      <c r="N53" s="2">
        <v>0</v>
      </c>
      <c r="O53" s="2">
        <v>4</v>
      </c>
      <c r="P53" s="2" t="s">
        <v>675</v>
      </c>
      <c r="Q53" s="9" t="s">
        <v>676</v>
      </c>
      <c r="R53" s="2" t="s">
        <v>147</v>
      </c>
      <c r="S53" s="2" t="str">
        <f>HYPERLINK(".\links\PFAM\AGAP010961-PA-PFAM.txt","PFAM")</f>
        <v>PFAM</v>
      </c>
      <c r="T53" s="2">
        <v>7E-72</v>
      </c>
      <c r="U53" s="2">
        <v>105.8</v>
      </c>
      <c r="V53" s="2" t="s">
        <v>777</v>
      </c>
      <c r="W53" s="10" t="s">
        <v>678</v>
      </c>
      <c r="X53" s="2" t="s">
        <v>147</v>
      </c>
      <c r="Y53" s="2" t="str">
        <f>HYPERLINK(".\links\REFSEQVERTEBRATE95\AGAP010961-PA-REFSEQVERTEBRATE95.txt","REFSEQVERTEBRATE95")</f>
        <v>REFSEQVERTEBRATE95</v>
      </c>
      <c r="Z53" s="2">
        <v>0</v>
      </c>
      <c r="AA53" s="2">
        <v>99</v>
      </c>
      <c r="AB53" s="11" t="s">
        <v>94</v>
      </c>
      <c r="AC53" s="11" t="str">
        <f>HYPERLINK(".\links\Sigp\AGAP010961-PA-SigP.txt","BL")</f>
        <v>BL</v>
      </c>
      <c r="AD53" s="2" t="s">
        <v>679</v>
      </c>
      <c r="AE53" s="2">
        <v>60.238999999999997</v>
      </c>
      <c r="AF53" s="2">
        <v>6.38</v>
      </c>
      <c r="AG53" s="2">
        <v>56.45</v>
      </c>
      <c r="AH53" s="2">
        <v>6.7</v>
      </c>
      <c r="AI53" s="2" t="s">
        <v>778</v>
      </c>
      <c r="AJ53" s="11" t="str">
        <f>HYPERLINK(".\links\tmhmm\AGAP010961-PA-tmhmm.txt","1")</f>
        <v>1</v>
      </c>
      <c r="AK53" s="2">
        <v>4.2</v>
      </c>
      <c r="AL53" s="2">
        <v>93.3</v>
      </c>
      <c r="AM53" s="2">
        <v>2.5</v>
      </c>
      <c r="AN53" s="11" t="str">
        <f>HYPERLINK(".\links\gpi\AGAP010961-PA-gpi.txt","N")</f>
        <v>N</v>
      </c>
      <c r="AO53" s="12" t="str">
        <f>HYPERLINK(".\links\netoglyc\AGAP010961-PA-netoglyc.txt","0")</f>
        <v>0</v>
      </c>
      <c r="AP53" s="11">
        <v>10.9</v>
      </c>
      <c r="AQ53" s="2">
        <v>5</v>
      </c>
      <c r="AR53" s="2">
        <v>6.9</v>
      </c>
      <c r="AS53" s="2" t="s">
        <v>97</v>
      </c>
      <c r="AT53" s="9" t="str">
        <f>HYPERLINK(".\links\NR-LIGHT\AGAP010961-PA-NR-LIGHT.txt","cytochrome P450")</f>
        <v>cytochrome P450</v>
      </c>
      <c r="AU53" s="2" t="str">
        <f>HYPERLINK("http://www.ncbi.nlm.nih.gov/sutils/blink.cgi?pid=ETN67647.1","0.0")</f>
        <v>0.0</v>
      </c>
      <c r="AV53" s="2" t="str">
        <f>HYPERLINK("http://www.ncbi.nlm.nih.gov/protein/ETN67647.1","ETN67647.1")</f>
        <v>ETN67647.1</v>
      </c>
      <c r="AW53" s="2">
        <v>81</v>
      </c>
      <c r="AX53" s="2">
        <v>90</v>
      </c>
      <c r="AY53" s="2">
        <v>99</v>
      </c>
      <c r="AZ53" s="2" t="s">
        <v>291</v>
      </c>
      <c r="BA53" s="9" t="str">
        <f>HYPERLINK(".\links\REFSEQ-INVERTEBRATE\AGAP010961-PA-REFSEQ-INVERTEBRATE.txt","AGAP010961-PA, partial")</f>
        <v>AGAP010961-PA, partial</v>
      </c>
      <c r="BB53" s="2" t="str">
        <f>HYPERLINK("http://www.ncbi.nlm.nih.gov/sutils/blink.cgi?pid=XP_563971.3","0.0")</f>
        <v>0.0</v>
      </c>
      <c r="BC53" s="2" t="str">
        <f>HYPERLINK("http://www.ncbi.nlm.nih.gov/protein/XP_563971.3","XP_563971.3")</f>
        <v>XP_563971.3</v>
      </c>
      <c r="BD53" s="2">
        <v>80</v>
      </c>
      <c r="BE53" s="2">
        <v>85</v>
      </c>
      <c r="BF53" s="2">
        <v>99</v>
      </c>
      <c r="BG53" s="2" t="s">
        <v>98</v>
      </c>
      <c r="BH53" s="9" t="str">
        <f>HYPERLINK(".\links\REFSEQ-PROTOZOA\AGAP010961-PA-REFSEQ-PROTOZOA.txt","cytochrome P450 family monooxygenase")</f>
        <v>cytochrome P450 family monooxygenase</v>
      </c>
      <c r="BI53" s="2" t="str">
        <f>HYPERLINK("http://www.ncbi.nlm.nih.gov/sutils/blink.cgi?pid=XP_001011947.1","2E-028")</f>
        <v>2E-028</v>
      </c>
      <c r="BJ53" s="2" t="str">
        <f>HYPERLINK("http://www.ncbi.nlm.nih.gov/protein/XP_001011947.1","XP_001011947.1")</f>
        <v>XP_001011947.1</v>
      </c>
      <c r="BK53" s="2">
        <v>25</v>
      </c>
      <c r="BL53" s="2">
        <v>43</v>
      </c>
      <c r="BM53" s="2">
        <v>102</v>
      </c>
      <c r="BN53" s="2" t="s">
        <v>681</v>
      </c>
      <c r="BO53" s="9" t="str">
        <f>HYPERLINK(".\links\SWISSP\AGAP010961-PA-SWISSP.txt","Cytochrome P450 6g1")</f>
        <v>Cytochrome P450 6g1</v>
      </c>
      <c r="BP53" s="2" t="str">
        <f>HYPERLINK("http://www.uniprot.org/uniprot/Q9V674","1E-107")</f>
        <v>1E-107</v>
      </c>
      <c r="BQ53" s="2" t="str">
        <f>HYPERLINK("http://www.uniprot.org/uniprot/Q9V674#expression","Q9V674")</f>
        <v>Q9V674</v>
      </c>
      <c r="BR53" s="2">
        <v>39</v>
      </c>
      <c r="BS53" s="2">
        <v>58</v>
      </c>
      <c r="BT53" s="2">
        <v>98</v>
      </c>
      <c r="BU53" s="2" t="s">
        <v>100</v>
      </c>
      <c r="BV53" s="9" t="str">
        <f>HYPERLINK(".\links\FLYBASE\AGAP010961-PA-FLYBASE.txt","FBpp0087117")</f>
        <v>FBpp0087117</v>
      </c>
      <c r="BW53" s="2" t="str">
        <f>HYPERLINK("http://flybase.org/reports/FBgn0033696#alliance_summary_container","1E-132")</f>
        <v>1E-132</v>
      </c>
      <c r="BX53" s="2">
        <v>519</v>
      </c>
      <c r="BY53" s="2">
        <v>39</v>
      </c>
      <c r="BZ53" s="2">
        <v>59</v>
      </c>
      <c r="CA53" s="2">
        <v>100</v>
      </c>
      <c r="CB53" s="9" t="str">
        <f>HYPERLINK(".\links\CDD\AGAP010961-PA-CDD.txt","p450, Cytochrome P450")</f>
        <v>p450, Cytochrome P450</v>
      </c>
      <c r="CC53" s="13">
        <v>3.0000000000000001E-71</v>
      </c>
      <c r="CD53" s="2">
        <v>105.9</v>
      </c>
      <c r="CE53" s="2" t="s">
        <v>101</v>
      </c>
      <c r="CF53" s="2" t="s">
        <v>779</v>
      </c>
      <c r="CG53" s="9" t="str">
        <f>HYPERLINK(".\links\KOG\AGAP010961-PA-KOG.txt","Cytochrome P450 CYP3/CYP5/CYP6/CYP9 subfamilies")</f>
        <v>Cytochrome P450 CYP3/CYP5/CYP6/CYP9 subfamilies</v>
      </c>
      <c r="CH53" s="13">
        <v>9.9999999999999995E-127</v>
      </c>
      <c r="CI53" s="2">
        <v>102.4</v>
      </c>
      <c r="CJ53" s="2" t="s">
        <v>103</v>
      </c>
      <c r="CK53" s="2" t="s">
        <v>104</v>
      </c>
      <c r="CL53" s="9" t="str">
        <f>HYPERLINK(".\links\PFAM\AGAP010961-PA-PFAM.txt","p450, Cytochrome P450")</f>
        <v>p450, Cytochrome P450</v>
      </c>
      <c r="CM53" s="13">
        <v>7E-72</v>
      </c>
      <c r="CN53" s="2">
        <v>105.9</v>
      </c>
      <c r="CO53" s="2" t="s">
        <v>101</v>
      </c>
      <c r="CP53" s="9" t="str">
        <f>HYPERLINK(".\links\SMART\AGAP010961-PA-SMART.txt","Bgal_small_N, Beta galactosidase small chain")</f>
        <v>Bgal_small_N, Beta galactosidase small chain</v>
      </c>
      <c r="CQ53" s="13">
        <v>0.57999999999999996</v>
      </c>
      <c r="CR53" s="2">
        <v>10.3</v>
      </c>
      <c r="CS53" s="2" t="s">
        <v>683</v>
      </c>
      <c r="CT53" s="2" t="s">
        <v>777</v>
      </c>
      <c r="CU53" s="2" t="s">
        <v>777</v>
      </c>
      <c r="CV53" s="2" t="s">
        <v>777</v>
      </c>
      <c r="CW53" s="2" t="str">
        <f>HYPERLINK(".\links\pep\AGAP010961-PA-pep.txt","AGAP010961-PA")</f>
        <v>AGAP010961-PA</v>
      </c>
      <c r="CX53" s="2" t="s">
        <v>88</v>
      </c>
      <c r="CY53" s="2">
        <v>525</v>
      </c>
      <c r="CZ53" s="2" t="s">
        <v>106</v>
      </c>
      <c r="DA53" s="2" t="s">
        <v>780</v>
      </c>
      <c r="DB53" s="2">
        <v>0</v>
      </c>
      <c r="DC53" s="2">
        <v>4</v>
      </c>
      <c r="DD53" s="2" t="str">
        <f>HYPERLINK("https://www.kegg.jp/kegg-bin/search_pathway_text?map=aga&amp;keyword=AGAP010961&amp;mode=1&amp;viewImage=true","AGAP010961")</f>
        <v>AGAP010961</v>
      </c>
      <c r="DE53" s="2" t="s">
        <v>776</v>
      </c>
      <c r="DF53" s="2" t="s">
        <v>86</v>
      </c>
      <c r="DG53" s="2" t="s">
        <v>87</v>
      </c>
      <c r="DH53" s="2" t="str">
        <f>HYPERLINK("https://vectorbase.org/vectorbase/app/record/gene/AGAP010961","AGAP010961-RA")</f>
        <v>AGAP010961-RA</v>
      </c>
      <c r="DI53" s="2" t="s">
        <v>143</v>
      </c>
      <c r="DJ53" s="2">
        <v>2007</v>
      </c>
      <c r="DK53" s="2" t="str">
        <f>HYPERLINK(".\links\netoglyc\AGAP010961-PA-netoglyc.txt","0")</f>
        <v>0</v>
      </c>
      <c r="DL53" s="2">
        <v>10.9</v>
      </c>
      <c r="DM53" s="2">
        <v>5</v>
      </c>
      <c r="DN53" s="2">
        <v>6.9</v>
      </c>
      <c r="DO53" s="2" t="s">
        <v>97</v>
      </c>
      <c r="DP53" s="2" t="s">
        <v>94</v>
      </c>
      <c r="DQ53" s="2" t="str">
        <f>HYPERLINK(".\links\Sigp\AGAP010961-PA-SigP.txt","BL")</f>
        <v>BL</v>
      </c>
      <c r="DR53" s="2" t="s">
        <v>679</v>
      </c>
      <c r="DS53" s="2">
        <v>60.238999999999997</v>
      </c>
      <c r="DT53" s="2">
        <v>6.38</v>
      </c>
      <c r="DU53" s="2">
        <v>56.45</v>
      </c>
      <c r="DV53" s="2">
        <v>6.7</v>
      </c>
      <c r="DW53" s="2" t="s">
        <v>778</v>
      </c>
      <c r="DX53" s="2">
        <v>525</v>
      </c>
      <c r="DY53" s="8" t="str">
        <f>HYPERLINK(".\links\tmhmm\AGAP010961-PA-tmhmm.txt","1")</f>
        <v>1</v>
      </c>
      <c r="DZ53" s="2">
        <v>4.2</v>
      </c>
      <c r="EA53" s="2">
        <v>93.3</v>
      </c>
      <c r="EB53" s="2">
        <v>2.5</v>
      </c>
      <c r="EC53" s="2" t="str">
        <f>HYPERLINK(".\links\gpi\AGAP010961-PA-gpi.txt","N")</f>
        <v>N</v>
      </c>
      <c r="ED53" s="2">
        <v>0.24</v>
      </c>
      <c r="EF53" s="2">
        <v>8</v>
      </c>
      <c r="EG53" s="2" t="s">
        <v>94</v>
      </c>
      <c r="EH53" s="2" t="s">
        <v>94</v>
      </c>
      <c r="EI53" s="2">
        <v>10.8571428571429</v>
      </c>
      <c r="EJ53" s="2">
        <v>6.8571428571428603</v>
      </c>
      <c r="EK53" s="2">
        <v>4.9523809523809499</v>
      </c>
      <c r="EL53" s="2">
        <v>11.8095238095238</v>
      </c>
      <c r="EM53" s="2">
        <v>1</v>
      </c>
      <c r="EN53" s="2">
        <v>2</v>
      </c>
      <c r="EO53" s="2">
        <v>2</v>
      </c>
      <c r="EP53" s="2" t="s">
        <v>94</v>
      </c>
      <c r="EQ53" s="2" t="s">
        <v>94</v>
      </c>
      <c r="ER53" s="2" t="s">
        <v>94</v>
      </c>
      <c r="ES53" s="2" t="s">
        <v>94</v>
      </c>
      <c r="ET53" s="2" t="str">
        <f>HYPERLINK(".\links\REFSEQ-INVERTEBRATE\AGAP010961-PA-REFSEQ-INVERTEBRATE.txt","probable cytochrome P450 6g2 isoform X1")</f>
        <v>probable cytochrome P450 6g2 isoform X1</v>
      </c>
      <c r="EU53" s="2" t="str">
        <f>HYPERLINK("http://www.ncbi.nlm.nih.gov/sutils/blink.cgi?pid=XP_035895857.1","0.0")</f>
        <v>0.0</v>
      </c>
      <c r="EV53" s="2" t="str">
        <f>HYPERLINK("http://www.ncbi.nlm.nih.gov/protein/XP_035895857.1","XP_035895857.1")</f>
        <v>XP_035895857.1</v>
      </c>
      <c r="EW53" s="2">
        <v>88</v>
      </c>
      <c r="EX53" s="2">
        <v>94</v>
      </c>
      <c r="EY53" s="2">
        <v>100</v>
      </c>
      <c r="EZ53" s="2" t="s">
        <v>184</v>
      </c>
    </row>
    <row r="54" spans="1:156" x14ac:dyDescent="0.25">
      <c r="A54" s="2" t="s">
        <v>781</v>
      </c>
      <c r="B54" s="2">
        <v>1.0262335751970499</v>
      </c>
      <c r="C54" s="2">
        <v>2.0367001186382137</v>
      </c>
      <c r="D54" s="2">
        <v>5.6908833190842802</v>
      </c>
      <c r="E54" s="2">
        <v>21.608250665849599</v>
      </c>
      <c r="F54" s="2">
        <v>3.3441019948615999E-6</v>
      </c>
      <c r="G54" s="2">
        <v>5.36019873989935E-4</v>
      </c>
      <c r="H54" s="2" t="s">
        <v>782</v>
      </c>
      <c r="I54" s="2" t="s">
        <v>87</v>
      </c>
      <c r="J54" s="2" t="str">
        <f>HYPERLINK("https://vectorbase.org/vectorbase/app/record/gene/AGAP001751","AGAP001751-RE")</f>
        <v>AGAP001751-RE</v>
      </c>
      <c r="K54" s="2" t="str">
        <f>HYPERLINK(".\links\pep\AGAP001751-PE-pep.txt","AGAP001751-PE")</f>
        <v>AGAP001751-PE</v>
      </c>
      <c r="L54" s="8" t="s">
        <v>88</v>
      </c>
      <c r="M54" s="2">
        <v>1169</v>
      </c>
      <c r="N54" s="2">
        <v>0</v>
      </c>
      <c r="O54" s="2">
        <v>6</v>
      </c>
      <c r="P54" s="2" t="s">
        <v>783</v>
      </c>
      <c r="Q54" s="9" t="s">
        <v>783</v>
      </c>
      <c r="R54" s="2" t="s">
        <v>286</v>
      </c>
      <c r="S54" s="2" t="str">
        <f>HYPERLINK(".\links\KOG\AGAP001751-PE-KOG.txt","KOG")</f>
        <v>KOG</v>
      </c>
      <c r="T54" s="2">
        <v>7.9999999999999996E-57</v>
      </c>
      <c r="U54" s="2">
        <v>102</v>
      </c>
      <c r="V54" s="2" t="s">
        <v>784</v>
      </c>
      <c r="W54" s="10" t="s">
        <v>785</v>
      </c>
      <c r="X54" s="2" t="s">
        <v>380</v>
      </c>
      <c r="Y54" s="2" t="str">
        <f>HYPERLINK(".\links\REFSEQVERTEBRATE95\AGAP001751-PE-REFSEQVERTEBRATE95.txt","REFSEQVERTEBRATE95")</f>
        <v>REFSEQVERTEBRATE95</v>
      </c>
      <c r="Z54" s="13">
        <v>9.9999999999999996E-76</v>
      </c>
      <c r="AA54" s="2">
        <v>35.9</v>
      </c>
      <c r="AB54" s="11" t="str">
        <f>HYPERLINK(".\links\pep\AGAP001751-PE-sulf.txt","1")</f>
        <v>1</v>
      </c>
      <c r="AC54" s="11" t="str">
        <f>HYPERLINK(".\links\Sigp\AGAP001751-PE-SigP.txt","CYT")</f>
        <v>CYT</v>
      </c>
      <c r="AD54" s="2" t="s">
        <v>94</v>
      </c>
      <c r="AE54" s="2">
        <v>125.04</v>
      </c>
      <c r="AF54" s="2">
        <v>5.73</v>
      </c>
      <c r="AG54" s="2" t="s">
        <v>94</v>
      </c>
      <c r="AH54" s="2" t="s">
        <v>94</v>
      </c>
      <c r="AI54" s="2" t="s">
        <v>348</v>
      </c>
      <c r="AJ54" s="11">
        <v>0</v>
      </c>
      <c r="AK54" s="2" t="s">
        <v>94</v>
      </c>
      <c r="AL54" s="2" t="s">
        <v>94</v>
      </c>
      <c r="AM54" s="2" t="s">
        <v>94</v>
      </c>
      <c r="AN54" s="11" t="str">
        <f>HYPERLINK(".\links\gpi\AGAP001751-PE-gpi.txt","N")</f>
        <v>N</v>
      </c>
      <c r="AO54" s="12" t="str">
        <f>HYPERLINK(".\links\netoglyc\AGAP001751-PE-netoglyc.txt","5")</f>
        <v>5</v>
      </c>
      <c r="AP54" s="11">
        <v>20.3</v>
      </c>
      <c r="AQ54" s="2">
        <v>9.5</v>
      </c>
      <c r="AR54" s="2">
        <v>6.1</v>
      </c>
      <c r="AS54" s="2" t="s">
        <v>97</v>
      </c>
      <c r="AT54" s="9" t="str">
        <f>HYPERLINK(".\links\NR-LIGHT\AGAP001751-PE-NR-LIGHT.txt","AGAP001751-PE")</f>
        <v>AGAP001751-PE</v>
      </c>
      <c r="AU54" s="2" t="str">
        <f>HYPERLINK("http://www.ncbi.nlm.nih.gov/sutils/blink.cgi?pid=XP_003435918.1","0.0")</f>
        <v>0.0</v>
      </c>
      <c r="AV54" s="2" t="str">
        <f>HYPERLINK("http://www.ncbi.nlm.nih.gov/protein/XP_003435918.1","XP_003435918.1")</f>
        <v>XP_003435918.1</v>
      </c>
      <c r="AW54" s="2">
        <v>100</v>
      </c>
      <c r="AX54" s="2">
        <v>100</v>
      </c>
      <c r="AY54" s="2">
        <v>100</v>
      </c>
      <c r="AZ54" s="2" t="s">
        <v>98</v>
      </c>
      <c r="BA54" s="9" t="str">
        <f>HYPERLINK(".\links\REFSEQ-INVERTEBRATE\AGAP001751-PE-REFSEQ-INVERTEBRATE.txt","AGAP001751-PE")</f>
        <v>AGAP001751-PE</v>
      </c>
      <c r="BB54" s="2" t="str">
        <f>HYPERLINK("http://www.ncbi.nlm.nih.gov/sutils/blink.cgi?pid=XP_003435918.1","0.0")</f>
        <v>0.0</v>
      </c>
      <c r="BC54" s="2" t="str">
        <f>HYPERLINK("http://www.ncbi.nlm.nih.gov/protein/XP_003435918.1","XP_003435918.1")</f>
        <v>XP_003435918.1</v>
      </c>
      <c r="BD54" s="2">
        <v>100</v>
      </c>
      <c r="BE54" s="2">
        <v>100</v>
      </c>
      <c r="BF54" s="2">
        <v>100</v>
      </c>
      <c r="BG54" s="2" t="s">
        <v>98</v>
      </c>
      <c r="BH54" s="9" t="str">
        <f>HYPERLINK(".\links\REFSEQ-PROTOZOA\AGAP001751-PE-REFSEQ-PROTOZOA.txt","hypothetical protein DFA_00552")</f>
        <v>hypothetical protein DFA_00552</v>
      </c>
      <c r="BI54" s="2" t="str">
        <f>HYPERLINK("http://www.ncbi.nlm.nih.gov/sutils/blink.cgi?pid=XP_004358541.1","2E-033")</f>
        <v>2E-033</v>
      </c>
      <c r="BJ54" s="2" t="str">
        <f>HYPERLINK("http://www.ncbi.nlm.nih.gov/protein/XP_004358541.1","XP_004358541.1")</f>
        <v>XP_004358541.1</v>
      </c>
      <c r="BK54" s="2">
        <v>36</v>
      </c>
      <c r="BL54" s="2">
        <v>54</v>
      </c>
      <c r="BM54" s="2">
        <v>14</v>
      </c>
      <c r="BN54" s="2" t="s">
        <v>786</v>
      </c>
      <c r="BO54" s="9" t="str">
        <f>HYPERLINK(".\links\SWISSP\AGAP001751-PE-SWISSP.txt","Nuclear receptor coactivator 7")</f>
        <v>Nuclear receptor coactivator 7</v>
      </c>
      <c r="BP54" s="2" t="str">
        <f>HYPERLINK("http://www.uniprot.org/uniprot/Q8NI08","2E-070")</f>
        <v>2E-070</v>
      </c>
      <c r="BQ54" s="2" t="str">
        <f>HYPERLINK("http://www.uniprot.org/uniprot/Q8NI08#expression","Q8NI08")</f>
        <v>Q8NI08</v>
      </c>
      <c r="BR54" s="2">
        <v>39</v>
      </c>
      <c r="BS54" s="2">
        <v>60</v>
      </c>
      <c r="BT54" s="2">
        <v>36</v>
      </c>
      <c r="BU54" s="2" t="s">
        <v>196</v>
      </c>
      <c r="BV54" s="9" t="str">
        <f>HYPERLINK(".\links\FLYBASE\AGAP001751-PE-FLYBASE.txt","FBpp0271941")</f>
        <v>FBpp0271941</v>
      </c>
      <c r="BW54" s="2" t="str">
        <f>HYPERLINK("http://flybase.org/reports/FBgn0013576#alliance_summary_container","0.0")</f>
        <v>0.0</v>
      </c>
      <c r="BX54" s="2">
        <v>1106</v>
      </c>
      <c r="BY54" s="2">
        <v>59</v>
      </c>
      <c r="BZ54" s="2">
        <v>68</v>
      </c>
      <c r="CA54" s="2">
        <v>103</v>
      </c>
      <c r="CB54" s="9" t="str">
        <f>HYPERLINK(".\links\CDD\AGAP001751-PE-CDD.txt","TLDc, domain in TBC and LysM domain containing proteins")</f>
        <v>TLDc, domain in TBC and LysM domain containing proteins</v>
      </c>
      <c r="CC54" s="13">
        <v>7.9999999999999998E-60</v>
      </c>
      <c r="CD54" s="2">
        <v>100</v>
      </c>
      <c r="CE54" s="2" t="s">
        <v>787</v>
      </c>
      <c r="CF54" s="2" t="s">
        <v>788</v>
      </c>
      <c r="CG54" s="9" t="str">
        <f>HYPERLINK(".\links\KOG\AGAP001751-PE-KOG.txt","Oxidation resistance protein")</f>
        <v>Oxidation resistance protein</v>
      </c>
      <c r="CH54" s="13">
        <v>7.9999999999999996E-57</v>
      </c>
      <c r="CI54" s="2">
        <v>102.9</v>
      </c>
      <c r="CJ54" s="2" t="s">
        <v>789</v>
      </c>
      <c r="CK54" s="2" t="s">
        <v>790</v>
      </c>
      <c r="CL54" s="9" t="str">
        <f>HYPERLINK(".\links\PFAM\AGAP001751-PE-PFAM.txt","TLD, TLD")</f>
        <v>TLD, TLD</v>
      </c>
      <c r="CM54" s="13">
        <v>1.0000000000000001E-37</v>
      </c>
      <c r="CN54" s="2">
        <v>100.7</v>
      </c>
      <c r="CO54" s="2" t="s">
        <v>791</v>
      </c>
      <c r="CP54" s="9" t="str">
        <f>HYPERLINK(".\links\SMART\AGAP001751-PE-SMART.txt","TLDc, domain in TBC and LysM domain containing proteins")</f>
        <v>TLDc, domain in TBC and LysM domain containing proteins</v>
      </c>
      <c r="CQ54" s="13">
        <v>6.0000000000000002E-62</v>
      </c>
      <c r="CR54" s="2">
        <v>100</v>
      </c>
      <c r="CS54" s="2" t="s">
        <v>787</v>
      </c>
      <c r="CT54" s="2" t="s">
        <v>784</v>
      </c>
      <c r="CU54" s="2" t="s">
        <v>784</v>
      </c>
      <c r="CV54" s="2" t="s">
        <v>784</v>
      </c>
      <c r="CW54" s="2" t="str">
        <f>HYPERLINK(".\links\pep\AGAP001751-PE-pep.txt","AGAP001751-PE")</f>
        <v>AGAP001751-PE</v>
      </c>
      <c r="CX54" s="2" t="s">
        <v>88</v>
      </c>
      <c r="CY54" s="2">
        <v>1169</v>
      </c>
      <c r="CZ54" s="2" t="s">
        <v>106</v>
      </c>
      <c r="DA54" s="2" t="s">
        <v>792</v>
      </c>
      <c r="DB54" s="2">
        <v>0</v>
      </c>
      <c r="DC54" s="2">
        <v>6</v>
      </c>
      <c r="DD54" s="2" t="str">
        <f>HYPERLINK("https://www.kegg.jp/kegg-bin/search_pathway_text?map=aga&amp;keyword=AGAP001751&amp;mode=1&amp;viewImage=true","AGAP001751")</f>
        <v>AGAP001751</v>
      </c>
      <c r="DE54" s="2" t="s">
        <v>781</v>
      </c>
      <c r="DF54" s="2" t="s">
        <v>782</v>
      </c>
      <c r="DG54" s="2" t="s">
        <v>87</v>
      </c>
      <c r="DH54" s="2" t="str">
        <f>HYPERLINK("https://vectorbase.org/vectorbase/app/record/gene/AGAP001751","AGAP001751-RE")</f>
        <v>AGAP001751-RE</v>
      </c>
      <c r="DI54" s="2" t="s">
        <v>250</v>
      </c>
      <c r="DJ54" s="2">
        <v>4212</v>
      </c>
      <c r="DK54" s="2" t="str">
        <f>HYPERLINK(".\links\netoglyc\AGAP001751-PE-netoglyc.txt","5")</f>
        <v>5</v>
      </c>
      <c r="DL54" s="2">
        <v>20.3</v>
      </c>
      <c r="DM54" s="2">
        <v>9.5</v>
      </c>
      <c r="DN54" s="2">
        <v>6.1</v>
      </c>
      <c r="DO54" s="2" t="s">
        <v>97</v>
      </c>
      <c r="DP54" s="2" t="s">
        <v>793</v>
      </c>
      <c r="DQ54" s="2" t="str">
        <f>HYPERLINK(".\links\Sigp\AGAP001751-PE-SigP.txt","CYT")</f>
        <v>CYT</v>
      </c>
      <c r="DR54" s="2" t="s">
        <v>94</v>
      </c>
      <c r="DS54" s="2">
        <v>125.04</v>
      </c>
      <c r="DT54" s="2">
        <v>5.73</v>
      </c>
      <c r="DU54" s="2" t="s">
        <v>94</v>
      </c>
      <c r="DV54" s="2" t="s">
        <v>94</v>
      </c>
      <c r="DW54" s="2" t="s">
        <v>348</v>
      </c>
      <c r="DX54" s="2">
        <v>1169</v>
      </c>
      <c r="DY54" s="8">
        <v>0</v>
      </c>
      <c r="DZ54" s="2" t="s">
        <v>94</v>
      </c>
      <c r="EA54" s="2" t="s">
        <v>94</v>
      </c>
      <c r="EB54" s="2" t="s">
        <v>94</v>
      </c>
      <c r="EC54" s="2" t="str">
        <f>HYPERLINK(".\links\gpi\AGAP001751-PE-gpi.txt","N")</f>
        <v>N</v>
      </c>
      <c r="ED54" s="2">
        <v>0.23</v>
      </c>
      <c r="EF54" s="2">
        <v>13</v>
      </c>
      <c r="EG54" s="2" t="str">
        <f>HYPERLINK(".\links\pep\AGAP001751-PE-sulf.txt","1")</f>
        <v>1</v>
      </c>
      <c r="EH54" s="2" t="s">
        <v>94</v>
      </c>
      <c r="EI54" s="2">
        <v>20.2737382378101</v>
      </c>
      <c r="EJ54" s="2">
        <v>6.07356715141146</v>
      </c>
      <c r="EK54" s="2">
        <v>9.4952951240376393</v>
      </c>
      <c r="EL54" s="2">
        <v>15.568862275449099</v>
      </c>
      <c r="EM54" s="2">
        <v>2</v>
      </c>
      <c r="EN54" s="2">
        <v>3</v>
      </c>
      <c r="EO54" s="2">
        <v>3</v>
      </c>
      <c r="EP54" s="2" t="s">
        <v>94</v>
      </c>
      <c r="EQ54" s="2" t="s">
        <v>94</v>
      </c>
      <c r="ER54" s="2" t="s">
        <v>94</v>
      </c>
      <c r="ES54" s="2" t="s">
        <v>94</v>
      </c>
      <c r="ET54" s="2" t="str">
        <f>HYPERLINK(".\links\REFSEQ-INVERTEBRATE\AGAP001751-PE-REFSEQ-INVERTEBRATE.txt","AGAP001751-PE")</f>
        <v>AGAP001751-PE</v>
      </c>
      <c r="EU54" s="2" t="str">
        <f>HYPERLINK("http://www.ncbi.nlm.nih.gov/sutils/blink.cgi?pid=XP_003435918.1","0.0")</f>
        <v>0.0</v>
      </c>
      <c r="EV54" s="2" t="str">
        <f>HYPERLINK("http://www.ncbi.nlm.nih.gov/protein/XP_003435918.1","XP_003435918.1")</f>
        <v>XP_003435918.1</v>
      </c>
      <c r="EW54" s="2">
        <v>100</v>
      </c>
      <c r="EX54" s="2">
        <v>100</v>
      </c>
      <c r="EY54" s="2">
        <v>100</v>
      </c>
      <c r="EZ54" s="2" t="s">
        <v>98</v>
      </c>
    </row>
    <row r="55" spans="1:156" x14ac:dyDescent="0.25">
      <c r="A55" s="2" t="s">
        <v>794</v>
      </c>
      <c r="B55" s="2">
        <v>1.02213029446347</v>
      </c>
      <c r="C55" s="2">
        <v>2.0309156120256282</v>
      </c>
      <c r="D55" s="2">
        <v>4.3098742496101696</v>
      </c>
      <c r="E55" s="2">
        <v>27.713882969091799</v>
      </c>
      <c r="F55" s="2">
        <v>1.4064970231995199E-7</v>
      </c>
      <c r="G55" s="2">
        <v>5.3204969393591401E-5</v>
      </c>
      <c r="H55" s="2" t="s">
        <v>795</v>
      </c>
      <c r="I55" s="2" t="s">
        <v>87</v>
      </c>
      <c r="J55" s="2" t="str">
        <f>HYPERLINK("https://vectorbase.org/vectorbase/app/record/gene/AGAP011421","AGAP011421-RA")</f>
        <v>AGAP011421-RA</v>
      </c>
      <c r="K55" s="2" t="str">
        <f>HYPERLINK(".\links\pep\AGAP011421-PA-pep.txt","AGAP011421-PA")</f>
        <v>AGAP011421-PA</v>
      </c>
      <c r="L55" s="8" t="s">
        <v>88</v>
      </c>
      <c r="M55" s="2">
        <v>1292</v>
      </c>
      <c r="N55" s="2">
        <v>0</v>
      </c>
      <c r="O55" s="2">
        <v>0</v>
      </c>
      <c r="P55" s="2" t="s">
        <v>796</v>
      </c>
      <c r="Q55" s="9" t="s">
        <v>797</v>
      </c>
      <c r="R55" s="2" t="s">
        <v>347</v>
      </c>
      <c r="S55" s="2" t="str">
        <f>HYPERLINK(".\links\KOG\AGAP011421-PA-KOG.txt","KOG")</f>
        <v>KOG</v>
      </c>
      <c r="T55" s="2">
        <v>0</v>
      </c>
      <c r="U55" s="2">
        <v>70.900000000000006</v>
      </c>
      <c r="V55" s="2" t="s">
        <v>798</v>
      </c>
      <c r="W55" s="10" t="s">
        <v>799</v>
      </c>
      <c r="X55" s="2" t="s">
        <v>347</v>
      </c>
      <c r="Y55" s="2" t="str">
        <f>HYPERLINK(".\links\CDD\AGAP011421-PA-CDD.txt","CDD")</f>
        <v>CDD</v>
      </c>
      <c r="Z55" s="13">
        <v>6.0000000000000002E-62</v>
      </c>
      <c r="AA55" s="2">
        <v>100</v>
      </c>
      <c r="AB55" s="11" t="s">
        <v>94</v>
      </c>
      <c r="AC55" s="11" t="str">
        <f>HYPERLINK(".\links\Sigp\AGAP011421-PA-SigP.txt","CYT")</f>
        <v>CYT</v>
      </c>
      <c r="AD55" s="2" t="s">
        <v>94</v>
      </c>
      <c r="AE55" s="2">
        <v>139.251</v>
      </c>
      <c r="AF55" s="2">
        <v>9.41</v>
      </c>
      <c r="AG55" s="2" t="s">
        <v>94</v>
      </c>
      <c r="AH55" s="2" t="s">
        <v>94</v>
      </c>
      <c r="AI55" s="2" t="s">
        <v>242</v>
      </c>
      <c r="AJ55" s="11">
        <v>0</v>
      </c>
      <c r="AK55" s="2" t="s">
        <v>94</v>
      </c>
      <c r="AL55" s="2" t="s">
        <v>94</v>
      </c>
      <c r="AM55" s="2" t="s">
        <v>94</v>
      </c>
      <c r="AN55" s="11" t="str">
        <f>HYPERLINK(".\links\gpi\AGAP011421-PA-gpi.txt","N")</f>
        <v>N</v>
      </c>
      <c r="AO55" s="12" t="str">
        <f>HYPERLINK(".\links\netoglyc\AGAP011421-PA-netoglyc.txt","5")</f>
        <v>5</v>
      </c>
      <c r="AP55" s="11">
        <v>18.7</v>
      </c>
      <c r="AQ55" s="2">
        <v>9.4</v>
      </c>
      <c r="AR55" s="2">
        <v>4.5999999999999996</v>
      </c>
      <c r="AS55" s="2" t="s">
        <v>97</v>
      </c>
      <c r="AT55" s="9" t="str">
        <f>HYPERLINK(".\links\NR-LIGHT\AGAP011421-PA-NR-LIGHT.txt","guanyl-nucleotide exchange factor")</f>
        <v>guanyl-nucleotide exchange factor</v>
      </c>
      <c r="AU55" s="2" t="str">
        <f>HYPERLINK("http://www.ncbi.nlm.nih.gov/sutils/blink.cgi?pid=KFB49914.1","0.0")</f>
        <v>0.0</v>
      </c>
      <c r="AV55" s="2" t="str">
        <f>HYPERLINK("http://www.ncbi.nlm.nih.gov/protein/KFB49914.1","KFB49914.1")</f>
        <v>KFB49914.1</v>
      </c>
      <c r="AW55" s="2">
        <v>83</v>
      </c>
      <c r="AX55" s="2">
        <v>85</v>
      </c>
      <c r="AY55" s="2">
        <v>100</v>
      </c>
      <c r="AZ55" s="2" t="s">
        <v>174</v>
      </c>
      <c r="BA55" s="9" t="str">
        <f>HYPERLINK(".\links\REFSEQ-INVERTEBRATE\AGAP011421-PA-REFSEQ-INVERTEBRATE.txt","IQ motif and SEC7 domain-containing protein 1 isoform X7")</f>
        <v>IQ motif and SEC7 domain-containing protein 1 isoform X7</v>
      </c>
      <c r="BB55" s="2" t="str">
        <f>HYPERLINK("http://www.ncbi.nlm.nih.gov/sutils/blink.cgi?pid=XP_021710897.1","0.0")</f>
        <v>0.0</v>
      </c>
      <c r="BC55" s="2" t="str">
        <f>HYPERLINK("http://www.ncbi.nlm.nih.gov/protein/XP_021710897.1","XP_021710897.1")</f>
        <v>XP_021710897.1</v>
      </c>
      <c r="BD55" s="2">
        <v>71</v>
      </c>
      <c r="BE55" s="2">
        <v>75</v>
      </c>
      <c r="BF55" s="2">
        <v>114</v>
      </c>
      <c r="BG55" s="2" t="s">
        <v>175</v>
      </c>
      <c r="BH55" s="9" t="str">
        <f>HYPERLINK(".\links\REFSEQ-PROTOZOA\AGAP011421-PA-REFSEQ-PROTOZOA.txt","cytohesin-4")</f>
        <v>cytohesin-4</v>
      </c>
      <c r="BI55" s="2" t="str">
        <f>HYPERLINK("http://www.ncbi.nlm.nih.gov/sutils/blink.cgi?pid=XP_004349099.1","8E-064")</f>
        <v>8E-064</v>
      </c>
      <c r="BJ55" s="2" t="str">
        <f>HYPERLINK("http://www.ncbi.nlm.nih.gov/protein/XP_004349099.1","XP_004349099.1")</f>
        <v>XP_004349099.1</v>
      </c>
      <c r="BK55" s="2">
        <v>26</v>
      </c>
      <c r="BL55" s="2">
        <v>40</v>
      </c>
      <c r="BM55" s="2">
        <v>88</v>
      </c>
      <c r="BN55" s="2" t="s">
        <v>227</v>
      </c>
      <c r="BO55" s="9" t="str">
        <f>HYPERLINK(".\links\SWISSP\AGAP011421-PA-SWISSP.txt","IQ motif and SEC7 domain-containing protein 1")</f>
        <v>IQ motif and SEC7 domain-containing protein 1</v>
      </c>
      <c r="BP55" s="2" t="str">
        <f>HYPERLINK("http://www.uniprot.org/uniprot/Q6DN90","1E-128")</f>
        <v>1E-128</v>
      </c>
      <c r="BQ55" s="2" t="str">
        <f>HYPERLINK("http://www.uniprot.org/uniprot/Q6DN90#expression","Q6DN90")</f>
        <v>Q6DN90</v>
      </c>
      <c r="BR55" s="2">
        <v>49</v>
      </c>
      <c r="BS55" s="2">
        <v>64</v>
      </c>
      <c r="BT55" s="2">
        <v>55</v>
      </c>
      <c r="BU55" s="2" t="s">
        <v>196</v>
      </c>
      <c r="BV55" s="9" t="str">
        <f>HYPERLINK(".\links\FLYBASE\AGAP011421-PA-FLYBASE.txt","FBpp0290817")</f>
        <v>FBpp0290817</v>
      </c>
      <c r="BW55" s="2" t="str">
        <f>HYPERLINK("http://flybase.org/reports/FBgn0026179#alliance_summary_container","0.0")</f>
        <v>0.0</v>
      </c>
      <c r="BX55" s="2">
        <v>1220</v>
      </c>
      <c r="BY55" s="2">
        <v>83</v>
      </c>
      <c r="BZ55" s="2">
        <v>89</v>
      </c>
      <c r="CA55" s="2">
        <v>38</v>
      </c>
      <c r="CB55" s="9" t="str">
        <f>HYPERLINK(".\links\CDD\AGAP011421-PA-CDD.txt","Sec7, Sec7 domain")</f>
        <v>Sec7, Sec7 domain</v>
      </c>
      <c r="CC55" s="13">
        <v>2E-79</v>
      </c>
      <c r="CD55" s="2">
        <v>103.3</v>
      </c>
      <c r="CE55" s="2" t="s">
        <v>800</v>
      </c>
      <c r="CF55" s="2" t="s">
        <v>801</v>
      </c>
      <c r="CG55" s="9" t="str">
        <f>HYPERLINK(".\links\KOG\AGAP011421-PA-KOG.txt","contains Sec7 domain")</f>
        <v>contains Sec7 domain</v>
      </c>
      <c r="CH55" s="13">
        <v>9.9999999999999994E-149</v>
      </c>
      <c r="CI55" s="2">
        <v>71</v>
      </c>
      <c r="CJ55" s="2" t="s">
        <v>802</v>
      </c>
      <c r="CK55" s="2" t="s">
        <v>482</v>
      </c>
      <c r="CL55" s="9" t="str">
        <f>HYPERLINK(".\links\PFAM\AGAP011421-PA-PFAM.txt","Sec7, Sec7 domain")</f>
        <v>Sec7, Sec7 domain</v>
      </c>
      <c r="CM55" s="13">
        <v>3.9999999999999998E-80</v>
      </c>
      <c r="CN55" s="2">
        <v>103.3</v>
      </c>
      <c r="CO55" s="2" t="s">
        <v>800</v>
      </c>
      <c r="CP55" s="9" t="str">
        <f>HYPERLINK(".\links\SMART\AGAP011421-PA-SMART.txt","Sec7, Sec7 domain")</f>
        <v>Sec7, Sec7 domain</v>
      </c>
      <c r="CQ55" s="13">
        <v>4.0000000000000002E-62</v>
      </c>
      <c r="CR55" s="2">
        <v>100.5</v>
      </c>
      <c r="CS55" s="2" t="s">
        <v>803</v>
      </c>
      <c r="CT55" s="2" t="s">
        <v>798</v>
      </c>
      <c r="CU55" s="2" t="s">
        <v>798</v>
      </c>
      <c r="CV55" s="2" t="s">
        <v>798</v>
      </c>
      <c r="CW55" s="2" t="str">
        <f>HYPERLINK(".\links\pep\AGAP011421-PA-pep.txt","AGAP011421-PA")</f>
        <v>AGAP011421-PA</v>
      </c>
      <c r="CX55" s="2" t="s">
        <v>88</v>
      </c>
      <c r="CY55" s="2">
        <v>1292</v>
      </c>
      <c r="CZ55" s="2" t="s">
        <v>106</v>
      </c>
      <c r="DA55" s="2" t="s">
        <v>804</v>
      </c>
      <c r="DB55" s="2">
        <v>0</v>
      </c>
      <c r="DC55" s="2">
        <v>0</v>
      </c>
      <c r="DD55" s="2" t="str">
        <f>HYPERLINK("https://www.kegg.jp/kegg-bin/search_pathway_text?map=aga&amp;keyword=AGAP011421&amp;mode=1&amp;viewImage=true","AGAP011421")</f>
        <v>AGAP011421</v>
      </c>
      <c r="DE55" s="2" t="s">
        <v>794</v>
      </c>
      <c r="DF55" s="2" t="s">
        <v>795</v>
      </c>
      <c r="DG55" s="2" t="s">
        <v>87</v>
      </c>
      <c r="DH55" s="2" t="str">
        <f>HYPERLINK("https://vectorbase.org/vectorbase/app/record/gene/AGAP011421","AGAP011421-RA")</f>
        <v>AGAP011421-RA</v>
      </c>
      <c r="DI55" s="2" t="s">
        <v>108</v>
      </c>
      <c r="DJ55" s="2">
        <v>8569</v>
      </c>
      <c r="DK55" s="2" t="str">
        <f>HYPERLINK(".\links\netoglyc\AGAP011421-PA-netoglyc.txt","5")</f>
        <v>5</v>
      </c>
      <c r="DL55" s="2">
        <v>18.7</v>
      </c>
      <c r="DM55" s="2">
        <v>9.4</v>
      </c>
      <c r="DN55" s="2">
        <v>4.5999999999999996</v>
      </c>
      <c r="DO55" s="2" t="s">
        <v>97</v>
      </c>
      <c r="DP55" s="2" t="s">
        <v>94</v>
      </c>
      <c r="DQ55" s="2" t="str">
        <f>HYPERLINK(".\links\Sigp\AGAP011421-PA-SigP.txt","CYT")</f>
        <v>CYT</v>
      </c>
      <c r="DR55" s="2" t="s">
        <v>94</v>
      </c>
      <c r="DS55" s="2">
        <v>139.251</v>
      </c>
      <c r="DT55" s="2">
        <v>9.41</v>
      </c>
      <c r="DU55" s="2" t="s">
        <v>94</v>
      </c>
      <c r="DV55" s="2" t="s">
        <v>94</v>
      </c>
      <c r="DW55" s="2" t="s">
        <v>242</v>
      </c>
      <c r="DX55" s="2">
        <v>1292</v>
      </c>
      <c r="DY55" s="8">
        <v>0</v>
      </c>
      <c r="DZ55" s="2" t="s">
        <v>94</v>
      </c>
      <c r="EA55" s="2" t="s">
        <v>94</v>
      </c>
      <c r="EB55" s="2" t="s">
        <v>94</v>
      </c>
      <c r="EC55" s="2" t="str">
        <f>HYPERLINK(".\links\gpi\AGAP011421-PA-gpi.txt","Y-NoSP")</f>
        <v>Y-NoSP</v>
      </c>
      <c r="ED55" s="2">
        <v>0.28999999999999998</v>
      </c>
      <c r="EF55" s="2">
        <v>16</v>
      </c>
      <c r="EG55" s="2" t="s">
        <v>94</v>
      </c>
      <c r="EH55" s="2" t="s">
        <v>94</v>
      </c>
      <c r="EI55" s="2">
        <v>18.730650154798798</v>
      </c>
      <c r="EJ55" s="2">
        <v>4.6439628482972104</v>
      </c>
      <c r="EK55" s="2">
        <v>9.4427244582043404</v>
      </c>
      <c r="EL55" s="2">
        <v>14.086687306501499</v>
      </c>
      <c r="EM55" s="2">
        <v>4</v>
      </c>
      <c r="EN55" s="2">
        <v>3</v>
      </c>
      <c r="EO55" s="2">
        <v>11</v>
      </c>
      <c r="EP55" s="2" t="s">
        <v>94</v>
      </c>
      <c r="EQ55" s="2" t="s">
        <v>94</v>
      </c>
      <c r="ER55" s="2" t="s">
        <v>94</v>
      </c>
      <c r="ES55" s="2" t="s">
        <v>94</v>
      </c>
      <c r="ET55" s="2" t="str">
        <f>HYPERLINK(".\links\REFSEQ-INVERTEBRATE\AGAP011421-PA-REFSEQ-INVERTEBRATE.txt","IQ motif and SEC7 domain-containing protein 1 isoform X6")</f>
        <v>IQ motif and SEC7 domain-containing protein 1 isoform X6</v>
      </c>
      <c r="EU55" s="2" t="str">
        <f>HYPERLINK("http://www.ncbi.nlm.nih.gov/sutils/blink.cgi?pid=XP_035901372.1","0.0")</f>
        <v>0.0</v>
      </c>
      <c r="EV55" s="2" t="str">
        <f>HYPERLINK("http://www.ncbi.nlm.nih.gov/protein/XP_035901372.1","XP_035901372.1")</f>
        <v>XP_035901372.1</v>
      </c>
      <c r="EW55" s="2">
        <v>87</v>
      </c>
      <c r="EX55" s="2">
        <v>89</v>
      </c>
      <c r="EY55" s="2">
        <v>103</v>
      </c>
      <c r="EZ55" s="2" t="s">
        <v>184</v>
      </c>
    </row>
    <row r="56" spans="1:156" x14ac:dyDescent="0.25">
      <c r="A56" s="2" t="s">
        <v>805</v>
      </c>
      <c r="B56" s="2">
        <v>1.0215330491549599</v>
      </c>
      <c r="C56" s="2">
        <v>2.0300750298147787</v>
      </c>
      <c r="D56" s="2">
        <v>5.6411112571824704</v>
      </c>
      <c r="E56" s="2">
        <v>23.231847848066401</v>
      </c>
      <c r="F56" s="2">
        <v>1.43599443725045E-6</v>
      </c>
      <c r="G56" s="2">
        <v>2.8151889677990898E-4</v>
      </c>
      <c r="H56" s="2" t="s">
        <v>806</v>
      </c>
      <c r="I56" s="2" t="s">
        <v>87</v>
      </c>
      <c r="J56" s="2" t="str">
        <f>HYPERLINK("https://vectorbase.org/vectorbase/app/record/gene/AGAP001209","AGAP001209-RA")</f>
        <v>AGAP001209-RA</v>
      </c>
      <c r="K56" s="2" t="str">
        <f>HYPERLINK(".\links\pep\AGAP001209-PA-pep.txt","AGAP001209-PA")</f>
        <v>AGAP001209-PA</v>
      </c>
      <c r="L56" s="8" t="s">
        <v>88</v>
      </c>
      <c r="M56" s="2">
        <v>1958</v>
      </c>
      <c r="N56" s="2">
        <v>0</v>
      </c>
      <c r="O56" s="2">
        <v>7</v>
      </c>
      <c r="P56" s="2" t="s">
        <v>807</v>
      </c>
      <c r="Q56" s="9" t="s">
        <v>808</v>
      </c>
      <c r="R56" s="2" t="s">
        <v>651</v>
      </c>
      <c r="S56" s="2" t="str">
        <f>HYPERLINK(".\links\REFSEQ-INVERTEBRATE\AGAP001209-PA-REFSEQ-INVERTEBRATE.txt","REFSEQ-INVERTEBRATE")</f>
        <v>REFSEQ-INVERTEBRATE</v>
      </c>
      <c r="T56" s="2">
        <v>0</v>
      </c>
      <c r="U56" s="2">
        <v>106.7</v>
      </c>
      <c r="V56" s="2" t="s">
        <v>809</v>
      </c>
      <c r="W56" s="10" t="s">
        <v>810</v>
      </c>
      <c r="X56" s="2" t="s">
        <v>651</v>
      </c>
      <c r="Y56" s="2" t="str">
        <f>HYPERLINK(".\links\REFSEQVERTEBRATE95\AGAP001209-PA-REFSEQVERTEBRATE95.txt","REFSEQVERTEBRATE95")</f>
        <v>REFSEQVERTEBRATE95</v>
      </c>
      <c r="Z56" s="13">
        <v>0</v>
      </c>
      <c r="AA56" s="2">
        <v>68.3</v>
      </c>
      <c r="AB56" s="11" t="str">
        <f>HYPERLINK(".\links\pep\AGAP001209-PA-sulf.txt","2")</f>
        <v>2</v>
      </c>
      <c r="AC56" s="11" t="str">
        <f>HYPERLINK(".\links\Sigp\AGAP001209-PA-SigP.txt","CYT")</f>
        <v>CYT</v>
      </c>
      <c r="AD56" s="2" t="s">
        <v>94</v>
      </c>
      <c r="AE56" s="2">
        <v>214.35300000000001</v>
      </c>
      <c r="AF56" s="2">
        <v>6.16</v>
      </c>
      <c r="AG56" s="2" t="s">
        <v>94</v>
      </c>
      <c r="AH56" s="2" t="s">
        <v>94</v>
      </c>
      <c r="AI56" s="2" t="s">
        <v>390</v>
      </c>
      <c r="AJ56" s="11">
        <v>0</v>
      </c>
      <c r="AK56" s="2" t="s">
        <v>94</v>
      </c>
      <c r="AL56" s="2" t="s">
        <v>94</v>
      </c>
      <c r="AM56" s="2" t="s">
        <v>94</v>
      </c>
      <c r="AN56" s="11" t="str">
        <f>HYPERLINK(".\links\gpi\AGAP001209-PA-gpi.txt","N")</f>
        <v>N</v>
      </c>
      <c r="AO56" s="12" t="str">
        <f>HYPERLINK(".\links\netoglyc\AGAP001209-PA-netoglyc.txt","7")</f>
        <v>7</v>
      </c>
      <c r="AP56" s="11">
        <v>16.8</v>
      </c>
      <c r="AQ56" s="2">
        <v>8.6999999999999993</v>
      </c>
      <c r="AR56" s="2">
        <v>5.3</v>
      </c>
      <c r="AS56" s="2">
        <v>0.3</v>
      </c>
      <c r="AT56" s="9" t="str">
        <f>HYPERLINK(".\links\NR-LIGHT\AGAP001209-PA-NR-LIGHT.txt","AGAP001209-PA")</f>
        <v>AGAP001209-PA</v>
      </c>
      <c r="AU56" s="2" t="str">
        <f>HYPERLINK("http://www.ncbi.nlm.nih.gov/sutils/blink.cgi?pid=XP_321947.5","0.0")</f>
        <v>0.0</v>
      </c>
      <c r="AV56" s="2" t="str">
        <f>HYPERLINK("http://www.ncbi.nlm.nih.gov/protein/XP_321947.5","XP_321947.5")</f>
        <v>XP_321947.5</v>
      </c>
      <c r="AW56" s="2">
        <v>100</v>
      </c>
      <c r="AX56" s="2">
        <v>100</v>
      </c>
      <c r="AY56" s="2">
        <v>100</v>
      </c>
      <c r="AZ56" s="2" t="s">
        <v>98</v>
      </c>
      <c r="BA56" s="9" t="str">
        <f>HYPERLINK(".\links\REFSEQ-INVERTEBRATE\AGAP001209-PA-REFSEQ-INVERTEBRATE.txt","AGAP001209-PA")</f>
        <v>AGAP001209-PA</v>
      </c>
      <c r="BB56" s="2" t="str">
        <f>HYPERLINK("http://www.ncbi.nlm.nih.gov/sutils/blink.cgi?pid=XP_321947.5","0.0")</f>
        <v>0.0</v>
      </c>
      <c r="BC56" s="2" t="str">
        <f>HYPERLINK("http://www.ncbi.nlm.nih.gov/protein/XP_321947.5","XP_321947.5")</f>
        <v>XP_321947.5</v>
      </c>
      <c r="BD56" s="2">
        <v>100</v>
      </c>
      <c r="BE56" s="2">
        <v>100</v>
      </c>
      <c r="BF56" s="2">
        <v>100</v>
      </c>
      <c r="BG56" s="2" t="s">
        <v>98</v>
      </c>
      <c r="BH56" s="9" t="str">
        <f>HYPERLINK(".\links\REFSEQ-PROTOZOA\AGAP001209-PA-REFSEQ-PROTOZOA.txt","hypothetical protein")</f>
        <v>hypothetical protein</v>
      </c>
      <c r="BI56" s="2" t="str">
        <f>HYPERLINK("http://www.ncbi.nlm.nih.gov/sutils/blink.cgi?pid=XP_001748678.1","2E-088")</f>
        <v>2E-088</v>
      </c>
      <c r="BJ56" s="2" t="str">
        <f>HYPERLINK("http://www.ncbi.nlm.nih.gov/protein/XP_001748678.1","XP_001748678.1")</f>
        <v>XP_001748678.1</v>
      </c>
      <c r="BK56" s="2">
        <v>28</v>
      </c>
      <c r="BL56" s="2">
        <v>43</v>
      </c>
      <c r="BM56" s="2">
        <v>57</v>
      </c>
      <c r="BN56" s="2" t="s">
        <v>704</v>
      </c>
      <c r="BO56" s="9" t="str">
        <f>HYPERLINK(".\links\SWISSP\AGAP001209-PA-SWISSP.txt","Ubiquitin carboxyl-terminal hydrolase 32")</f>
        <v>Ubiquitin carboxyl-terminal hydrolase 32</v>
      </c>
      <c r="BP56" s="2" t="str">
        <f>HYPERLINK("http://www.uniprot.org/uniprot/M9PD06","0.0")</f>
        <v>0.0</v>
      </c>
      <c r="BQ56" s="2" t="str">
        <f>HYPERLINK("http://www.uniprot.org/uniprot/M9PD06#expression","M9PD06")</f>
        <v>M9PD06</v>
      </c>
      <c r="BR56" s="2">
        <v>53</v>
      </c>
      <c r="BS56" s="2">
        <v>66</v>
      </c>
      <c r="BT56" s="2">
        <v>96</v>
      </c>
      <c r="BU56" s="2" t="s">
        <v>100</v>
      </c>
      <c r="BV56" s="9" t="str">
        <f>HYPERLINK(".\links\FLYBASE\AGAP001209-PA-FLYBASE.txt","FBpp0304458")</f>
        <v>FBpp0304458</v>
      </c>
      <c r="BW56" s="2" t="str">
        <f>HYPERLINK("http://flybase.org/reports/FBgn0036913#alliance_summary_container","0.0")</f>
        <v>0.0</v>
      </c>
      <c r="BX56" s="2">
        <v>1715</v>
      </c>
      <c r="BY56" s="2">
        <v>52</v>
      </c>
      <c r="BZ56" s="2">
        <v>66</v>
      </c>
      <c r="CA56" s="2">
        <v>98</v>
      </c>
      <c r="CB56" s="9" t="str">
        <f>HYPERLINK(".\links\CDD\AGAP001209-PA-CDD.txt","UBP12, Ubiquitin C-terminal hydrolase")</f>
        <v>UBP12, Ubiquitin C-terminal hydrolase</v>
      </c>
      <c r="CC56" s="13">
        <v>1E-52</v>
      </c>
      <c r="CD56" s="2">
        <v>48.1</v>
      </c>
      <c r="CE56" s="2" t="s">
        <v>811</v>
      </c>
      <c r="CF56" s="2" t="s">
        <v>812</v>
      </c>
      <c r="CG56" s="9" t="str">
        <f>HYPERLINK(".\links\KOG\AGAP001209-PA-KOG.txt","Ubiquitin C-terminal hydrolase")</f>
        <v>Ubiquitin C-terminal hydrolase</v>
      </c>
      <c r="CH56" s="13">
        <v>4.9999999999999996E-66</v>
      </c>
      <c r="CI56" s="2">
        <v>60.6</v>
      </c>
      <c r="CJ56" s="2" t="s">
        <v>813</v>
      </c>
      <c r="CK56" s="2" t="s">
        <v>214</v>
      </c>
      <c r="CL56" s="9" t="str">
        <f>HYPERLINK(".\links\PFAM\AGAP001209-PA-PFAM.txt","UCH, Ubiquitin carboxyl-terminal hydrolase")</f>
        <v>UCH, Ubiquitin carboxyl-terminal hydrolase</v>
      </c>
      <c r="CM56" s="13">
        <v>3.0000000000000003E-39</v>
      </c>
      <c r="CN56" s="2">
        <v>58.8</v>
      </c>
      <c r="CO56" s="2" t="s">
        <v>708</v>
      </c>
      <c r="CP56" s="9" t="str">
        <f>HYPERLINK(".\links\SMART\AGAP001209-PA-SMART.txt","DUSP, Domain in ubiquitin-specific proteases")</f>
        <v>DUSP, Domain in ubiquitin-specific proteases</v>
      </c>
      <c r="CQ56" s="13">
        <v>6E-9</v>
      </c>
      <c r="CR56" s="2">
        <v>78.400000000000006</v>
      </c>
      <c r="CS56" s="2" t="s">
        <v>814</v>
      </c>
      <c r="CT56" s="2" t="s">
        <v>809</v>
      </c>
      <c r="CU56" s="2" t="s">
        <v>809</v>
      </c>
      <c r="CV56" s="2" t="s">
        <v>809</v>
      </c>
      <c r="CW56" s="2" t="str">
        <f>HYPERLINK(".\links\pep\AGAP001209-PA-pep.txt","AGAP001209-PA")</f>
        <v>AGAP001209-PA</v>
      </c>
      <c r="CX56" s="2" t="s">
        <v>88</v>
      </c>
      <c r="CY56" s="2">
        <v>1958</v>
      </c>
      <c r="CZ56" s="2" t="s">
        <v>106</v>
      </c>
      <c r="DA56" s="2" t="s">
        <v>815</v>
      </c>
      <c r="DB56" s="2">
        <v>0</v>
      </c>
      <c r="DC56" s="2">
        <v>7</v>
      </c>
      <c r="DD56" s="2" t="str">
        <f>HYPERLINK("https://www.kegg.jp/kegg-bin/search_pathway_text?map=aga&amp;keyword=AGAP001209&amp;mode=1&amp;viewImage=true","AGAP001209")</f>
        <v>AGAP001209</v>
      </c>
      <c r="DE56" s="2" t="s">
        <v>805</v>
      </c>
      <c r="DF56" s="2" t="s">
        <v>806</v>
      </c>
      <c r="DG56" s="2" t="s">
        <v>87</v>
      </c>
      <c r="DH56" s="2" t="str">
        <f>HYPERLINK("https://vectorbase.org/vectorbase/app/record/gene/AGAP001209","AGAP001209-RA")</f>
        <v>AGAP001209-RA</v>
      </c>
      <c r="DI56" s="2" t="s">
        <v>143</v>
      </c>
      <c r="DJ56" s="2">
        <v>7997</v>
      </c>
      <c r="DK56" s="2" t="str">
        <f>HYPERLINK(".\links\netoglyc\AGAP001209-PA-netoglyc.txt","7")</f>
        <v>7</v>
      </c>
      <c r="DL56" s="2">
        <v>16.8</v>
      </c>
      <c r="DM56" s="2">
        <v>8.6999999999999993</v>
      </c>
      <c r="DN56" s="2">
        <v>5.3</v>
      </c>
      <c r="DO56" s="2">
        <v>0.3</v>
      </c>
      <c r="DP56" s="2" t="s">
        <v>816</v>
      </c>
      <c r="DQ56" s="2" t="str">
        <f>HYPERLINK(".\links\Sigp\AGAP001209-PA-SigP.txt","CYT")</f>
        <v>CYT</v>
      </c>
      <c r="DR56" s="2" t="s">
        <v>94</v>
      </c>
      <c r="DS56" s="2">
        <v>214.35300000000001</v>
      </c>
      <c r="DT56" s="2">
        <v>6.16</v>
      </c>
      <c r="DU56" s="2" t="s">
        <v>94</v>
      </c>
      <c r="DV56" s="2" t="s">
        <v>94</v>
      </c>
      <c r="DW56" s="2" t="s">
        <v>390</v>
      </c>
      <c r="DX56" s="2">
        <v>1958</v>
      </c>
      <c r="DY56" s="8">
        <v>0</v>
      </c>
      <c r="DZ56" s="2" t="s">
        <v>94</v>
      </c>
      <c r="EA56" s="2" t="s">
        <v>94</v>
      </c>
      <c r="EB56" s="2" t="s">
        <v>94</v>
      </c>
      <c r="EC56" s="2" t="str">
        <f>HYPERLINK(".\links\gpi\AGAP001209-PA-gpi.txt","N")</f>
        <v>N</v>
      </c>
      <c r="ED56" s="2">
        <v>0.17</v>
      </c>
      <c r="EF56" s="2">
        <v>48</v>
      </c>
      <c r="EG56" s="2" t="str">
        <f>HYPERLINK(".\links\pep\AGAP001209-PA-sulf.txt","2")</f>
        <v>2</v>
      </c>
      <c r="EH56" s="2" t="s">
        <v>94</v>
      </c>
      <c r="EI56" s="2">
        <v>16.802860061286999</v>
      </c>
      <c r="EJ56" s="2">
        <v>5.2604698672114401</v>
      </c>
      <c r="EK56" s="2">
        <v>8.6823289070480101</v>
      </c>
      <c r="EL56" s="2">
        <v>13.9427987742594</v>
      </c>
      <c r="EM56" s="2">
        <v>4</v>
      </c>
      <c r="EN56" s="2">
        <v>6</v>
      </c>
      <c r="EO56" s="2">
        <v>6</v>
      </c>
      <c r="EP56" s="2" t="s">
        <v>94</v>
      </c>
      <c r="EQ56" s="2" t="s">
        <v>94</v>
      </c>
      <c r="ER56" s="2" t="s">
        <v>94</v>
      </c>
      <c r="ES56" s="2" t="s">
        <v>94</v>
      </c>
      <c r="ET56" s="2" t="str">
        <f>HYPERLINK(".\links\REFSEQ-INVERTEBRATE\AGAP001209-PA-REFSEQ-INVERTEBRATE.txt","AGAP001209-PA")</f>
        <v>AGAP001209-PA</v>
      </c>
      <c r="EU56" s="2" t="str">
        <f>HYPERLINK("http://www.ncbi.nlm.nih.gov/sutils/blink.cgi?pid=XP_321947.5","0.0")</f>
        <v>0.0</v>
      </c>
      <c r="EV56" s="2" t="str">
        <f>HYPERLINK("http://www.ncbi.nlm.nih.gov/protein/XP_321947.5","XP_321947.5")</f>
        <v>XP_321947.5</v>
      </c>
      <c r="EW56" s="2">
        <v>100</v>
      </c>
      <c r="EX56" s="2">
        <v>100</v>
      </c>
      <c r="EY56" s="2">
        <v>100</v>
      </c>
      <c r="EZ56" s="2" t="s">
        <v>98</v>
      </c>
    </row>
    <row r="57" spans="1:156" x14ac:dyDescent="0.25">
      <c r="A57" s="2" t="s">
        <v>817</v>
      </c>
      <c r="B57" s="2">
        <v>1.0103334404762501</v>
      </c>
      <c r="C57" s="2">
        <v>2.0143766157388465</v>
      </c>
      <c r="D57" s="2">
        <v>4.3577744680331501</v>
      </c>
      <c r="E57" s="2">
        <v>19.409812791196099</v>
      </c>
      <c r="F57" s="2">
        <v>1.05463777698824E-5</v>
      </c>
      <c r="G57" s="2">
        <v>1.22368171613258E-3</v>
      </c>
      <c r="H57" s="2" t="s">
        <v>167</v>
      </c>
      <c r="I57" s="2" t="s">
        <v>87</v>
      </c>
      <c r="J57" s="2" t="str">
        <f>HYPERLINK("https://vectorbase.org/vectorbase/app/record/gene/AGAP009387","AGAP009387-RA")</f>
        <v>AGAP009387-RA</v>
      </c>
      <c r="K57" s="2" t="str">
        <f>HYPERLINK(".\links\pep\AGAP009387-PA-pep.txt","AGAP009387-PA")</f>
        <v>AGAP009387-PA</v>
      </c>
      <c r="L57" s="8" t="s">
        <v>88</v>
      </c>
      <c r="M57" s="2">
        <v>254</v>
      </c>
      <c r="N57" s="2">
        <v>0</v>
      </c>
      <c r="O57" s="2">
        <v>1</v>
      </c>
      <c r="P57" s="2" t="s">
        <v>94</v>
      </c>
      <c r="Q57" s="9" t="s">
        <v>818</v>
      </c>
      <c r="R57" s="2" t="s">
        <v>192</v>
      </c>
      <c r="S57" s="2" t="str">
        <f>HYPERLINK(".\links\PFAM\AGAP009387-PA-PFAM.txt","PFAM")</f>
        <v>PFAM</v>
      </c>
      <c r="T57" s="2">
        <v>3.9999999999999999E-16</v>
      </c>
      <c r="U57" s="2">
        <v>97.4</v>
      </c>
      <c r="V57" s="2" t="s">
        <v>819</v>
      </c>
      <c r="W57" s="10" t="s">
        <v>820</v>
      </c>
      <c r="X57" s="2" t="s">
        <v>821</v>
      </c>
      <c r="Y57" s="2" t="str">
        <f>HYPERLINK(".\links\PFAM\AGAP009387-PA-PFAM.txt","PFAM")</f>
        <v>PFAM</v>
      </c>
      <c r="Z57" s="13">
        <v>3.9999999999999999E-16</v>
      </c>
      <c r="AA57" s="2">
        <v>93.7</v>
      </c>
      <c r="AB57" s="11" t="s">
        <v>94</v>
      </c>
      <c r="AC57" s="11" t="str">
        <f>HYPERLINK(".\links\Sigp\AGAP009387-PA-SigP.txt","SIG")</f>
        <v>SIG</v>
      </c>
      <c r="AD57" s="2" t="s">
        <v>95</v>
      </c>
      <c r="AE57" s="2">
        <v>29.727</v>
      </c>
      <c r="AF57" s="2">
        <v>7.69</v>
      </c>
      <c r="AG57" s="2">
        <v>26.783999999999999</v>
      </c>
      <c r="AH57" s="2">
        <v>7.19</v>
      </c>
      <c r="AI57" s="2" t="s">
        <v>822</v>
      </c>
      <c r="AJ57" s="11" t="str">
        <f>HYPERLINK(".\links\tmhmm\AGAP009387-PA-tmhmm.txt","1")</f>
        <v>1</v>
      </c>
      <c r="AK57" s="2">
        <v>8.6999999999999993</v>
      </c>
      <c r="AL57" s="2">
        <v>88.6</v>
      </c>
      <c r="AM57" s="2">
        <v>2.8</v>
      </c>
      <c r="AN57" s="11" t="str">
        <f>HYPERLINK(".\links\gpi\AGAP009387-PA-gpi.txt","N")</f>
        <v>N</v>
      </c>
      <c r="AO57" s="12" t="str">
        <f>HYPERLINK(".\links\netoglyc\AGAP009387-PA-netoglyc.txt","0")</f>
        <v>0</v>
      </c>
      <c r="AP57" s="11">
        <v>15.7</v>
      </c>
      <c r="AQ57" s="2">
        <v>4.3</v>
      </c>
      <c r="AR57" s="2">
        <v>3.9</v>
      </c>
      <c r="AS57" s="2" t="s">
        <v>97</v>
      </c>
      <c r="AT57" s="9" t="str">
        <f>HYPERLINK(".\links\NR-LIGHT\AGAP009387-PA-NR-LIGHT.txt","AGAP009387-PA, partial")</f>
        <v>AGAP009387-PA, partial</v>
      </c>
      <c r="AU57" s="2" t="str">
        <f>HYPERLINK("http://www.ncbi.nlm.nih.gov/sutils/blink.cgi?pid=XP_559863.3","1E-126")</f>
        <v>1E-126</v>
      </c>
      <c r="AV57" s="2" t="str">
        <f>HYPERLINK("http://www.ncbi.nlm.nih.gov/protein/XP_559863.3","XP_559863.3")</f>
        <v>XP_559863.3</v>
      </c>
      <c r="AW57" s="2">
        <v>100</v>
      </c>
      <c r="AX57" s="2">
        <v>100</v>
      </c>
      <c r="AY57" s="2">
        <v>89</v>
      </c>
      <c r="AZ57" s="2" t="s">
        <v>98</v>
      </c>
      <c r="BA57" s="9" t="str">
        <f>HYPERLINK(".\links\REFSEQ-INVERTEBRATE\AGAP009387-PA-REFSEQ-INVERTEBRATE.txt","AGAP009387-PA, partial")</f>
        <v>AGAP009387-PA, partial</v>
      </c>
      <c r="BB57" s="2" t="str">
        <f>HYPERLINK("http://www.ncbi.nlm.nih.gov/sutils/blink.cgi?pid=XP_559863.3","1E-126")</f>
        <v>1E-126</v>
      </c>
      <c r="BC57" s="2" t="str">
        <f>HYPERLINK("http://www.ncbi.nlm.nih.gov/protein/XP_559863.3","XP_559863.3")</f>
        <v>XP_559863.3</v>
      </c>
      <c r="BD57" s="2">
        <v>100</v>
      </c>
      <c r="BE57" s="2">
        <v>100</v>
      </c>
      <c r="BF57" s="2">
        <v>89</v>
      </c>
      <c r="BG57" s="2" t="s">
        <v>98</v>
      </c>
      <c r="BH57" s="9" t="str">
        <f>HYPERLINK(".\links\REFSEQ-PROTOZOA\AGAP009387-PA-REFSEQ-PROTOZOA.txt","hypothetical protein")</f>
        <v>hypothetical protein</v>
      </c>
      <c r="BI57" s="2" t="str">
        <f>HYPERLINK("http://www.ncbi.nlm.nih.gov/sutils/blink.cgi?pid=XP_001305475.1","2.3")</f>
        <v>2.3</v>
      </c>
      <c r="BJ57" s="2" t="str">
        <f>HYPERLINK("http://www.ncbi.nlm.nih.gov/protein/XP_001305475.1","XP_001305475.1")</f>
        <v>XP_001305475.1</v>
      </c>
      <c r="BK57" s="2">
        <v>34</v>
      </c>
      <c r="BL57" s="2">
        <v>52</v>
      </c>
      <c r="BM57" s="2">
        <v>4</v>
      </c>
      <c r="BN57" s="2" t="s">
        <v>496</v>
      </c>
      <c r="BO57" s="9" t="str">
        <f>HYPERLINK(".\links\SWISSP\AGAP009387-PA-SWISSP.txt","Biogenesis of lysosome-related organelles complex 1 subunit 2")</f>
        <v>Biogenesis of lysosome-related organelles complex 1 subunit 2</v>
      </c>
      <c r="BP57" s="2" t="str">
        <f>HYPERLINK("http://www.uniprot.org/uniprot/F4K657","1.6")</f>
        <v>1.6</v>
      </c>
      <c r="BQ57" s="2" t="str">
        <f>HYPERLINK("http://www.uniprot.org/uniprot/F4K657#expression","F4K657")</f>
        <v>F4K657</v>
      </c>
      <c r="BR57" s="2">
        <v>25</v>
      </c>
      <c r="BS57" s="2">
        <v>45</v>
      </c>
      <c r="BT57" s="2">
        <v>86</v>
      </c>
      <c r="BU57" s="2" t="s">
        <v>823</v>
      </c>
      <c r="BV57" s="9" t="str">
        <f>HYPERLINK(".\links\FLYBASE\AGAP009387-PA-FLYBASE.txt","FBpp0312591")</f>
        <v>FBpp0312591</v>
      </c>
      <c r="BW57" s="2" t="str">
        <f>HYPERLINK("http://flybase.org/reports/FBgn0038395#alliance_summary_container","4E-06")</f>
        <v>4E-06</v>
      </c>
      <c r="BX57" s="2">
        <v>263</v>
      </c>
      <c r="BY57" s="2">
        <v>17</v>
      </c>
      <c r="BZ57" s="2">
        <v>39</v>
      </c>
      <c r="CA57" s="2">
        <v>92</v>
      </c>
      <c r="CB57" s="9" t="str">
        <f>HYPERLINK(".\links\CDD\AGAP009387-PA-CDD.txt","JHBP, Haemolymph juvenile hormone binding protein (JHBP)")</f>
        <v>JHBP, Haemolymph juvenile hormone binding protein (JHBP)</v>
      </c>
      <c r="CC57" s="13">
        <v>2.0000000000000002E-15</v>
      </c>
      <c r="CD57" s="2">
        <v>97.5</v>
      </c>
      <c r="CE57" s="2" t="s">
        <v>824</v>
      </c>
      <c r="CF57" s="2" t="s">
        <v>825</v>
      </c>
      <c r="CG57" s="9" t="str">
        <f>HYPERLINK(".\links\KOG\AGAP009387-PA-KOG.txt","Cytoplasmic tryptophanyl-tRNA synthetase")</f>
        <v>Cytoplasmic tryptophanyl-tRNA synthetase</v>
      </c>
      <c r="CH57" s="13">
        <v>3.2</v>
      </c>
      <c r="CI57" s="2">
        <v>10.1</v>
      </c>
      <c r="CJ57" s="2" t="s">
        <v>826</v>
      </c>
      <c r="CK57" s="2" t="s">
        <v>613</v>
      </c>
      <c r="CL57" s="9" t="str">
        <f>HYPERLINK(".\links\PFAM\AGAP009387-PA-PFAM.txt","JHBP, Haemolymph juvenile hormone binding protein (JHBP)")</f>
        <v>JHBP, Haemolymph juvenile hormone binding protein (JHBP)</v>
      </c>
      <c r="CM57" s="13">
        <v>3.9999999999999999E-16</v>
      </c>
      <c r="CN57" s="2">
        <v>97.5</v>
      </c>
      <c r="CO57" s="2" t="s">
        <v>824</v>
      </c>
      <c r="CP57" s="9" t="str">
        <f>HYPERLINK(".\links\SMART\AGAP009387-PA-SMART.txt","JHBP, Juvenile hormone binding protein domains in insects")</f>
        <v>JHBP, Juvenile hormone binding protein domains in insects</v>
      </c>
      <c r="CQ57" s="13">
        <v>1.9999999999999999E-11</v>
      </c>
      <c r="CR57" s="2">
        <v>102.7</v>
      </c>
      <c r="CS57" s="2" t="s">
        <v>827</v>
      </c>
      <c r="CT57" s="2" t="s">
        <v>819</v>
      </c>
      <c r="CU57" s="2" t="s">
        <v>819</v>
      </c>
      <c r="CV57" s="2" t="s">
        <v>819</v>
      </c>
      <c r="CW57" s="2" t="str">
        <f>HYPERLINK(".\links\pep\AGAP009387-PA-pep.txt","AGAP009387-PA")</f>
        <v>AGAP009387-PA</v>
      </c>
      <c r="CX57" s="2" t="s">
        <v>88</v>
      </c>
      <c r="CY57" s="2">
        <v>254</v>
      </c>
      <c r="CZ57" s="2" t="s">
        <v>106</v>
      </c>
      <c r="DA57" s="2" t="s">
        <v>828</v>
      </c>
      <c r="DB57" s="2">
        <v>0</v>
      </c>
      <c r="DC57" s="2">
        <v>1</v>
      </c>
      <c r="DD57" s="2" t="str">
        <f>HYPERLINK("https://www.kegg.jp/kegg-bin/search_pathway_text?map=aga&amp;keyword=AGAP009387&amp;mode=1&amp;viewImage=true","AGAP009387")</f>
        <v>AGAP009387</v>
      </c>
      <c r="DE57" s="2" t="s">
        <v>817</v>
      </c>
      <c r="DF57" s="2" t="s">
        <v>167</v>
      </c>
      <c r="DG57" s="2" t="s">
        <v>87</v>
      </c>
      <c r="DH57" s="2" t="str">
        <f>HYPERLINK("https://vectorbase.org/vectorbase/app/record/gene/AGAP009387","AGAP009387-RA")</f>
        <v>AGAP009387-RA</v>
      </c>
      <c r="DI57" s="2" t="s">
        <v>143</v>
      </c>
      <c r="DJ57" s="2">
        <v>1065</v>
      </c>
      <c r="DK57" s="2" t="str">
        <f>HYPERLINK(".\links\netoglyc\AGAP009387-PA-netoglyc.txt","0")</f>
        <v>0</v>
      </c>
      <c r="DL57" s="2">
        <v>15.7</v>
      </c>
      <c r="DM57" s="2">
        <v>4.3</v>
      </c>
      <c r="DN57" s="2">
        <v>3.9</v>
      </c>
      <c r="DO57" s="2" t="s">
        <v>97</v>
      </c>
      <c r="DP57" s="2" t="s">
        <v>94</v>
      </c>
      <c r="DQ57" s="2" t="str">
        <f>HYPERLINK(".\links\Sigp\AGAP009387-PA-SigP.txt","SIG")</f>
        <v>SIG</v>
      </c>
      <c r="DR57" s="2" t="s">
        <v>95</v>
      </c>
      <c r="DS57" s="2">
        <v>29.727</v>
      </c>
      <c r="DT57" s="2">
        <v>7.69</v>
      </c>
      <c r="DU57" s="2">
        <v>26.783999999999999</v>
      </c>
      <c r="DV57" s="2">
        <v>7.19</v>
      </c>
      <c r="DW57" s="2" t="s">
        <v>822</v>
      </c>
      <c r="DX57" s="2">
        <v>254</v>
      </c>
      <c r="DY57" s="8" t="str">
        <f>HYPERLINK(".\links\tmhmm\AGAP009387-PA-tmhmm.txt","1")</f>
        <v>1</v>
      </c>
      <c r="DZ57" s="2">
        <v>8.6999999999999993</v>
      </c>
      <c r="EA57" s="2">
        <v>88.6</v>
      </c>
      <c r="EB57" s="2">
        <v>2.8</v>
      </c>
      <c r="EC57" s="2" t="str">
        <f>HYPERLINK(".\links\gpi\AGAP009387-PA-gpi.txt","N")</f>
        <v>N</v>
      </c>
      <c r="ED57" s="2">
        <v>0.28999999999999998</v>
      </c>
      <c r="EF57" s="2">
        <v>5</v>
      </c>
      <c r="EG57" s="2" t="s">
        <v>94</v>
      </c>
      <c r="EH57" s="2" t="s">
        <v>94</v>
      </c>
      <c r="EI57" s="2">
        <v>15.748031496063</v>
      </c>
      <c r="EJ57" s="2">
        <v>3.9370078740157499</v>
      </c>
      <c r="EK57" s="2">
        <v>4.3307086614173196</v>
      </c>
      <c r="EL57" s="2">
        <v>8.2677165354330704</v>
      </c>
      <c r="EM57" s="2" t="s">
        <v>94</v>
      </c>
      <c r="EN57" s="2">
        <v>1</v>
      </c>
      <c r="EO57" s="2">
        <v>1</v>
      </c>
      <c r="EP57" s="2" t="s">
        <v>94</v>
      </c>
      <c r="EQ57" s="2" t="s">
        <v>94</v>
      </c>
      <c r="ER57" s="2" t="s">
        <v>94</v>
      </c>
      <c r="ES57" s="2" t="s">
        <v>94</v>
      </c>
      <c r="ET57" s="2" t="str">
        <f>HYPERLINK(".\links\REFSEQ-INVERTEBRATE\AGAP009387-PA-REFSEQ-INVERTEBRATE.txt","AGAP009387-PA, partial")</f>
        <v>AGAP009387-PA, partial</v>
      </c>
      <c r="EU57" s="2" t="str">
        <f>HYPERLINK("http://www.ncbi.nlm.nih.gov/sutils/blink.cgi?pid=XP_559863.3","1E-165")</f>
        <v>1E-165</v>
      </c>
      <c r="EV57" s="2" t="str">
        <f>HYPERLINK("http://www.ncbi.nlm.nih.gov/protein/XP_559863.3","XP_559863.3")</f>
        <v>XP_559863.3</v>
      </c>
      <c r="EW57" s="2">
        <v>100</v>
      </c>
      <c r="EX57" s="2">
        <v>100</v>
      </c>
      <c r="EY57" s="2">
        <v>89</v>
      </c>
      <c r="EZ57" s="2" t="s">
        <v>98</v>
      </c>
    </row>
    <row r="58" spans="1:156" x14ac:dyDescent="0.25">
      <c r="A58" s="2" t="s">
        <v>829</v>
      </c>
      <c r="B58" s="2">
        <v>1.0033733198486501</v>
      </c>
      <c r="C58" s="2">
        <v>2.0046818857607276</v>
      </c>
      <c r="D58" s="2">
        <v>6.1171245749202097</v>
      </c>
      <c r="E58" s="2">
        <v>35.976821254479603</v>
      </c>
      <c r="F58" s="2">
        <v>1.9967875283382198E-9</v>
      </c>
      <c r="G58" s="2">
        <v>1.5736349712912099E-6</v>
      </c>
      <c r="H58" s="2" t="s">
        <v>407</v>
      </c>
      <c r="I58" s="2" t="s">
        <v>408</v>
      </c>
      <c r="J58" s="14" t="s">
        <v>726</v>
      </c>
      <c r="Q58" s="9"/>
      <c r="W58" s="10"/>
      <c r="AB58" s="9"/>
      <c r="AC58" s="9"/>
      <c r="AJ58" s="9"/>
      <c r="AN58" s="9"/>
      <c r="AO58" s="15"/>
      <c r="AP58" s="9"/>
      <c r="AT58" s="9"/>
      <c r="BA58" s="9"/>
      <c r="BH58" s="9"/>
      <c r="BO58" s="9"/>
      <c r="BV58" s="9"/>
      <c r="CB58" s="9"/>
      <c r="CG58" s="9"/>
      <c r="CL58" s="9"/>
      <c r="CP58" s="9"/>
      <c r="DE58" s="2" t="s">
        <v>829</v>
      </c>
      <c r="DF58" s="2" t="s">
        <v>407</v>
      </c>
      <c r="DG58" s="2" t="s">
        <v>408</v>
      </c>
      <c r="DH58" s="14" t="s">
        <v>726</v>
      </c>
      <c r="DI58" s="2" t="s">
        <v>143</v>
      </c>
      <c r="DJ58" s="2">
        <v>5293</v>
      </c>
      <c r="DQ58" s="2" t="s">
        <v>410</v>
      </c>
      <c r="DS58" s="2">
        <v>97172</v>
      </c>
      <c r="DT58" s="2">
        <v>5.93</v>
      </c>
      <c r="DX58" s="2">
        <v>870</v>
      </c>
      <c r="DY58" s="8"/>
    </row>
    <row r="59" spans="1:156" x14ac:dyDescent="0.25">
      <c r="A59" s="2" t="s">
        <v>830</v>
      </c>
      <c r="B59" s="2">
        <v>0.99920408347074496</v>
      </c>
      <c r="C59" s="2">
        <v>1.998896929706484</v>
      </c>
      <c r="D59" s="2">
        <v>8.6420141973817106</v>
      </c>
      <c r="E59" s="2">
        <v>25.8518626920612</v>
      </c>
      <c r="F59" s="2">
        <v>3.6864877477801099E-7</v>
      </c>
      <c r="G59" s="2">
        <v>1.05903637211171E-4</v>
      </c>
      <c r="H59" s="2" t="s">
        <v>831</v>
      </c>
      <c r="I59" s="2" t="s">
        <v>87</v>
      </c>
      <c r="J59" s="2" t="str">
        <f>HYPERLINK("https://vectorbase.org/vectorbase/app/record/gene/AGAP004199","AGAP004199-RB")</f>
        <v>AGAP004199-RB</v>
      </c>
      <c r="K59" s="2" t="str">
        <f>HYPERLINK(".\links\pep\AGAP004199-PB-pep.txt","AGAP004199-PB")</f>
        <v>AGAP004199-PB</v>
      </c>
      <c r="L59" s="8" t="s">
        <v>88</v>
      </c>
      <c r="M59" s="2">
        <v>605</v>
      </c>
      <c r="N59" s="2">
        <v>0</v>
      </c>
      <c r="O59" s="2">
        <v>2</v>
      </c>
      <c r="P59" s="2" t="s">
        <v>832</v>
      </c>
      <c r="Q59" s="9" t="s">
        <v>833</v>
      </c>
      <c r="R59" s="2" t="s">
        <v>113</v>
      </c>
      <c r="S59" s="2" t="str">
        <f>HYPERLINK(".\links\REFSEQ-INVERTEBRATE\AGAP004199-PB-REFSEQ-INVERTEBRATE.txt","REFSEQ-INVERTEBRATE")</f>
        <v>REFSEQ-INVERTEBRATE</v>
      </c>
      <c r="T59" s="2">
        <v>0</v>
      </c>
      <c r="U59" s="2">
        <v>98.3</v>
      </c>
      <c r="V59" s="2" t="s">
        <v>834</v>
      </c>
      <c r="W59" s="10" t="s">
        <v>835</v>
      </c>
      <c r="X59" s="2" t="s">
        <v>113</v>
      </c>
      <c r="Y59" s="2" t="str">
        <f>HYPERLINK(".\links\REFSEQVERTEBRATE95\AGAP004199-PB-REFSEQVERTEBRATE95.txt","REFSEQVERTEBRATE95")</f>
        <v>REFSEQVERTEBRATE95</v>
      </c>
      <c r="Z59" s="2">
        <v>0</v>
      </c>
      <c r="AA59" s="2">
        <v>85.8</v>
      </c>
      <c r="AB59" s="11" t="str">
        <f>HYPERLINK(".\links\pep\AGAP004199-PB-sulf.txt","1")</f>
        <v>1</v>
      </c>
      <c r="AC59" s="11" t="str">
        <f>HYPERLINK(".\links\Sigp\AGAP004199-PB-SigP.txt","SIG")</f>
        <v>SIG</v>
      </c>
      <c r="AD59" s="2" t="s">
        <v>271</v>
      </c>
      <c r="AE59" s="2">
        <v>66.858000000000004</v>
      </c>
      <c r="AF59" s="2">
        <v>9.15</v>
      </c>
      <c r="AG59" s="2">
        <v>64.328000000000003</v>
      </c>
      <c r="AH59" s="2">
        <v>9.2200000000000006</v>
      </c>
      <c r="AI59" s="2" t="s">
        <v>836</v>
      </c>
      <c r="AJ59" s="11" t="str">
        <f>HYPERLINK(".\links\tmhmm\AGAP004199-PB-tmhmm.txt","13")</f>
        <v>13</v>
      </c>
      <c r="AK59" s="2">
        <v>46</v>
      </c>
      <c r="AL59" s="2">
        <v>25</v>
      </c>
      <c r="AM59" s="2">
        <v>29.1</v>
      </c>
      <c r="AN59" s="11" t="str">
        <f>HYPERLINK(".\links\gpi\AGAP004199-PB-gpi.txt","N")</f>
        <v>N</v>
      </c>
      <c r="AO59" s="12" t="str">
        <f>HYPERLINK(".\links\netoglyc\AGAP004199-PB-netoglyc.txt","3")</f>
        <v>3</v>
      </c>
      <c r="AP59" s="11">
        <v>13.9</v>
      </c>
      <c r="AQ59" s="2">
        <v>7.9</v>
      </c>
      <c r="AR59" s="2">
        <v>4.3</v>
      </c>
      <c r="AS59" s="2">
        <v>0.5</v>
      </c>
      <c r="AT59" s="9" t="str">
        <f>HYPERLINK(".\links\NR-LIGHT\AGAP004199-PB-NR-LIGHT.txt","AGAP004199-PA")</f>
        <v>AGAP004199-PA</v>
      </c>
      <c r="AU59" s="2" t="str">
        <f>HYPERLINK("http://www.ncbi.nlm.nih.gov/sutils/blink.cgi?pid=XP_313095.4","0.0")</f>
        <v>0.0</v>
      </c>
      <c r="AV59" s="2" t="str">
        <f>HYPERLINK("http://www.ncbi.nlm.nih.gov/protein/XP_313095.4","XP_313095.4")</f>
        <v>XP_313095.4</v>
      </c>
      <c r="AW59" s="2">
        <v>100</v>
      </c>
      <c r="AX59" s="2">
        <v>100</v>
      </c>
      <c r="AY59" s="2">
        <v>100</v>
      </c>
      <c r="AZ59" s="2" t="s">
        <v>98</v>
      </c>
      <c r="BA59" s="9" t="str">
        <f>HYPERLINK(".\links\REFSEQ-INVERTEBRATE\AGAP004199-PB-REFSEQ-INVERTEBRATE.txt","AGAP004199-PA")</f>
        <v>AGAP004199-PA</v>
      </c>
      <c r="BB59" s="2" t="str">
        <f>HYPERLINK("http://www.ncbi.nlm.nih.gov/sutils/blink.cgi?pid=XP_313095.4","0.0")</f>
        <v>0.0</v>
      </c>
      <c r="BC59" s="2" t="str">
        <f>HYPERLINK("http://www.ncbi.nlm.nih.gov/protein/XP_313095.4","XP_313095.4")</f>
        <v>XP_313095.4</v>
      </c>
      <c r="BD59" s="2">
        <v>100</v>
      </c>
      <c r="BE59" s="2">
        <v>100</v>
      </c>
      <c r="BF59" s="2">
        <v>100</v>
      </c>
      <c r="BG59" s="2" t="s">
        <v>98</v>
      </c>
      <c r="BH59" s="9" t="str">
        <f>HYPERLINK(".\links\REFSEQ-PROTOZOA\AGAP004199-PB-REFSEQ-PROTOZOA.txt","sodium symporter, putative")</f>
        <v>sodium symporter, putative</v>
      </c>
      <c r="BI59" s="2" t="str">
        <f>HYPERLINK("http://www.ncbi.nlm.nih.gov/sutils/blink.cgi?pid=XP_004332833.1","1E-024")</f>
        <v>1E-024</v>
      </c>
      <c r="BJ59" s="2" t="str">
        <f>HYPERLINK("http://www.ncbi.nlm.nih.gov/protein/XP_004332833.1","XP_004332833.1")</f>
        <v>XP_004332833.1</v>
      </c>
      <c r="BK59" s="2">
        <v>24</v>
      </c>
      <c r="BL59" s="2">
        <v>41</v>
      </c>
      <c r="BM59" s="2">
        <v>83</v>
      </c>
      <c r="BN59" s="2" t="s">
        <v>527</v>
      </c>
      <c r="BO59" s="9" t="str">
        <f>HYPERLINK(".\links\SWISSP\AGAP004199-PB-SWISSP.txt","Putative sodium-dependent multivitamin transporter")</f>
        <v>Putative sodium-dependent multivitamin transporter</v>
      </c>
      <c r="BP59" s="2" t="str">
        <f>HYPERLINK("http://www.uniprot.org/uniprot/P83740","0.0")</f>
        <v>0.0</v>
      </c>
      <c r="BQ59" s="2" t="str">
        <f>HYPERLINK("http://www.uniprot.org/uniprot/P83740#expression","P83740")</f>
        <v>P83740</v>
      </c>
      <c r="BR59" s="2">
        <v>56</v>
      </c>
      <c r="BS59" s="2">
        <v>74</v>
      </c>
      <c r="BT59" s="2">
        <v>94</v>
      </c>
      <c r="BU59" s="2" t="s">
        <v>100</v>
      </c>
      <c r="BV59" s="9" t="str">
        <f>HYPERLINK(".\links\FLYBASE\AGAP004199-PB-FLYBASE.txt","FBpp0085617")</f>
        <v>FBpp0085617</v>
      </c>
      <c r="BW59" s="2" t="str">
        <f>HYPERLINK("http://flybase.org/reports/FBgn0034494#alliance_summary_container","0.0")</f>
        <v>0.0</v>
      </c>
      <c r="BX59" s="2">
        <v>587</v>
      </c>
      <c r="BY59" s="2">
        <v>59</v>
      </c>
      <c r="BZ59" s="2">
        <v>77</v>
      </c>
      <c r="CA59" s="2">
        <v>97</v>
      </c>
      <c r="CB59" s="9" t="str">
        <f>HYPERLINK(".\links\CDD\AGAP004199-PB-CDD.txt","SLC5sbd_NIS-SMVT, Na(+)/iodide (NIS) and Na(+)/multivitamin (SMVT) cotransporters, and related proteins")</f>
        <v>SLC5sbd_NIS-SMVT, Na(+)/iodide (NIS) and Na(+)/multivitamin (SMVT) cotransporters, and related proteins</v>
      </c>
      <c r="CC59" s="13">
        <v>0</v>
      </c>
      <c r="CD59" s="2">
        <v>100.8</v>
      </c>
      <c r="CE59" s="2" t="s">
        <v>837</v>
      </c>
      <c r="CF59" s="2" t="s">
        <v>838</v>
      </c>
      <c r="CG59" s="9" t="str">
        <f>HYPERLINK(".\links\KOG\AGAP004199-PB-KOG.txt","Na+:iodide/myo-inositol/multivitamin symporters")</f>
        <v>Na+:iodide/myo-inositol/multivitamin symporters</v>
      </c>
      <c r="CH59" s="13">
        <v>9.9999999999999995E-145</v>
      </c>
      <c r="CI59" s="2">
        <v>91.5</v>
      </c>
      <c r="CJ59" s="2" t="s">
        <v>839</v>
      </c>
      <c r="CK59" s="2" t="s">
        <v>641</v>
      </c>
      <c r="CL59" s="9" t="str">
        <f>HYPERLINK(".\links\PFAM\AGAP004199-PB-PFAM.txt","SSF, Sodium:solute symporter family")</f>
        <v>SSF, Sodium:solute symporter family</v>
      </c>
      <c r="CM59" s="13">
        <v>5.0000000000000004E-31</v>
      </c>
      <c r="CN59" s="2">
        <v>103.4</v>
      </c>
      <c r="CO59" s="2" t="s">
        <v>840</v>
      </c>
      <c r="CP59" s="9" t="str">
        <f>HYPERLINK(".\links\SMART\AGAP004199-PB-SMART.txt","Cog4, COG4 transport protein")</f>
        <v>Cog4, COG4 transport protein</v>
      </c>
      <c r="CQ59" s="13">
        <v>7.6999999999999999E-2</v>
      </c>
      <c r="CR59" s="2">
        <v>11.4</v>
      </c>
      <c r="CS59" s="2" t="s">
        <v>841</v>
      </c>
      <c r="CT59" s="2" t="s">
        <v>834</v>
      </c>
      <c r="CU59" s="2" t="s">
        <v>834</v>
      </c>
      <c r="CV59" s="2" t="s">
        <v>834</v>
      </c>
      <c r="CW59" s="2" t="str">
        <f>HYPERLINK(".\links\pep\AGAP004199-PB-pep.txt","AGAP004199-PB")</f>
        <v>AGAP004199-PB</v>
      </c>
      <c r="CX59" s="2" t="s">
        <v>88</v>
      </c>
      <c r="CY59" s="2">
        <v>605</v>
      </c>
      <c r="CZ59" s="2" t="s">
        <v>106</v>
      </c>
      <c r="DA59" s="2" t="s">
        <v>842</v>
      </c>
      <c r="DB59" s="2">
        <v>0</v>
      </c>
      <c r="DC59" s="2">
        <v>2</v>
      </c>
      <c r="DD59" s="2" t="str">
        <f>HYPERLINK("https://www.kegg.jp/kegg-bin/search_pathway_text?map=aga&amp;keyword=AGAP004199&amp;mode=1&amp;viewImage=true","AGAP004199")</f>
        <v>AGAP004199</v>
      </c>
      <c r="DE59" s="2" t="s">
        <v>830</v>
      </c>
      <c r="DF59" s="2" t="s">
        <v>831</v>
      </c>
      <c r="DG59" s="2" t="s">
        <v>87</v>
      </c>
      <c r="DH59" s="2" t="str">
        <f>HYPERLINK("https://vectorbase.org/vectorbase/app/record/gene/AGAP004199","AGAP004199-RB")</f>
        <v>AGAP004199-RB</v>
      </c>
      <c r="DI59" s="2" t="s">
        <v>143</v>
      </c>
      <c r="DJ59" s="2">
        <v>2854</v>
      </c>
      <c r="DK59" s="2" t="str">
        <f>HYPERLINK(".\links\netoglyc\AGAP004199-PB-netoglyc.txt","3")</f>
        <v>3</v>
      </c>
      <c r="DL59" s="2">
        <v>13.9</v>
      </c>
      <c r="DM59" s="2">
        <v>7.9</v>
      </c>
      <c r="DN59" s="2">
        <v>4.3</v>
      </c>
      <c r="DO59" s="2">
        <v>0.5</v>
      </c>
      <c r="DP59" s="2" t="s">
        <v>94</v>
      </c>
      <c r="DQ59" s="2" t="str">
        <f>HYPERLINK(".\links\Sigp\AGAP004199-PB-SigP.txt","SIG")</f>
        <v>SIG</v>
      </c>
      <c r="DR59" s="2" t="s">
        <v>271</v>
      </c>
      <c r="DS59" s="2">
        <v>66.858000000000004</v>
      </c>
      <c r="DT59" s="2">
        <v>9.15</v>
      </c>
      <c r="DU59" s="2">
        <v>64.328000000000003</v>
      </c>
      <c r="DV59" s="2">
        <v>9.2200000000000006</v>
      </c>
      <c r="DW59" s="2" t="s">
        <v>836</v>
      </c>
      <c r="DX59" s="2">
        <v>605</v>
      </c>
      <c r="DY59" s="8" t="str">
        <f>HYPERLINK(".\links\tmhmm\AGAP004199-PB-tmhmm.txt","13")</f>
        <v>13</v>
      </c>
      <c r="DZ59" s="2">
        <v>46</v>
      </c>
      <c r="EA59" s="2">
        <v>25</v>
      </c>
      <c r="EB59" s="2">
        <v>29.1</v>
      </c>
      <c r="EC59" s="2" t="str">
        <f>HYPERLINK(".\links\gpi\AGAP004199-PB-gpi.txt","Y-NoSP")</f>
        <v>Y-NoSP</v>
      </c>
      <c r="ED59" s="2">
        <v>0.31</v>
      </c>
      <c r="EF59" s="2">
        <v>7</v>
      </c>
      <c r="EG59" s="2" t="str">
        <f>HYPERLINK(".\links\pep\AGAP004199-PB-sulf.txt","1")</f>
        <v>1</v>
      </c>
      <c r="EH59" s="2" t="s">
        <v>94</v>
      </c>
      <c r="EI59" s="2">
        <v>13.8842975206612</v>
      </c>
      <c r="EJ59" s="2">
        <v>4.2975206611570202</v>
      </c>
      <c r="EK59" s="2">
        <v>7.9338842975206596</v>
      </c>
      <c r="EL59" s="2">
        <v>12.2314049586777</v>
      </c>
      <c r="EM59" s="2">
        <v>1</v>
      </c>
      <c r="EN59" s="2" t="s">
        <v>94</v>
      </c>
      <c r="EO59" s="2">
        <v>2</v>
      </c>
      <c r="EP59" s="2" t="s">
        <v>94</v>
      </c>
      <c r="EQ59" s="2" t="s">
        <v>94</v>
      </c>
      <c r="ER59" s="2" t="s">
        <v>94</v>
      </c>
      <c r="ES59" s="2" t="s">
        <v>94</v>
      </c>
      <c r="ET59" s="2" t="str">
        <f>HYPERLINK(".\links\REFSEQ-INVERTEBRATE\AGAP004199-PB-REFSEQ-INVERTEBRATE.txt","AGAP004199-PA")</f>
        <v>AGAP004199-PA</v>
      </c>
      <c r="EU59" s="2" t="str">
        <f>HYPERLINK("http://www.ncbi.nlm.nih.gov/sutils/blink.cgi?pid=XP_313095.4","0.0")</f>
        <v>0.0</v>
      </c>
      <c r="EV59" s="2" t="str">
        <f>HYPERLINK("http://www.ncbi.nlm.nih.gov/protein/XP_313095.4","XP_313095.4")</f>
        <v>XP_313095.4</v>
      </c>
      <c r="EW59" s="2">
        <v>100</v>
      </c>
      <c r="EX59" s="2">
        <v>100</v>
      </c>
      <c r="EY59" s="2">
        <v>100</v>
      </c>
      <c r="EZ59" s="2" t="s">
        <v>98</v>
      </c>
    </row>
    <row r="60" spans="1:156" x14ac:dyDescent="0.25">
      <c r="A60" s="2" t="s">
        <v>843</v>
      </c>
      <c r="B60" s="2">
        <v>0.99163058678748495</v>
      </c>
      <c r="C60" s="2">
        <v>1.9884311190025012</v>
      </c>
      <c r="D60" s="2">
        <v>3.7789702431248</v>
      </c>
      <c r="E60" s="2">
        <v>10.64488257607</v>
      </c>
      <c r="F60" s="2">
        <v>1.1037588959535299E-3</v>
      </c>
      <c r="G60" s="2">
        <v>4.5383686430576102E-2</v>
      </c>
      <c r="H60" s="2" t="s">
        <v>844</v>
      </c>
      <c r="I60" s="2" t="s">
        <v>87</v>
      </c>
      <c r="J60" s="2" t="str">
        <f>HYPERLINK("https://vectorbase.org/vectorbase/app/record/gene/AGAP011351","AGAP011351-RA")</f>
        <v>AGAP011351-RA</v>
      </c>
      <c r="K60" s="2" t="str">
        <f>HYPERLINK(".\links\pep\AGAP011351-PA-pep.txt","AGAP011351-PA")</f>
        <v>AGAP011351-PA</v>
      </c>
      <c r="L60" s="8" t="s">
        <v>88</v>
      </c>
      <c r="M60" s="2">
        <v>1437</v>
      </c>
      <c r="N60" s="2">
        <v>0</v>
      </c>
      <c r="O60" s="2">
        <v>1</v>
      </c>
      <c r="P60" s="2" t="s">
        <v>845</v>
      </c>
      <c r="Q60" s="9" t="s">
        <v>846</v>
      </c>
      <c r="R60" s="2" t="s">
        <v>318</v>
      </c>
      <c r="S60" s="2" t="str">
        <f>HYPERLINK(".\links\KOG\AGAP011351-PA-KOG.txt","KOG")</f>
        <v>KOG</v>
      </c>
      <c r="T60" s="2">
        <v>0</v>
      </c>
      <c r="U60" s="2">
        <v>107.4</v>
      </c>
      <c r="V60" s="2" t="s">
        <v>847</v>
      </c>
      <c r="W60" s="10" t="s">
        <v>848</v>
      </c>
      <c r="X60" s="2" t="s">
        <v>347</v>
      </c>
      <c r="Y60" s="2" t="str">
        <f>HYPERLINK(".\links\ELEGANS\AGAP011351-PA-ELEGANS.txt","ELEGANS")</f>
        <v>ELEGANS</v>
      </c>
      <c r="Z60" s="13">
        <v>0</v>
      </c>
      <c r="AA60" s="2">
        <v>62.1</v>
      </c>
      <c r="AB60" s="11" t="str">
        <f>HYPERLINK(".\links\pep\AGAP011351-PA-sulf.txt","1")</f>
        <v>1</v>
      </c>
      <c r="AC60" s="11" t="str">
        <f>HYPERLINK(".\links\Sigp\AGAP011351-PA-SigP.txt","CYT")</f>
        <v>CYT</v>
      </c>
      <c r="AD60" s="2" t="s">
        <v>94</v>
      </c>
      <c r="AE60" s="2">
        <v>161.12100000000001</v>
      </c>
      <c r="AF60" s="2">
        <v>7.7</v>
      </c>
      <c r="AG60" s="2" t="s">
        <v>94</v>
      </c>
      <c r="AH60" s="2" t="s">
        <v>94</v>
      </c>
      <c r="AI60" s="2" t="s">
        <v>849</v>
      </c>
      <c r="AJ60" s="11">
        <v>0</v>
      </c>
      <c r="AK60" s="2" t="s">
        <v>94</v>
      </c>
      <c r="AL60" s="2" t="s">
        <v>94</v>
      </c>
      <c r="AM60" s="2" t="s">
        <v>94</v>
      </c>
      <c r="AN60" s="11" t="str">
        <f>HYPERLINK(".\links\gpi\AGAP011351-PA-gpi.txt","N")</f>
        <v>N</v>
      </c>
      <c r="AO60" s="12" t="str">
        <f>HYPERLINK(".\links\netoglyc\AGAP011351-PA-netoglyc.txt","12")</f>
        <v>12</v>
      </c>
      <c r="AP60" s="11">
        <v>14</v>
      </c>
      <c r="AQ60" s="2">
        <v>6.5</v>
      </c>
      <c r="AR60" s="2">
        <v>6.6</v>
      </c>
      <c r="AS60" s="2" t="s">
        <v>97</v>
      </c>
      <c r="AT60" s="9" t="str">
        <f>HYPERLINK(".\links\NR-LIGHT\AGAP011351-PA-NR-LIGHT.txt","AGAP011351-PA")</f>
        <v>AGAP011351-PA</v>
      </c>
      <c r="AU60" s="2" t="str">
        <f>HYPERLINK("http://www.ncbi.nlm.nih.gov/sutils/blink.cgi?pid=XP_564133.3","0.0")</f>
        <v>0.0</v>
      </c>
      <c r="AV60" s="2" t="str">
        <f>HYPERLINK("http://www.ncbi.nlm.nih.gov/protein/XP_564133.3","XP_564133.3")</f>
        <v>XP_564133.3</v>
      </c>
      <c r="AW60" s="2">
        <v>95</v>
      </c>
      <c r="AX60" s="2">
        <v>96</v>
      </c>
      <c r="AY60" s="2">
        <v>102</v>
      </c>
      <c r="AZ60" s="2" t="s">
        <v>98</v>
      </c>
      <c r="BA60" s="9" t="str">
        <f>HYPERLINK(".\links\REFSEQ-INVERTEBRATE\AGAP011351-PA-REFSEQ-INVERTEBRATE.txt","AGAP011351-PA")</f>
        <v>AGAP011351-PA</v>
      </c>
      <c r="BB60" s="2" t="str">
        <f>HYPERLINK("http://www.ncbi.nlm.nih.gov/sutils/blink.cgi?pid=XP_564133.3","0.0")</f>
        <v>0.0</v>
      </c>
      <c r="BC60" s="2" t="str">
        <f>HYPERLINK("http://www.ncbi.nlm.nih.gov/protein/XP_564133.3","XP_564133.3")</f>
        <v>XP_564133.3</v>
      </c>
      <c r="BD60" s="2">
        <v>95</v>
      </c>
      <c r="BE60" s="2">
        <v>96</v>
      </c>
      <c r="BF60" s="2">
        <v>102</v>
      </c>
      <c r="BG60" s="2" t="s">
        <v>98</v>
      </c>
      <c r="BH60" s="9" t="str">
        <f>HYPERLINK(".\links\REFSEQ-PROTOZOA\AGAP011351-PA-REFSEQ-PROTOZOA.txt","hypothetical protein")</f>
        <v>hypothetical protein</v>
      </c>
      <c r="BI60" s="2" t="str">
        <f>HYPERLINK("http://www.ncbi.nlm.nih.gov/sutils/blink.cgi?pid=XP_001742404.1","1E-055")</f>
        <v>1E-055</v>
      </c>
      <c r="BJ60" s="2" t="str">
        <f>HYPERLINK("http://www.ncbi.nlm.nih.gov/protein/XP_001742404.1","XP_001742404.1")</f>
        <v>XP_001742404.1</v>
      </c>
      <c r="BK60" s="2">
        <v>32</v>
      </c>
      <c r="BL60" s="2">
        <v>53</v>
      </c>
      <c r="BM60" s="2">
        <v>29</v>
      </c>
      <c r="BN60" s="2" t="s">
        <v>704</v>
      </c>
      <c r="BO60" s="9" t="str">
        <f>HYPERLINK(".\links\SWISSP\AGAP011351-PA-SWISSP.txt","DENN domain-containing protein 5B")</f>
        <v>DENN domain-containing protein 5B</v>
      </c>
      <c r="BP60" s="2" t="str">
        <f>HYPERLINK("http://www.uniprot.org/uniprot/A2RSQ0","0.0")</f>
        <v>0.0</v>
      </c>
      <c r="BQ60" s="2" t="str">
        <f>HYPERLINK("http://www.uniprot.org/uniprot/A2RSQ0#expression","A2RSQ0")</f>
        <v>A2RSQ0</v>
      </c>
      <c r="BR60" s="2">
        <v>41</v>
      </c>
      <c r="BS60" s="2">
        <v>57</v>
      </c>
      <c r="BT60" s="2">
        <v>111</v>
      </c>
      <c r="BU60" s="2" t="s">
        <v>339</v>
      </c>
      <c r="BV60" s="9" t="str">
        <f>HYPERLINK(".\links\FLYBASE\AGAP011351-PA-FLYBASE.txt","FBpp0072618")</f>
        <v>FBpp0072618</v>
      </c>
      <c r="BW60" s="2" t="str">
        <f>HYPERLINK("http://flybase.org/reports/FBgn0035229#alliance_summary_container","0.0")</f>
        <v>0.0</v>
      </c>
      <c r="BX60" s="2">
        <v>1449</v>
      </c>
      <c r="BY60" s="2">
        <v>61</v>
      </c>
      <c r="BZ60" s="2">
        <v>73</v>
      </c>
      <c r="CA60" s="2">
        <v>100</v>
      </c>
      <c r="CB60" s="9" t="str">
        <f>HYPERLINK(".\links\CDD\AGAP011351-PA-CDD.txt","DENN, Domain found in a variety of signalling proteins, always encircled by uDENN and dDENN")</f>
        <v>DENN, Domain found in a variety of signalling proteins, always encircled by uDENN and dDENN</v>
      </c>
      <c r="CC60" s="13">
        <v>4.9999999999999999E-49</v>
      </c>
      <c r="CD60" s="2">
        <v>105.5</v>
      </c>
      <c r="CE60" s="2" t="s">
        <v>850</v>
      </c>
      <c r="CF60" s="2" t="s">
        <v>851</v>
      </c>
      <c r="CG60" s="9" t="str">
        <f>HYPERLINK(".\links\KOG\AGAP011351-PA-KOG.txt","contains DENN and RUN domains")</f>
        <v>contains DENN and RUN domains</v>
      </c>
      <c r="CH60" s="13">
        <v>0</v>
      </c>
      <c r="CI60" s="2">
        <v>107.5</v>
      </c>
      <c r="CJ60" s="2" t="s">
        <v>852</v>
      </c>
      <c r="CK60" s="2" t="s">
        <v>326</v>
      </c>
      <c r="CL60" s="9" t="str">
        <f>HYPERLINK(".\links\PFAM\AGAP011351-PA-PFAM.txt","DENN, DENN (AEX-3) domain")</f>
        <v>DENN, DENN (AEX-3) domain</v>
      </c>
      <c r="CM60" s="13">
        <v>5.0000000000000002E-43</v>
      </c>
      <c r="CN60" s="2">
        <v>103.8</v>
      </c>
      <c r="CO60" s="2" t="s">
        <v>853</v>
      </c>
      <c r="CP60" s="9" t="str">
        <f>HYPERLINK(".\links\SMART\AGAP011351-PA-SMART.txt","DENN, Domain found in a variety of signalling proteins, always encircled by uDENN and dDENN")</f>
        <v>DENN, Domain found in a variety of signalling proteins, always encircled by uDENN and dDENN</v>
      </c>
      <c r="CQ60" s="13">
        <v>4E-51</v>
      </c>
      <c r="CR60" s="2">
        <v>105.5</v>
      </c>
      <c r="CS60" s="2" t="s">
        <v>850</v>
      </c>
      <c r="CT60" s="2" t="s">
        <v>847</v>
      </c>
      <c r="CU60" s="2" t="s">
        <v>847</v>
      </c>
      <c r="CV60" s="2" t="s">
        <v>847</v>
      </c>
      <c r="CW60" s="2" t="str">
        <f>HYPERLINK(".\links\pep\AGAP011351-PA-pep.txt","AGAP011351-PA")</f>
        <v>AGAP011351-PA</v>
      </c>
      <c r="CX60" s="2" t="s">
        <v>88</v>
      </c>
      <c r="CY60" s="2">
        <v>1437</v>
      </c>
      <c r="CZ60" s="2" t="s">
        <v>106</v>
      </c>
      <c r="DA60" s="2" t="s">
        <v>854</v>
      </c>
      <c r="DB60" s="2">
        <v>0</v>
      </c>
      <c r="DC60" s="2">
        <v>1</v>
      </c>
      <c r="DD60" s="2" t="str">
        <f>HYPERLINK("https://www.kegg.jp/kegg-bin/search_pathway_text?map=aga&amp;keyword=AGAP011351&amp;mode=1&amp;viewImage=true","AGAP011351")</f>
        <v>AGAP011351</v>
      </c>
      <c r="DE60" s="2" t="s">
        <v>843</v>
      </c>
      <c r="DF60" s="2" t="s">
        <v>844</v>
      </c>
      <c r="DG60" s="2" t="s">
        <v>87</v>
      </c>
      <c r="DH60" s="2" t="str">
        <f>HYPERLINK("https://vectorbase.org/vectorbase/app/record/gene/AGAP011351","AGAP011351-RA")</f>
        <v>AGAP011351-RA</v>
      </c>
      <c r="DI60" s="2" t="s">
        <v>108</v>
      </c>
      <c r="DJ60" s="2">
        <v>6263</v>
      </c>
      <c r="DK60" s="2" t="str">
        <f>HYPERLINK(".\links\netoglyc\AGAP011351-PA-netoglyc.txt","12")</f>
        <v>12</v>
      </c>
      <c r="DL60" s="2">
        <v>14</v>
      </c>
      <c r="DM60" s="2">
        <v>6.5</v>
      </c>
      <c r="DN60" s="2">
        <v>6.6</v>
      </c>
      <c r="DO60" s="2" t="s">
        <v>97</v>
      </c>
      <c r="DP60" s="2" t="s">
        <v>855</v>
      </c>
      <c r="DQ60" s="2" t="str">
        <f>HYPERLINK(".\links\Sigp\AGAP011351-PA-SigP.txt","CYT")</f>
        <v>CYT</v>
      </c>
      <c r="DR60" s="2" t="s">
        <v>94</v>
      </c>
      <c r="DS60" s="2">
        <v>161.12100000000001</v>
      </c>
      <c r="DT60" s="2">
        <v>7.7</v>
      </c>
      <c r="DU60" s="2" t="s">
        <v>94</v>
      </c>
      <c r="DV60" s="2" t="s">
        <v>94</v>
      </c>
      <c r="DW60" s="2" t="s">
        <v>849</v>
      </c>
      <c r="DX60" s="2">
        <v>1437</v>
      </c>
      <c r="DY60" s="8">
        <v>0</v>
      </c>
      <c r="DZ60" s="2" t="s">
        <v>94</v>
      </c>
      <c r="EA60" s="2" t="s">
        <v>94</v>
      </c>
      <c r="EB60" s="2" t="s">
        <v>94</v>
      </c>
      <c r="EC60" s="2" t="str">
        <f>HYPERLINK(".\links\gpi\AGAP011351-PA-gpi.txt","N")</f>
        <v>N</v>
      </c>
      <c r="ED60" s="2">
        <v>0.15</v>
      </c>
      <c r="EF60" s="2">
        <v>32</v>
      </c>
      <c r="EG60" s="2" t="str">
        <f>HYPERLINK(".\links\pep\AGAP011351-PA-sulf.txt","1")</f>
        <v>1</v>
      </c>
      <c r="EH60" s="2" t="s">
        <v>94</v>
      </c>
      <c r="EI60" s="2">
        <v>13.987473903966601</v>
      </c>
      <c r="EJ60" s="2">
        <v>6.6109951287404298</v>
      </c>
      <c r="EK60" s="2">
        <v>6.5414057063326396</v>
      </c>
      <c r="EL60" s="2">
        <v>13.152400835073101</v>
      </c>
      <c r="EM60" s="2">
        <v>3</v>
      </c>
      <c r="EN60" s="2">
        <v>1</v>
      </c>
      <c r="EO60" s="2">
        <v>1</v>
      </c>
      <c r="EP60" s="2" t="s">
        <v>94</v>
      </c>
      <c r="EQ60" s="2" t="s">
        <v>94</v>
      </c>
      <c r="ER60" s="2" t="s">
        <v>94</v>
      </c>
      <c r="ES60" s="2" t="s">
        <v>94</v>
      </c>
      <c r="ET60" s="2" t="str">
        <f>HYPERLINK(".\links\REFSEQ-INVERTEBRATE\AGAP011351-PA-REFSEQ-INVERTEBRATE.txt","AGAP011351-PA")</f>
        <v>AGAP011351-PA</v>
      </c>
      <c r="EU60" s="2" t="str">
        <f>HYPERLINK("http://www.ncbi.nlm.nih.gov/sutils/blink.cgi?pid=XP_564133.3","0.0")</f>
        <v>0.0</v>
      </c>
      <c r="EV60" s="2" t="str">
        <f>HYPERLINK("http://www.ncbi.nlm.nih.gov/protein/XP_564133.3","XP_564133.3")</f>
        <v>XP_564133.3</v>
      </c>
      <c r="EW60" s="2">
        <v>96</v>
      </c>
      <c r="EX60" s="2">
        <v>96</v>
      </c>
      <c r="EY60" s="2">
        <v>102</v>
      </c>
      <c r="EZ60" s="2" t="s">
        <v>98</v>
      </c>
    </row>
    <row r="61" spans="1:156" x14ac:dyDescent="0.25">
      <c r="A61" s="2" t="s">
        <v>856</v>
      </c>
      <c r="B61" s="2">
        <v>0.98213999474985003</v>
      </c>
      <c r="C61" s="2">
        <v>1.9753933997731932</v>
      </c>
      <c r="D61" s="2">
        <v>5.54148113065526</v>
      </c>
      <c r="E61" s="2">
        <v>15.6106908077056</v>
      </c>
      <c r="F61" s="2">
        <v>7.7813397645782101E-5</v>
      </c>
      <c r="G61" s="2">
        <v>5.9827748092370903E-3</v>
      </c>
      <c r="H61" s="2" t="s">
        <v>857</v>
      </c>
      <c r="I61" s="2" t="s">
        <v>87</v>
      </c>
      <c r="J61" s="2" t="str">
        <f>HYPERLINK("https://vectorbase.org/vectorbase/app/record/gene/AGAP008915","AGAP008915-RA")</f>
        <v>AGAP008915-RA</v>
      </c>
      <c r="K61" s="2" t="str">
        <f>HYPERLINK(".\links\pep\AGAP008915-PA-pep.txt","AGAP008915-PA")</f>
        <v>AGAP008915-PA</v>
      </c>
      <c r="L61" s="8" t="s">
        <v>88</v>
      </c>
      <c r="M61" s="2">
        <v>591</v>
      </c>
      <c r="N61" s="2">
        <v>0</v>
      </c>
      <c r="O61" s="2">
        <v>4</v>
      </c>
      <c r="P61" s="2" t="s">
        <v>858</v>
      </c>
      <c r="Q61" s="9" t="s">
        <v>859</v>
      </c>
      <c r="R61" s="2" t="s">
        <v>860</v>
      </c>
      <c r="S61" s="2" t="str">
        <f>HYPERLINK(".\links\KOG\AGAP008915-PA-KOG.txt","KOG")</f>
        <v>KOG</v>
      </c>
      <c r="T61" s="2">
        <v>0</v>
      </c>
      <c r="U61" s="2">
        <v>92.9</v>
      </c>
      <c r="V61" s="2" t="s">
        <v>861</v>
      </c>
      <c r="W61" s="10" t="s">
        <v>862</v>
      </c>
      <c r="X61" s="2" t="s">
        <v>510</v>
      </c>
      <c r="Y61" s="2" t="str">
        <f>HYPERLINK(".\links\REFSEQ-PROTOZOA\AGAP008915-PA-REFSEQ-PROTOZOA.txt","REFSEQ-PROTOZOA")</f>
        <v>REFSEQ-PROTOZOA</v>
      </c>
      <c r="Z61" s="2">
        <v>0</v>
      </c>
      <c r="AA61" s="2">
        <v>86</v>
      </c>
      <c r="AB61" s="11" t="str">
        <f>HYPERLINK(".\links\pep\AGAP008915-PA-sulf.txt","3")</f>
        <v>3</v>
      </c>
      <c r="AC61" s="11" t="str">
        <f>HYPERLINK(".\links\Sigp\AGAP008915-PA-SigP.txt","SIG")</f>
        <v>SIG</v>
      </c>
      <c r="AD61" s="2" t="s">
        <v>863</v>
      </c>
      <c r="AE61" s="2">
        <v>64.19</v>
      </c>
      <c r="AF61" s="2">
        <v>6</v>
      </c>
      <c r="AG61" s="2">
        <v>61.558</v>
      </c>
      <c r="AH61" s="2">
        <v>5.74</v>
      </c>
      <c r="AI61" s="2" t="s">
        <v>864</v>
      </c>
      <c r="AJ61" s="11" t="str">
        <f>HYPERLINK(".\links\tmhmm\AGAP008915-PA-tmhmm.txt","1")</f>
        <v>1</v>
      </c>
      <c r="AK61" s="2">
        <v>3.2</v>
      </c>
      <c r="AL61" s="2">
        <v>94.8</v>
      </c>
      <c r="AM61" s="2">
        <v>2</v>
      </c>
      <c r="AN61" s="11" t="str">
        <f>HYPERLINK(".\links\gpi\AGAP008915-PA-gpi.txt","N")</f>
        <v>N</v>
      </c>
      <c r="AO61" s="12" t="str">
        <f>HYPERLINK(".\links\netoglyc\AGAP008915-PA-netoglyc.txt","0")</f>
        <v>0</v>
      </c>
      <c r="AP61" s="11">
        <v>14.2</v>
      </c>
      <c r="AQ61" s="2">
        <v>8.6</v>
      </c>
      <c r="AR61" s="2">
        <v>5.0999999999999996</v>
      </c>
      <c r="AS61" s="2" t="s">
        <v>97</v>
      </c>
      <c r="AT61" s="9" t="str">
        <f>HYPERLINK(".\links\NR-LIGHT\AGAP008915-PA-NR-LIGHT.txt","AGAP008915-PA, partial")</f>
        <v>AGAP008915-PA, partial</v>
      </c>
      <c r="AU61" s="2" t="str">
        <f>HYPERLINK("http://www.ncbi.nlm.nih.gov/sutils/blink.cgi?pid=XP_319663.4","0.0")</f>
        <v>0.0</v>
      </c>
      <c r="AV61" s="2" t="str">
        <f>HYPERLINK("http://www.ncbi.nlm.nih.gov/protein/XP_319663.4","XP_319663.4")</f>
        <v>XP_319663.4</v>
      </c>
      <c r="AW61" s="2">
        <v>88</v>
      </c>
      <c r="AX61" s="2">
        <v>92</v>
      </c>
      <c r="AY61" s="2">
        <v>98</v>
      </c>
      <c r="AZ61" s="2" t="s">
        <v>98</v>
      </c>
      <c r="BA61" s="9" t="str">
        <f>HYPERLINK(".\links\REFSEQ-INVERTEBRATE\AGAP008915-PA-REFSEQ-INVERTEBRATE.txt","AGAP008915-PA, partial")</f>
        <v>AGAP008915-PA, partial</v>
      </c>
      <c r="BB61" s="2" t="str">
        <f>HYPERLINK("http://www.ncbi.nlm.nih.gov/sutils/blink.cgi?pid=XP_319663.4","0.0")</f>
        <v>0.0</v>
      </c>
      <c r="BC61" s="2" t="str">
        <f>HYPERLINK("http://www.ncbi.nlm.nih.gov/protein/XP_319663.4","XP_319663.4")</f>
        <v>XP_319663.4</v>
      </c>
      <c r="BD61" s="2">
        <v>88</v>
      </c>
      <c r="BE61" s="2">
        <v>92</v>
      </c>
      <c r="BF61" s="2">
        <v>98</v>
      </c>
      <c r="BG61" s="2" t="s">
        <v>98</v>
      </c>
      <c r="BH61" s="9" t="str">
        <f>HYPERLINK(".\links\REFSEQ-PROTOZOA\AGAP008915-PA-REFSEQ-PROTOZOA.txt","hypothetical protein CAOG_08611")</f>
        <v>hypothetical protein CAOG_08611</v>
      </c>
      <c r="BI61" s="2" t="str">
        <f>HYPERLINK("http://www.ncbi.nlm.nih.gov/sutils/blink.cgi?pid=XP_011270211.1","2E-099")</f>
        <v>2E-099</v>
      </c>
      <c r="BJ61" s="2" t="str">
        <f>HYPERLINK("http://www.ncbi.nlm.nih.gov/protein/XP_011270211.1","XP_011270211.1")</f>
        <v>XP_011270211.1</v>
      </c>
      <c r="BK61" s="2">
        <v>40</v>
      </c>
      <c r="BL61" s="2">
        <v>54</v>
      </c>
      <c r="BM61" s="2">
        <v>89</v>
      </c>
      <c r="BN61" s="2" t="s">
        <v>227</v>
      </c>
      <c r="BO61" s="9" t="str">
        <f>HYPERLINK(".\links\SWISSP\AGAP008915-PA-SWISSP.txt","Glutathione hydrolase 1 proenzyme")</f>
        <v>Glutathione hydrolase 1 proenzyme</v>
      </c>
      <c r="BP61" s="2" t="str">
        <f>HYPERLINK("http://www.uniprot.org/uniprot/P19440","1E-111")</f>
        <v>1E-111</v>
      </c>
      <c r="BQ61" s="2" t="str">
        <f>HYPERLINK("http://www.uniprot.org/uniprot/P19440#expression","P19440")</f>
        <v>P19440</v>
      </c>
      <c r="BR61" s="2">
        <v>43</v>
      </c>
      <c r="BS61" s="2">
        <v>59</v>
      </c>
      <c r="BT61" s="2">
        <v>99</v>
      </c>
      <c r="BU61" s="2" t="s">
        <v>196</v>
      </c>
      <c r="BV61" s="9" t="str">
        <f>HYPERLINK(".\links\FLYBASE\AGAP008915-PA-FLYBASE.txt","FBpp0111834")</f>
        <v>FBpp0111834</v>
      </c>
      <c r="BW61" s="2" t="str">
        <f>HYPERLINK("http://flybase.org/reports/FBgn0025837#alliance_summary_container","1E-177")</f>
        <v>1E-177</v>
      </c>
      <c r="BX61" s="2">
        <v>571</v>
      </c>
      <c r="BY61" s="2">
        <v>48</v>
      </c>
      <c r="BZ61" s="2">
        <v>66</v>
      </c>
      <c r="CA61" s="2">
        <v>94</v>
      </c>
      <c r="CB61" s="9" t="str">
        <f>HYPERLINK(".\links\CDD\AGAP008915-PA-CDD.txt","G_glu_transpept, Gamma-glutamyltranspeptidase")</f>
        <v>G_glu_transpept, Gamma-glutamyltranspeptidase</v>
      </c>
      <c r="CC61" s="13">
        <v>9.9999999999999995E-163</v>
      </c>
      <c r="CD61" s="2">
        <v>104.6</v>
      </c>
      <c r="CE61" s="2" t="s">
        <v>865</v>
      </c>
      <c r="CF61" s="2" t="s">
        <v>866</v>
      </c>
      <c r="CG61" s="9" t="str">
        <f>HYPERLINK(".\links\KOG\AGAP008915-PA-KOG.txt","Gamma-glutamyltransferase")</f>
        <v>Gamma-glutamyltransferase</v>
      </c>
      <c r="CH61" s="13">
        <v>1E-180</v>
      </c>
      <c r="CI61" s="2">
        <v>92.9</v>
      </c>
      <c r="CJ61" s="2" t="s">
        <v>867</v>
      </c>
      <c r="CK61" s="2" t="s">
        <v>278</v>
      </c>
      <c r="CL61" s="9" t="str">
        <f>HYPERLINK(".\links\PFAM\AGAP008915-PA-PFAM.txt","G_glu_transpept, Gamma-glutamyltranspeptidase")</f>
        <v>G_glu_transpept, Gamma-glutamyltranspeptidase</v>
      </c>
      <c r="CM61" s="13">
        <v>9.9999999999999992E-164</v>
      </c>
      <c r="CN61" s="2">
        <v>104.6</v>
      </c>
      <c r="CO61" s="2" t="s">
        <v>865</v>
      </c>
      <c r="CP61" s="9" t="str">
        <f>HYPERLINK(".\links\SMART\AGAP008915-PA-SMART.txt","ZipA_C, ZipA, C-terminal domain (FtsZ-binding)")</f>
        <v>ZipA_C, ZipA, C-terminal domain (FtsZ-binding)</v>
      </c>
      <c r="CQ61" s="13">
        <v>0.15</v>
      </c>
      <c r="CR61" s="2">
        <v>22.1</v>
      </c>
      <c r="CS61" s="2" t="s">
        <v>868</v>
      </c>
      <c r="CT61" s="2" t="s">
        <v>861</v>
      </c>
      <c r="CU61" s="2" t="s">
        <v>861</v>
      </c>
      <c r="CV61" s="2" t="s">
        <v>861</v>
      </c>
      <c r="CW61" s="2" t="str">
        <f>HYPERLINK(".\links\pep\AGAP008915-PA-pep.txt","AGAP008915-PA")</f>
        <v>AGAP008915-PA</v>
      </c>
      <c r="CX61" s="2" t="s">
        <v>88</v>
      </c>
      <c r="CY61" s="2">
        <v>591</v>
      </c>
      <c r="CZ61" s="2" t="s">
        <v>106</v>
      </c>
      <c r="DA61" s="2" t="s">
        <v>869</v>
      </c>
      <c r="DB61" s="2">
        <v>0</v>
      </c>
      <c r="DC61" s="2">
        <v>4</v>
      </c>
      <c r="DD61" s="2" t="str">
        <f>HYPERLINK("https://www.kegg.jp/kegg-bin/search_pathway_text?map=aga&amp;keyword=AGAP008915&amp;mode=1&amp;viewImage=true","AGAP008915")</f>
        <v>AGAP008915</v>
      </c>
      <c r="DE61" s="2" t="s">
        <v>856</v>
      </c>
      <c r="DF61" s="2" t="s">
        <v>857</v>
      </c>
      <c r="DG61" s="2" t="s">
        <v>87</v>
      </c>
      <c r="DH61" s="2" t="str">
        <f>HYPERLINK("https://vectorbase.org/vectorbase/app/record/gene/AGAP008915","AGAP008915-RA")</f>
        <v>AGAP008915-RA</v>
      </c>
      <c r="DI61" s="2" t="s">
        <v>125</v>
      </c>
      <c r="DJ61" s="2">
        <v>2306</v>
      </c>
      <c r="DK61" s="2" t="str">
        <f>HYPERLINK(".\links\netoglyc\AGAP008915-PA-netoglyc.txt","0")</f>
        <v>0</v>
      </c>
      <c r="DL61" s="2">
        <v>14.2</v>
      </c>
      <c r="DM61" s="2">
        <v>8.6</v>
      </c>
      <c r="DN61" s="2">
        <v>5.0999999999999996</v>
      </c>
      <c r="DO61" s="2" t="s">
        <v>97</v>
      </c>
      <c r="DP61" s="2" t="s">
        <v>94</v>
      </c>
      <c r="DQ61" s="2" t="str">
        <f>HYPERLINK(".\links\Sigp\AGAP008915-PA-SigP.txt","SIG")</f>
        <v>SIG</v>
      </c>
      <c r="DR61" s="2" t="s">
        <v>863</v>
      </c>
      <c r="DS61" s="2">
        <v>64.19</v>
      </c>
      <c r="DT61" s="2">
        <v>6</v>
      </c>
      <c r="DU61" s="2">
        <v>61.558</v>
      </c>
      <c r="DV61" s="2">
        <v>5.74</v>
      </c>
      <c r="DW61" s="2" t="s">
        <v>864</v>
      </c>
      <c r="DX61" s="2">
        <v>591</v>
      </c>
      <c r="DY61" s="8" t="str">
        <f>HYPERLINK(".\links\tmhmm\AGAP008915-PA-tmhmm.txt","1")</f>
        <v>1</v>
      </c>
      <c r="DZ61" s="2">
        <v>3.2</v>
      </c>
      <c r="EA61" s="2">
        <v>94.8</v>
      </c>
      <c r="EB61" s="2">
        <v>2</v>
      </c>
      <c r="EC61" s="2" t="str">
        <f>HYPERLINK(".\links\gpi\AGAP008915-PA-gpi.txt","N")</f>
        <v>N</v>
      </c>
      <c r="ED61" s="2">
        <v>0.22</v>
      </c>
      <c r="EF61" s="2">
        <v>7</v>
      </c>
      <c r="EG61" s="2" t="str">
        <f>HYPERLINK(".\links\pep\AGAP008915-PA-sulf.txt","3")</f>
        <v>3</v>
      </c>
      <c r="EH61" s="2" t="s">
        <v>94</v>
      </c>
      <c r="EI61" s="2">
        <v>14.213197969543099</v>
      </c>
      <c r="EJ61" s="2">
        <v>5.0761421319797</v>
      </c>
      <c r="EK61" s="2">
        <v>8.6294416243654801</v>
      </c>
      <c r="EL61" s="2">
        <v>13.705583756345201</v>
      </c>
      <c r="EM61" s="2">
        <v>1</v>
      </c>
      <c r="EN61" s="2">
        <v>2</v>
      </c>
      <c r="EO61" s="2">
        <v>6</v>
      </c>
      <c r="EP61" s="2" t="s">
        <v>94</v>
      </c>
      <c r="EQ61" s="2" t="s">
        <v>94</v>
      </c>
      <c r="ER61" s="2" t="s">
        <v>94</v>
      </c>
      <c r="ES61" s="2" t="s">
        <v>94</v>
      </c>
      <c r="ET61" s="2" t="str">
        <f>HYPERLINK(".\links\REFSEQ-INVERTEBRATE\AGAP008915-PA-REFSEQ-INVERTEBRATE.txt","AGAP008915-PA, partial")</f>
        <v>AGAP008915-PA, partial</v>
      </c>
      <c r="EU61" s="2" t="str">
        <f>HYPERLINK("http://www.ncbi.nlm.nih.gov/sutils/blink.cgi?pid=XP_319663.4","0.0")</f>
        <v>0.0</v>
      </c>
      <c r="EV61" s="2" t="str">
        <f>HYPERLINK("http://www.ncbi.nlm.nih.gov/protein/XP_319663.4","XP_319663.4")</f>
        <v>XP_319663.4</v>
      </c>
      <c r="EW61" s="2">
        <v>88</v>
      </c>
      <c r="EX61" s="2">
        <v>92</v>
      </c>
      <c r="EY61" s="2">
        <v>96</v>
      </c>
      <c r="EZ61" s="2" t="s">
        <v>98</v>
      </c>
    </row>
    <row r="62" spans="1:156" x14ac:dyDescent="0.25">
      <c r="A62" s="2" t="s">
        <v>870</v>
      </c>
      <c r="B62" s="2">
        <v>0.97794020466282205</v>
      </c>
      <c r="C62" s="2">
        <v>1.9696512480243367</v>
      </c>
      <c r="D62" s="2">
        <v>6.0127542441250297</v>
      </c>
      <c r="E62" s="2">
        <v>19.362346811280901</v>
      </c>
      <c r="F62" s="2">
        <v>1.08117925492247E-5</v>
      </c>
      <c r="G62" s="2">
        <v>1.22368171613258E-3</v>
      </c>
      <c r="H62" s="2" t="s">
        <v>871</v>
      </c>
      <c r="I62" s="2" t="s">
        <v>87</v>
      </c>
      <c r="J62" s="2" t="str">
        <f>HYPERLINK("https://vectorbase.org/vectorbase/app/record/gene/AGAP028613","AGAP028613-RA")</f>
        <v>AGAP028613-RA</v>
      </c>
      <c r="K62" s="2" t="str">
        <f>HYPERLINK(".\links\pep\AGAP028613-PA-pep.txt","AGAP028613-PA")</f>
        <v>AGAP028613-PA</v>
      </c>
      <c r="L62" s="8" t="s">
        <v>88</v>
      </c>
      <c r="M62" s="2">
        <v>624</v>
      </c>
      <c r="N62" s="2">
        <v>0</v>
      </c>
      <c r="O62" s="2">
        <v>4</v>
      </c>
      <c r="P62" s="2" t="s">
        <v>872</v>
      </c>
      <c r="Q62" s="9" t="s">
        <v>873</v>
      </c>
      <c r="R62" s="2" t="s">
        <v>113</v>
      </c>
      <c r="S62" s="2" t="str">
        <f>HYPERLINK(".\links\KOG\AGAP028613-PA-KOG.txt","KOG")</f>
        <v>KOG</v>
      </c>
      <c r="T62" s="2">
        <v>0</v>
      </c>
      <c r="U62" s="2">
        <v>106.3</v>
      </c>
      <c r="V62" s="2" t="s">
        <v>874</v>
      </c>
      <c r="W62" s="10" t="s">
        <v>875</v>
      </c>
      <c r="X62" s="2" t="s">
        <v>113</v>
      </c>
      <c r="Y62" s="2" t="str">
        <f>HYPERLINK(".\links\REFSEQ-PROTOZOA\AGAP028613-PA-REFSEQ-PROTOZOA.txt","REFSEQ-PROTOZOA")</f>
        <v>REFSEQ-PROTOZOA</v>
      </c>
      <c r="Z62" s="2">
        <v>0</v>
      </c>
      <c r="AA62" s="2">
        <v>92.7</v>
      </c>
      <c r="AB62" s="11" t="str">
        <f>HYPERLINK(".\links\pep\AGAP028613-PA-sulf.txt","2")</f>
        <v>2</v>
      </c>
      <c r="AC62" s="11" t="str">
        <f>HYPERLINK(".\links\Sigp\AGAP028613-PA-SigP.txt","CYT")</f>
        <v>CYT</v>
      </c>
      <c r="AD62" s="2" t="s">
        <v>94</v>
      </c>
      <c r="AE62" s="2">
        <v>67.453999999999994</v>
      </c>
      <c r="AF62" s="2">
        <v>5.0999999999999996</v>
      </c>
      <c r="AG62" s="2" t="s">
        <v>94</v>
      </c>
      <c r="AH62" s="2" t="s">
        <v>94</v>
      </c>
      <c r="AI62" s="2" t="s">
        <v>876</v>
      </c>
      <c r="AJ62" s="11" t="str">
        <f>HYPERLINK(".\links\tmhmm\AGAP028613-PA-tmhmm.txt","14")</f>
        <v>14</v>
      </c>
      <c r="AK62" s="2">
        <v>47.1</v>
      </c>
      <c r="AL62" s="2">
        <v>20.8</v>
      </c>
      <c r="AM62" s="2">
        <v>32.1</v>
      </c>
      <c r="AN62" s="11" t="str">
        <f>HYPERLINK(".\links\gpi\AGAP028613-PA-gpi.txt","N")</f>
        <v>N</v>
      </c>
      <c r="AO62" s="12" t="str">
        <f>HYPERLINK(".\links\netoglyc\AGAP028613-PA-netoglyc.txt","1")</f>
        <v>1</v>
      </c>
      <c r="AP62" s="11">
        <v>11.7</v>
      </c>
      <c r="AQ62" s="2">
        <v>8.5</v>
      </c>
      <c r="AR62" s="2">
        <v>4.5999999999999996</v>
      </c>
      <c r="AS62" s="2" t="s">
        <v>97</v>
      </c>
      <c r="AT62" s="9" t="str">
        <f>HYPERLINK(".\links\NR-LIGHT\AGAP028613-PA-NR-LIGHT.txt","hypothetical protein ZHAS_00005999")</f>
        <v>hypothetical protein ZHAS_00005999</v>
      </c>
      <c r="AU62" s="2" t="str">
        <f>HYPERLINK("http://www.ncbi.nlm.nih.gov/sutils/blink.cgi?pid=KFB38620.1","0.0")</f>
        <v>0.0</v>
      </c>
      <c r="AV62" s="2" t="str">
        <f>HYPERLINK("http://www.ncbi.nlm.nih.gov/protein/KFB38620.1","KFB38620.1")</f>
        <v>KFB38620.1</v>
      </c>
      <c r="AW62" s="2">
        <v>90</v>
      </c>
      <c r="AX62" s="2">
        <v>95</v>
      </c>
      <c r="AY62" s="2">
        <v>55</v>
      </c>
      <c r="AZ62" s="2" t="s">
        <v>174</v>
      </c>
      <c r="BA62" s="9" t="str">
        <f>HYPERLINK(".\links\REFSEQ-INVERTEBRATE\AGAP028613-PA-REFSEQ-INVERTEBRATE.txt","cationic amino acid transporter 3")</f>
        <v>cationic amino acid transporter 3</v>
      </c>
      <c r="BB62" s="2" t="str">
        <f>HYPERLINK("http://www.ncbi.nlm.nih.gov/sutils/blink.cgi?pid=XP_021710525.1","0.0")</f>
        <v>0.0</v>
      </c>
      <c r="BC62" s="2" t="str">
        <f>HYPERLINK("http://www.ncbi.nlm.nih.gov/protein/XP_021710525.1","XP_021710525.1")</f>
        <v>XP_021710525.1</v>
      </c>
      <c r="BD62" s="2">
        <v>76</v>
      </c>
      <c r="BE62" s="2">
        <v>86</v>
      </c>
      <c r="BF62" s="2">
        <v>98</v>
      </c>
      <c r="BG62" s="2" t="s">
        <v>175</v>
      </c>
      <c r="BH62" s="9" t="str">
        <f>HYPERLINK(".\links\REFSEQ-PROTOZOA\AGAP028613-PA-REFSEQ-PROTOZOA.txt","hypothetical protein DDB_G0279983")</f>
        <v>hypothetical protein DDB_G0279983</v>
      </c>
      <c r="BI62" s="2" t="str">
        <f>HYPERLINK("http://www.ncbi.nlm.nih.gov/sutils/blink.cgi?pid=XP_641447.1","3E-096")</f>
        <v>3E-096</v>
      </c>
      <c r="BJ62" s="2" t="str">
        <f>HYPERLINK("http://www.ncbi.nlm.nih.gov/protein/XP_641447.1","XP_641447.1")</f>
        <v>XP_641447.1</v>
      </c>
      <c r="BK62" s="2">
        <v>35</v>
      </c>
      <c r="BL62" s="2">
        <v>55</v>
      </c>
      <c r="BM62" s="2">
        <v>74</v>
      </c>
      <c r="BN62" s="2" t="s">
        <v>292</v>
      </c>
      <c r="BO62" s="9" t="str">
        <f>HYPERLINK(".\links\SWISSP\AGAP028613-PA-SWISSP.txt","Cationic amino acid transporter 3")</f>
        <v>Cationic amino acid transporter 3</v>
      </c>
      <c r="BP62" s="2" t="str">
        <f>HYPERLINK("http://www.uniprot.org/uniprot/Q8WY07","1E-163")</f>
        <v>1E-163</v>
      </c>
      <c r="BQ62" s="2" t="str">
        <f>HYPERLINK("http://www.uniprot.org/uniprot/Q8WY07#expression","Q8WY07")</f>
        <v>Q8WY07</v>
      </c>
      <c r="BR62" s="2">
        <v>48</v>
      </c>
      <c r="BS62" s="2">
        <v>68</v>
      </c>
      <c r="BT62" s="2">
        <v>98</v>
      </c>
      <c r="BU62" s="2" t="s">
        <v>196</v>
      </c>
      <c r="BV62" s="9" t="str">
        <f>HYPERLINK(".\links\FLYBASE\AGAP028613-PA-FLYBASE.txt","FBpp0078208")</f>
        <v>FBpp0078208</v>
      </c>
      <c r="BW62" s="2" t="str">
        <f>HYPERLINK("http://flybase.org/reports/FBgn0037203#alliance_summary_container","0.0")</f>
        <v>0.0</v>
      </c>
      <c r="BX62" s="2">
        <v>604</v>
      </c>
      <c r="BY62" s="2">
        <v>65</v>
      </c>
      <c r="BZ62" s="2">
        <v>79</v>
      </c>
      <c r="CA62" s="2">
        <v>96</v>
      </c>
      <c r="CB62" s="9" t="str">
        <f>HYPERLINK(".\links\CDD\AGAP028613-PA-CDD.txt","Low_affinity_cationic_amino_acid_transporter_2, cationic amino acid transport permease")</f>
        <v>Low_affinity_cationic_amino_acid_transporter_2, cationic amino acid transport permease</v>
      </c>
      <c r="CC62" s="13">
        <v>9.9999999999999999E-160</v>
      </c>
      <c r="CD62" s="2">
        <v>100.5</v>
      </c>
      <c r="CE62" s="2" t="s">
        <v>877</v>
      </c>
      <c r="CF62" s="2" t="s">
        <v>878</v>
      </c>
      <c r="CG62" s="9" t="str">
        <f>HYPERLINK(".\links\KOG\AGAP028613-PA-KOG.txt","Amino acid transporters")</f>
        <v>Amino acid transporters</v>
      </c>
      <c r="CH62" s="13">
        <v>1E-125</v>
      </c>
      <c r="CI62" s="2">
        <v>106.3</v>
      </c>
      <c r="CJ62" s="2" t="s">
        <v>879</v>
      </c>
      <c r="CK62" s="2" t="s">
        <v>278</v>
      </c>
      <c r="CL62" s="9" t="str">
        <f>HYPERLINK(".\links\PFAM\AGAP028613-PA-PFAM.txt","AA_permease_2, Amino acid permease")</f>
        <v>AA_permease_2, Amino acid permease</v>
      </c>
      <c r="CM62" s="13">
        <v>3.9999999999999997E-34</v>
      </c>
      <c r="CN62" s="2">
        <v>95</v>
      </c>
      <c r="CO62" s="2" t="s">
        <v>880</v>
      </c>
      <c r="CP62" s="9" t="str">
        <f>HYPERLINK(".\links\SMART\AGAP028613-PA-SMART.txt","LPD_N, Lipoprotein N-terminal Domain")</f>
        <v>LPD_N, Lipoprotein N-terminal Domain</v>
      </c>
      <c r="CQ62" s="13">
        <v>3.1E-2</v>
      </c>
      <c r="CR62" s="2">
        <v>17.899999999999999</v>
      </c>
      <c r="CS62" s="2" t="s">
        <v>881</v>
      </c>
      <c r="CT62" s="2" t="s">
        <v>874</v>
      </c>
      <c r="CU62" s="2" t="s">
        <v>874</v>
      </c>
      <c r="CV62" s="2" t="s">
        <v>874</v>
      </c>
      <c r="CW62" s="2" t="str">
        <f>HYPERLINK(".\links\pep\AGAP028613-PA-pep.txt","AGAP028613-PA")</f>
        <v>AGAP028613-PA</v>
      </c>
      <c r="CX62" s="2" t="s">
        <v>88</v>
      </c>
      <c r="CY62" s="2">
        <v>624</v>
      </c>
      <c r="CZ62" s="2" t="s">
        <v>106</v>
      </c>
      <c r="DA62" s="2" t="s">
        <v>882</v>
      </c>
      <c r="DB62" s="2">
        <v>0</v>
      </c>
      <c r="DC62" s="2">
        <v>4</v>
      </c>
      <c r="DD62" s="2" t="str">
        <f>HYPERLINK("https://www.kegg.jp/kegg-bin/search_pathway_text?map=aga&amp;keyword=AGAP028613&amp;mode=1&amp;viewImage=true","AGAP028613")</f>
        <v>AGAP028613</v>
      </c>
      <c r="DE62" s="2" t="s">
        <v>870</v>
      </c>
      <c r="DF62" s="2" t="s">
        <v>871</v>
      </c>
      <c r="DG62" s="2" t="s">
        <v>87</v>
      </c>
      <c r="DH62" s="2" t="str">
        <f>HYPERLINK("https://vectorbase.org/vectorbase/app/record/gene/AGAP028613","AGAP028613-RA")</f>
        <v>AGAP028613-RA</v>
      </c>
      <c r="DI62" s="2" t="s">
        <v>108</v>
      </c>
      <c r="DJ62" s="2">
        <v>2852</v>
      </c>
      <c r="DK62" s="2" t="str">
        <f>HYPERLINK(".\links\netoglyc\AGAP028613-PA-netoglyc.txt","1")</f>
        <v>1</v>
      </c>
      <c r="DL62" s="2">
        <v>11.7</v>
      </c>
      <c r="DM62" s="2">
        <v>8.5</v>
      </c>
      <c r="DN62" s="2">
        <v>4.5999999999999996</v>
      </c>
      <c r="DO62" s="2" t="s">
        <v>97</v>
      </c>
      <c r="DP62" s="2" t="s">
        <v>94</v>
      </c>
      <c r="DQ62" s="2" t="str">
        <f>HYPERLINK(".\links\Sigp\AGAP028613-PA-SigP.txt","CYT")</f>
        <v>CYT</v>
      </c>
      <c r="DR62" s="2" t="s">
        <v>94</v>
      </c>
      <c r="DS62" s="2">
        <v>67.453999999999994</v>
      </c>
      <c r="DT62" s="2">
        <v>5.0999999999999996</v>
      </c>
      <c r="DU62" s="2" t="s">
        <v>94</v>
      </c>
      <c r="DV62" s="2" t="s">
        <v>94</v>
      </c>
      <c r="DW62" s="2" t="s">
        <v>876</v>
      </c>
      <c r="DX62" s="2">
        <v>624</v>
      </c>
      <c r="DY62" s="8" t="str">
        <f>HYPERLINK(".\links\tmhmm\AGAP028613-PA-tmhmm.txt","14")</f>
        <v>14</v>
      </c>
      <c r="DZ62" s="2">
        <v>47.1</v>
      </c>
      <c r="EA62" s="2">
        <v>20.8</v>
      </c>
      <c r="EB62" s="2">
        <v>32.1</v>
      </c>
      <c r="EC62" s="2" t="str">
        <f>HYPERLINK(".\links\gpi\AGAP028613-PA-gpi.txt","Y-NoSP")</f>
        <v>Y-NoSP</v>
      </c>
      <c r="ED62" s="2">
        <v>0.35</v>
      </c>
      <c r="EF62" s="2">
        <v>8</v>
      </c>
      <c r="EG62" s="2" t="str">
        <f>HYPERLINK(".\links\pep\AGAP028613-PA-sulf.txt","2")</f>
        <v>2</v>
      </c>
      <c r="EH62" s="2" t="s">
        <v>94</v>
      </c>
      <c r="EI62" s="2">
        <v>11.698717948717899</v>
      </c>
      <c r="EJ62" s="2">
        <v>4.6474358974358996</v>
      </c>
      <c r="EK62" s="2">
        <v>8.4935897435897392</v>
      </c>
      <c r="EL62" s="2">
        <v>13.1410256410256</v>
      </c>
      <c r="EM62" s="2" t="s">
        <v>94</v>
      </c>
      <c r="EN62" s="2" t="s">
        <v>94</v>
      </c>
      <c r="EO62" s="2">
        <v>1</v>
      </c>
      <c r="EP62" s="2" t="s">
        <v>94</v>
      </c>
      <c r="EQ62" s="2" t="s">
        <v>94</v>
      </c>
      <c r="ER62" s="2" t="s">
        <v>94</v>
      </c>
      <c r="ES62" s="2" t="s">
        <v>94</v>
      </c>
      <c r="ET62" s="2" t="str">
        <f>HYPERLINK(".\links\REFSEQ-INVERTEBRATE\AGAP028613-PA-REFSEQ-INVERTEBRATE.txt","cationic amino acid transporter 3-like isoform X2")</f>
        <v>cationic amino acid transporter 3-like isoform X2</v>
      </c>
      <c r="EU62" s="2" t="str">
        <f>HYPERLINK("http://www.ncbi.nlm.nih.gov/sutils/blink.cgi?pid=XP_035918376.1","0.0")</f>
        <v>0.0</v>
      </c>
      <c r="EV62" s="2" t="str">
        <f>HYPERLINK("http://www.ncbi.nlm.nih.gov/protein/XP_035918376.1","XP_035918376.1")</f>
        <v>XP_035918376.1</v>
      </c>
      <c r="EW62" s="2">
        <v>94</v>
      </c>
      <c r="EX62" s="2">
        <v>96</v>
      </c>
      <c r="EY62" s="2">
        <v>100</v>
      </c>
      <c r="EZ62" s="2" t="s">
        <v>184</v>
      </c>
    </row>
    <row r="63" spans="1:156" x14ac:dyDescent="0.25">
      <c r="A63" s="2" t="s">
        <v>883</v>
      </c>
      <c r="B63" s="2">
        <v>0.971155346278609</v>
      </c>
      <c r="C63" s="2">
        <v>1.9604099120142406</v>
      </c>
      <c r="D63" s="2">
        <v>7.5501315811305103</v>
      </c>
      <c r="E63" s="2">
        <v>20.339596077376701</v>
      </c>
      <c r="F63" s="2">
        <v>6.4844700647831499E-6</v>
      </c>
      <c r="G63" s="2">
        <v>8.8568005376587198E-4</v>
      </c>
      <c r="H63" s="2" t="s">
        <v>167</v>
      </c>
      <c r="I63" s="2" t="s">
        <v>87</v>
      </c>
      <c r="J63" s="2" t="str">
        <f>HYPERLINK("https://vectorbase.org/vectorbase/app/record/gene/AGAP029913","AGAP029913-RA")</f>
        <v>AGAP029913-RA</v>
      </c>
      <c r="K63" s="2" t="str">
        <f>HYPERLINK(".\links\pep\AGAP029913-PA-pep.txt","AGAP029913-PA")</f>
        <v>AGAP029913-PA</v>
      </c>
      <c r="Q63" s="9"/>
      <c r="V63" s="2" t="s">
        <v>884</v>
      </c>
      <c r="W63" s="10" t="s">
        <v>115</v>
      </c>
      <c r="X63" s="2" t="s">
        <v>113</v>
      </c>
      <c r="Y63" s="2" t="str">
        <f>HYPERLINK(".\links\REFSEQVERTEBRATE95\AGAP029913-PA-REFSEQVERTEBRATE95.txt","REFSEQVERTEBRATE95")</f>
        <v>REFSEQVERTEBRATE95</v>
      </c>
      <c r="Z63" s="2">
        <v>0</v>
      </c>
      <c r="AA63" s="2">
        <v>97.9</v>
      </c>
      <c r="AB63" s="9"/>
      <c r="AC63" s="9"/>
      <c r="AJ63" s="9"/>
      <c r="AN63" s="9"/>
      <c r="AO63" s="15"/>
      <c r="AP63" s="9"/>
      <c r="AT63" s="9"/>
      <c r="BA63" s="9"/>
      <c r="BH63" s="9"/>
      <c r="BO63" s="9"/>
      <c r="BV63" s="9"/>
      <c r="CB63" s="9"/>
      <c r="CG63" s="9"/>
      <c r="CL63" s="9"/>
      <c r="CP63" s="9"/>
      <c r="CW63" s="2" t="str">
        <f>HYPERLINK(".\links\pep\AGAP029913-PA-pep.txt","AGAP029913-PA")</f>
        <v>AGAP029913-PA</v>
      </c>
      <c r="CX63" s="2" t="s">
        <v>88</v>
      </c>
      <c r="CY63" s="2">
        <v>769</v>
      </c>
      <c r="CZ63" s="2" t="s">
        <v>106</v>
      </c>
      <c r="DA63" s="2" t="s">
        <v>885</v>
      </c>
      <c r="DB63" s="2">
        <v>0</v>
      </c>
      <c r="DC63" s="2">
        <v>3</v>
      </c>
      <c r="DD63" s="2" t="str">
        <f>HYPERLINK("https://www.kegg.jp/kegg-bin/search_pathway_text?map=aga&amp;keyword=AGAP029913&amp;mode=1&amp;viewImage=true","AGAP029913")</f>
        <v>AGAP029913</v>
      </c>
      <c r="DE63" s="2" t="s">
        <v>883</v>
      </c>
      <c r="DF63" s="2" t="s">
        <v>167</v>
      </c>
      <c r="DG63" s="2" t="s">
        <v>87</v>
      </c>
      <c r="DH63" s="2" t="str">
        <f>HYPERLINK("https://vectorbase.org/vectorbase/app/record/gene/AGAP029913","AGAP029913-RA")</f>
        <v>AGAP029913-RA</v>
      </c>
      <c r="DI63" s="2" t="s">
        <v>108</v>
      </c>
      <c r="DJ63" s="2">
        <v>3315</v>
      </c>
      <c r="DK63" s="2" t="str">
        <f>HYPERLINK(".\links\netoglyc\AGAP029913-PA-netoglyc.txt","2")</f>
        <v>2</v>
      </c>
      <c r="DL63" s="2">
        <v>15.6</v>
      </c>
      <c r="DM63" s="2">
        <v>7.9</v>
      </c>
      <c r="DN63" s="2">
        <v>5.5</v>
      </c>
      <c r="DO63" s="2" t="s">
        <v>97</v>
      </c>
      <c r="DP63" s="2" t="s">
        <v>886</v>
      </c>
      <c r="DQ63" s="2" t="str">
        <f>HYPERLINK(".\links\Sigp\AGAP029913-PA-SigP.txt","CYT")</f>
        <v>CYT</v>
      </c>
      <c r="DR63" s="2" t="s">
        <v>94</v>
      </c>
      <c r="DS63" s="2">
        <v>84.912000000000006</v>
      </c>
      <c r="DT63" s="2">
        <v>5.59</v>
      </c>
      <c r="DU63" s="2" t="s">
        <v>94</v>
      </c>
      <c r="DV63" s="2" t="s">
        <v>94</v>
      </c>
      <c r="DW63" s="2" t="s">
        <v>887</v>
      </c>
      <c r="DX63" s="2">
        <v>769</v>
      </c>
      <c r="DY63" s="8" t="str">
        <f>HYPERLINK(".\links\tmhmm\AGAP029913-PA-tmhmm.txt","11")</f>
        <v>11</v>
      </c>
      <c r="DZ63" s="2">
        <v>29.5</v>
      </c>
      <c r="EA63" s="2">
        <v>18.100000000000001</v>
      </c>
      <c r="EB63" s="2">
        <v>52.4</v>
      </c>
      <c r="EC63" s="2" t="str">
        <f>HYPERLINK(".\links\gpi\AGAP029913-PA-gpi.txt","Y-NoSP")</f>
        <v>Y-NoSP</v>
      </c>
      <c r="ED63" s="2">
        <v>0.21</v>
      </c>
      <c r="EF63" s="2">
        <v>9</v>
      </c>
      <c r="EG63" s="2" t="s">
        <v>94</v>
      </c>
      <c r="EH63" s="2" t="s">
        <v>94</v>
      </c>
      <c r="EI63" s="2">
        <v>15.604681404421299</v>
      </c>
      <c r="EJ63" s="2">
        <v>5.4616384915474603</v>
      </c>
      <c r="EK63" s="2">
        <v>7.9323797139141696</v>
      </c>
      <c r="EL63" s="2">
        <v>13.394018205461601</v>
      </c>
      <c r="EM63" s="2">
        <v>1</v>
      </c>
      <c r="EN63" s="2">
        <v>1</v>
      </c>
      <c r="EO63" s="2">
        <v>2</v>
      </c>
      <c r="EP63" s="2" t="s">
        <v>94</v>
      </c>
      <c r="EQ63" s="2" t="s">
        <v>94</v>
      </c>
      <c r="ER63" s="2" t="s">
        <v>94</v>
      </c>
      <c r="ES63" s="2" t="s">
        <v>94</v>
      </c>
      <c r="ET63" s="2" t="str">
        <f>HYPERLINK(".\links\REFSEQ-INVERTEBRATE\AGAP029913-PA-REFSEQ-INVERTEBRATE.txt","glucose transporter type 1 isoform X2")</f>
        <v>glucose transporter type 1 isoform X2</v>
      </c>
      <c r="EU63" s="2" t="str">
        <f>HYPERLINK("http://www.ncbi.nlm.nih.gov/sutils/blink.cgi?pid=XP_035907188.1","0.0")</f>
        <v>0.0</v>
      </c>
      <c r="EV63" s="2" t="str">
        <f>HYPERLINK("http://www.ncbi.nlm.nih.gov/protein/XP_035907188.1","XP_035907188.1")</f>
        <v>XP_035907188.1</v>
      </c>
      <c r="EW63" s="2">
        <v>99</v>
      </c>
      <c r="EX63" s="2">
        <v>99</v>
      </c>
      <c r="EY63" s="2">
        <v>76</v>
      </c>
      <c r="EZ63" s="2" t="s">
        <v>184</v>
      </c>
    </row>
    <row r="64" spans="1:156" x14ac:dyDescent="0.25">
      <c r="A64" s="2" t="s">
        <v>888</v>
      </c>
      <c r="B64" s="2">
        <v>0.97094189867084102</v>
      </c>
      <c r="C64" s="2">
        <v>1.9601198896317895</v>
      </c>
      <c r="D64" s="2">
        <v>4.9881092722595</v>
      </c>
      <c r="E64" s="2">
        <v>10.622435147141999</v>
      </c>
      <c r="F64" s="2">
        <v>1.11723822872E-3</v>
      </c>
      <c r="G64" s="2">
        <v>4.5739055969718799E-2</v>
      </c>
      <c r="H64" s="2" t="s">
        <v>889</v>
      </c>
      <c r="I64" s="2" t="s">
        <v>94</v>
      </c>
      <c r="J64" s="2" t="str">
        <f>HYPERLINK("https://vectorbase.org/vectorbase/app/record/gene/AGAP008100","AGAP008100-RA")</f>
        <v>AGAP008100-RA</v>
      </c>
      <c r="K64" s="2" t="str">
        <f>HYPERLINK(".\links\pep\AGAP008100-PA-pep.txt","AGAP008100-PA")</f>
        <v>AGAP008100-PA</v>
      </c>
      <c r="L64" s="8" t="s">
        <v>88</v>
      </c>
      <c r="M64" s="2">
        <v>1242</v>
      </c>
      <c r="N64" s="2">
        <v>0</v>
      </c>
      <c r="O64" s="2">
        <v>3</v>
      </c>
      <c r="P64" s="2" t="s">
        <v>890</v>
      </c>
      <c r="Q64" s="9" t="s">
        <v>891</v>
      </c>
      <c r="R64" s="2" t="s">
        <v>318</v>
      </c>
      <c r="S64" s="2" t="str">
        <f>HYPERLINK(".\links\SMART\AGAP008100-PA-SMART.txt","SMART")</f>
        <v>SMART</v>
      </c>
      <c r="T64" s="2">
        <v>2.9999999999999999E-21</v>
      </c>
      <c r="U64" s="2">
        <v>132.9</v>
      </c>
      <c r="V64" s="2" t="s">
        <v>892</v>
      </c>
      <c r="W64" s="10" t="s">
        <v>893</v>
      </c>
      <c r="X64" s="2" t="s">
        <v>238</v>
      </c>
      <c r="Y64" s="2" t="str">
        <f>HYPERLINK(".\links\UNIPROTKB\AGAP008100-PA-UNIPROTKB.txt","UNIPROTKB")</f>
        <v>UNIPROTKB</v>
      </c>
      <c r="Z64" s="13">
        <v>0</v>
      </c>
      <c r="AA64" s="2">
        <v>42.8</v>
      </c>
      <c r="AB64" s="11" t="str">
        <f>HYPERLINK(".\links\pep\AGAP008100-PA-sulf.txt","1")</f>
        <v>1</v>
      </c>
      <c r="AC64" s="11" t="str">
        <f>HYPERLINK(".\links\Sigp\AGAP008100-PA-SigP.txt","CYT")</f>
        <v>CYT</v>
      </c>
      <c r="AD64" s="2" t="s">
        <v>94</v>
      </c>
      <c r="AE64" s="2">
        <v>134.721</v>
      </c>
      <c r="AF64" s="2">
        <v>8.77</v>
      </c>
      <c r="AG64" s="2" t="s">
        <v>94</v>
      </c>
      <c r="AH64" s="2" t="s">
        <v>94</v>
      </c>
      <c r="AI64" s="2" t="s">
        <v>348</v>
      </c>
      <c r="AJ64" s="11">
        <v>0</v>
      </c>
      <c r="AK64" s="2" t="s">
        <v>94</v>
      </c>
      <c r="AL64" s="2" t="s">
        <v>94</v>
      </c>
      <c r="AM64" s="2" t="s">
        <v>94</v>
      </c>
      <c r="AN64" s="11" t="str">
        <f>HYPERLINK(".\links\gpi\AGAP008100-PA-gpi.txt","N")</f>
        <v>N</v>
      </c>
      <c r="AO64" s="12" t="str">
        <f>HYPERLINK(".\links\netoglyc\AGAP008100-PA-netoglyc.txt","9")</f>
        <v>9</v>
      </c>
      <c r="AP64" s="11">
        <v>17.100000000000001</v>
      </c>
      <c r="AQ64" s="2">
        <v>8.1</v>
      </c>
      <c r="AR64" s="2">
        <v>7.2</v>
      </c>
      <c r="AS64" s="2" t="s">
        <v>97</v>
      </c>
      <c r="AT64" s="9" t="str">
        <f>HYPERLINK(".\links\NR-LIGHT\AGAP008100-PA-NR-LIGHT.txt","protein spire isoform X2")</f>
        <v>protein spire isoform X2</v>
      </c>
      <c r="AU64" s="2" t="str">
        <f>HYPERLINK("http://www.ncbi.nlm.nih.gov/sutils/blink.cgi?pid=XP_021702163.1","0.0")</f>
        <v>0.0</v>
      </c>
      <c r="AV64" s="2" t="str">
        <f>HYPERLINK("http://www.ncbi.nlm.nih.gov/protein/XP_021702163.1","XP_021702163.1")</f>
        <v>XP_021702163.1</v>
      </c>
      <c r="AW64" s="2">
        <v>51</v>
      </c>
      <c r="AX64" s="2">
        <v>60</v>
      </c>
      <c r="AY64" s="2">
        <v>119</v>
      </c>
      <c r="AZ64" s="2" t="s">
        <v>175</v>
      </c>
      <c r="BA64" s="9" t="str">
        <f>HYPERLINK(".\links\REFSEQ-INVERTEBRATE\AGAP008100-PA-REFSEQ-INVERTEBRATE.txt","protein spire isoform X2")</f>
        <v>protein spire isoform X2</v>
      </c>
      <c r="BB64" s="2" t="str">
        <f>HYPERLINK("http://www.ncbi.nlm.nih.gov/sutils/blink.cgi?pid=XP_021702163.1","0.0")</f>
        <v>0.0</v>
      </c>
      <c r="BC64" s="2" t="str">
        <f>HYPERLINK("http://www.ncbi.nlm.nih.gov/protein/XP_021702163.1","XP_021702163.1")</f>
        <v>XP_021702163.1</v>
      </c>
      <c r="BD64" s="2">
        <v>51</v>
      </c>
      <c r="BE64" s="2">
        <v>60</v>
      </c>
      <c r="BF64" s="2">
        <v>119</v>
      </c>
      <c r="BG64" s="2" t="s">
        <v>175</v>
      </c>
      <c r="BH64" s="9" t="str">
        <f>HYPERLINK(".\links\REFSEQ-PROTOZOA\AGAP008100-PA-REFSEQ-PROTOZOA.txt","amy lysozyme-like protein")</f>
        <v>amy lysozyme-like protein</v>
      </c>
      <c r="BI64" s="2" t="str">
        <f>HYPERLINK("http://www.ncbi.nlm.nih.gov/sutils/blink.cgi?pid=XP_003285893.1","4E-008")</f>
        <v>4E-008</v>
      </c>
      <c r="BJ64" s="2" t="str">
        <f>HYPERLINK("http://www.ncbi.nlm.nih.gov/protein/XP_003285893.1","XP_003285893.1")</f>
        <v>XP_003285893.1</v>
      </c>
      <c r="BK64" s="2">
        <v>26</v>
      </c>
      <c r="BL64" s="2">
        <v>37</v>
      </c>
      <c r="BM64" s="2">
        <v>31</v>
      </c>
      <c r="BN64" s="2" t="s">
        <v>894</v>
      </c>
      <c r="BO64" s="9" t="str">
        <f>HYPERLINK(".\links\SWISSP\AGAP008100-PA-SWISSP.txt","Protein spire")</f>
        <v>Protein spire</v>
      </c>
      <c r="BP64" s="2" t="str">
        <f>HYPERLINK("http://www.uniprot.org/uniprot/Q29KT5","1E-119")</f>
        <v>1E-119</v>
      </c>
      <c r="BQ64" s="2" t="str">
        <f>HYPERLINK("http://www.uniprot.org/uniprot/Q29KT5#expression","Q29KT5")</f>
        <v>Q29KT5</v>
      </c>
      <c r="BR64" s="2">
        <v>52</v>
      </c>
      <c r="BS64" s="2">
        <v>65</v>
      </c>
      <c r="BT64" s="2">
        <v>43</v>
      </c>
      <c r="BU64" s="2" t="s">
        <v>765</v>
      </c>
      <c r="BV64" s="9" t="str">
        <f>HYPERLINK(".\links\FLYBASE\AGAP008100-PA-FLYBASE.txt","FBpp0080887")</f>
        <v>FBpp0080887</v>
      </c>
      <c r="BW64" s="2" t="str">
        <f>HYPERLINK("http://flybase.org/reports/FBgn0003475#alliance_summary_container","1E-125")</f>
        <v>1E-125</v>
      </c>
      <c r="BX64" s="2">
        <v>625</v>
      </c>
      <c r="BY64" s="2">
        <v>44</v>
      </c>
      <c r="BZ64" s="2">
        <v>56</v>
      </c>
      <c r="CA64" s="2">
        <v>96</v>
      </c>
      <c r="CB64" s="9" t="str">
        <f>HYPERLINK(".\links\CDD\AGAP008100-PA-CDD.txt","KIND, Kinase non-catalytic C-lobe domain")</f>
        <v>KIND, Kinase non-catalytic C-lobe domain</v>
      </c>
      <c r="CC64" s="13">
        <v>1.9999999999999999E-40</v>
      </c>
      <c r="CD64" s="2">
        <v>127.8</v>
      </c>
      <c r="CE64" s="2" t="s">
        <v>895</v>
      </c>
      <c r="CF64" s="2" t="s">
        <v>896</v>
      </c>
      <c r="CG64" s="9" t="str">
        <f>HYPERLINK(".\links\KOG\AGAP008100-PA-KOG.txt","subunit SFB3")</f>
        <v>subunit SFB3</v>
      </c>
      <c r="CH64" s="13">
        <v>8.9999999999999993E-3</v>
      </c>
      <c r="CI64" s="2">
        <v>17</v>
      </c>
      <c r="CJ64" s="2" t="s">
        <v>897</v>
      </c>
      <c r="CK64" s="2" t="s">
        <v>482</v>
      </c>
      <c r="CL64" s="9" t="str">
        <f>HYPERLINK(".\links\PFAM\AGAP008100-PA-PFAM.txt","KIND, Kinase non-catalytic C-lobe domain")</f>
        <v>KIND, Kinase non-catalytic C-lobe domain</v>
      </c>
      <c r="CM64" s="13">
        <v>2.9999999999999999E-41</v>
      </c>
      <c r="CN64" s="2">
        <v>127.8</v>
      </c>
      <c r="CO64" s="2" t="s">
        <v>895</v>
      </c>
      <c r="CP64" s="9" t="str">
        <f>HYPERLINK(".\links\SMART\AGAP008100-PA-SMART.txt","KIND, kinase non-catalytic C-lobe domain")</f>
        <v>KIND, kinase non-catalytic C-lobe domain</v>
      </c>
      <c r="CQ64" s="13">
        <v>2.9999999999999999E-21</v>
      </c>
      <c r="CR64" s="2">
        <v>133</v>
      </c>
      <c r="CS64" s="2" t="s">
        <v>898</v>
      </c>
      <c r="CT64" s="2" t="s">
        <v>892</v>
      </c>
      <c r="CU64" s="2" t="s">
        <v>892</v>
      </c>
      <c r="CV64" s="2" t="s">
        <v>892</v>
      </c>
      <c r="CW64" s="2" t="str">
        <f>HYPERLINK(".\links\pep\AGAP008100-PA-pep.txt","AGAP008100-PA")</f>
        <v>AGAP008100-PA</v>
      </c>
      <c r="CX64" s="2" t="s">
        <v>88</v>
      </c>
      <c r="CY64" s="2">
        <v>1242</v>
      </c>
      <c r="CZ64" s="2" t="s">
        <v>106</v>
      </c>
      <c r="DA64" s="2">
        <v>0</v>
      </c>
      <c r="DB64" s="2">
        <v>3</v>
      </c>
      <c r="DD64" s="2" t="str">
        <f>HYPERLINK("https://www.kegg.jp/kegg-bin/search_pathway_text?map=aga&amp;keyword=AGAP008100&amp;mode=1&amp;viewImage=true","AGAP008100")</f>
        <v>AGAP008100</v>
      </c>
      <c r="DE64" s="2" t="s">
        <v>888</v>
      </c>
      <c r="DF64" s="2" t="s">
        <v>889</v>
      </c>
      <c r="DG64" s="2" t="s">
        <v>94</v>
      </c>
      <c r="DH64" s="2" t="str">
        <f>HYPERLINK("https://vectorbase.org/vectorbase/app/record/gene/AGAP008100","AGAP008100-RA")</f>
        <v>AGAP008100-RA</v>
      </c>
      <c r="DI64" s="2" t="s">
        <v>108</v>
      </c>
      <c r="DJ64" s="2">
        <v>7354</v>
      </c>
      <c r="DK64" s="2" t="str">
        <f>HYPERLINK(".\links\netoglyc\AGAP008100-PA-netoglyc.txt","9")</f>
        <v>9</v>
      </c>
      <c r="DL64" s="2">
        <v>17.100000000000001</v>
      </c>
      <c r="DM64" s="2">
        <v>8.1</v>
      </c>
      <c r="DN64" s="2">
        <v>7.2</v>
      </c>
      <c r="DO64" s="2" t="s">
        <v>97</v>
      </c>
      <c r="DP64" s="2" t="s">
        <v>899</v>
      </c>
      <c r="DQ64" s="2" t="str">
        <f>HYPERLINK(".\links\Sigp\AGAP008100-PA-SigP.txt","CYT")</f>
        <v>CYT</v>
      </c>
      <c r="DR64" s="2" t="s">
        <v>94</v>
      </c>
      <c r="DS64" s="2">
        <v>134.721</v>
      </c>
      <c r="DT64" s="2">
        <v>8.77</v>
      </c>
      <c r="DU64" s="2" t="s">
        <v>94</v>
      </c>
      <c r="DV64" s="2" t="s">
        <v>94</v>
      </c>
      <c r="DW64" s="2" t="s">
        <v>348</v>
      </c>
      <c r="DX64" s="2">
        <v>1242</v>
      </c>
      <c r="DY64" s="8">
        <v>0</v>
      </c>
      <c r="DZ64" s="2" t="s">
        <v>94</v>
      </c>
      <c r="EA64" s="2" t="s">
        <v>94</v>
      </c>
      <c r="EB64" s="2" t="s">
        <v>94</v>
      </c>
      <c r="EC64" s="2" t="str">
        <f>HYPERLINK(".\links\gpi\AGAP008100-PA-gpi.txt","Y-NoSP")</f>
        <v>Y-NoSP</v>
      </c>
      <c r="ED64" s="2">
        <v>0.18</v>
      </c>
      <c r="EF64" s="2">
        <v>33</v>
      </c>
      <c r="EG64" s="2" t="str">
        <f>HYPERLINK(".\links\pep\AGAP008100-PA-sulf.txt","1")</f>
        <v>1</v>
      </c>
      <c r="EH64" s="2" t="s">
        <v>94</v>
      </c>
      <c r="EI64" s="2">
        <v>17.0692431561997</v>
      </c>
      <c r="EJ64" s="2">
        <v>7.1658615136875996</v>
      </c>
      <c r="EK64" s="2">
        <v>8.0515297906602292</v>
      </c>
      <c r="EL64" s="2">
        <v>15.2173913043478</v>
      </c>
      <c r="EM64" s="2">
        <v>3</v>
      </c>
      <c r="EN64" s="2">
        <v>3</v>
      </c>
      <c r="EO64" s="2">
        <v>5</v>
      </c>
      <c r="EP64" s="2" t="s">
        <v>94</v>
      </c>
      <c r="EQ64" s="2" t="s">
        <v>94</v>
      </c>
      <c r="ER64" s="2" t="s">
        <v>94</v>
      </c>
      <c r="ES64" s="2" t="s">
        <v>94</v>
      </c>
      <c r="ET64" s="2" t="str">
        <f>HYPERLINK(".\links\REFSEQ-INVERTEBRATE\AGAP008100-PA-REFSEQ-INVERTEBRATE.txt","protein spire isoform X2")</f>
        <v>protein spire isoform X2</v>
      </c>
      <c r="EU64" s="2" t="str">
        <f>HYPERLINK("http://www.ncbi.nlm.nih.gov/sutils/blink.cgi?pid=XP_035915817.1","0.0")</f>
        <v>0.0</v>
      </c>
      <c r="EV64" s="2" t="str">
        <f>HYPERLINK("http://www.ncbi.nlm.nih.gov/protein/XP_035915817.1","XP_035915817.1")</f>
        <v>XP_035915817.1</v>
      </c>
      <c r="EW64" s="2">
        <v>82</v>
      </c>
      <c r="EX64" s="2">
        <v>84</v>
      </c>
      <c r="EY64" s="2">
        <v>106</v>
      </c>
      <c r="EZ64" s="2" t="s">
        <v>184</v>
      </c>
    </row>
    <row r="65" spans="1:156" x14ac:dyDescent="0.25">
      <c r="A65" s="2" t="s">
        <v>900</v>
      </c>
      <c r="B65" s="2">
        <v>0.95444401093071896</v>
      </c>
      <c r="C65" s="2">
        <v>1.9378326836177235</v>
      </c>
      <c r="D65" s="2">
        <v>4.8479691298357697</v>
      </c>
      <c r="E65" s="2">
        <v>19.868424829574501</v>
      </c>
      <c r="F65" s="2">
        <v>8.2959278886471696E-6</v>
      </c>
      <c r="G65" s="2">
        <v>1.0460612005724801E-3</v>
      </c>
      <c r="H65" s="2" t="s">
        <v>167</v>
      </c>
      <c r="I65" s="2" t="s">
        <v>87</v>
      </c>
      <c r="J65" s="2" t="str">
        <f>HYPERLINK("https://vectorbase.org/vectorbase/app/record/gene/AGAP029450","AGAP029450-RA")</f>
        <v>AGAP029450-RA</v>
      </c>
      <c r="K65" s="2" t="str">
        <f>HYPERLINK(".\links\pep\AGAP029450-PA-pep.txt","AGAP029450-PA")</f>
        <v>AGAP029450-PA</v>
      </c>
      <c r="L65" s="8" t="s">
        <v>88</v>
      </c>
      <c r="M65" s="2">
        <v>1442</v>
      </c>
      <c r="N65" s="2">
        <v>0</v>
      </c>
      <c r="O65" s="2">
        <v>4</v>
      </c>
      <c r="P65" s="2" t="s">
        <v>94</v>
      </c>
      <c r="Q65" s="9" t="s">
        <v>901</v>
      </c>
      <c r="R65" s="2" t="s">
        <v>347</v>
      </c>
      <c r="S65" s="2" t="str">
        <f>HYPERLINK(".\links\KOG\AGAP029450-PA-KOG.txt","KOG")</f>
        <v>KOG</v>
      </c>
      <c r="T65" s="2">
        <v>9.0000000000000002E-39</v>
      </c>
      <c r="U65" s="2">
        <v>80</v>
      </c>
      <c r="V65" s="2" t="s">
        <v>902</v>
      </c>
      <c r="W65" s="10" t="s">
        <v>903</v>
      </c>
      <c r="X65" s="2" t="s">
        <v>318</v>
      </c>
      <c r="Y65" s="2" t="str">
        <f>HYPERLINK(".\links\REFSEQVERTEBRATE95\AGAP029450-PA-REFSEQVERTEBRATE95.txt","REFSEQVERTEBRATE95")</f>
        <v>REFSEQVERTEBRATE95</v>
      </c>
      <c r="Z65" s="13">
        <v>0</v>
      </c>
      <c r="AA65" s="2">
        <v>98.2</v>
      </c>
      <c r="AB65" s="11" t="str">
        <f>HYPERLINK(".\links\pep\AGAP029450-PA-sulf.txt","2")</f>
        <v>2</v>
      </c>
      <c r="AC65" s="11" t="str">
        <f>HYPERLINK(".\links\Sigp\AGAP029450-PA-SigP.txt","CYT")</f>
        <v>CYT</v>
      </c>
      <c r="AD65" s="2" t="s">
        <v>94</v>
      </c>
      <c r="AE65" s="2">
        <v>156.07400000000001</v>
      </c>
      <c r="AF65" s="2">
        <v>5.52</v>
      </c>
      <c r="AG65" s="2" t="s">
        <v>94</v>
      </c>
      <c r="AH65" s="2" t="s">
        <v>94</v>
      </c>
      <c r="AI65" s="2" t="s">
        <v>904</v>
      </c>
      <c r="AJ65" s="11">
        <v>0</v>
      </c>
      <c r="AK65" s="2" t="s">
        <v>94</v>
      </c>
      <c r="AL65" s="2" t="s">
        <v>94</v>
      </c>
      <c r="AM65" s="2" t="s">
        <v>94</v>
      </c>
      <c r="AN65" s="9" t="str">
        <f>HYPERLINK(".\links\gpi\AGAP029450-PA-gpi.txt","N")</f>
        <v>N</v>
      </c>
      <c r="AO65" s="12" t="str">
        <f>HYPERLINK(".\links\netoglyc\AGAP029450-PA-netoglyc.txt","4")</f>
        <v>4</v>
      </c>
      <c r="AP65" s="11">
        <v>16.3</v>
      </c>
      <c r="AQ65" s="2">
        <v>8.4</v>
      </c>
      <c r="AR65" s="2">
        <v>5.0999999999999996</v>
      </c>
      <c r="AS65" s="2" t="s">
        <v>97</v>
      </c>
      <c r="AT65" s="9" t="str">
        <f>HYPERLINK(".\links\NR-LIGHT\AGAP029450-PA-NR-LIGHT.txt","AGAP007332-PA, partial")</f>
        <v>AGAP007332-PA, partial</v>
      </c>
      <c r="AU65" s="2" t="str">
        <f>HYPERLINK("http://www.ncbi.nlm.nih.gov/sutils/blink.cgi?pid=XP_308497.4","0.0")</f>
        <v>0.0</v>
      </c>
      <c r="AV65" s="2" t="str">
        <f>HYPERLINK("http://www.ncbi.nlm.nih.gov/protein/XP_308497.4","XP_308497.4")</f>
        <v>XP_308497.4</v>
      </c>
      <c r="AW65" s="2">
        <v>99</v>
      </c>
      <c r="AX65" s="2">
        <v>99</v>
      </c>
      <c r="AY65" s="2">
        <v>100</v>
      </c>
      <c r="AZ65" s="2" t="s">
        <v>98</v>
      </c>
      <c r="BA65" s="9" t="str">
        <f>HYPERLINK(".\links\REFSEQ-INVERTEBRATE\AGAP029450-PA-REFSEQ-INVERTEBRATE.txt","AGAP007332-PA, partial")</f>
        <v>AGAP007332-PA, partial</v>
      </c>
      <c r="BB65" s="2" t="str">
        <f>HYPERLINK("http://www.ncbi.nlm.nih.gov/sutils/blink.cgi?pid=XP_308497.4","0.0")</f>
        <v>0.0</v>
      </c>
      <c r="BC65" s="2" t="str">
        <f>HYPERLINK("http://www.ncbi.nlm.nih.gov/protein/XP_308497.4","XP_308497.4")</f>
        <v>XP_308497.4</v>
      </c>
      <c r="BD65" s="2">
        <v>99</v>
      </c>
      <c r="BE65" s="2">
        <v>99</v>
      </c>
      <c r="BF65" s="2">
        <v>100</v>
      </c>
      <c r="BG65" s="2" t="s">
        <v>98</v>
      </c>
      <c r="BH65" s="9" t="str">
        <f>HYPERLINK(".\links\REFSEQ-PROTOZOA\AGAP029450-PA-REFSEQ-PROTOZOA.txt","hypothetical protein PTSG_06358")</f>
        <v>hypothetical protein PTSG_06358</v>
      </c>
      <c r="BI65" s="2" t="str">
        <f>HYPERLINK("http://www.ncbi.nlm.nih.gov/sutils/blink.cgi?pid=XP_004993248.1","2E-083")</f>
        <v>2E-083</v>
      </c>
      <c r="BJ65" s="2" t="str">
        <f>HYPERLINK("http://www.ncbi.nlm.nih.gov/protein/XP_004993248.1","XP_004993248.1")</f>
        <v>XP_004993248.1</v>
      </c>
      <c r="BK65" s="2">
        <v>33</v>
      </c>
      <c r="BL65" s="2">
        <v>49</v>
      </c>
      <c r="BM65" s="2">
        <v>57</v>
      </c>
      <c r="BN65" s="2" t="s">
        <v>117</v>
      </c>
      <c r="BO65" s="9" t="str">
        <f>HYPERLINK(".\links\SWISSP\AGAP029450-PA-SWISSP.txt","Rab GTPase-activating protein 1")</f>
        <v>Rab GTPase-activating protein 1</v>
      </c>
      <c r="BP65" s="2" t="str">
        <f>HYPERLINK("http://www.uniprot.org/uniprot/Q5RAN1","1E-171")</f>
        <v>1E-171</v>
      </c>
      <c r="BQ65" s="2" t="str">
        <f>HYPERLINK("http://www.uniprot.org/uniprot/Q5RAN1#expression","Q5RAN1")</f>
        <v>Q5RAN1</v>
      </c>
      <c r="BR65" s="2">
        <v>37</v>
      </c>
      <c r="BS65" s="2">
        <v>54</v>
      </c>
      <c r="BT65" s="2">
        <v>98</v>
      </c>
      <c r="BU65" s="2" t="s">
        <v>905</v>
      </c>
      <c r="BV65" s="9" t="str">
        <f>HYPERLINK(".\links\FLYBASE\AGAP029450-PA-FLYBASE.txt","FBpp0112066")</f>
        <v>FBpp0112066</v>
      </c>
      <c r="BW65" s="2" t="str">
        <f>HYPERLINK("http://flybase.org/reports/FBgn0035879#alliance_summary_container","0.0")</f>
        <v>0.0</v>
      </c>
      <c r="BX65" s="2">
        <v>1194</v>
      </c>
      <c r="BY65" s="2">
        <v>50</v>
      </c>
      <c r="BZ65" s="2">
        <v>63</v>
      </c>
      <c r="CA65" s="2">
        <v>109</v>
      </c>
      <c r="CB65" s="9" t="str">
        <f>HYPERLINK(".\links\CDD\AGAP029450-PA-CDD.txt","TBC, Domain in Tre-2, BUB2p, and Cdc16p")</f>
        <v>TBC, Domain in Tre-2, BUB2p, and Cdc16p</v>
      </c>
      <c r="CC65" s="13">
        <v>9.9999999999999997E-61</v>
      </c>
      <c r="CD65" s="2">
        <v>100.5</v>
      </c>
      <c r="CE65" s="2" t="s">
        <v>906</v>
      </c>
      <c r="CF65" s="2" t="s">
        <v>907</v>
      </c>
      <c r="CG65" s="9" t="str">
        <f>HYPERLINK(".\links\KOG\AGAP029450-PA-KOG.txt","Rab6 GTPase activator GAPCenA and related TBC domain proteins")</f>
        <v>Rab6 GTPase activator GAPCenA and related TBC domain proteins</v>
      </c>
      <c r="CH65" s="13">
        <v>9.9999999999999998E-67</v>
      </c>
      <c r="CI65" s="2">
        <v>79.099999999999994</v>
      </c>
      <c r="CJ65" s="2" t="s">
        <v>908</v>
      </c>
      <c r="CK65" s="2" t="s">
        <v>122</v>
      </c>
      <c r="CL65" s="9" t="str">
        <f>HYPERLINK(".\links\PFAM\AGAP029450-PA-PFAM.txt","RabGAP-TBC, Rab-GTPase-TBC domain")</f>
        <v>RabGAP-TBC, Rab-GTPase-TBC domain</v>
      </c>
      <c r="CM65" s="13">
        <v>5.0000000000000001E-59</v>
      </c>
      <c r="CN65" s="2">
        <v>112.7</v>
      </c>
      <c r="CO65" s="2" t="s">
        <v>909</v>
      </c>
      <c r="CP65" s="9" t="str">
        <f>HYPERLINK(".\links\SMART\AGAP029450-PA-SMART.txt","TBC, Domain in Tre-2, BUB2p, and Cdc16p")</f>
        <v>TBC, Domain in Tre-2, BUB2p, and Cdc16p</v>
      </c>
      <c r="CQ65" s="13">
        <v>1E-62</v>
      </c>
      <c r="CR65" s="2">
        <v>100.5</v>
      </c>
      <c r="CS65" s="2" t="s">
        <v>906</v>
      </c>
      <c r="CT65" s="2" t="s">
        <v>902</v>
      </c>
      <c r="CU65" s="2" t="s">
        <v>902</v>
      </c>
      <c r="CV65" s="2" t="s">
        <v>902</v>
      </c>
      <c r="CW65" s="2" t="str">
        <f>HYPERLINK(".\links\pep\AGAP029450-PA-pep.txt","AGAP029450-PA")</f>
        <v>AGAP029450-PA</v>
      </c>
      <c r="CX65" s="2" t="s">
        <v>88</v>
      </c>
      <c r="CY65" s="2">
        <v>1442</v>
      </c>
      <c r="CZ65" s="2" t="s">
        <v>106</v>
      </c>
      <c r="DA65" s="2" t="s">
        <v>910</v>
      </c>
      <c r="DB65" s="2">
        <v>0</v>
      </c>
      <c r="DC65" s="2">
        <v>4</v>
      </c>
      <c r="DD65" s="2" t="str">
        <f>HYPERLINK("https://www.kegg.jp/kegg-bin/search_pathway_text?map=aga&amp;keyword=AGAP029450&amp;mode=1&amp;viewImage=true","AGAP029450")</f>
        <v>AGAP029450</v>
      </c>
      <c r="DE65" s="2" t="s">
        <v>900</v>
      </c>
      <c r="DF65" s="2" t="s">
        <v>167</v>
      </c>
      <c r="DG65" s="2" t="s">
        <v>87</v>
      </c>
      <c r="DH65" s="2" t="str">
        <f>HYPERLINK("https://vectorbase.org/vectorbase/app/record/gene/AGAP029450","AGAP029450-RA")</f>
        <v>AGAP029450-RA</v>
      </c>
      <c r="DI65" s="2" t="s">
        <v>250</v>
      </c>
      <c r="DJ65" s="2">
        <v>6552</v>
      </c>
      <c r="DK65" s="2" t="str">
        <f>HYPERLINK(".\links\netoglyc\AGAP029450-PA-netoglyc.txt","4")</f>
        <v>4</v>
      </c>
      <c r="DL65" s="2">
        <v>16.3</v>
      </c>
      <c r="DM65" s="2">
        <v>8.4</v>
      </c>
      <c r="DN65" s="2">
        <v>5.0999999999999996</v>
      </c>
      <c r="DO65" s="2" t="s">
        <v>97</v>
      </c>
      <c r="DP65" s="2" t="s">
        <v>911</v>
      </c>
      <c r="DQ65" s="2" t="str">
        <f>HYPERLINK(".\links\Sigp\AGAP029450-PA-SigP.txt","CYT")</f>
        <v>CYT</v>
      </c>
      <c r="DR65" s="2" t="s">
        <v>94</v>
      </c>
      <c r="DS65" s="2">
        <v>156.07400000000001</v>
      </c>
      <c r="DT65" s="2">
        <v>5.52</v>
      </c>
      <c r="DU65" s="2" t="s">
        <v>94</v>
      </c>
      <c r="DV65" s="2" t="s">
        <v>94</v>
      </c>
      <c r="DW65" s="2" t="s">
        <v>904</v>
      </c>
      <c r="DX65" s="2">
        <v>1442</v>
      </c>
      <c r="DY65" s="8">
        <v>0</v>
      </c>
      <c r="DZ65" s="2" t="s">
        <v>94</v>
      </c>
      <c r="EA65" s="2" t="s">
        <v>94</v>
      </c>
      <c r="EB65" s="2" t="s">
        <v>94</v>
      </c>
      <c r="EC65" s="2" t="str">
        <f>HYPERLINK(".\links\gpi\AGAP029450-PA-gpi.txt","Y-NoSP")</f>
        <v>Y-NoSP</v>
      </c>
      <c r="ED65" s="2">
        <v>0.12</v>
      </c>
      <c r="EF65" s="2">
        <v>28</v>
      </c>
      <c r="EG65" s="2" t="str">
        <f>HYPERLINK(".\links\pep\AGAP029450-PA-sulf.txt","2")</f>
        <v>2</v>
      </c>
      <c r="EH65" s="2" t="s">
        <v>94</v>
      </c>
      <c r="EI65" s="2">
        <v>16.296809986130398</v>
      </c>
      <c r="EJ65" s="2">
        <v>5.13176144244105</v>
      </c>
      <c r="EK65" s="2">
        <v>8.3911234396671297</v>
      </c>
      <c r="EL65" s="2">
        <v>13.522884882108199</v>
      </c>
      <c r="EM65" s="2" t="s">
        <v>94</v>
      </c>
      <c r="EN65" s="2">
        <v>2</v>
      </c>
      <c r="EO65" s="2">
        <v>2</v>
      </c>
      <c r="EP65" s="2" t="s">
        <v>94</v>
      </c>
      <c r="EQ65" s="2" t="s">
        <v>94</v>
      </c>
      <c r="ER65" s="2" t="s">
        <v>94</v>
      </c>
      <c r="ES65" s="2" t="s">
        <v>94</v>
      </c>
      <c r="ET65" s="2" t="str">
        <f>HYPERLINK(".\links\REFSEQ-INVERTEBRATE\AGAP029450-PA-REFSEQ-INVERTEBRATE.txt","AGAP007332-PA, partial")</f>
        <v>AGAP007332-PA, partial</v>
      </c>
      <c r="EU65" s="2" t="str">
        <f>HYPERLINK("http://www.ncbi.nlm.nih.gov/sutils/blink.cgi?pid=XP_308497.4","0.0")</f>
        <v>0.0</v>
      </c>
      <c r="EV65" s="2" t="str">
        <f>HYPERLINK("http://www.ncbi.nlm.nih.gov/protein/XP_308497.4","XP_308497.4")</f>
        <v>XP_308497.4</v>
      </c>
      <c r="EW65" s="2">
        <v>99</v>
      </c>
      <c r="EX65" s="2">
        <v>99</v>
      </c>
      <c r="EY65" s="2">
        <v>100</v>
      </c>
      <c r="EZ65" s="2" t="s">
        <v>98</v>
      </c>
    </row>
    <row r="66" spans="1:156" x14ac:dyDescent="0.25">
      <c r="A66" s="2" t="s">
        <v>912</v>
      </c>
      <c r="B66" s="2">
        <v>0.95306916809944198</v>
      </c>
      <c r="C66" s="2">
        <v>1.9359868698841252</v>
      </c>
      <c r="D66" s="2">
        <v>3.5745381871917101</v>
      </c>
      <c r="E66" s="2">
        <v>16.320328898645801</v>
      </c>
      <c r="F66" s="2">
        <v>5.3487065952670101E-5</v>
      </c>
      <c r="G66" s="2">
        <v>4.4763467496849599E-3</v>
      </c>
      <c r="H66" s="2" t="s">
        <v>167</v>
      </c>
      <c r="I66" s="2" t="s">
        <v>87</v>
      </c>
      <c r="J66" s="2" t="str">
        <f>HYPERLINK("https://vectorbase.org/vectorbase/app/record/gene/AGAP005281","AGAP005281-RA")</f>
        <v>AGAP005281-RA</v>
      </c>
      <c r="K66" s="2" t="str">
        <f>HYPERLINK(".\links\pep\AGAP005281-PA-pep.txt","AGAP005281-PA")</f>
        <v>AGAP005281-PA</v>
      </c>
      <c r="L66" s="8" t="s">
        <v>88</v>
      </c>
      <c r="M66" s="2">
        <v>602</v>
      </c>
      <c r="N66" s="2">
        <v>0</v>
      </c>
      <c r="O66" s="2">
        <v>0</v>
      </c>
      <c r="P66" s="2" t="s">
        <v>94</v>
      </c>
      <c r="Q66" s="9" t="s">
        <v>913</v>
      </c>
      <c r="R66" s="2" t="s">
        <v>380</v>
      </c>
      <c r="S66" s="2" t="str">
        <f>HYPERLINK(".\links\KOG\AGAP005281-PA-KOG.txt","KOG")</f>
        <v>KOG</v>
      </c>
      <c r="T66" s="2">
        <v>7.0000000000000007E-21</v>
      </c>
      <c r="U66" s="2">
        <v>87</v>
      </c>
      <c r="V66" s="2" t="s">
        <v>914</v>
      </c>
      <c r="W66" s="10" t="s">
        <v>915</v>
      </c>
      <c r="X66" s="2" t="s">
        <v>289</v>
      </c>
      <c r="Y66" s="2" t="str">
        <f>HYPERLINK(".\links\KOG\AGAP005281-PA-KOG.txt","KOG")</f>
        <v>KOG</v>
      </c>
      <c r="Z66" s="13">
        <v>5.9999999999999998E-21</v>
      </c>
      <c r="AA66" s="2">
        <v>27.9</v>
      </c>
      <c r="AB66" s="11" t="s">
        <v>94</v>
      </c>
      <c r="AC66" s="11" t="str">
        <f>HYPERLINK(".\links\Sigp\AGAP005281-PA-SigP.txt","CYT")</f>
        <v>CYT</v>
      </c>
      <c r="AD66" s="2" t="s">
        <v>94</v>
      </c>
      <c r="AE66" s="2">
        <v>65.879000000000005</v>
      </c>
      <c r="AF66" s="2">
        <v>6.34</v>
      </c>
      <c r="AG66" s="2" t="s">
        <v>94</v>
      </c>
      <c r="AH66" s="2" t="s">
        <v>94</v>
      </c>
      <c r="AI66" s="2" t="s">
        <v>463</v>
      </c>
      <c r="AJ66" s="11">
        <v>0</v>
      </c>
      <c r="AK66" s="2" t="s">
        <v>94</v>
      </c>
      <c r="AL66" s="2" t="s">
        <v>94</v>
      </c>
      <c r="AM66" s="2" t="s">
        <v>94</v>
      </c>
      <c r="AN66" s="11" t="str">
        <f>HYPERLINK(".\links\gpi\AGAP005281-PA-gpi.txt","N")</f>
        <v>N</v>
      </c>
      <c r="AO66" s="12" t="str">
        <f>HYPERLINK(".\links\netoglyc\AGAP005281-PA-netoglyc.txt","25")</f>
        <v>25</v>
      </c>
      <c r="AP66" s="11">
        <v>21.3</v>
      </c>
      <c r="AQ66" s="2">
        <v>4.3</v>
      </c>
      <c r="AR66" s="2">
        <v>8.3000000000000007</v>
      </c>
      <c r="AS66" s="2" t="s">
        <v>97</v>
      </c>
      <c r="AT66" s="9" t="str">
        <f>HYPERLINK(".\links\NR-LIGHT\AGAP005281-PA-NR-LIGHT.txt","AGAP005281-PA")</f>
        <v>AGAP005281-PA</v>
      </c>
      <c r="AU66" s="2" t="str">
        <f>HYPERLINK("http://www.ncbi.nlm.nih.gov/sutils/blink.cgi?pid=XP_309065.4","0.0")</f>
        <v>0.0</v>
      </c>
      <c r="AV66" s="2" t="str">
        <f>HYPERLINK("http://www.ncbi.nlm.nih.gov/protein/XP_309065.4","XP_309065.4")</f>
        <v>XP_309065.4</v>
      </c>
      <c r="AW66" s="2">
        <v>100</v>
      </c>
      <c r="AX66" s="2">
        <v>100</v>
      </c>
      <c r="AY66" s="2">
        <v>100</v>
      </c>
      <c r="AZ66" s="2" t="s">
        <v>98</v>
      </c>
      <c r="BA66" s="9" t="str">
        <f>HYPERLINK(".\links\REFSEQ-INVERTEBRATE\AGAP005281-PA-REFSEQ-INVERTEBRATE.txt","AGAP005281-PA")</f>
        <v>AGAP005281-PA</v>
      </c>
      <c r="BB66" s="2" t="str">
        <f>HYPERLINK("http://www.ncbi.nlm.nih.gov/sutils/blink.cgi?pid=XP_309065.4","0.0")</f>
        <v>0.0</v>
      </c>
      <c r="BC66" s="2" t="str">
        <f>HYPERLINK("http://www.ncbi.nlm.nih.gov/protein/XP_309065.4","XP_309065.4")</f>
        <v>XP_309065.4</v>
      </c>
      <c r="BD66" s="2">
        <v>100</v>
      </c>
      <c r="BE66" s="2">
        <v>100</v>
      </c>
      <c r="BF66" s="2">
        <v>100</v>
      </c>
      <c r="BG66" s="2" t="s">
        <v>98</v>
      </c>
      <c r="BH66" s="9" t="str">
        <f>HYPERLINK(".\links\REFSEQ-PROTOZOA\AGAP005281-PA-REFSEQ-PROTOZOA.txt","proteophosphoglycan ppg1")</f>
        <v>proteophosphoglycan ppg1</v>
      </c>
      <c r="BI66" s="2" t="str">
        <f>HYPERLINK("http://www.ncbi.nlm.nih.gov/sutils/blink.cgi?pid=XP_003879053.1","8E-010")</f>
        <v>8E-010</v>
      </c>
      <c r="BJ66" s="2" t="str">
        <f>HYPERLINK("http://www.ncbi.nlm.nih.gov/protein/XP_003879053.1","XP_003879053.1")</f>
        <v>XP_003879053.1</v>
      </c>
      <c r="BK66" s="2">
        <v>22</v>
      </c>
      <c r="BL66" s="2">
        <v>39</v>
      </c>
      <c r="BM66" s="2">
        <v>25</v>
      </c>
      <c r="BN66" s="2" t="s">
        <v>916</v>
      </c>
      <c r="BO66" s="9" t="str">
        <f>HYPERLINK(".\links\SWISSP\AGAP005281-PA-SWISSP.txt","Homeobox protein ceh-9")</f>
        <v>Homeobox protein ceh-9</v>
      </c>
      <c r="BP66" s="2" t="str">
        <f>HYPERLINK("http://www.uniprot.org/uniprot/P56407","1E-022")</f>
        <v>1E-022</v>
      </c>
      <c r="BQ66" s="2" t="str">
        <f>HYPERLINK("http://www.uniprot.org/uniprot/P56407#expression","P56407")</f>
        <v>P56407</v>
      </c>
      <c r="BR66" s="2">
        <v>71</v>
      </c>
      <c r="BS66" s="2">
        <v>88</v>
      </c>
      <c r="BT66" s="2">
        <v>48</v>
      </c>
      <c r="BU66" s="2" t="s">
        <v>917</v>
      </c>
      <c r="BV66" s="9" t="str">
        <f>HYPERLINK(".\links\FLYBASE\AGAP005281-PA-FLYBASE.txt","FBpp0312482")</f>
        <v>FBpp0312482</v>
      </c>
      <c r="BW66" s="2" t="str">
        <f>HYPERLINK("http://flybase.org/reports/FBgn0024321#alliance_summary_container","9E-36")</f>
        <v>9E-36</v>
      </c>
      <c r="BX66" s="2">
        <v>721</v>
      </c>
      <c r="BY66" s="2">
        <v>33</v>
      </c>
      <c r="BZ66" s="2">
        <v>44</v>
      </c>
      <c r="CA66" s="2">
        <v>50</v>
      </c>
      <c r="CB66" s="9" t="str">
        <f>HYPERLINK(".\links\CDD\AGAP005281-PA-CDD.txt","Homeobox, Homeobox domain")</f>
        <v>Homeobox, Homeobox domain</v>
      </c>
      <c r="CC66" s="13">
        <v>5.9999999999999999E-19</v>
      </c>
      <c r="CD66" s="2">
        <v>98.1</v>
      </c>
      <c r="CE66" s="2" t="s">
        <v>918</v>
      </c>
      <c r="CF66" s="2" t="s">
        <v>919</v>
      </c>
      <c r="CG66" s="9" t="str">
        <f>HYPERLINK(".\links\KOG\AGAP005281-PA-KOG.txt","Transcription factor BarH and related HOX domain proteins")</f>
        <v>Transcription factor BarH and related HOX domain proteins</v>
      </c>
      <c r="CH66" s="13">
        <v>7.0000000000000007E-21</v>
      </c>
      <c r="CI66" s="2">
        <v>87.1</v>
      </c>
      <c r="CJ66" s="2" t="s">
        <v>920</v>
      </c>
      <c r="CK66" s="2" t="s">
        <v>122</v>
      </c>
      <c r="CL66" s="9" t="str">
        <f>HYPERLINK(".\links\PFAM\AGAP005281-PA-PFAM.txt","Homeobox, Homeobox domain")</f>
        <v>Homeobox, Homeobox domain</v>
      </c>
      <c r="CM66" s="13">
        <v>9.9999999999999998E-20</v>
      </c>
      <c r="CN66" s="2">
        <v>98.1</v>
      </c>
      <c r="CO66" s="2" t="s">
        <v>918</v>
      </c>
      <c r="CP66" s="9" t="str">
        <f>HYPERLINK(".\links\SMART\AGAP005281-PA-SMART.txt","HOX, Homeodomain")</f>
        <v>HOX, Homeodomain</v>
      </c>
      <c r="CQ66" s="13">
        <v>1.9999999999999999E-20</v>
      </c>
      <c r="CR66" s="2">
        <v>100</v>
      </c>
      <c r="CS66" s="2" t="s">
        <v>921</v>
      </c>
      <c r="CT66" s="2" t="s">
        <v>914</v>
      </c>
      <c r="CU66" s="2" t="s">
        <v>914</v>
      </c>
      <c r="CV66" s="2" t="s">
        <v>914</v>
      </c>
      <c r="CW66" s="2" t="str">
        <f>HYPERLINK(".\links\pep\AGAP005281-PA-pep.txt","AGAP005281-PA")</f>
        <v>AGAP005281-PA</v>
      </c>
      <c r="CX66" s="2" t="s">
        <v>88</v>
      </c>
      <c r="CY66" s="2">
        <v>602</v>
      </c>
      <c r="CZ66" s="2" t="s">
        <v>106</v>
      </c>
      <c r="DA66" s="2" t="s">
        <v>922</v>
      </c>
      <c r="DB66" s="2">
        <v>0</v>
      </c>
      <c r="DC66" s="2">
        <v>0</v>
      </c>
      <c r="DD66" s="2" t="str">
        <f>HYPERLINK("https://www.kegg.jp/kegg-bin/search_pathway_text?map=aga&amp;keyword=AGAP005281&amp;mode=1&amp;viewImage=true","AGAP005281")</f>
        <v>AGAP005281</v>
      </c>
      <c r="DE66" s="2" t="s">
        <v>912</v>
      </c>
      <c r="DF66" s="2" t="s">
        <v>167</v>
      </c>
      <c r="DG66" s="2" t="s">
        <v>87</v>
      </c>
      <c r="DH66" s="2" t="str">
        <f>HYPERLINK("https://vectorbase.org/vectorbase/app/record/gene/AGAP005281","AGAP005281-RA")</f>
        <v>AGAP005281-RA</v>
      </c>
      <c r="DI66" s="2" t="s">
        <v>125</v>
      </c>
      <c r="DJ66" s="2">
        <v>3006</v>
      </c>
      <c r="DK66" s="2" t="str">
        <f>HYPERLINK(".\links\netoglyc\AGAP005281-PA-netoglyc.txt","25")</f>
        <v>25</v>
      </c>
      <c r="DL66" s="2">
        <v>21.3</v>
      </c>
      <c r="DM66" s="2">
        <v>4.3</v>
      </c>
      <c r="DN66" s="2">
        <v>8.3000000000000007</v>
      </c>
      <c r="DO66" s="2" t="s">
        <v>97</v>
      </c>
      <c r="DP66" s="2" t="s">
        <v>923</v>
      </c>
      <c r="DQ66" s="2" t="str">
        <f>HYPERLINK(".\links\Sigp\AGAP005281-PA-SigP.txt","CYT")</f>
        <v>CYT</v>
      </c>
      <c r="DR66" s="2" t="s">
        <v>94</v>
      </c>
      <c r="DS66" s="2">
        <v>65.870999999999995</v>
      </c>
      <c r="DT66" s="2">
        <v>6.34</v>
      </c>
      <c r="DU66" s="2" t="s">
        <v>94</v>
      </c>
      <c r="DV66" s="2" t="s">
        <v>94</v>
      </c>
      <c r="DW66" s="2" t="s">
        <v>463</v>
      </c>
      <c r="DX66" s="2">
        <v>602</v>
      </c>
      <c r="DY66" s="8">
        <v>0</v>
      </c>
      <c r="DZ66" s="2" t="s">
        <v>94</v>
      </c>
      <c r="EA66" s="2" t="s">
        <v>94</v>
      </c>
      <c r="EB66" s="2" t="s">
        <v>94</v>
      </c>
      <c r="EC66" s="2" t="str">
        <f>HYPERLINK(".\links\gpi\AGAP005281-PA-gpi.txt","Y-NoSP")</f>
        <v>Y-NoSP</v>
      </c>
      <c r="ED66" s="2">
        <v>0.28999999999999998</v>
      </c>
      <c r="EF66" s="2">
        <v>4</v>
      </c>
      <c r="EG66" s="2" t="s">
        <v>94</v>
      </c>
      <c r="EH66" s="2" t="s">
        <v>94</v>
      </c>
      <c r="EI66" s="2">
        <v>21.262458471760802</v>
      </c>
      <c r="EJ66" s="2">
        <v>8.3056478405315595</v>
      </c>
      <c r="EK66" s="2">
        <v>4.3189368770764096</v>
      </c>
      <c r="EL66" s="2">
        <v>12.624584717608</v>
      </c>
      <c r="EM66" s="2" t="s">
        <v>94</v>
      </c>
      <c r="EN66" s="2">
        <v>3</v>
      </c>
      <c r="EO66" s="2">
        <v>4</v>
      </c>
      <c r="EP66" s="2" t="s">
        <v>94</v>
      </c>
      <c r="EQ66" s="2" t="s">
        <v>94</v>
      </c>
      <c r="ER66" s="2" t="s">
        <v>94</v>
      </c>
      <c r="ES66" s="2" t="s">
        <v>94</v>
      </c>
      <c r="ET66" s="2" t="str">
        <f>HYPERLINK(".\links\REFSEQ-INVERTEBRATE\AGAP005281-PA-REFSEQ-INVERTEBRATE.txt","AGAP005281-PA")</f>
        <v>AGAP005281-PA</v>
      </c>
      <c r="EU66" s="2" t="str">
        <f>HYPERLINK("http://www.ncbi.nlm.nih.gov/sutils/blink.cgi?pid=XP_309065.4","0.0")</f>
        <v>0.0</v>
      </c>
      <c r="EV66" s="2" t="str">
        <f>HYPERLINK("http://www.ncbi.nlm.nih.gov/protein/XP_309065.4","XP_309065.4")</f>
        <v>XP_309065.4</v>
      </c>
      <c r="EW66" s="2">
        <v>100</v>
      </c>
      <c r="EX66" s="2">
        <v>100</v>
      </c>
      <c r="EY66" s="2">
        <v>100</v>
      </c>
      <c r="EZ66" s="2" t="s">
        <v>98</v>
      </c>
    </row>
    <row r="67" spans="1:156" x14ac:dyDescent="0.25">
      <c r="A67" s="2" t="s">
        <v>924</v>
      </c>
      <c r="B67" s="2">
        <v>0.94048466208992099</v>
      </c>
      <c r="C67" s="2">
        <v>1.9191728614451788</v>
      </c>
      <c r="D67" s="2">
        <v>2.8487922529091301</v>
      </c>
      <c r="E67" s="2">
        <v>18.869481440777701</v>
      </c>
      <c r="F67" s="2">
        <v>1.39974207525582E-5</v>
      </c>
      <c r="G67" s="2">
        <v>1.5215357247924501E-3</v>
      </c>
      <c r="H67" s="2" t="s">
        <v>167</v>
      </c>
      <c r="I67" s="2" t="s">
        <v>87</v>
      </c>
      <c r="J67" s="2" t="str">
        <f>HYPERLINK("https://vectorbase.org/vectorbase/app/record/gene/AGAP005762","AGAP005762-RB")</f>
        <v>AGAP005762-RB</v>
      </c>
      <c r="K67" s="2" t="str">
        <f>HYPERLINK(".\links\pep\AGAP005762-PB-pep.txt","AGAP005762-PB")</f>
        <v>AGAP005762-PB</v>
      </c>
      <c r="L67" s="8" t="s">
        <v>88</v>
      </c>
      <c r="M67" s="2">
        <v>295</v>
      </c>
      <c r="N67" s="2">
        <v>0</v>
      </c>
      <c r="O67" s="2">
        <v>0</v>
      </c>
      <c r="P67" s="2" t="s">
        <v>94</v>
      </c>
      <c r="Q67" s="9" t="s">
        <v>925</v>
      </c>
      <c r="R67" s="2" t="s">
        <v>253</v>
      </c>
      <c r="S67" s="2" t="str">
        <f>HYPERLINK(".\links\REFSEQ-INVERTEBRATE\AGAP005762-PB-REFSEQ-INVERTEBRATE.txt","REFSEQ-INVERTEBRATE")</f>
        <v>REFSEQ-INVERTEBRATE</v>
      </c>
      <c r="T67" s="2">
        <v>0</v>
      </c>
      <c r="U67" s="2">
        <v>100</v>
      </c>
      <c r="V67" s="2" t="s">
        <v>925</v>
      </c>
      <c r="W67" s="10" t="s">
        <v>926</v>
      </c>
      <c r="X67" s="2" t="s">
        <v>253</v>
      </c>
      <c r="Y67" s="2" t="str">
        <f>HYPERLINK(".\links\ARTHORPODA\AGAP005762-PB-ARTHORPODA.txt","ARTHORPODA")</f>
        <v>ARTHORPODA</v>
      </c>
      <c r="Z67" s="2">
        <v>0</v>
      </c>
      <c r="AA67" s="2">
        <v>81.099999999999994</v>
      </c>
      <c r="AB67" s="11" t="s">
        <v>94</v>
      </c>
      <c r="AC67" s="11" t="str">
        <f>HYPERLINK(".\links\Sigp\AGAP005762-PB-SigP.txt","CYT")</f>
        <v>CYT</v>
      </c>
      <c r="AD67" s="2" t="s">
        <v>94</v>
      </c>
      <c r="AE67" s="2">
        <v>33.046999999999997</v>
      </c>
      <c r="AF67" s="2">
        <v>5.23</v>
      </c>
      <c r="AG67" s="2" t="s">
        <v>94</v>
      </c>
      <c r="AH67" s="2" t="s">
        <v>94</v>
      </c>
      <c r="AI67" s="2" t="s">
        <v>927</v>
      </c>
      <c r="AJ67" s="11">
        <v>0</v>
      </c>
      <c r="AK67" s="2" t="s">
        <v>94</v>
      </c>
      <c r="AL67" s="2" t="s">
        <v>94</v>
      </c>
      <c r="AM67" s="2" t="s">
        <v>94</v>
      </c>
      <c r="AN67" s="11" t="str">
        <f>HYPERLINK(".\links\gpi\AGAP005762-PB-gpi.txt","N")</f>
        <v>N</v>
      </c>
      <c r="AO67" s="12" t="str">
        <f>HYPERLINK(".\links\netoglyc\AGAP005762-PB-netoglyc.txt","1")</f>
        <v>1</v>
      </c>
      <c r="AP67" s="11">
        <v>13.9</v>
      </c>
      <c r="AQ67" s="2">
        <v>4.4000000000000004</v>
      </c>
      <c r="AR67" s="2">
        <v>3.4</v>
      </c>
      <c r="AS67" s="2" t="s">
        <v>97</v>
      </c>
      <c r="AT67" s="9" t="str">
        <f>HYPERLINK(".\links\NR-LIGHT\AGAP005762-PB-NR-LIGHT.txt","AGAP005762-PB")</f>
        <v>AGAP005762-PB</v>
      </c>
      <c r="AU67" s="2" t="str">
        <f>HYPERLINK("http://www.ncbi.nlm.nih.gov/sutils/blink.cgi?pid=XP_315775.3","1E-166")</f>
        <v>1E-166</v>
      </c>
      <c r="AV67" s="2" t="str">
        <f>HYPERLINK("http://www.ncbi.nlm.nih.gov/protein/XP_315775.3","XP_315775.3")</f>
        <v>XP_315775.3</v>
      </c>
      <c r="AW67" s="2">
        <v>100</v>
      </c>
      <c r="AX67" s="2">
        <v>100</v>
      </c>
      <c r="AY67" s="2">
        <v>100</v>
      </c>
      <c r="AZ67" s="2" t="s">
        <v>98</v>
      </c>
      <c r="BA67" s="9" t="str">
        <f>HYPERLINK(".\links\REFSEQ-INVERTEBRATE\AGAP005762-PB-REFSEQ-INVERTEBRATE.txt","AGAP005762-PB")</f>
        <v>AGAP005762-PB</v>
      </c>
      <c r="BB67" s="2" t="str">
        <f>HYPERLINK("http://www.ncbi.nlm.nih.gov/sutils/blink.cgi?pid=XP_315775.3","1E-166")</f>
        <v>1E-166</v>
      </c>
      <c r="BC67" s="2" t="str">
        <f>HYPERLINK("http://www.ncbi.nlm.nih.gov/protein/XP_315775.3","XP_315775.3")</f>
        <v>XP_315775.3</v>
      </c>
      <c r="BD67" s="2">
        <v>100</v>
      </c>
      <c r="BE67" s="2">
        <v>100</v>
      </c>
      <c r="BF67" s="2">
        <v>100</v>
      </c>
      <c r="BG67" s="2" t="s">
        <v>98</v>
      </c>
      <c r="BH67" s="9" t="str">
        <f>HYPERLINK(".\links\REFSEQ-PROTOZOA\AGAP005762-PB-REFSEQ-PROTOZOA.txt","lectin")</f>
        <v>lectin</v>
      </c>
      <c r="BI67" s="2" t="str">
        <f>HYPERLINK("http://www.ncbi.nlm.nih.gov/sutils/blink.cgi?pid=XP_828496.1","6E-007")</f>
        <v>6E-007</v>
      </c>
      <c r="BJ67" s="2" t="str">
        <f>HYPERLINK("http://www.ncbi.nlm.nih.gov/protein/XP_828496.1","XP_828496.1")</f>
        <v>XP_828496.1</v>
      </c>
      <c r="BK67" s="2">
        <v>29</v>
      </c>
      <c r="BL67" s="2">
        <v>49</v>
      </c>
      <c r="BM67" s="2">
        <v>23</v>
      </c>
      <c r="BN67" s="2" t="s">
        <v>928</v>
      </c>
      <c r="BO67" s="9" t="str">
        <f>HYPERLINK(".\links\SWISSP\AGAP005762-PB-SWISSP.txt","Heat shock protein DDB_G0288861")</f>
        <v>Heat shock protein DDB_G0288861</v>
      </c>
      <c r="BP67" s="2" t="str">
        <f>HYPERLINK("http://www.uniprot.org/uniprot/Q54IG2","2E-006")</f>
        <v>2E-006</v>
      </c>
      <c r="BQ67" s="2" t="str">
        <f>HYPERLINK("http://www.uniprot.org/uniprot/Q54IG2#expression","Q54IG2")</f>
        <v>Q54IG2</v>
      </c>
      <c r="BR67" s="2">
        <v>20</v>
      </c>
      <c r="BS67" s="2">
        <v>42</v>
      </c>
      <c r="BT67" s="2">
        <v>32</v>
      </c>
      <c r="BU67" s="2" t="s">
        <v>308</v>
      </c>
      <c r="BV67" s="9"/>
      <c r="CB67" s="9" t="str">
        <f>HYPERLINK(".\links\CDD\AGAP005762-PB-CDD.txt","Splicing_factor_U2AF_59_kDa_subunit, U2 snRNP auxilliary factor, large subunit, splicing factor")</f>
        <v>Splicing_factor_U2AF_59_kDa_subunit, U2 snRNP auxilliary factor, large subunit, splicing factor</v>
      </c>
      <c r="CC67" s="13">
        <v>3.0000000000000001E-3</v>
      </c>
      <c r="CD67" s="2">
        <v>16.5</v>
      </c>
      <c r="CE67" s="2" t="s">
        <v>929</v>
      </c>
      <c r="CF67" s="2" t="s">
        <v>930</v>
      </c>
      <c r="CG67" s="9" t="str">
        <f>HYPERLINK(".\links\KOG\AGAP005762-PB-KOG.txt","Predicted peptidyl prolyl cis-trans isomerase")</f>
        <v>Predicted peptidyl prolyl cis-trans isomerase</v>
      </c>
      <c r="CH67" s="13">
        <v>7.2999999999999995E-2</v>
      </c>
      <c r="CI67" s="2">
        <v>25.5</v>
      </c>
      <c r="CJ67" s="2" t="s">
        <v>931</v>
      </c>
      <c r="CK67" s="2" t="s">
        <v>214</v>
      </c>
      <c r="CL67" s="9" t="str">
        <f>HYPERLINK(".\links\PFAM\AGAP005762-PB-PFAM.txt","CDC45, CDC45-like protein")</f>
        <v>CDC45, CDC45-like protein</v>
      </c>
      <c r="CM67" s="13">
        <v>0.11</v>
      </c>
      <c r="CN67" s="2">
        <v>12.7</v>
      </c>
      <c r="CO67" s="2" t="s">
        <v>932</v>
      </c>
      <c r="CP67" s="9" t="str">
        <f>HYPERLINK(".\links\SMART\AGAP005762-PB-SMART.txt","CRISPR_assoc, This domain forms an anti-parallel beta strand structure with flanking alpha helical regions")</f>
        <v>CRISPR_assoc, This domain forms an anti-parallel beta strand structure with flanking alpha helical regions</v>
      </c>
      <c r="CQ67" s="13">
        <v>0.53</v>
      </c>
      <c r="CR67" s="2">
        <v>26.5</v>
      </c>
      <c r="CS67" s="2" t="s">
        <v>933</v>
      </c>
      <c r="CT67" s="2" t="s">
        <v>925</v>
      </c>
      <c r="CU67" s="2" t="s">
        <v>925</v>
      </c>
      <c r="CV67" s="2" t="s">
        <v>925</v>
      </c>
      <c r="CW67" s="2" t="str">
        <f>HYPERLINK(".\links\pep\AGAP005762-PB-pep.txt","AGAP005762-PB")</f>
        <v>AGAP005762-PB</v>
      </c>
      <c r="CX67" s="2" t="s">
        <v>88</v>
      </c>
      <c r="CY67" s="2">
        <v>295</v>
      </c>
      <c r="CZ67" s="2" t="s">
        <v>106</v>
      </c>
      <c r="DA67" s="2" t="s">
        <v>934</v>
      </c>
      <c r="DB67" s="2">
        <v>0</v>
      </c>
      <c r="DC67" s="2">
        <v>0</v>
      </c>
      <c r="DD67" s="2" t="str">
        <f>HYPERLINK("https://www.kegg.jp/kegg-bin/search_pathway_text?map=aga&amp;keyword=AGAP005762&amp;mode=1&amp;viewImage=true","AGAP005762")</f>
        <v>AGAP005762</v>
      </c>
      <c r="DE67" s="2" t="s">
        <v>924</v>
      </c>
      <c r="DF67" s="2" t="s">
        <v>167</v>
      </c>
      <c r="DG67" s="2" t="s">
        <v>87</v>
      </c>
      <c r="DH67" s="2" t="str">
        <f>HYPERLINK("https://vectorbase.org/vectorbase/app/record/gene/AGAP005762","AGAP005762-RB")</f>
        <v>AGAP005762-RB</v>
      </c>
      <c r="DI67" s="2" t="s">
        <v>108</v>
      </c>
      <c r="DJ67" s="2">
        <v>1280</v>
      </c>
      <c r="DK67" s="2" t="str">
        <f>HYPERLINK(".\links\netoglyc\AGAP005762-PB-netoglyc.txt","1")</f>
        <v>1</v>
      </c>
      <c r="DL67" s="2">
        <v>13.9</v>
      </c>
      <c r="DM67" s="2">
        <v>4.4000000000000004</v>
      </c>
      <c r="DN67" s="2">
        <v>3.4</v>
      </c>
      <c r="DO67" s="2" t="s">
        <v>97</v>
      </c>
      <c r="DP67" s="2" t="s">
        <v>935</v>
      </c>
      <c r="DQ67" s="2" t="str">
        <f>HYPERLINK(".\links\Sigp\AGAP005762-PB-SigP.txt","CYT")</f>
        <v>CYT</v>
      </c>
      <c r="DR67" s="2" t="s">
        <v>94</v>
      </c>
      <c r="DS67" s="2">
        <v>33.046999999999997</v>
      </c>
      <c r="DT67" s="2">
        <v>5.23</v>
      </c>
      <c r="DU67" s="2" t="s">
        <v>94</v>
      </c>
      <c r="DV67" s="2" t="s">
        <v>94</v>
      </c>
      <c r="DW67" s="2" t="s">
        <v>927</v>
      </c>
      <c r="DX67" s="2">
        <v>295</v>
      </c>
      <c r="DY67" s="8">
        <v>0</v>
      </c>
      <c r="DZ67" s="2" t="s">
        <v>94</v>
      </c>
      <c r="EA67" s="2" t="s">
        <v>94</v>
      </c>
      <c r="EB67" s="2" t="s">
        <v>94</v>
      </c>
      <c r="EC67" s="2" t="str">
        <f>HYPERLINK(".\links\gpi\AGAP005762-PB-gpi.txt","N")</f>
        <v>N</v>
      </c>
      <c r="ED67" s="2">
        <v>0.35</v>
      </c>
      <c r="EF67" s="2">
        <v>5</v>
      </c>
      <c r="EG67" s="2" t="s">
        <v>94</v>
      </c>
      <c r="EH67" s="2" t="s">
        <v>94</v>
      </c>
      <c r="EI67" s="2">
        <v>13.8983050847458</v>
      </c>
      <c r="EJ67" s="2">
        <v>3.3898305084745801</v>
      </c>
      <c r="EK67" s="2">
        <v>4.4067796610169498</v>
      </c>
      <c r="EL67" s="2">
        <v>7.7966101694915304</v>
      </c>
      <c r="EM67" s="2" t="s">
        <v>94</v>
      </c>
      <c r="EN67" s="2">
        <v>1</v>
      </c>
      <c r="EO67" s="2">
        <v>1</v>
      </c>
      <c r="EP67" s="2" t="s">
        <v>94</v>
      </c>
      <c r="EQ67" s="2" t="s">
        <v>94</v>
      </c>
      <c r="ER67" s="2" t="s">
        <v>94</v>
      </c>
      <c r="ES67" s="2" t="s">
        <v>94</v>
      </c>
      <c r="ET67" s="2" t="str">
        <f>HYPERLINK(".\links\REFSEQ-INVERTEBRATE\AGAP005762-PB-REFSEQ-INVERTEBRATE.txt","AGAP005762-PB")</f>
        <v>AGAP005762-PB</v>
      </c>
      <c r="EU67" s="2" t="str">
        <f>HYPERLINK("http://www.ncbi.nlm.nih.gov/sutils/blink.cgi?pid=XP_315775.3","0.0")</f>
        <v>0.0</v>
      </c>
      <c r="EV67" s="2" t="str">
        <f>HYPERLINK("http://www.ncbi.nlm.nih.gov/protein/XP_315775.3","XP_315775.3")</f>
        <v>XP_315775.3</v>
      </c>
      <c r="EW67" s="2">
        <v>100</v>
      </c>
      <c r="EX67" s="2">
        <v>100</v>
      </c>
      <c r="EY67" s="2">
        <v>100</v>
      </c>
      <c r="EZ67" s="2" t="s">
        <v>98</v>
      </c>
    </row>
    <row r="68" spans="1:156" x14ac:dyDescent="0.25">
      <c r="A68" s="2" t="s">
        <v>936</v>
      </c>
      <c r="B68" s="2">
        <v>0.93828560238847802</v>
      </c>
      <c r="C68" s="2">
        <v>1.9162497483037917</v>
      </c>
      <c r="D68" s="2">
        <v>2.60119211024021</v>
      </c>
      <c r="E68" s="2">
        <v>16.4041240630226</v>
      </c>
      <c r="F68" s="2">
        <v>5.1173768442932299E-5</v>
      </c>
      <c r="G68" s="2">
        <v>4.3599128663496401E-3</v>
      </c>
      <c r="H68" s="2" t="s">
        <v>167</v>
      </c>
      <c r="I68" s="2" t="s">
        <v>87</v>
      </c>
      <c r="J68" s="2" t="str">
        <f>HYPERLINK("https://vectorbase.org/vectorbase/app/record/gene/AGAP007279","AGAP007279-RA")</f>
        <v>AGAP007279-RA</v>
      </c>
      <c r="K68" s="2" t="str">
        <f>HYPERLINK(".\links\pep\AGAP007279-PA-pep.txt","AGAP007279-PA")</f>
        <v>AGAP007279-PA</v>
      </c>
      <c r="L68" s="8" t="s">
        <v>88</v>
      </c>
      <c r="M68" s="2">
        <v>1141</v>
      </c>
      <c r="N68" s="2">
        <v>0</v>
      </c>
      <c r="O68" s="2">
        <v>6</v>
      </c>
      <c r="P68" s="2" t="s">
        <v>94</v>
      </c>
      <c r="Q68" s="9" t="s">
        <v>937</v>
      </c>
      <c r="R68" s="2" t="s">
        <v>380</v>
      </c>
      <c r="S68" s="2" t="str">
        <f>HYPERLINK(".\links\KOG\AGAP007279-PA-KOG.txt","KOG")</f>
        <v>KOG</v>
      </c>
      <c r="T68" s="2">
        <v>6E-37</v>
      </c>
      <c r="U68" s="2">
        <v>86.7</v>
      </c>
      <c r="V68" s="2" t="s">
        <v>938</v>
      </c>
      <c r="W68" s="10" t="s">
        <v>939</v>
      </c>
      <c r="X68" s="2" t="s">
        <v>289</v>
      </c>
      <c r="Y68" s="2" t="str">
        <f>HYPERLINK(".\links\UNIPROTKB\AGAP007279-PA-UNIPROTKB.txt","UNIPROTKB")</f>
        <v>UNIPROTKB</v>
      </c>
      <c r="Z68" s="2">
        <v>0</v>
      </c>
      <c r="AA68" s="2">
        <v>26.2</v>
      </c>
      <c r="AB68" s="11" t="s">
        <v>94</v>
      </c>
      <c r="AC68" s="11" t="str">
        <f>HYPERLINK(".\links\Sigp\AGAP007279-PA-SigP.txt","CYT")</f>
        <v>CYT</v>
      </c>
      <c r="AD68" s="2" t="s">
        <v>94</v>
      </c>
      <c r="AE68" s="2">
        <v>119.759</v>
      </c>
      <c r="AF68" s="2">
        <v>6.94</v>
      </c>
      <c r="AG68" s="2" t="s">
        <v>94</v>
      </c>
      <c r="AH68" s="2" t="s">
        <v>94</v>
      </c>
      <c r="AI68" s="2" t="s">
        <v>940</v>
      </c>
      <c r="AJ68" s="11">
        <v>0</v>
      </c>
      <c r="AK68" s="2" t="s">
        <v>94</v>
      </c>
      <c r="AL68" s="2" t="s">
        <v>94</v>
      </c>
      <c r="AM68" s="2" t="s">
        <v>94</v>
      </c>
      <c r="AN68" s="11" t="str">
        <f>HYPERLINK(".\links\gpi\AGAP007279-PA-gpi.txt","N")</f>
        <v>N</v>
      </c>
      <c r="AO68" s="12" t="str">
        <f>HYPERLINK(".\links\netoglyc\AGAP007279-PA-netoglyc.txt","6")</f>
        <v>6</v>
      </c>
      <c r="AP68" s="11">
        <v>11</v>
      </c>
      <c r="AQ68" s="2">
        <v>14.7</v>
      </c>
      <c r="AR68" s="2">
        <v>9.1999999999999993</v>
      </c>
      <c r="AS68" s="2">
        <v>0.5</v>
      </c>
      <c r="AT68" s="9" t="str">
        <f>HYPERLINK(".\links\NR-LIGHT\AGAP007279-PA-NR-LIGHT.txt","sumo ligase")</f>
        <v>sumo ligase</v>
      </c>
      <c r="AU68" s="2" t="str">
        <f>HYPERLINK("http://www.ncbi.nlm.nih.gov/sutils/blink.cgi?pid=ETN65780.1","0.0")</f>
        <v>0.0</v>
      </c>
      <c r="AV68" s="2" t="str">
        <f>HYPERLINK("http://www.ncbi.nlm.nih.gov/protein/ETN65780.1","ETN65780.1")</f>
        <v>ETN65780.1</v>
      </c>
      <c r="AW68" s="2">
        <v>70</v>
      </c>
      <c r="AX68" s="2">
        <v>74</v>
      </c>
      <c r="AY68" s="2">
        <v>103</v>
      </c>
      <c r="AZ68" s="2" t="s">
        <v>291</v>
      </c>
      <c r="BA68" s="9" t="str">
        <f>HYPERLINK(".\links\REFSEQ-INVERTEBRATE\AGAP007279-PA-REFSEQ-INVERTEBRATE.txt","AGAP007279-PA")</f>
        <v>AGAP007279-PA</v>
      </c>
      <c r="BB68" s="2" t="str">
        <f>HYPERLINK("http://www.ncbi.nlm.nih.gov/sutils/blink.cgi?pid=XP_308538.4","0.0")</f>
        <v>0.0</v>
      </c>
      <c r="BC68" s="2" t="str">
        <f>HYPERLINK("http://www.ncbi.nlm.nih.gov/protein/XP_308538.4","XP_308538.4")</f>
        <v>XP_308538.4</v>
      </c>
      <c r="BD68" s="2">
        <v>83</v>
      </c>
      <c r="BE68" s="2">
        <v>86</v>
      </c>
      <c r="BF68" s="2">
        <v>91</v>
      </c>
      <c r="BG68" s="2" t="s">
        <v>98</v>
      </c>
      <c r="BH68" s="9" t="str">
        <f>HYPERLINK(".\links\REFSEQ-PROTOZOA\AGAP007279-PA-REFSEQ-PROTOZOA.txt","hypothetical protein LPMP_030760")</f>
        <v>hypothetical protein LPMP_030760</v>
      </c>
      <c r="BI68" s="2" t="str">
        <f>HYPERLINK("http://www.ncbi.nlm.nih.gov/sutils/blink.cgi?pid=XP_010701019.1","3E-022")</f>
        <v>3E-022</v>
      </c>
      <c r="BJ68" s="2" t="str">
        <f>HYPERLINK("http://www.ncbi.nlm.nih.gov/protein/XP_010701019.1","XP_010701019.1")</f>
        <v>XP_010701019.1</v>
      </c>
      <c r="BK68" s="2">
        <v>48</v>
      </c>
      <c r="BL68" s="2">
        <v>53</v>
      </c>
      <c r="BM68" s="2">
        <v>11</v>
      </c>
      <c r="BN68" s="2" t="s">
        <v>941</v>
      </c>
      <c r="BO68" s="9" t="str">
        <f>HYPERLINK(".\links\SWISSP\AGAP007279-PA-SWISSP.txt","Zinc finger MIZ domain-containing protein 1")</f>
        <v>Zinc finger MIZ domain-containing protein 1</v>
      </c>
      <c r="BP68" s="2" t="str">
        <f>HYPERLINK("http://www.uniprot.org/uniprot/Q9ULJ6","1E-110")</f>
        <v>1E-110</v>
      </c>
      <c r="BQ68" s="2" t="str">
        <f>HYPERLINK("http://www.uniprot.org/uniprot/Q9ULJ6#expression","Q9ULJ6")</f>
        <v>Q9ULJ6</v>
      </c>
      <c r="BR68" s="2">
        <v>42</v>
      </c>
      <c r="BS68" s="2">
        <v>50</v>
      </c>
      <c r="BT68" s="2">
        <v>58</v>
      </c>
      <c r="BU68" s="2" t="s">
        <v>196</v>
      </c>
      <c r="BV68" s="9" t="str">
        <f>HYPERLINK(".\links\FLYBASE\AGAP007279-PA-FLYBASE.txt","FBpp0290872")</f>
        <v>FBpp0290872</v>
      </c>
      <c r="BW68" s="2" t="str">
        <f>HYPERLINK("http://flybase.org/reports/FBgn0026160#alliance_summary_container","1E-122")</f>
        <v>1E-122</v>
      </c>
      <c r="BX68" s="2">
        <v>1109</v>
      </c>
      <c r="BY68" s="2">
        <v>49</v>
      </c>
      <c r="BZ68" s="2">
        <v>56</v>
      </c>
      <c r="CA68" s="2">
        <v>45</v>
      </c>
      <c r="CB68" s="9" t="str">
        <f>HYPERLINK(".\links\CDD\AGAP007279-PA-CDD.txt","SP-RING_ZMIZ, SP-RING finger found in zinc finger MIZ domain-containing protein Zmiz1, Zmiz2, and similar proteins")</f>
        <v>SP-RING_ZMIZ, SP-RING finger found in zinc finger MIZ domain-containing protein Zmiz1, Zmiz2, and similar proteins</v>
      </c>
      <c r="CC68" s="13">
        <v>1E-25</v>
      </c>
      <c r="CD68" s="2">
        <v>100</v>
      </c>
      <c r="CE68" s="2" t="s">
        <v>942</v>
      </c>
      <c r="CF68" s="2" t="s">
        <v>943</v>
      </c>
      <c r="CG68" s="9" t="str">
        <f>HYPERLINK(".\links\KOG\AGAP007279-PA-KOG.txt","Zn-finger transcription factor")</f>
        <v>Zn-finger transcription factor</v>
      </c>
      <c r="CH68" s="13">
        <v>6E-37</v>
      </c>
      <c r="CI68" s="2">
        <v>86.8</v>
      </c>
      <c r="CJ68" s="2" t="s">
        <v>944</v>
      </c>
      <c r="CK68" s="2" t="s">
        <v>296</v>
      </c>
      <c r="CL68" s="9" t="str">
        <f>HYPERLINK(".\links\PFAM\AGAP007279-PA-PFAM.txt","zf-MIZ, MIZ/SP-RING zinc finger")</f>
        <v>zf-MIZ, MIZ/SP-RING zinc finger</v>
      </c>
      <c r="CM68" s="13">
        <v>8.9999999999999997E-22</v>
      </c>
      <c r="CN68" s="2">
        <v>100</v>
      </c>
      <c r="CO68" s="2" t="s">
        <v>945</v>
      </c>
      <c r="CP68" s="9" t="str">
        <f>HYPERLINK(".\links\SMART\AGAP007279-PA-SMART.txt","PRP, Major prion protein")</f>
        <v>PRP, Major prion protein</v>
      </c>
      <c r="CQ68" s="13">
        <v>1E-3</v>
      </c>
      <c r="CR68" s="2">
        <v>45</v>
      </c>
      <c r="CS68" s="2" t="s">
        <v>483</v>
      </c>
      <c r="CT68" s="2" t="s">
        <v>938</v>
      </c>
      <c r="CU68" s="2" t="s">
        <v>938</v>
      </c>
      <c r="CV68" s="2" t="s">
        <v>938</v>
      </c>
      <c r="CW68" s="2" t="str">
        <f>HYPERLINK(".\links\pep\AGAP007279-PA-pep.txt","AGAP007279-PA")</f>
        <v>AGAP007279-PA</v>
      </c>
      <c r="CX68" s="2" t="s">
        <v>88</v>
      </c>
      <c r="CY68" s="2">
        <v>1141</v>
      </c>
      <c r="CZ68" s="2" t="s">
        <v>106</v>
      </c>
      <c r="DA68" s="2" t="s">
        <v>946</v>
      </c>
      <c r="DB68" s="2">
        <v>0</v>
      </c>
      <c r="DC68" s="2">
        <v>6</v>
      </c>
      <c r="DD68" s="2" t="str">
        <f>HYPERLINK("https://www.kegg.jp/kegg-bin/search_pathway_text?map=aga&amp;keyword=AGAP007279&amp;mode=1&amp;viewImage=true","AGAP007279")</f>
        <v>AGAP007279</v>
      </c>
      <c r="DE68" s="2" t="s">
        <v>936</v>
      </c>
      <c r="DF68" s="2" t="s">
        <v>167</v>
      </c>
      <c r="DG68" s="2" t="s">
        <v>87</v>
      </c>
      <c r="DH68" s="2" t="str">
        <f>HYPERLINK("https://vectorbase.org/vectorbase/app/record/gene/AGAP007279","AGAP007279-RA")</f>
        <v>AGAP007279-RA</v>
      </c>
      <c r="DI68" s="2" t="s">
        <v>108</v>
      </c>
      <c r="DJ68" s="2">
        <v>6629</v>
      </c>
      <c r="DK68" s="2" t="str">
        <f>HYPERLINK(".\links\netoglyc\AGAP007279-PA-netoglyc.txt","6")</f>
        <v>6</v>
      </c>
      <c r="DL68" s="2">
        <v>11</v>
      </c>
      <c r="DM68" s="2">
        <v>14.7</v>
      </c>
      <c r="DN68" s="2">
        <v>9.1999999999999993</v>
      </c>
      <c r="DO68" s="2">
        <v>0.5</v>
      </c>
      <c r="DP68" s="2" t="s">
        <v>94</v>
      </c>
      <c r="DQ68" s="2" t="str">
        <f>HYPERLINK(".\links\Sigp\AGAP007279-PA-SigP.txt","CYT")</f>
        <v>CYT</v>
      </c>
      <c r="DR68" s="2" t="s">
        <v>94</v>
      </c>
      <c r="DS68" s="2">
        <v>119.759</v>
      </c>
      <c r="DT68" s="2">
        <v>6.94</v>
      </c>
      <c r="DU68" s="2" t="s">
        <v>94</v>
      </c>
      <c r="DV68" s="2" t="s">
        <v>94</v>
      </c>
      <c r="DW68" s="2" t="s">
        <v>940</v>
      </c>
      <c r="DX68" s="2">
        <v>1141</v>
      </c>
      <c r="DY68" s="8">
        <v>0</v>
      </c>
      <c r="DZ68" s="2" t="s">
        <v>94</v>
      </c>
      <c r="EA68" s="2" t="s">
        <v>94</v>
      </c>
      <c r="EB68" s="2" t="s">
        <v>94</v>
      </c>
      <c r="EC68" s="2" t="str">
        <f>HYPERLINK(".\links\gpi\AGAP007279-PA-gpi.txt","Y-NoSP")</f>
        <v>Y-NoSP</v>
      </c>
      <c r="ED68" s="2">
        <v>0.56000000000000005</v>
      </c>
      <c r="EF68" s="2">
        <v>12</v>
      </c>
      <c r="EG68" s="2" t="s">
        <v>94</v>
      </c>
      <c r="EH68" s="2" t="s">
        <v>94</v>
      </c>
      <c r="EI68" s="2">
        <v>10.9553023663453</v>
      </c>
      <c r="EJ68" s="2">
        <v>9.2024539877300597</v>
      </c>
      <c r="EK68" s="2">
        <v>14.7239263803681</v>
      </c>
      <c r="EL68" s="2">
        <v>23.926380368098201</v>
      </c>
      <c r="EM68" s="2">
        <v>4</v>
      </c>
      <c r="EN68" s="2">
        <v>1</v>
      </c>
      <c r="EO68" s="2">
        <v>16</v>
      </c>
      <c r="EP68" s="2" t="s">
        <v>94</v>
      </c>
      <c r="EQ68" s="2" t="s">
        <v>94</v>
      </c>
      <c r="ER68" s="2" t="s">
        <v>94</v>
      </c>
      <c r="ES68" s="2" t="s">
        <v>94</v>
      </c>
      <c r="ET68" s="2" t="str">
        <f>HYPERLINK(".\links\REFSEQ-INVERTEBRATE\AGAP007279-PA-REFSEQ-INVERTEBRATE.txt","zinc finger MIZ domain-containing protein 1-like")</f>
        <v>zinc finger MIZ domain-containing protein 1-like</v>
      </c>
      <c r="EU68" s="2" t="str">
        <f>HYPERLINK("http://www.ncbi.nlm.nih.gov/sutils/blink.cgi?pid=XP_035784099.1","0.0")</f>
        <v>0.0</v>
      </c>
      <c r="EV68" s="2" t="str">
        <f>HYPERLINK("http://www.ncbi.nlm.nih.gov/protein/XP_035784099.1","XP_035784099.1")</f>
        <v>XP_035784099.1</v>
      </c>
      <c r="EW68" s="2">
        <v>68</v>
      </c>
      <c r="EX68" s="2">
        <v>71</v>
      </c>
      <c r="EY68" s="2">
        <v>103</v>
      </c>
      <c r="EZ68" s="2" t="s">
        <v>947</v>
      </c>
    </row>
    <row r="69" spans="1:156" x14ac:dyDescent="0.25">
      <c r="A69" s="2" t="s">
        <v>948</v>
      </c>
      <c r="B69" s="2">
        <v>0.93737243499984402</v>
      </c>
      <c r="C69" s="2">
        <v>1.9150372237911777</v>
      </c>
      <c r="D69" s="2">
        <v>2.4026067815098702</v>
      </c>
      <c r="E69" s="2">
        <v>17.303217233675301</v>
      </c>
      <c r="F69" s="2">
        <v>3.18646902904659E-5</v>
      </c>
      <c r="G69" s="2">
        <v>3.01344376076936E-3</v>
      </c>
      <c r="H69" s="2" t="s">
        <v>949</v>
      </c>
      <c r="I69" s="2" t="s">
        <v>87</v>
      </c>
      <c r="J69" s="2" t="str">
        <f>HYPERLINK("https://vectorbase.org/vectorbase/app/record/gene/AGAP003186","AGAP003186-RA")</f>
        <v>AGAP003186-RA</v>
      </c>
      <c r="K69" s="2" t="str">
        <f>HYPERLINK(".\links\pep\AGAP003186-PA-pep.txt","AGAP003186-PA")</f>
        <v>AGAP003186-PA</v>
      </c>
      <c r="L69" s="8" t="s">
        <v>88</v>
      </c>
      <c r="M69" s="2">
        <v>251</v>
      </c>
      <c r="N69" s="2">
        <v>0</v>
      </c>
      <c r="O69" s="2">
        <v>1</v>
      </c>
      <c r="P69" s="2" t="s">
        <v>950</v>
      </c>
      <c r="Q69" s="9" t="s">
        <v>951</v>
      </c>
      <c r="R69" s="2" t="s">
        <v>380</v>
      </c>
      <c r="S69" s="2" t="str">
        <f>HYPERLINK(".\links\NR-LIGHT\AGAP003186-PA-NR-LIGHT.txt","NR-LIGHT")</f>
        <v>NR-LIGHT</v>
      </c>
      <c r="T69" s="2">
        <v>0</v>
      </c>
      <c r="U69" s="2">
        <v>100</v>
      </c>
      <c r="V69" s="2" t="s">
        <v>952</v>
      </c>
      <c r="W69" s="10" t="s">
        <v>953</v>
      </c>
      <c r="X69" s="2" t="s">
        <v>289</v>
      </c>
      <c r="Y69" s="2" t="str">
        <f>HYPERLINK(".\links\UNIPROTKB\AGAP003186-PA-UNIPROTKB.txt","UNIPROTKB")</f>
        <v>UNIPROTKB</v>
      </c>
      <c r="Z69" s="13">
        <v>9.9999999999999992E-25</v>
      </c>
      <c r="AA69" s="2">
        <v>33.200000000000003</v>
      </c>
      <c r="AB69" s="11" t="s">
        <v>94</v>
      </c>
      <c r="AC69" s="11" t="str">
        <f>HYPERLINK(".\links\Sigp\AGAP003186-PA-SigP.txt","CYT")</f>
        <v>CYT</v>
      </c>
      <c r="AD69" s="2" t="s">
        <v>94</v>
      </c>
      <c r="AE69" s="2">
        <v>28.451000000000001</v>
      </c>
      <c r="AF69" s="2">
        <v>5.24</v>
      </c>
      <c r="AG69" s="2" t="s">
        <v>94</v>
      </c>
      <c r="AH69" s="2" t="s">
        <v>94</v>
      </c>
      <c r="AI69" s="2" t="s">
        <v>463</v>
      </c>
      <c r="AJ69" s="11">
        <v>0</v>
      </c>
      <c r="AK69" s="2" t="s">
        <v>94</v>
      </c>
      <c r="AL69" s="2" t="s">
        <v>94</v>
      </c>
      <c r="AM69" s="2" t="s">
        <v>94</v>
      </c>
      <c r="AN69" s="11" t="str">
        <f>HYPERLINK(".\links\gpi\AGAP003186-PA-gpi.txt","N")</f>
        <v>N</v>
      </c>
      <c r="AO69" s="12" t="str">
        <f>HYPERLINK(".\links\netoglyc\AGAP003186-PA-netoglyc.txt","3")</f>
        <v>3</v>
      </c>
      <c r="AP69" s="11">
        <v>13.9</v>
      </c>
      <c r="AQ69" s="2">
        <v>4</v>
      </c>
      <c r="AR69" s="2">
        <v>2.8</v>
      </c>
      <c r="AS69" s="2" t="s">
        <v>97</v>
      </c>
      <c r="AT69" s="9" t="str">
        <f>HYPERLINK(".\links\NR-LIGHT\AGAP003186-PA-NR-LIGHT.txt","AGAP003186-PA")</f>
        <v>AGAP003186-PA</v>
      </c>
      <c r="AU69" s="2" t="str">
        <f>HYPERLINK("http://www.ncbi.nlm.nih.gov/sutils/blink.cgi?pid=XP_562960.3","1E-141")</f>
        <v>1E-141</v>
      </c>
      <c r="AV69" s="2" t="str">
        <f>HYPERLINK("http://www.ncbi.nlm.nih.gov/protein/XP_562960.3","XP_562960.3")</f>
        <v>XP_562960.3</v>
      </c>
      <c r="AW69" s="2">
        <v>100</v>
      </c>
      <c r="AX69" s="2">
        <v>100</v>
      </c>
      <c r="AY69" s="2">
        <v>100</v>
      </c>
      <c r="AZ69" s="2" t="s">
        <v>98</v>
      </c>
      <c r="BA69" s="9" t="str">
        <f>HYPERLINK(".\links\REFSEQ-INVERTEBRATE\AGAP003186-PA-REFSEQ-INVERTEBRATE.txt","AGAP003186-PA")</f>
        <v>AGAP003186-PA</v>
      </c>
      <c r="BB69" s="2" t="str">
        <f>HYPERLINK("http://www.ncbi.nlm.nih.gov/sutils/blink.cgi?pid=XP_562960.3","1E-141")</f>
        <v>1E-141</v>
      </c>
      <c r="BC69" s="2" t="str">
        <f>HYPERLINK("http://www.ncbi.nlm.nih.gov/protein/XP_562960.3","XP_562960.3")</f>
        <v>XP_562960.3</v>
      </c>
      <c r="BD69" s="2">
        <v>100</v>
      </c>
      <c r="BE69" s="2">
        <v>100</v>
      </c>
      <c r="BF69" s="2">
        <v>100</v>
      </c>
      <c r="BG69" s="2" t="s">
        <v>98</v>
      </c>
      <c r="BH69" s="9" t="str">
        <f>HYPERLINK(".\links\REFSEQ-PROTOZOA\AGAP003186-PA-REFSEQ-PROTOZOA.txt","hypothetical protein SARC_03242")</f>
        <v>hypothetical protein SARC_03242</v>
      </c>
      <c r="BI69" s="2" t="str">
        <f>HYPERLINK("http://www.ncbi.nlm.nih.gov/sutils/blink.cgi?pid=XP_014158441.1","1E-007")</f>
        <v>1E-007</v>
      </c>
      <c r="BJ69" s="2" t="str">
        <f>HYPERLINK("http://www.ncbi.nlm.nih.gov/protein/XP_014158441.1","XP_014158441.1")</f>
        <v>XP_014158441.1</v>
      </c>
      <c r="BK69" s="2">
        <v>24</v>
      </c>
      <c r="BL69" s="2">
        <v>42</v>
      </c>
      <c r="BM69" s="2">
        <v>61</v>
      </c>
      <c r="BN69" s="2" t="s">
        <v>368</v>
      </c>
      <c r="BO69" s="9" t="str">
        <f>HYPERLINK(".\links\SWISSP\AGAP003186-PA-SWISSP.txt","Upstream stimulatory factor 2")</f>
        <v>Upstream stimulatory factor 2</v>
      </c>
      <c r="BP69" s="2" t="str">
        <f>HYPERLINK("http://www.uniprot.org/uniprot/Q15853","2E-021")</f>
        <v>2E-021</v>
      </c>
      <c r="BQ69" s="2" t="str">
        <f>HYPERLINK("http://www.uniprot.org/uniprot/Q15853#expression","Q15853")</f>
        <v>Q15853</v>
      </c>
      <c r="BR69" s="2">
        <v>46</v>
      </c>
      <c r="BS69" s="2">
        <v>66</v>
      </c>
      <c r="BT69" s="2">
        <v>33</v>
      </c>
      <c r="BU69" s="2" t="s">
        <v>196</v>
      </c>
      <c r="BV69" s="9" t="str">
        <f>HYPERLINK(".\links\FLYBASE\AGAP003186-PA-FLYBASE.txt","FBpp0301043")</f>
        <v>FBpp0301043</v>
      </c>
      <c r="BW69" s="2" t="str">
        <f>HYPERLINK("http://flybase.org/reports/FBgn0029711#alliance_summary_container","3E-17")</f>
        <v>3E-17</v>
      </c>
      <c r="BX69" s="2">
        <v>437</v>
      </c>
      <c r="BY69" s="2">
        <v>34</v>
      </c>
      <c r="BZ69" s="2">
        <v>49</v>
      </c>
      <c r="CA69" s="2">
        <v>37</v>
      </c>
      <c r="CB69" s="9" t="str">
        <f>HYPERLINK(".\links\CDD\AGAP003186-PA-CDD.txt","HLH, Helix-loop-helix DNA-binding domain")</f>
        <v>HLH, Helix-loop-helix DNA-binding domain</v>
      </c>
      <c r="CC69" s="13">
        <v>8.0000000000000005E-9</v>
      </c>
      <c r="CD69" s="2">
        <v>132.69999999999999</v>
      </c>
      <c r="CE69" s="2" t="s">
        <v>954</v>
      </c>
      <c r="CF69" s="2" t="s">
        <v>955</v>
      </c>
      <c r="CG69" s="9" t="str">
        <f>HYPERLINK(".\links\KOG\AGAP003186-PA-KOG.txt","Helix loop helix transcription factor EB")</f>
        <v>Helix loop helix transcription factor EB</v>
      </c>
      <c r="CH69" s="13">
        <v>5.0000000000000004E-19</v>
      </c>
      <c r="CI69" s="2">
        <v>47.4</v>
      </c>
      <c r="CJ69" s="2" t="s">
        <v>956</v>
      </c>
      <c r="CK69" s="2" t="s">
        <v>296</v>
      </c>
      <c r="CL69" s="9" t="str">
        <f>HYPERLINK(".\links\PFAM\AGAP003186-PA-PFAM.txt","HLH, Helix-loop-helix DNA-binding domain")</f>
        <v>HLH, Helix-loop-helix DNA-binding domain</v>
      </c>
      <c r="CM69" s="13">
        <v>2.0000000000000001E-9</v>
      </c>
      <c r="CN69" s="2">
        <v>132.69999999999999</v>
      </c>
      <c r="CO69" s="2" t="s">
        <v>954</v>
      </c>
      <c r="CP69" s="9" t="str">
        <f>HYPERLINK(".\links\SMART\AGAP003186-PA-SMART.txt","HLH, helix loop helix domain")</f>
        <v>HLH, helix loop helix domain</v>
      </c>
      <c r="CQ69" s="13">
        <v>5.9999999999999995E-8</v>
      </c>
      <c r="CR69" s="2">
        <v>130.19999999999999</v>
      </c>
      <c r="CS69" s="2" t="s">
        <v>957</v>
      </c>
      <c r="CT69" s="2" t="s">
        <v>952</v>
      </c>
      <c r="CU69" s="2" t="s">
        <v>952</v>
      </c>
      <c r="CV69" s="2" t="s">
        <v>952</v>
      </c>
      <c r="CW69" s="2" t="str">
        <f>HYPERLINK(".\links\pep\AGAP003186-PA-pep.txt","AGAP003186-PA")</f>
        <v>AGAP003186-PA</v>
      </c>
      <c r="CX69" s="2" t="s">
        <v>88</v>
      </c>
      <c r="CY69" s="2">
        <v>251</v>
      </c>
      <c r="CZ69" s="2" t="s">
        <v>106</v>
      </c>
      <c r="DA69" s="2" t="s">
        <v>958</v>
      </c>
      <c r="DB69" s="2">
        <v>0</v>
      </c>
      <c r="DC69" s="2">
        <v>1</v>
      </c>
      <c r="DD69" s="2" t="str">
        <f>HYPERLINK("https://www.kegg.jp/kegg-bin/search_pathway_text?map=aga&amp;keyword=AGAP003186&amp;mode=1&amp;viewImage=true","AGAP003186")</f>
        <v>AGAP003186</v>
      </c>
      <c r="DE69" s="2" t="s">
        <v>948</v>
      </c>
      <c r="DF69" s="2" t="s">
        <v>949</v>
      </c>
      <c r="DG69" s="2" t="s">
        <v>87</v>
      </c>
      <c r="DH69" s="2" t="str">
        <f>HYPERLINK("https://vectorbase.org/vectorbase/app/record/gene/AGAP003186","AGAP003186-RA")</f>
        <v>AGAP003186-RA</v>
      </c>
      <c r="DI69" s="2" t="s">
        <v>250</v>
      </c>
      <c r="DJ69" s="2">
        <v>756</v>
      </c>
      <c r="DK69" s="2" t="str">
        <f>HYPERLINK(".\links\netoglyc\AGAP003186-PA-netoglyc.txt","3")</f>
        <v>3</v>
      </c>
      <c r="DL69" s="2">
        <v>13.9</v>
      </c>
      <c r="DM69" s="2">
        <v>4</v>
      </c>
      <c r="DN69" s="2">
        <v>2.8</v>
      </c>
      <c r="DO69" s="2" t="s">
        <v>97</v>
      </c>
      <c r="DP69" s="2" t="s">
        <v>959</v>
      </c>
      <c r="DQ69" s="2" t="str">
        <f>HYPERLINK(".\links\Sigp\AGAP003186-PA-SigP.txt","CYT")</f>
        <v>CYT</v>
      </c>
      <c r="DR69" s="2" t="s">
        <v>94</v>
      </c>
      <c r="DS69" s="2">
        <v>28.451000000000001</v>
      </c>
      <c r="DT69" s="2">
        <v>5.24</v>
      </c>
      <c r="DU69" s="2" t="s">
        <v>94</v>
      </c>
      <c r="DV69" s="2" t="s">
        <v>94</v>
      </c>
      <c r="DW69" s="2" t="s">
        <v>463</v>
      </c>
      <c r="DX69" s="2">
        <v>251</v>
      </c>
      <c r="DY69" s="8">
        <v>0</v>
      </c>
      <c r="DZ69" s="2" t="s">
        <v>94</v>
      </c>
      <c r="EA69" s="2" t="s">
        <v>94</v>
      </c>
      <c r="EB69" s="2" t="s">
        <v>94</v>
      </c>
      <c r="EC69" s="2" t="str">
        <f>HYPERLINK(".\links\gpi\AGAP003186-PA-gpi.txt","N")</f>
        <v>N</v>
      </c>
      <c r="ED69" s="2">
        <v>0.36</v>
      </c>
      <c r="EF69" s="2">
        <v>5</v>
      </c>
      <c r="EG69" s="2" t="s">
        <v>94</v>
      </c>
      <c r="EH69" s="2" t="s">
        <v>94</v>
      </c>
      <c r="EI69" s="2">
        <v>13.9442231075697</v>
      </c>
      <c r="EJ69" s="2">
        <v>2.78884462151394</v>
      </c>
      <c r="EK69" s="2">
        <v>3.9840637450199199</v>
      </c>
      <c r="EL69" s="2">
        <v>6.7729083665338603</v>
      </c>
      <c r="EM69" s="2" t="s">
        <v>94</v>
      </c>
      <c r="EN69" s="2">
        <v>1</v>
      </c>
      <c r="EO69" s="2">
        <v>1</v>
      </c>
      <c r="EP69" s="2" t="s">
        <v>94</v>
      </c>
      <c r="EQ69" s="2" t="s">
        <v>94</v>
      </c>
      <c r="ER69" s="2" t="s">
        <v>94</v>
      </c>
      <c r="ES69" s="2" t="s">
        <v>94</v>
      </c>
      <c r="ET69" s="2" t="str">
        <f>HYPERLINK(".\links\REFSEQ-INVERTEBRATE\AGAP003186-PA-REFSEQ-INVERTEBRATE.txt","AGAP003186-PA")</f>
        <v>AGAP003186-PA</v>
      </c>
      <c r="EU69" s="2" t="str">
        <f>HYPERLINK("http://www.ncbi.nlm.nih.gov/sutils/blink.cgi?pid=XP_562960.3","0.0")</f>
        <v>0.0</v>
      </c>
      <c r="EV69" s="2" t="str">
        <f>HYPERLINK("http://www.ncbi.nlm.nih.gov/protein/XP_562960.3","XP_562960.3")</f>
        <v>XP_562960.3</v>
      </c>
      <c r="EW69" s="2">
        <v>100</v>
      </c>
      <c r="EX69" s="2">
        <v>100</v>
      </c>
      <c r="EY69" s="2">
        <v>100</v>
      </c>
      <c r="EZ69" s="2" t="s">
        <v>98</v>
      </c>
    </row>
    <row r="70" spans="1:156" x14ac:dyDescent="0.25">
      <c r="A70" s="2" t="s">
        <v>960</v>
      </c>
      <c r="B70" s="2">
        <v>0.935680100690227</v>
      </c>
      <c r="C70" s="2">
        <v>1.9127921317851102</v>
      </c>
      <c r="D70" s="2">
        <v>7.21708368672288</v>
      </c>
      <c r="E70" s="2">
        <v>16.5475646667456</v>
      </c>
      <c r="F70" s="2">
        <v>4.7444878318079903E-5</v>
      </c>
      <c r="G70" s="2">
        <v>4.0789655841280102E-3</v>
      </c>
      <c r="H70" s="2" t="s">
        <v>961</v>
      </c>
      <c r="I70" s="2" t="s">
        <v>94</v>
      </c>
      <c r="J70" s="2" t="str">
        <f>HYPERLINK("https://vectorbase.org/vectorbase/app/record/gene/AGAP029487","AGAP029487-RA")</f>
        <v>AGAP029487-RA</v>
      </c>
      <c r="K70" s="2" t="str">
        <f>HYPERLINK(".\links\pep\AGAP029487-PA-pep.txt","AGAP029487-PA")</f>
        <v>AGAP029487-PA</v>
      </c>
      <c r="L70" s="8" t="s">
        <v>88</v>
      </c>
      <c r="M70" s="2">
        <v>1494</v>
      </c>
      <c r="N70" s="2">
        <v>0</v>
      </c>
      <c r="O70" s="2">
        <v>7</v>
      </c>
      <c r="P70" s="2" t="s">
        <v>962</v>
      </c>
      <c r="Q70" s="9" t="s">
        <v>963</v>
      </c>
      <c r="R70" s="2" t="s">
        <v>318</v>
      </c>
      <c r="S70" s="2" t="str">
        <f>HYPERLINK(".\links\KOG\AGAP029487-PA-KOG.txt","KOG")</f>
        <v>KOG</v>
      </c>
      <c r="T70" s="2">
        <v>3.0000000000000003E-42</v>
      </c>
      <c r="U70" s="2">
        <v>40.1</v>
      </c>
      <c r="V70" s="2" t="s">
        <v>964</v>
      </c>
      <c r="W70" s="10" t="s">
        <v>965</v>
      </c>
      <c r="X70" s="2" t="s">
        <v>318</v>
      </c>
      <c r="Y70" s="2" t="str">
        <f>HYPERLINK(".\links\KOG\AGAP029487-PA-KOG.txt","KOG")</f>
        <v>KOG</v>
      </c>
      <c r="Z70" s="13">
        <v>9.0000000000000002E-35</v>
      </c>
      <c r="AA70" s="2">
        <v>55</v>
      </c>
      <c r="AB70" s="11" t="str">
        <f>HYPERLINK(".\links\pep\AGAP029487-PA-sulf.txt","1")</f>
        <v>1</v>
      </c>
      <c r="AC70" s="11" t="str">
        <f>HYPERLINK(".\links\Sigp\AGAP029487-PA-SigP.txt","CYT")</f>
        <v>CYT</v>
      </c>
      <c r="AD70" s="2" t="s">
        <v>94</v>
      </c>
      <c r="AE70" s="2">
        <v>161.71700000000001</v>
      </c>
      <c r="AF70" s="2">
        <v>5.67</v>
      </c>
      <c r="AG70" s="2" t="s">
        <v>94</v>
      </c>
      <c r="AH70" s="2" t="s">
        <v>94</v>
      </c>
      <c r="AI70" s="2" t="s">
        <v>463</v>
      </c>
      <c r="AJ70" s="11">
        <v>0</v>
      </c>
      <c r="AK70" s="2" t="s">
        <v>94</v>
      </c>
      <c r="AL70" s="2" t="s">
        <v>94</v>
      </c>
      <c r="AM70" s="2" t="s">
        <v>94</v>
      </c>
      <c r="AN70" s="9" t="str">
        <f>HYPERLINK(".\links\gpi\AGAP029487-PA-gpi.txt","N")</f>
        <v>N</v>
      </c>
      <c r="AO70" s="12" t="str">
        <f>HYPERLINK(".\links\netoglyc\AGAP029487-PA-netoglyc.txt","10")</f>
        <v>10</v>
      </c>
      <c r="AP70" s="11">
        <v>16.100000000000001</v>
      </c>
      <c r="AQ70" s="2">
        <v>8.6</v>
      </c>
      <c r="AR70" s="2">
        <v>5.4</v>
      </c>
      <c r="AS70" s="2" t="s">
        <v>97</v>
      </c>
      <c r="AT70" s="9" t="str">
        <f>HYPERLINK(".\links\NR-LIGHT\AGAP029487-PA-NR-LIGHT.txt","AGAP002927-PA")</f>
        <v>AGAP002927-PA</v>
      </c>
      <c r="AU70" s="2" t="str">
        <f>HYPERLINK("http://www.ncbi.nlm.nih.gov/sutils/blink.cgi?pid=XP_311976.5","0.0")</f>
        <v>0.0</v>
      </c>
      <c r="AV70" s="2" t="str">
        <f>HYPERLINK("http://www.ncbi.nlm.nih.gov/protein/XP_311976.5","XP_311976.5")</f>
        <v>XP_311976.5</v>
      </c>
      <c r="AW70" s="2">
        <v>100</v>
      </c>
      <c r="AX70" s="2">
        <v>100</v>
      </c>
      <c r="AY70" s="2">
        <v>100</v>
      </c>
      <c r="AZ70" s="2" t="s">
        <v>98</v>
      </c>
      <c r="BA70" s="9" t="str">
        <f>HYPERLINK(".\links\REFSEQ-INVERTEBRATE\AGAP029487-PA-REFSEQ-INVERTEBRATE.txt","AGAP002927-PA")</f>
        <v>AGAP002927-PA</v>
      </c>
      <c r="BB70" s="2" t="str">
        <f>HYPERLINK("http://www.ncbi.nlm.nih.gov/sutils/blink.cgi?pid=XP_311976.5","0.0")</f>
        <v>0.0</v>
      </c>
      <c r="BC70" s="2" t="str">
        <f>HYPERLINK("http://www.ncbi.nlm.nih.gov/protein/XP_311976.5","XP_311976.5")</f>
        <v>XP_311976.5</v>
      </c>
      <c r="BD70" s="2">
        <v>100</v>
      </c>
      <c r="BE70" s="2">
        <v>100</v>
      </c>
      <c r="BF70" s="2">
        <v>100</v>
      </c>
      <c r="BG70" s="2" t="s">
        <v>98</v>
      </c>
      <c r="BH70" s="9" t="str">
        <f>HYPERLINK(".\links\REFSEQ-PROTOZOA\AGAP029487-PA-REFSEQ-PROTOZOA.txt","cGMP phosphodiesterase")</f>
        <v>cGMP phosphodiesterase</v>
      </c>
      <c r="BI70" s="2" t="str">
        <f>HYPERLINK("http://www.ncbi.nlm.nih.gov/sutils/blink.cgi?pid=XP_013760318.1","2E-067")</f>
        <v>2E-067</v>
      </c>
      <c r="BJ70" s="2" t="str">
        <f>HYPERLINK("http://www.ncbi.nlm.nih.gov/protein/XP_013760318.1","XP_013760318.1")</f>
        <v>XP_013760318.1</v>
      </c>
      <c r="BK70" s="2">
        <v>44</v>
      </c>
      <c r="BL70" s="2">
        <v>62</v>
      </c>
      <c r="BM70" s="2">
        <v>64</v>
      </c>
      <c r="BN70" s="2" t="s">
        <v>256</v>
      </c>
      <c r="BO70" s="9" t="str">
        <f>HYPERLINK(".\links\SWISSP\AGAP029487-PA-SWISSP.txt","High affinity cGMP-specific 3',5'-cyclic phosphodiesterase 9A")</f>
        <v>High affinity cGMP-specific 3',5'-cyclic phosphodiesterase 9A</v>
      </c>
      <c r="BP70" s="2" t="str">
        <f>HYPERLINK("http://www.uniprot.org/uniprot/Q9I7S6","0.0")</f>
        <v>0.0</v>
      </c>
      <c r="BQ70" s="2" t="str">
        <f>HYPERLINK("http://www.uniprot.org/uniprot/Q9I7S6#expression","Q9I7S6")</f>
        <v>Q9I7S6</v>
      </c>
      <c r="BR70" s="2">
        <v>44</v>
      </c>
      <c r="BS70" s="2">
        <v>54</v>
      </c>
      <c r="BT70" s="2">
        <v>82</v>
      </c>
      <c r="BU70" s="2" t="s">
        <v>100</v>
      </c>
      <c r="BV70" s="9" t="str">
        <f>HYPERLINK(".\links\FLYBASE\AGAP029487-PA-FLYBASE.txt","FBpp0288910")</f>
        <v>FBpp0288910</v>
      </c>
      <c r="BW70" s="2" t="str">
        <f>HYPERLINK("http://flybase.org/reports/FBgn0259171#alliance_summary_container","0.0")</f>
        <v>0.0</v>
      </c>
      <c r="BX70" s="2">
        <v>1526</v>
      </c>
      <c r="BY70" s="2">
        <v>79</v>
      </c>
      <c r="BZ70" s="2">
        <v>89</v>
      </c>
      <c r="CA70" s="2">
        <v>26</v>
      </c>
      <c r="CB70" s="9" t="str">
        <f>HYPERLINK(".\links\CDD\AGAP029487-PA-CDD.txt","PDEase_I, 3'5'-cyclic nucleotide phosphodiesterase")</f>
        <v>PDEase_I, 3'5'-cyclic nucleotide phosphodiesterase</v>
      </c>
      <c r="CC70" s="13">
        <v>1.9999999999999999E-94</v>
      </c>
      <c r="CD70" s="2">
        <v>100</v>
      </c>
      <c r="CE70" s="2" t="s">
        <v>456</v>
      </c>
      <c r="CF70" s="2" t="s">
        <v>966</v>
      </c>
      <c r="CG70" s="9" t="str">
        <f>HYPERLINK(".\links\KOG\AGAP029487-PA-KOG.txt","Cyclic nucleotide phosphodiesterase")</f>
        <v>Cyclic nucleotide phosphodiesterase</v>
      </c>
      <c r="CH70" s="13">
        <v>9.9999999999999999E-93</v>
      </c>
      <c r="CI70" s="2">
        <v>48.7</v>
      </c>
      <c r="CJ70" s="2" t="s">
        <v>325</v>
      </c>
      <c r="CK70" s="2" t="s">
        <v>326</v>
      </c>
      <c r="CL70" s="9" t="str">
        <f>HYPERLINK(".\links\PFAM\AGAP029487-PA-PFAM.txt","PDEase_I, 3'5'-cyclic nucleotide phosphodiesterase")</f>
        <v>PDEase_I, 3'5'-cyclic nucleotide phosphodiesterase</v>
      </c>
      <c r="CM70" s="13">
        <v>4.9999999999999998E-95</v>
      </c>
      <c r="CN70" s="2">
        <v>100</v>
      </c>
      <c r="CO70" s="2" t="s">
        <v>456</v>
      </c>
      <c r="CP70" s="9" t="str">
        <f>HYPERLINK(".\links\SMART\AGAP029487-PA-SMART.txt","HDc, Metal dependent phosphohydrolases with conserved 'HD' motif")</f>
        <v>HDc, Metal dependent phosphohydrolases with conserved 'HD' motif</v>
      </c>
      <c r="CQ70" s="13">
        <v>6.0000000000000003E-12</v>
      </c>
      <c r="CR70" s="2">
        <v>133.1</v>
      </c>
      <c r="CS70" s="2" t="s">
        <v>967</v>
      </c>
      <c r="CT70" s="2" t="s">
        <v>964</v>
      </c>
      <c r="CU70" s="2" t="s">
        <v>964</v>
      </c>
      <c r="CV70" s="2" t="s">
        <v>964</v>
      </c>
      <c r="CW70" s="2" t="str">
        <f>HYPERLINK(".\links\pep\AGAP029487-PA-pep.txt","AGAP029487-PA")</f>
        <v>AGAP029487-PA</v>
      </c>
      <c r="CX70" s="2" t="s">
        <v>88</v>
      </c>
      <c r="CY70" s="2">
        <v>1494</v>
      </c>
      <c r="CZ70" s="2" t="s">
        <v>106</v>
      </c>
      <c r="DA70" s="2">
        <v>0</v>
      </c>
      <c r="DB70" s="2">
        <v>7</v>
      </c>
      <c r="DD70" s="2" t="str">
        <f>HYPERLINK("https://www.kegg.jp/kegg-bin/search_pathway_text?map=aga&amp;keyword=AGAP029487&amp;mode=1&amp;viewImage=true","AGAP029487")</f>
        <v>AGAP029487</v>
      </c>
      <c r="DE70" s="2" t="s">
        <v>960</v>
      </c>
      <c r="DF70" s="2" t="s">
        <v>961</v>
      </c>
      <c r="DG70" s="2" t="s">
        <v>94</v>
      </c>
      <c r="DH70" s="2" t="str">
        <f>HYPERLINK("https://vectorbase.org/vectorbase/app/record/gene/AGAP029487","AGAP029487-RA")</f>
        <v>AGAP029487-RA</v>
      </c>
      <c r="DI70" s="2" t="s">
        <v>250</v>
      </c>
      <c r="DJ70" s="2">
        <v>11133</v>
      </c>
      <c r="DK70" s="2" t="str">
        <f>HYPERLINK(".\links\netoglyc\AGAP029487-PA-netoglyc.txt","10")</f>
        <v>10</v>
      </c>
      <c r="DL70" s="2">
        <v>16.100000000000001</v>
      </c>
      <c r="DM70" s="2">
        <v>8.6</v>
      </c>
      <c r="DN70" s="2">
        <v>5.4</v>
      </c>
      <c r="DO70" s="2" t="s">
        <v>97</v>
      </c>
      <c r="DP70" s="2" t="s">
        <v>968</v>
      </c>
      <c r="DQ70" s="2" t="str">
        <f>HYPERLINK(".\links\Sigp\AGAP029487-PA-SigP.txt","CYT")</f>
        <v>CYT</v>
      </c>
      <c r="DR70" s="2" t="s">
        <v>94</v>
      </c>
      <c r="DS70" s="2">
        <v>161.71700000000001</v>
      </c>
      <c r="DT70" s="2">
        <v>5.67</v>
      </c>
      <c r="DU70" s="2" t="s">
        <v>94</v>
      </c>
      <c r="DV70" s="2" t="s">
        <v>94</v>
      </c>
      <c r="DW70" s="2" t="s">
        <v>463</v>
      </c>
      <c r="DX70" s="2">
        <v>1494</v>
      </c>
      <c r="DY70" s="8">
        <v>0</v>
      </c>
      <c r="DZ70" s="2" t="s">
        <v>94</v>
      </c>
      <c r="EA70" s="2" t="s">
        <v>94</v>
      </c>
      <c r="EB70" s="2" t="s">
        <v>94</v>
      </c>
      <c r="EC70" s="2" t="str">
        <f>HYPERLINK(".\links\gpi\AGAP029487-PA-gpi.txt","Y-NoSP")</f>
        <v>Y-NoSP</v>
      </c>
      <c r="ED70" s="2">
        <v>0.17</v>
      </c>
      <c r="EF70" s="2">
        <v>27</v>
      </c>
      <c r="EG70" s="2" t="str">
        <f>HYPERLINK(".\links\pep\AGAP029487-PA-sulf.txt","1")</f>
        <v>1</v>
      </c>
      <c r="EH70" s="2" t="s">
        <v>94</v>
      </c>
      <c r="EI70" s="2">
        <v>16.131191432396299</v>
      </c>
      <c r="EJ70" s="2">
        <v>5.4216867469879499</v>
      </c>
      <c r="EK70" s="2">
        <v>8.6345381526104408</v>
      </c>
      <c r="EL70" s="2">
        <v>14.0562248995984</v>
      </c>
      <c r="EM70" s="2">
        <v>3</v>
      </c>
      <c r="EN70" s="2">
        <v>3</v>
      </c>
      <c r="EO70" s="2">
        <v>4</v>
      </c>
      <c r="EP70" s="2" t="s">
        <v>94</v>
      </c>
      <c r="EQ70" s="2" t="s">
        <v>94</v>
      </c>
      <c r="ER70" s="2" t="s">
        <v>94</v>
      </c>
      <c r="ES70" s="2" t="s">
        <v>94</v>
      </c>
      <c r="ET70" s="2" t="str">
        <f>HYPERLINK(".\links\REFSEQ-INVERTEBRATE\AGAP029487-PA-REFSEQ-INVERTEBRATE.txt","AGAP002927-PA")</f>
        <v>AGAP002927-PA</v>
      </c>
      <c r="EU70" s="2" t="str">
        <f>HYPERLINK("http://www.ncbi.nlm.nih.gov/sutils/blink.cgi?pid=XP_311976.5","0.0")</f>
        <v>0.0</v>
      </c>
      <c r="EV70" s="2" t="str">
        <f>HYPERLINK("http://www.ncbi.nlm.nih.gov/protein/XP_311976.5","XP_311976.5")</f>
        <v>XP_311976.5</v>
      </c>
      <c r="EW70" s="2">
        <v>100</v>
      </c>
      <c r="EX70" s="2">
        <v>100</v>
      </c>
      <c r="EY70" s="2">
        <v>100</v>
      </c>
      <c r="EZ70" s="2" t="s">
        <v>98</v>
      </c>
    </row>
    <row r="71" spans="1:156" x14ac:dyDescent="0.25">
      <c r="A71" s="2" t="s">
        <v>969</v>
      </c>
      <c r="B71" s="2">
        <v>0.93136383245683796</v>
      </c>
      <c r="C71" s="2">
        <v>1.9070779748664701</v>
      </c>
      <c r="D71" s="2">
        <v>4.4512665251744599</v>
      </c>
      <c r="E71" s="2">
        <v>28.0550144936389</v>
      </c>
      <c r="F71" s="2">
        <v>1.17915177727197E-7</v>
      </c>
      <c r="G71" s="2">
        <v>4.6463493156920898E-5</v>
      </c>
      <c r="H71" s="2" t="s">
        <v>167</v>
      </c>
      <c r="I71" s="2" t="s">
        <v>87</v>
      </c>
      <c r="J71" s="2" t="str">
        <f>HYPERLINK("https://vectorbase.org/vectorbase/app/record/gene/AGAP013226","AGAP013226-RA")</f>
        <v>AGAP013226-RA</v>
      </c>
      <c r="K71" s="2" t="str">
        <f>HYPERLINK(".\links\pep\AGAP013226-PA-pep.txt","AGAP013226-PA")</f>
        <v>AGAP013226-PA</v>
      </c>
      <c r="L71" s="8" t="s">
        <v>88</v>
      </c>
      <c r="M71" s="2">
        <v>1519</v>
      </c>
      <c r="N71" s="2">
        <v>0</v>
      </c>
      <c r="O71" s="2">
        <v>4</v>
      </c>
      <c r="P71" s="2" t="s">
        <v>94</v>
      </c>
      <c r="Q71" s="9" t="s">
        <v>970</v>
      </c>
      <c r="R71" s="2" t="s">
        <v>318</v>
      </c>
      <c r="S71" s="2" t="str">
        <f>HYPERLINK(".\links\PFAM\AGAP013226-PA-PFAM.txt","PFAM")</f>
        <v>PFAM</v>
      </c>
      <c r="T71" s="2">
        <v>3E-32</v>
      </c>
      <c r="U71" s="2">
        <v>100</v>
      </c>
      <c r="V71" s="2" t="s">
        <v>971</v>
      </c>
      <c r="W71" s="10" t="s">
        <v>972</v>
      </c>
      <c r="X71" s="2" t="s">
        <v>318</v>
      </c>
      <c r="Y71" s="2" t="str">
        <f>HYPERLINK(".\links\UNIPROTKB\AGAP013226-PA-UNIPROTKB.txt","UNIPROTKB")</f>
        <v>UNIPROTKB</v>
      </c>
      <c r="Z71" s="13">
        <v>1.9999999999999999E-29</v>
      </c>
      <c r="AA71" s="2">
        <v>34.5</v>
      </c>
      <c r="AB71" s="11" t="str">
        <f>HYPERLINK(".\links\pep\AGAP013226-PA-sulf.txt","5")</f>
        <v>5</v>
      </c>
      <c r="AC71" s="11" t="str">
        <f>HYPERLINK(".\links\Sigp\AGAP013226-PA-SigP.txt","CYT")</f>
        <v>CYT</v>
      </c>
      <c r="AD71" s="2" t="s">
        <v>94</v>
      </c>
      <c r="AE71" s="2">
        <v>161.102</v>
      </c>
      <c r="AF71" s="2">
        <v>6.92</v>
      </c>
      <c r="AG71" s="2" t="s">
        <v>94</v>
      </c>
      <c r="AH71" s="2" t="s">
        <v>94</v>
      </c>
      <c r="AI71" s="2" t="s">
        <v>973</v>
      </c>
      <c r="AJ71" s="11">
        <v>0</v>
      </c>
      <c r="AK71" s="2" t="s">
        <v>94</v>
      </c>
      <c r="AL71" s="2" t="s">
        <v>94</v>
      </c>
      <c r="AM71" s="2" t="s">
        <v>94</v>
      </c>
      <c r="AN71" s="11" t="str">
        <f>HYPERLINK(".\links\gpi\AGAP013226-PA-gpi.txt","N")</f>
        <v>N</v>
      </c>
      <c r="AO71" s="12" t="str">
        <f>HYPERLINK(".\links\netoglyc\AGAP013226-PA-netoglyc.txt","28")</f>
        <v>28</v>
      </c>
      <c r="AP71" s="11">
        <v>16.100000000000001</v>
      </c>
      <c r="AQ71" s="2">
        <v>9.9</v>
      </c>
      <c r="AR71" s="2">
        <v>7.8</v>
      </c>
      <c r="AS71" s="2">
        <v>0.4</v>
      </c>
      <c r="AT71" s="9" t="str">
        <f>HYPERLINK(".\links\NR-LIGHT\AGAP013226-PA-NR-LIGHT.txt","AGAP013226-PA")</f>
        <v>AGAP013226-PA</v>
      </c>
      <c r="AU71" s="2" t="str">
        <f>HYPERLINK("http://www.ncbi.nlm.nih.gov/sutils/blink.cgi?pid=XP_003436182.1","0.0")</f>
        <v>0.0</v>
      </c>
      <c r="AV71" s="2" t="str">
        <f>HYPERLINK("http://www.ncbi.nlm.nih.gov/protein/XP_003436182.1","XP_003436182.1")</f>
        <v>XP_003436182.1</v>
      </c>
      <c r="AW71" s="2">
        <v>100</v>
      </c>
      <c r="AX71" s="2">
        <v>100</v>
      </c>
      <c r="AY71" s="2">
        <v>100</v>
      </c>
      <c r="AZ71" s="2" t="s">
        <v>98</v>
      </c>
      <c r="BA71" s="9" t="str">
        <f>HYPERLINK(".\links\REFSEQ-INVERTEBRATE\AGAP013226-PA-REFSEQ-INVERTEBRATE.txt","AGAP013226-PA")</f>
        <v>AGAP013226-PA</v>
      </c>
      <c r="BB71" s="2" t="str">
        <f>HYPERLINK("http://www.ncbi.nlm.nih.gov/sutils/blink.cgi?pid=XP_003436182.1","0.0")</f>
        <v>0.0</v>
      </c>
      <c r="BC71" s="2" t="str">
        <f>HYPERLINK("http://www.ncbi.nlm.nih.gov/protein/XP_003436182.1","XP_003436182.1")</f>
        <v>XP_003436182.1</v>
      </c>
      <c r="BD71" s="2">
        <v>100</v>
      </c>
      <c r="BE71" s="2">
        <v>100</v>
      </c>
      <c r="BF71" s="2">
        <v>100</v>
      </c>
      <c r="BG71" s="2" t="s">
        <v>98</v>
      </c>
      <c r="BH71" s="9" t="str">
        <f>HYPERLINK(".\links\REFSEQ-PROTOZOA\AGAP013226-PA-REFSEQ-PROTOZOA.txt","cyclin H, putative")</f>
        <v>cyclin H, putative</v>
      </c>
      <c r="BI71" s="2" t="str">
        <f>HYPERLINK("http://www.ncbi.nlm.nih.gov/sutils/blink.cgi?pid=XP_013353615.1","5E-037")</f>
        <v>5E-037</v>
      </c>
      <c r="BJ71" s="2" t="str">
        <f>HYPERLINK("http://www.ncbi.nlm.nih.gov/protein/XP_013353615.1","XP_013353615.1")</f>
        <v>XP_013353615.1</v>
      </c>
      <c r="BK71" s="2">
        <v>27</v>
      </c>
      <c r="BL71" s="2">
        <v>41</v>
      </c>
      <c r="BM71" s="2">
        <v>54</v>
      </c>
      <c r="BN71" s="2" t="s">
        <v>383</v>
      </c>
      <c r="BO71" s="9" t="str">
        <f>HYPERLINK(".\links\SWISSP\AGAP013226-PA-SWISSP.txt","DNA-binding protein RFX7")</f>
        <v>DNA-binding protein RFX7</v>
      </c>
      <c r="BP71" s="2" t="str">
        <f>HYPERLINK("http://www.uniprot.org/uniprot/Q2KHR2","7E-028")</f>
        <v>7E-028</v>
      </c>
      <c r="BQ71" s="2" t="str">
        <f>HYPERLINK("http://www.uniprot.org/uniprot/Q2KHR2#expression","Q2KHR2")</f>
        <v>Q2KHR2</v>
      </c>
      <c r="BR71" s="2">
        <v>32</v>
      </c>
      <c r="BS71" s="2">
        <v>49</v>
      </c>
      <c r="BT71" s="2">
        <v>18</v>
      </c>
      <c r="BU71" s="2" t="s">
        <v>196</v>
      </c>
      <c r="BV71" s="9" t="str">
        <f>HYPERLINK(".\links\FLYBASE\AGAP013226-PA-FLYBASE.txt","FBpp0303225")</f>
        <v>FBpp0303225</v>
      </c>
      <c r="BW71" s="2" t="str">
        <f>HYPERLINK("http://flybase.org/reports/FBgn0037445#alliance_summary_container","3E-78")</f>
        <v>3E-78</v>
      </c>
      <c r="BX71" s="2">
        <v>1329</v>
      </c>
      <c r="BY71" s="2">
        <v>44</v>
      </c>
      <c r="BZ71" s="2">
        <v>58</v>
      </c>
      <c r="CA71" s="2">
        <v>29</v>
      </c>
      <c r="CB71" s="9" t="str">
        <f>HYPERLINK(".\links\CDD\AGAP013226-PA-CDD.txt","RFX_DNA_binding, RFX DNA-binding domain")</f>
        <v>RFX_DNA_binding, RFX DNA-binding domain</v>
      </c>
      <c r="CC71" s="13">
        <v>2.0000000000000002E-31</v>
      </c>
      <c r="CD71" s="2">
        <v>100</v>
      </c>
      <c r="CE71" s="2" t="s">
        <v>974</v>
      </c>
      <c r="CF71" s="2" t="s">
        <v>975</v>
      </c>
      <c r="CG71" s="9" t="str">
        <f>HYPERLINK(".\links\KOG\AGAP013226-PA-KOG.txt","RFX family transcription factor")</f>
        <v>RFX family transcription factor</v>
      </c>
      <c r="CH71" s="13">
        <v>5.0000000000000004E-18</v>
      </c>
      <c r="CI71" s="2">
        <v>53.9</v>
      </c>
      <c r="CJ71" s="2" t="s">
        <v>976</v>
      </c>
      <c r="CK71" s="2" t="s">
        <v>296</v>
      </c>
      <c r="CL71" s="9" t="str">
        <f>HYPERLINK(".\links\PFAM\AGAP013226-PA-PFAM.txt","RFX_DNA_binding, RFX DNA-binding domain")</f>
        <v>RFX_DNA_binding, RFX DNA-binding domain</v>
      </c>
      <c r="CM71" s="13">
        <v>3E-32</v>
      </c>
      <c r="CN71" s="2">
        <v>100</v>
      </c>
      <c r="CO71" s="2" t="s">
        <v>974</v>
      </c>
      <c r="CP71" s="9" t="str">
        <f>HYPERLINK(".\links\SMART\AGAP013226-PA-SMART.txt","Amelogenin, Amelogenins, cell adhesion proteins, play a role in the biomineralisation of teeth")</f>
        <v>Amelogenin, Amelogenins, cell adhesion proteins, play a role in the biomineralisation of teeth</v>
      </c>
      <c r="CQ71" s="13">
        <v>1E-4</v>
      </c>
      <c r="CR71" s="2">
        <v>60.6</v>
      </c>
      <c r="CS71" s="2" t="s">
        <v>421</v>
      </c>
      <c r="CT71" s="2" t="s">
        <v>971</v>
      </c>
      <c r="CU71" s="2" t="s">
        <v>971</v>
      </c>
      <c r="CV71" s="2" t="s">
        <v>971</v>
      </c>
      <c r="CW71" s="2" t="str">
        <f>HYPERLINK(".\links\pep\AGAP013226-PA-pep.txt","AGAP013226-PA")</f>
        <v>AGAP013226-PA</v>
      </c>
      <c r="CX71" s="2" t="s">
        <v>88</v>
      </c>
      <c r="CY71" s="2">
        <v>1519</v>
      </c>
      <c r="CZ71" s="2" t="s">
        <v>106</v>
      </c>
      <c r="DA71" s="2" t="s">
        <v>977</v>
      </c>
      <c r="DB71" s="2">
        <v>0</v>
      </c>
      <c r="DC71" s="2">
        <v>4</v>
      </c>
      <c r="DD71" s="2" t="str">
        <f>HYPERLINK("https://www.kegg.jp/kegg-bin/search_pathway_text?map=aga&amp;keyword=AGAP013226&amp;mode=1&amp;viewImage=true","AGAP013226")</f>
        <v>AGAP013226</v>
      </c>
      <c r="DE71" s="2" t="s">
        <v>969</v>
      </c>
      <c r="DF71" s="2" t="s">
        <v>167</v>
      </c>
      <c r="DG71" s="2" t="s">
        <v>87</v>
      </c>
      <c r="DH71" s="2" t="str">
        <f>HYPERLINK("https://vectorbase.org/vectorbase/app/record/gene/AGAP013226","AGAP013226-RA")</f>
        <v>AGAP013226-RA</v>
      </c>
      <c r="DI71" s="2" t="s">
        <v>250</v>
      </c>
      <c r="DJ71" s="2">
        <v>12100</v>
      </c>
      <c r="DK71" s="2" t="str">
        <f>HYPERLINK(".\links\netoglyc\AGAP013226-PA-netoglyc.txt","28")</f>
        <v>28</v>
      </c>
      <c r="DL71" s="2">
        <v>16.100000000000001</v>
      </c>
      <c r="DM71" s="2">
        <v>9.9</v>
      </c>
      <c r="DN71" s="2">
        <v>7.8</v>
      </c>
      <c r="DO71" s="2">
        <v>0.4</v>
      </c>
      <c r="DP71" s="2" t="s">
        <v>94</v>
      </c>
      <c r="DQ71" s="2" t="str">
        <f>HYPERLINK(".\links\Sigp\AGAP013226-PA-SigP.txt","CYT")</f>
        <v>CYT</v>
      </c>
      <c r="DR71" s="2" t="s">
        <v>94</v>
      </c>
      <c r="DS71" s="2">
        <v>161.102</v>
      </c>
      <c r="DT71" s="2">
        <v>6.92</v>
      </c>
      <c r="DU71" s="2" t="s">
        <v>94</v>
      </c>
      <c r="DV71" s="2" t="s">
        <v>94</v>
      </c>
      <c r="DW71" s="2" t="s">
        <v>973</v>
      </c>
      <c r="DX71" s="2">
        <v>1519</v>
      </c>
      <c r="DY71" s="8">
        <v>0</v>
      </c>
      <c r="DZ71" s="2" t="s">
        <v>94</v>
      </c>
      <c r="EA71" s="2" t="s">
        <v>94</v>
      </c>
      <c r="EB71" s="2" t="s">
        <v>94</v>
      </c>
      <c r="EC71" s="2" t="str">
        <f>HYPERLINK(".\links\gpi\AGAP013226-PA-gpi.txt","Y-NoSP")</f>
        <v>Y-NoSP</v>
      </c>
      <c r="ED71" s="2">
        <v>0.34</v>
      </c>
      <c r="EF71" s="2">
        <v>18</v>
      </c>
      <c r="EG71" s="2" t="str">
        <f>HYPERLINK(".\links\pep\AGAP013226-PA-sulf.txt","5")</f>
        <v>5</v>
      </c>
      <c r="EH71" s="2" t="s">
        <v>94</v>
      </c>
      <c r="EI71" s="2">
        <v>16.063199473337701</v>
      </c>
      <c r="EJ71" s="2">
        <v>7.8341013824884804</v>
      </c>
      <c r="EK71" s="2">
        <v>9.8749177090190905</v>
      </c>
      <c r="EL71" s="2">
        <v>17.709019091507599</v>
      </c>
      <c r="EM71" s="2">
        <v>2</v>
      </c>
      <c r="EN71" s="2">
        <v>1</v>
      </c>
      <c r="EO71" s="2">
        <v>6</v>
      </c>
      <c r="EP71" s="2" t="s">
        <v>94</v>
      </c>
      <c r="EQ71" s="2" t="s">
        <v>94</v>
      </c>
      <c r="ER71" s="2" t="s">
        <v>94</v>
      </c>
      <c r="ES71" s="2" t="s">
        <v>94</v>
      </c>
      <c r="ET71" s="2" t="str">
        <f>HYPERLINK(".\links\REFSEQ-INVERTEBRATE\AGAP013226-PA-REFSEQ-INVERTEBRATE.txt","AGAP013226-PA")</f>
        <v>AGAP013226-PA</v>
      </c>
      <c r="EU71" s="2" t="str">
        <f>HYPERLINK("http://www.ncbi.nlm.nih.gov/sutils/blink.cgi?pid=XP_003436182.1","0.0")</f>
        <v>0.0</v>
      </c>
      <c r="EV71" s="2" t="str">
        <f>HYPERLINK("http://www.ncbi.nlm.nih.gov/protein/XP_003436182.1","XP_003436182.1")</f>
        <v>XP_003436182.1</v>
      </c>
      <c r="EW71" s="2">
        <v>100</v>
      </c>
      <c r="EX71" s="2">
        <v>100</v>
      </c>
      <c r="EY71" s="2">
        <v>100</v>
      </c>
      <c r="EZ71" s="2" t="s">
        <v>98</v>
      </c>
    </row>
    <row r="72" spans="1:156" x14ac:dyDescent="0.25">
      <c r="A72" s="2" t="s">
        <v>978</v>
      </c>
      <c r="B72" s="2">
        <v>0.92920168404819303</v>
      </c>
      <c r="C72" s="2">
        <v>1.9042220023966323</v>
      </c>
      <c r="D72" s="2">
        <v>4.2756085543415203</v>
      </c>
      <c r="E72" s="2">
        <v>13.482752968964199</v>
      </c>
      <c r="F72" s="2">
        <v>2.4076629257290699E-4</v>
      </c>
      <c r="G72" s="2">
        <v>1.36342923883951E-2</v>
      </c>
      <c r="H72" s="2" t="s">
        <v>167</v>
      </c>
      <c r="I72" s="2" t="s">
        <v>87</v>
      </c>
      <c r="J72" s="2" t="str">
        <f>HYPERLINK("https://vectorbase.org/vectorbase/app/record/gene/AGAP029123","AGAP029123-RA")</f>
        <v>AGAP029123-RA</v>
      </c>
      <c r="K72" s="2" t="str">
        <f>HYPERLINK(".\links\pep\AGAP029123-PA-pep.txt","AGAP029123-PA")</f>
        <v>AGAP029123-PA</v>
      </c>
      <c r="L72" s="8" t="s">
        <v>88</v>
      </c>
      <c r="M72" s="2">
        <v>1103</v>
      </c>
      <c r="N72" s="2">
        <v>0</v>
      </c>
      <c r="O72" s="2">
        <v>2</v>
      </c>
      <c r="P72" s="2" t="s">
        <v>94</v>
      </c>
      <c r="Q72" s="9" t="s">
        <v>979</v>
      </c>
      <c r="R72" s="2" t="s">
        <v>238</v>
      </c>
      <c r="S72" s="2" t="str">
        <f>HYPERLINK(".\links\NR-LIGHT\AGAP029123-PA-NR-LIGHT.txt","NR-LIGHT")</f>
        <v>NR-LIGHT</v>
      </c>
      <c r="T72" s="2">
        <v>0</v>
      </c>
      <c r="U72" s="2">
        <v>105</v>
      </c>
      <c r="V72" s="2" t="s">
        <v>980</v>
      </c>
      <c r="W72" s="10" t="s">
        <v>981</v>
      </c>
      <c r="X72" s="2" t="s">
        <v>651</v>
      </c>
      <c r="Y72" s="2" t="str">
        <f>HYPERLINK(".\links\EC\AGAP029123-PA-EC.txt","EC")</f>
        <v>EC</v>
      </c>
      <c r="Z72" s="13">
        <v>3.0000000000000001E-12</v>
      </c>
      <c r="AA72" s="2">
        <v>61</v>
      </c>
      <c r="AB72" s="11" t="s">
        <v>94</v>
      </c>
      <c r="AC72" s="11" t="str">
        <f>HYPERLINK(".\links\Sigp\AGAP029123-PA-SigP.txt","CYT")</f>
        <v>CYT</v>
      </c>
      <c r="AD72" s="2" t="s">
        <v>94</v>
      </c>
      <c r="AE72" s="2">
        <v>120.95099999999999</v>
      </c>
      <c r="AF72" s="2">
        <v>4.58</v>
      </c>
      <c r="AG72" s="2" t="s">
        <v>94</v>
      </c>
      <c r="AH72" s="2" t="s">
        <v>94</v>
      </c>
      <c r="AI72" s="2" t="s">
        <v>982</v>
      </c>
      <c r="AJ72" s="11" t="str">
        <f>HYPERLINK(".\links\tmhmm\AGAP029123-PA-tmhmm.txt","1")</f>
        <v>1</v>
      </c>
      <c r="AK72" s="2">
        <v>2</v>
      </c>
      <c r="AL72" s="2">
        <v>97.8</v>
      </c>
      <c r="AM72" s="2">
        <v>0.2</v>
      </c>
      <c r="AN72" s="9" t="str">
        <f>HYPERLINK(".\links\gpi\AGAP029123-PA-gpi.txt","N")</f>
        <v>N</v>
      </c>
      <c r="AO72" s="12" t="str">
        <f>HYPERLINK(".\links\netoglyc\AGAP029123-PA-netoglyc.txt","9")</f>
        <v>9</v>
      </c>
      <c r="AP72" s="11">
        <v>14.6</v>
      </c>
      <c r="AQ72" s="2">
        <v>4.7</v>
      </c>
      <c r="AR72" s="2">
        <v>4.4000000000000004</v>
      </c>
      <c r="AS72" s="2" t="s">
        <v>97</v>
      </c>
      <c r="AT72" s="9" t="str">
        <f>HYPERLINK(".\links\NR-LIGHT\AGAP029123-PA-NR-LIGHT.txt","tropomyosin")</f>
        <v>tropomyosin</v>
      </c>
      <c r="AU72" s="2" t="str">
        <f>HYPERLINK("http://www.ncbi.nlm.nih.gov/sutils/blink.cgi?pid=ETN58326.1","0.0")</f>
        <v>0.0</v>
      </c>
      <c r="AV72" s="2" t="str">
        <f>HYPERLINK("http://www.ncbi.nlm.nih.gov/protein/ETN58326.1","ETN58326.1")</f>
        <v>ETN58326.1</v>
      </c>
      <c r="AW72" s="2">
        <v>62</v>
      </c>
      <c r="AX72" s="2">
        <v>71</v>
      </c>
      <c r="AY72" s="2">
        <v>106</v>
      </c>
      <c r="AZ72" s="2" t="s">
        <v>291</v>
      </c>
      <c r="BA72" s="9" t="str">
        <f>HYPERLINK(".\links\REFSEQ-INVERTEBRATE\AGAP029123-PA-REFSEQ-INVERTEBRATE.txt","sarcolemmal membrane-associated protein")</f>
        <v>sarcolemmal membrane-associated protein</v>
      </c>
      <c r="BB72" s="2" t="str">
        <f>HYPERLINK("http://www.ncbi.nlm.nih.gov/sutils/blink.cgi?pid=XP_021709611.1","0.0")</f>
        <v>0.0</v>
      </c>
      <c r="BC72" s="2" t="str">
        <f>HYPERLINK("http://www.ncbi.nlm.nih.gov/protein/XP_021709611.1","XP_021709611.1")</f>
        <v>XP_021709611.1</v>
      </c>
      <c r="BD72" s="2">
        <v>48</v>
      </c>
      <c r="BE72" s="2">
        <v>62</v>
      </c>
      <c r="BF72" s="2">
        <v>115</v>
      </c>
      <c r="BG72" s="2" t="s">
        <v>175</v>
      </c>
      <c r="BH72" s="9" t="str">
        <f>HYPERLINK(".\links\REFSEQ-PROTOZOA\AGAP029123-PA-REFSEQ-PROTOZOA.txt","hypothetical protein CAOG_07007")</f>
        <v>hypothetical protein CAOG_07007</v>
      </c>
      <c r="BI72" s="2" t="str">
        <f>HYPERLINK("http://www.ncbi.nlm.nih.gov/sutils/blink.cgi?pid=XP_004343731.2","8E-023")</f>
        <v>8E-023</v>
      </c>
      <c r="BJ72" s="2" t="str">
        <f>HYPERLINK("http://www.ncbi.nlm.nih.gov/protein/XP_004343731.2","XP_004343731.2")</f>
        <v>XP_004343731.2</v>
      </c>
      <c r="BK72" s="2">
        <v>52</v>
      </c>
      <c r="BL72" s="2">
        <v>67</v>
      </c>
      <c r="BM72" s="2">
        <v>13</v>
      </c>
      <c r="BN72" s="2" t="s">
        <v>227</v>
      </c>
      <c r="BO72" s="9" t="str">
        <f>HYPERLINK(".\links\SWISSP\AGAP029123-PA-SWISSP.txt","Sarcolemmal membrane-associated protein")</f>
        <v>Sarcolemmal membrane-associated protein</v>
      </c>
      <c r="BP72" s="2" t="str">
        <f>HYPERLINK("http://www.uniprot.org/uniprot/Q28623","2E-082")</f>
        <v>2E-082</v>
      </c>
      <c r="BQ72" s="2" t="str">
        <f>HYPERLINK("http://www.uniprot.org/uniprot/Q28623#expression","Q28623")</f>
        <v>Q28623</v>
      </c>
      <c r="BR72" s="2">
        <v>40</v>
      </c>
      <c r="BS72" s="2">
        <v>60</v>
      </c>
      <c r="BT72" s="2">
        <v>60</v>
      </c>
      <c r="BU72" s="2" t="s">
        <v>983</v>
      </c>
      <c r="BV72" s="9" t="str">
        <f>HYPERLINK(".\links\FLYBASE\AGAP029123-PA-FLYBASE.txt","FBpp0291582")</f>
        <v>FBpp0291582</v>
      </c>
      <c r="BW72" s="2" t="str">
        <f>HYPERLINK("http://flybase.org/reports/FBgn0040011#alliance_summary_container","8E-85")</f>
        <v>8E-85</v>
      </c>
      <c r="BX72" s="2">
        <v>897</v>
      </c>
      <c r="BY72" s="2">
        <v>44</v>
      </c>
      <c r="BZ72" s="2">
        <v>65</v>
      </c>
      <c r="CA72" s="2">
        <v>40</v>
      </c>
      <c r="CB72" s="9" t="str">
        <f>HYPERLINK(".\links\CDD\AGAP029123-PA-CDD.txt","FHA, Forkhead associated domain (FHA)")</f>
        <v>FHA, Forkhead associated domain (FHA)</v>
      </c>
      <c r="CC72" s="13">
        <v>1.0000000000000001E-15</v>
      </c>
      <c r="CD72" s="2">
        <v>94.1</v>
      </c>
      <c r="CE72" s="2" t="s">
        <v>984</v>
      </c>
      <c r="CF72" s="2" t="s">
        <v>985</v>
      </c>
      <c r="CG72" s="9" t="str">
        <f>HYPERLINK(".\links\KOG\AGAP029123-PA-KOG.txt","Myosin class II heavy chain")</f>
        <v>Myosin class II heavy chain</v>
      </c>
      <c r="CH72" s="13">
        <v>9.9999999999999995E-7</v>
      </c>
      <c r="CI72" s="2">
        <v>13.9</v>
      </c>
      <c r="CJ72" s="2" t="s">
        <v>986</v>
      </c>
      <c r="CK72" s="2" t="s">
        <v>246</v>
      </c>
      <c r="CL72" s="9" t="str">
        <f>HYPERLINK(".\links\PFAM\AGAP029123-PA-PFAM.txt","FHA, FHA domain")</f>
        <v>FHA, FHA domain</v>
      </c>
      <c r="CM72" s="13">
        <v>8.9999999999999995E-14</v>
      </c>
      <c r="CN72" s="2">
        <v>115.2</v>
      </c>
      <c r="CO72" s="2" t="s">
        <v>987</v>
      </c>
      <c r="CP72" s="9" t="str">
        <f>HYPERLINK(".\links\SMART\AGAP029123-PA-SMART.txt","FHA, Forkhead associated domain")</f>
        <v>FHA, Forkhead associated domain</v>
      </c>
      <c r="CQ72" s="13">
        <v>2.0000000000000001E-10</v>
      </c>
      <c r="CR72" s="2">
        <v>107.7</v>
      </c>
      <c r="CS72" s="2" t="s">
        <v>988</v>
      </c>
      <c r="CT72" s="2" t="s">
        <v>980</v>
      </c>
      <c r="CU72" s="2" t="s">
        <v>980</v>
      </c>
      <c r="CV72" s="2" t="s">
        <v>980</v>
      </c>
      <c r="CW72" s="2" t="str">
        <f>HYPERLINK(".\links\pep\AGAP029123-PA-pep.txt","AGAP029123-PA")</f>
        <v>AGAP029123-PA</v>
      </c>
      <c r="CX72" s="2" t="s">
        <v>88</v>
      </c>
      <c r="CY72" s="2">
        <v>1100</v>
      </c>
      <c r="CZ72" s="2" t="s">
        <v>106</v>
      </c>
      <c r="DA72" s="2" t="s">
        <v>989</v>
      </c>
      <c r="DB72" s="2">
        <v>0</v>
      </c>
      <c r="DC72" s="2">
        <v>2</v>
      </c>
      <c r="DD72" s="2" t="str">
        <f>HYPERLINK("https://www.kegg.jp/kegg-bin/search_pathway_text?map=aga&amp;keyword=AGAP029123&amp;mode=1&amp;viewImage=true","AGAP029123")</f>
        <v>AGAP029123</v>
      </c>
      <c r="DE72" s="2" t="s">
        <v>978</v>
      </c>
      <c r="DF72" s="2" t="s">
        <v>167</v>
      </c>
      <c r="DG72" s="2" t="s">
        <v>87</v>
      </c>
      <c r="DH72" s="2" t="str">
        <f>HYPERLINK("https://vectorbase.org/vectorbase/app/record/gene/AGAP029123","AGAP029123-RA")</f>
        <v>AGAP029123-RA</v>
      </c>
      <c r="DI72" s="2" t="s">
        <v>250</v>
      </c>
      <c r="DJ72" s="2">
        <v>6794</v>
      </c>
      <c r="DK72" s="2" t="str">
        <f>HYPERLINK(".\links\netoglyc\AGAP029123-PA-netoglyc.txt","9")</f>
        <v>9</v>
      </c>
      <c r="DL72" s="2">
        <v>14.5</v>
      </c>
      <c r="DM72" s="2">
        <v>4.7</v>
      </c>
      <c r="DN72" s="2">
        <v>4.4000000000000004</v>
      </c>
      <c r="DO72" s="2" t="s">
        <v>97</v>
      </c>
      <c r="DP72" s="2" t="s">
        <v>94</v>
      </c>
      <c r="DQ72" s="2" t="str">
        <f>HYPERLINK(".\links\Sigp\AGAP029123-PA-SigP.txt","CYT")</f>
        <v>CYT</v>
      </c>
      <c r="DR72" s="2" t="s">
        <v>94</v>
      </c>
      <c r="DS72" s="2">
        <v>120.652</v>
      </c>
      <c r="DT72" s="2">
        <v>4.58</v>
      </c>
      <c r="DU72" s="2" t="s">
        <v>94</v>
      </c>
      <c r="DV72" s="2" t="s">
        <v>94</v>
      </c>
      <c r="DW72" s="2" t="s">
        <v>990</v>
      </c>
      <c r="DX72" s="2">
        <v>1100</v>
      </c>
      <c r="DY72" s="8" t="str">
        <f>HYPERLINK(".\links\tmhmm\AGAP029123-PA-tmhmm.txt","1")</f>
        <v>1</v>
      </c>
      <c r="DZ72" s="2">
        <v>2</v>
      </c>
      <c r="EA72" s="2">
        <v>97.8</v>
      </c>
      <c r="EB72" s="2">
        <v>0.2</v>
      </c>
      <c r="EC72" s="2" t="str">
        <f>HYPERLINK(".\links\gpi\AGAP029123-PA-gpi.txt","N")</f>
        <v>N</v>
      </c>
      <c r="ED72" s="2">
        <v>0.24</v>
      </c>
      <c r="EF72" s="2">
        <v>18</v>
      </c>
      <c r="EG72" s="2" t="s">
        <v>94</v>
      </c>
      <c r="EH72" s="2" t="s">
        <v>94</v>
      </c>
      <c r="EI72" s="2">
        <v>14.545454545454501</v>
      </c>
      <c r="EJ72" s="2">
        <v>4.3636363636363598</v>
      </c>
      <c r="EK72" s="2">
        <v>4.7272727272727302</v>
      </c>
      <c r="EL72" s="2">
        <v>9.0909090909090899</v>
      </c>
      <c r="EM72" s="2">
        <v>1</v>
      </c>
      <c r="EN72" s="2" t="s">
        <v>94</v>
      </c>
      <c r="EO72" s="2">
        <v>2</v>
      </c>
      <c r="EP72" s="2" t="s">
        <v>94</v>
      </c>
      <c r="EQ72" s="2" t="s">
        <v>94</v>
      </c>
      <c r="ER72" s="2" t="s">
        <v>94</v>
      </c>
      <c r="ES72" s="2" t="s">
        <v>94</v>
      </c>
      <c r="ET72" s="2" t="str">
        <f>HYPERLINK(".\links\REFSEQ-INVERTEBRATE\AGAP029123-PA-REFSEQ-INVERTEBRATE.txt","sarcolemmal membrane-associated protein-like")</f>
        <v>sarcolemmal membrane-associated protein-like</v>
      </c>
      <c r="EU72" s="2" t="str">
        <f>HYPERLINK("http://www.ncbi.nlm.nih.gov/sutils/blink.cgi?pid=XP_035898238.1","0.0")</f>
        <v>0.0</v>
      </c>
      <c r="EV72" s="2" t="str">
        <f>HYPERLINK("http://www.ncbi.nlm.nih.gov/protein/XP_035898238.1","XP_035898238.1")</f>
        <v>XP_035898238.1</v>
      </c>
      <c r="EW72" s="2">
        <v>75</v>
      </c>
      <c r="EX72" s="2">
        <v>81</v>
      </c>
      <c r="EY72" s="2">
        <v>105</v>
      </c>
      <c r="EZ72" s="2" t="s">
        <v>184</v>
      </c>
    </row>
    <row r="73" spans="1:156" x14ac:dyDescent="0.25">
      <c r="A73" s="2" t="s">
        <v>991</v>
      </c>
      <c r="B73" s="2">
        <v>0.92577158818208405</v>
      </c>
      <c r="C73" s="2">
        <v>1.8996999757257245</v>
      </c>
      <c r="D73" s="2">
        <v>2.8354168211256301</v>
      </c>
      <c r="E73" s="2">
        <v>21.412193923080199</v>
      </c>
      <c r="F73" s="2">
        <v>3.7040793206137899E-6</v>
      </c>
      <c r="G73" s="2">
        <v>5.6499158282329997E-4</v>
      </c>
      <c r="H73" s="2" t="s">
        <v>167</v>
      </c>
      <c r="I73" s="2" t="s">
        <v>87</v>
      </c>
      <c r="J73" s="2" t="str">
        <f>HYPERLINK("https://vectorbase.org/vectorbase/app/record/gene/AGAP009303","AGAP009303-RA")</f>
        <v>AGAP009303-RA</v>
      </c>
      <c r="K73" s="2" t="str">
        <f>HYPERLINK(".\links\pep\AGAP009303-PA-pep.txt","AGAP009303-PA")</f>
        <v>AGAP009303-PA</v>
      </c>
      <c r="L73" s="8" t="s">
        <v>88</v>
      </c>
      <c r="M73" s="2">
        <v>2339</v>
      </c>
      <c r="N73" s="2">
        <v>0</v>
      </c>
      <c r="O73" s="2">
        <v>1</v>
      </c>
      <c r="P73" s="2" t="s">
        <v>94</v>
      </c>
      <c r="Q73" s="9" t="s">
        <v>992</v>
      </c>
      <c r="R73" s="2" t="s">
        <v>318</v>
      </c>
      <c r="S73" s="2" t="str">
        <f>HYPERLINK(".\links\REFSEQ-INVERTEBRATE\AGAP009303-PA-REFSEQ-INVERTEBRATE.txt","REFSEQ-INVERTEBRATE")</f>
        <v>REFSEQ-INVERTEBRATE</v>
      </c>
      <c r="T73" s="2">
        <v>0</v>
      </c>
      <c r="U73" s="2">
        <v>118</v>
      </c>
      <c r="V73" s="2" t="s">
        <v>993</v>
      </c>
      <c r="W73" s="10" t="s">
        <v>994</v>
      </c>
      <c r="X73" s="2" t="s">
        <v>318</v>
      </c>
      <c r="Y73" s="2" t="str">
        <f>HYPERLINK(".\links\REFSEQVERTEBRATE95\AGAP009303-PA-REFSEQVERTEBRATE95.txt","REFSEQVERTEBRATE95")</f>
        <v>REFSEQVERTEBRATE95</v>
      </c>
      <c r="Z73" s="2">
        <v>0</v>
      </c>
      <c r="AA73" s="2">
        <v>58</v>
      </c>
      <c r="AB73" s="11" t="str">
        <f>HYPERLINK(".\links\pep\AGAP009303-PA-sulf.txt","2")</f>
        <v>2</v>
      </c>
      <c r="AC73" s="11" t="str">
        <f>HYPERLINK(".\links\Sigp\AGAP009303-PA-SigP.txt","CYT")</f>
        <v>CYT</v>
      </c>
      <c r="AD73" s="2" t="s">
        <v>94</v>
      </c>
      <c r="AE73" s="2">
        <v>252.54499999999999</v>
      </c>
      <c r="AF73" s="2">
        <v>6.42</v>
      </c>
      <c r="AG73" s="2" t="s">
        <v>94</v>
      </c>
      <c r="AH73" s="2" t="s">
        <v>94</v>
      </c>
      <c r="AI73" s="2" t="s">
        <v>995</v>
      </c>
      <c r="AJ73" s="11">
        <v>0</v>
      </c>
      <c r="AK73" s="2" t="s">
        <v>94</v>
      </c>
      <c r="AL73" s="2" t="s">
        <v>94</v>
      </c>
      <c r="AM73" s="2" t="s">
        <v>94</v>
      </c>
      <c r="AN73" s="11" t="str">
        <f>HYPERLINK(".\links\gpi\AGAP009303-PA-gpi.txt","N")</f>
        <v>N</v>
      </c>
      <c r="AO73" s="12" t="str">
        <f>HYPERLINK(".\links\netoglyc\AGAP009303-PA-netoglyc.txt","14")</f>
        <v>14</v>
      </c>
      <c r="AP73" s="11">
        <v>17.8</v>
      </c>
      <c r="AQ73" s="2">
        <v>8.1999999999999993</v>
      </c>
      <c r="AR73" s="2">
        <v>6.7</v>
      </c>
      <c r="AS73" s="2" t="s">
        <v>97</v>
      </c>
      <c r="AT73" s="9" t="str">
        <f>HYPERLINK(".\links\NR-LIGHT\AGAP009303-PA-NR-LIGHT.txt","hypothetical protein ZHAS_00013850")</f>
        <v>hypothetical protein ZHAS_00013850</v>
      </c>
      <c r="AU73" s="2" t="str">
        <f>HYPERLINK("http://www.ncbi.nlm.nih.gov/sutils/blink.cgi?pid=KFB45888.1","0.0")</f>
        <v>0.0</v>
      </c>
      <c r="AV73" s="2" t="str">
        <f>HYPERLINK("http://www.ncbi.nlm.nih.gov/protein/KFB45888.1","KFB45888.1")</f>
        <v>KFB45888.1</v>
      </c>
      <c r="AW73" s="2">
        <v>69</v>
      </c>
      <c r="AX73" s="2">
        <v>75</v>
      </c>
      <c r="AY73" s="2">
        <v>109</v>
      </c>
      <c r="AZ73" s="2" t="s">
        <v>174</v>
      </c>
      <c r="BA73" s="9" t="str">
        <f>HYPERLINK(".\links\REFSEQ-INVERTEBRATE\AGAP009303-PA-REFSEQ-INVERTEBRATE.txt","GTPase-activating protein CdGAPr-like")</f>
        <v>GTPase-activating protein CdGAPr-like</v>
      </c>
      <c r="BB73" s="2" t="str">
        <f>HYPERLINK("http://www.ncbi.nlm.nih.gov/sutils/blink.cgi?pid=XP_019551572.1","0.0")</f>
        <v>0.0</v>
      </c>
      <c r="BC73" s="2" t="str">
        <f>HYPERLINK("http://www.ncbi.nlm.nih.gov/protein/XP_019551572.1","XP_019551572.1")</f>
        <v>XP_019551572.1</v>
      </c>
      <c r="BD73" s="2">
        <v>58</v>
      </c>
      <c r="BE73" s="2">
        <v>65</v>
      </c>
      <c r="BF73" s="2">
        <v>118</v>
      </c>
      <c r="BG73" s="2" t="s">
        <v>495</v>
      </c>
      <c r="BH73" s="9" t="str">
        <f>HYPERLINK(".\links\REFSEQ-PROTOZOA\AGAP009303-PA-REFSEQ-PROTOZOA.txt","rho GTPase-activating protein")</f>
        <v>rho GTPase-activating protein</v>
      </c>
      <c r="BI73" s="2" t="str">
        <f>HYPERLINK("http://www.ncbi.nlm.nih.gov/sutils/blink.cgi?pid=XP_004346915.1","4E-041")</f>
        <v>4E-041</v>
      </c>
      <c r="BJ73" s="2" t="str">
        <f>HYPERLINK("http://www.ncbi.nlm.nih.gov/protein/XP_004346915.1","XP_004346915.1")</f>
        <v>XP_004346915.1</v>
      </c>
      <c r="BK73" s="2">
        <v>36</v>
      </c>
      <c r="BL73" s="2">
        <v>57</v>
      </c>
      <c r="BM73" s="2">
        <v>15</v>
      </c>
      <c r="BN73" s="2" t="s">
        <v>227</v>
      </c>
      <c r="BO73" s="9" t="str">
        <f>HYPERLINK(".\links\SWISSP\AGAP009303-PA-SWISSP.txt","GTPase-activating protein CdGAPr")</f>
        <v>GTPase-activating protein CdGAPr</v>
      </c>
      <c r="BP73" s="2" t="str">
        <f>HYPERLINK("http://www.uniprot.org/uniprot/Q9VIS1","0.0")</f>
        <v>0.0</v>
      </c>
      <c r="BQ73" s="2" t="str">
        <f>HYPERLINK("http://www.uniprot.org/uniprot/Q9VIS1#expression","Q9VIS1")</f>
        <v>Q9VIS1</v>
      </c>
      <c r="BR73" s="2">
        <v>55</v>
      </c>
      <c r="BS73" s="2">
        <v>65</v>
      </c>
      <c r="BT73" s="2">
        <v>60</v>
      </c>
      <c r="BU73" s="2" t="s">
        <v>100</v>
      </c>
      <c r="BV73" s="9" t="str">
        <f>HYPERLINK(".\links\FLYBASE\AGAP009303-PA-FLYBASE.txt","FBpp0304488")</f>
        <v>FBpp0304488</v>
      </c>
      <c r="BW73" s="2" t="str">
        <f>HYPERLINK("http://flybase.org/reports/FBgn0032821#alliance_summary_container","0.0")</f>
        <v>0.0</v>
      </c>
      <c r="BX73" s="2">
        <v>1843</v>
      </c>
      <c r="BY73" s="2">
        <v>57</v>
      </c>
      <c r="BZ73" s="2">
        <v>67</v>
      </c>
      <c r="CA73" s="2">
        <v>56</v>
      </c>
      <c r="CB73" s="9" t="str">
        <f>HYPERLINK(".\links\CDD\AGAP009303-PA-CDD.txt","RhoGAP_CdGAP, RhoGAP_CdGAP: RhoGAP (GTPase-activator protein")</f>
        <v>RhoGAP_CdGAP, RhoGAP_CdGAP: RhoGAP (GTPase-activator protein</v>
      </c>
      <c r="CC73" s="13">
        <v>2E-87</v>
      </c>
      <c r="CD73" s="2">
        <v>101.5</v>
      </c>
      <c r="CE73" s="2" t="s">
        <v>996</v>
      </c>
      <c r="CF73" s="2" t="s">
        <v>997</v>
      </c>
      <c r="CG73" s="9" t="str">
        <f>HYPERLINK(".\links\KOG\AGAP009303-PA-KOG.txt","Predicted Rho GTPase-activating protein")</f>
        <v>Predicted Rho GTPase-activating protein</v>
      </c>
      <c r="CH73" s="13">
        <v>1.9999999999999999E-29</v>
      </c>
      <c r="CI73" s="2">
        <v>38.9</v>
      </c>
      <c r="CJ73" s="2" t="s">
        <v>998</v>
      </c>
      <c r="CK73" s="2" t="s">
        <v>326</v>
      </c>
      <c r="CL73" s="9" t="str">
        <f>HYPERLINK(".\links\PFAM\AGAP009303-PA-PFAM.txt","RhoGAP, RhoGAP domain")</f>
        <v>RhoGAP, RhoGAP domain</v>
      </c>
      <c r="CM73" s="13">
        <v>1.9999999999999999E-47</v>
      </c>
      <c r="CN73" s="2">
        <v>102.6</v>
      </c>
      <c r="CO73" s="2" t="s">
        <v>999</v>
      </c>
      <c r="CP73" s="9" t="str">
        <f>HYPERLINK(".\links\SMART\AGAP009303-PA-SMART.txt","RhoGAP, GTPase-activator protein for Rho-like GTPases")</f>
        <v>RhoGAP, GTPase-activator protein for Rho-like GTPases</v>
      </c>
      <c r="CQ73" s="13">
        <v>2.9999999999999999E-48</v>
      </c>
      <c r="CR73" s="2">
        <v>104.6</v>
      </c>
      <c r="CS73" s="2" t="s">
        <v>343</v>
      </c>
      <c r="CT73" s="2" t="s">
        <v>993</v>
      </c>
      <c r="CU73" s="2" t="s">
        <v>993</v>
      </c>
      <c r="CV73" s="2" t="s">
        <v>993</v>
      </c>
      <c r="CW73" s="2" t="str">
        <f>HYPERLINK(".\links\pep\AGAP009303-PA-pep.txt","AGAP009303-PA")</f>
        <v>AGAP009303-PA</v>
      </c>
      <c r="CX73" s="2" t="s">
        <v>88</v>
      </c>
      <c r="CY73" s="2">
        <v>2339</v>
      </c>
      <c r="CZ73" s="2" t="s">
        <v>106</v>
      </c>
      <c r="DA73" s="2" t="s">
        <v>1000</v>
      </c>
      <c r="DB73" s="2">
        <v>0</v>
      </c>
      <c r="DC73" s="2">
        <v>1</v>
      </c>
      <c r="DD73" s="2" t="str">
        <f>HYPERLINK("https://www.kegg.jp/kegg-bin/search_pathway_text?map=aga&amp;keyword=AGAP009303&amp;mode=1&amp;viewImage=true","AGAP009303")</f>
        <v>AGAP009303</v>
      </c>
      <c r="DE73" s="2" t="s">
        <v>1001</v>
      </c>
      <c r="DF73" s="2" t="s">
        <v>167</v>
      </c>
      <c r="DG73" s="2" t="s">
        <v>87</v>
      </c>
      <c r="DH73" s="2" t="str">
        <f>HYPERLINK("https://vectorbase.org/vectorbase/app/record/gene/AGAP009303","AGAP009303-RA")</f>
        <v>AGAP009303-RA</v>
      </c>
      <c r="DI73" s="2" t="s">
        <v>143</v>
      </c>
      <c r="DJ73" s="2">
        <v>10759</v>
      </c>
      <c r="DK73" s="2" t="str">
        <f>HYPERLINK(".\links\netoglyc\AGAP009303-PA-netoglyc.txt","14")</f>
        <v>14</v>
      </c>
      <c r="DL73" s="2">
        <v>17.8</v>
      </c>
      <c r="DM73" s="2">
        <v>8.1999999999999993</v>
      </c>
      <c r="DN73" s="2">
        <v>6.7</v>
      </c>
      <c r="DO73" s="2" t="s">
        <v>97</v>
      </c>
      <c r="DP73" s="2" t="s">
        <v>1002</v>
      </c>
      <c r="DQ73" s="2" t="str">
        <f>HYPERLINK(".\links\Sigp\AGAP009303-PA-SigP.txt","CYT")</f>
        <v>CYT</v>
      </c>
      <c r="DR73" s="2" t="s">
        <v>94</v>
      </c>
      <c r="DS73" s="2">
        <v>252.54499999999999</v>
      </c>
      <c r="DT73" s="2">
        <v>6.42</v>
      </c>
      <c r="DU73" s="2" t="s">
        <v>94</v>
      </c>
      <c r="DV73" s="2" t="s">
        <v>94</v>
      </c>
      <c r="DW73" s="2" t="s">
        <v>995</v>
      </c>
      <c r="DX73" s="2">
        <v>2339</v>
      </c>
      <c r="DY73" s="8">
        <v>0</v>
      </c>
      <c r="DZ73" s="2" t="s">
        <v>94</v>
      </c>
      <c r="EA73" s="2" t="s">
        <v>94</v>
      </c>
      <c r="EB73" s="2" t="s">
        <v>94</v>
      </c>
      <c r="EC73" s="2" t="str">
        <f>HYPERLINK(".\links\gpi\AGAP009303-PA-gpi.txt","Y-NoSP")</f>
        <v>Y-NoSP</v>
      </c>
      <c r="ED73" s="2">
        <v>0.16</v>
      </c>
      <c r="EF73" s="2">
        <v>34</v>
      </c>
      <c r="EG73" s="2" t="str">
        <f>HYPERLINK(".\links\pep\AGAP009303-PA-sulf.txt","2")</f>
        <v>2</v>
      </c>
      <c r="EH73" s="2" t="s">
        <v>94</v>
      </c>
      <c r="EI73" s="2">
        <v>17.785378366823402</v>
      </c>
      <c r="EJ73" s="2">
        <v>6.6695168875587898</v>
      </c>
      <c r="EK73" s="2">
        <v>8.1658828559213301</v>
      </c>
      <c r="EL73" s="2">
        <v>14.835399743480099</v>
      </c>
      <c r="EM73" s="2">
        <v>1</v>
      </c>
      <c r="EN73" s="2">
        <v>5</v>
      </c>
      <c r="EO73" s="2">
        <v>6</v>
      </c>
      <c r="EP73" s="2" t="s">
        <v>94</v>
      </c>
      <c r="EQ73" s="2" t="s">
        <v>94</v>
      </c>
      <c r="ER73" s="2" t="s">
        <v>94</v>
      </c>
      <c r="ES73" s="2" t="s">
        <v>94</v>
      </c>
      <c r="ET73" s="2" t="str">
        <f>HYPERLINK(".\links\REFSEQ-INVERTEBRATE\AGAP009303-PA-REFSEQ-INVERTEBRATE.txt","GTPase-activating protein CdGAPr")</f>
        <v>GTPase-activating protein CdGAPr</v>
      </c>
      <c r="EU73" s="2" t="str">
        <f>HYPERLINK("http://www.ncbi.nlm.nih.gov/sutils/blink.cgi?pid=XP_035909127.1","0.0")</f>
        <v>0.0</v>
      </c>
      <c r="EV73" s="2" t="str">
        <f>HYPERLINK("http://www.ncbi.nlm.nih.gov/protein/XP_035909127.1","XP_035909127.1")</f>
        <v>XP_035909127.1</v>
      </c>
      <c r="EW73" s="2">
        <v>83</v>
      </c>
      <c r="EX73" s="2">
        <v>87</v>
      </c>
      <c r="EY73" s="2">
        <v>102</v>
      </c>
      <c r="EZ73" s="2" t="s">
        <v>184</v>
      </c>
    </row>
    <row r="74" spans="1:156" x14ac:dyDescent="0.25">
      <c r="A74" s="2" t="s">
        <v>1003</v>
      </c>
      <c r="B74" s="2">
        <v>0.92124665266916494</v>
      </c>
      <c r="C74" s="2">
        <v>1.8937510029726414</v>
      </c>
      <c r="D74" s="2">
        <v>7.7025440468177502</v>
      </c>
      <c r="E74" s="2">
        <v>34.559682904915803</v>
      </c>
      <c r="F74" s="2">
        <v>4.13380093607716E-9</v>
      </c>
      <c r="G74" s="2">
        <v>3.00718118865244E-6</v>
      </c>
      <c r="H74" s="2" t="s">
        <v>167</v>
      </c>
      <c r="I74" s="2" t="s">
        <v>87</v>
      </c>
      <c r="J74" s="2" t="str">
        <f>HYPERLINK("https://vectorbase.org/vectorbase/app/record/gene/AGAP003638","AGAP003638-RA")</f>
        <v>AGAP003638-RA</v>
      </c>
      <c r="K74" s="2" t="str">
        <f>HYPERLINK(".\links\pep\AGAP003638-PA-pep.txt","AGAP003638-PA")</f>
        <v>AGAP003638-PA</v>
      </c>
      <c r="L74" s="8" t="s">
        <v>88</v>
      </c>
      <c r="M74" s="2">
        <v>1748</v>
      </c>
      <c r="N74" s="2">
        <v>0</v>
      </c>
      <c r="O74" s="2">
        <v>6</v>
      </c>
      <c r="P74" s="2" t="s">
        <v>94</v>
      </c>
      <c r="Q74" s="9" t="s">
        <v>1004</v>
      </c>
      <c r="R74" s="2" t="s">
        <v>253</v>
      </c>
      <c r="S74" s="2" t="str">
        <f>HYPERLINK(".\links\REFSEQ-INVERTEBRATE\AGAP003638-PA-REFSEQ-INVERTEBRATE.txt","REFSEQ-INVERTEBRATE")</f>
        <v>REFSEQ-INVERTEBRATE</v>
      </c>
      <c r="T74" s="2">
        <v>0</v>
      </c>
      <c r="U74" s="2">
        <v>100</v>
      </c>
      <c r="V74" s="2" t="s">
        <v>1005</v>
      </c>
      <c r="W74" s="10" t="s">
        <v>1006</v>
      </c>
      <c r="X74" s="2" t="s">
        <v>192</v>
      </c>
      <c r="Y74" s="2" t="str">
        <f>HYPERLINK(".\links\REFSEQ-INVERTEBRATE\AGAP003638-PA-REFSEQ-INVERTEBRATE.txt","REFSEQ-INVERTEBRATE")</f>
        <v>REFSEQ-INVERTEBRATE</v>
      </c>
      <c r="Z74" s="2">
        <v>0</v>
      </c>
      <c r="AA74" s="2">
        <v>104.3</v>
      </c>
      <c r="AB74" s="11" t="str">
        <f>HYPERLINK(".\links\pep\AGAP003638-PA-sulf.txt","1")</f>
        <v>1</v>
      </c>
      <c r="AC74" s="11" t="str">
        <f>HYPERLINK(".\links\Sigp\AGAP003638-PA-SigP.txt","CYT")</f>
        <v>CYT</v>
      </c>
      <c r="AD74" s="2" t="s">
        <v>94</v>
      </c>
      <c r="AE74" s="2">
        <v>189.01499999999999</v>
      </c>
      <c r="AF74" s="2">
        <v>7.7</v>
      </c>
      <c r="AG74" s="2" t="s">
        <v>94</v>
      </c>
      <c r="AH74" s="2" t="s">
        <v>94</v>
      </c>
      <c r="AI74" s="2" t="s">
        <v>463</v>
      </c>
      <c r="AJ74" s="11">
        <v>0</v>
      </c>
      <c r="AK74" s="2" t="s">
        <v>94</v>
      </c>
      <c r="AL74" s="2" t="s">
        <v>94</v>
      </c>
      <c r="AM74" s="2" t="s">
        <v>94</v>
      </c>
      <c r="AN74" s="11" t="str">
        <f>HYPERLINK(".\links\gpi\AGAP003638-PA-gpi.txt","N")</f>
        <v>N</v>
      </c>
      <c r="AO74" s="12" t="str">
        <f>HYPERLINK(".\links\netoglyc\AGAP003638-PA-netoglyc.txt","25")</f>
        <v>25</v>
      </c>
      <c r="AP74" s="11">
        <v>21.5</v>
      </c>
      <c r="AQ74" s="2">
        <v>5.2</v>
      </c>
      <c r="AR74" s="2">
        <v>8.4</v>
      </c>
      <c r="AS74" s="2" t="s">
        <v>97</v>
      </c>
      <c r="AT74" s="9" t="str">
        <f>HYPERLINK(".\links\NR-LIGHT\AGAP003638-PA-NR-LIGHT.txt","AGAP003638-PA")</f>
        <v>AGAP003638-PA</v>
      </c>
      <c r="AU74" s="2" t="str">
        <f>HYPERLINK("http://www.ncbi.nlm.nih.gov/sutils/blink.cgi?pid=XP_313403.3","0.0")</f>
        <v>0.0</v>
      </c>
      <c r="AV74" s="2" t="str">
        <f>HYPERLINK("http://www.ncbi.nlm.nih.gov/protein/XP_313403.3","XP_313403.3")</f>
        <v>XP_313403.3</v>
      </c>
      <c r="AW74" s="2">
        <v>100</v>
      </c>
      <c r="AX74" s="2">
        <v>100</v>
      </c>
      <c r="AY74" s="2">
        <v>100</v>
      </c>
      <c r="AZ74" s="2" t="s">
        <v>98</v>
      </c>
      <c r="BA74" s="9" t="str">
        <f>HYPERLINK(".\links\REFSEQ-INVERTEBRATE\AGAP003638-PA-REFSEQ-INVERTEBRATE.txt","AGAP003638-PA")</f>
        <v>AGAP003638-PA</v>
      </c>
      <c r="BB74" s="2" t="str">
        <f>HYPERLINK("http://www.ncbi.nlm.nih.gov/sutils/blink.cgi?pid=XP_313403.3","0.0")</f>
        <v>0.0</v>
      </c>
      <c r="BC74" s="2" t="str">
        <f>HYPERLINK("http://www.ncbi.nlm.nih.gov/protein/XP_313403.3","XP_313403.3")</f>
        <v>XP_313403.3</v>
      </c>
      <c r="BD74" s="2">
        <v>100</v>
      </c>
      <c r="BE74" s="2">
        <v>100</v>
      </c>
      <c r="BF74" s="2">
        <v>100</v>
      </c>
      <c r="BG74" s="2" t="s">
        <v>98</v>
      </c>
      <c r="BH74" s="9" t="str">
        <f>HYPERLINK(".\links\REFSEQ-PROTOZOA\AGAP003638-PA-REFSEQ-PROTOZOA.txt","proteophosphoglycan ppg4")</f>
        <v>proteophosphoglycan ppg4</v>
      </c>
      <c r="BI74" s="2" t="str">
        <f>HYPERLINK("http://www.ncbi.nlm.nih.gov/sutils/blink.cgi?pid=XP_001568166.1","2E-024")</f>
        <v>2E-024</v>
      </c>
      <c r="BJ74" s="2" t="str">
        <f>HYPERLINK("http://www.ncbi.nlm.nih.gov/protein/XP_001568166.1","XP_001568166.1")</f>
        <v>XP_001568166.1</v>
      </c>
      <c r="BK74" s="2">
        <v>16</v>
      </c>
      <c r="BL74" s="2">
        <v>33</v>
      </c>
      <c r="BM74" s="2">
        <v>37</v>
      </c>
      <c r="BN74" s="2" t="s">
        <v>653</v>
      </c>
      <c r="BO74" s="9" t="str">
        <f>HYPERLINK(".\links\SWISSP\AGAP003638-PA-SWISSP.txt","Serine-rich adhesin for platelets")</f>
        <v>Serine-rich adhesin for platelets</v>
      </c>
      <c r="BP74" s="2" t="str">
        <f>HYPERLINK("http://www.uniprot.org/uniprot/Q8VQ99","8E-018")</f>
        <v>8E-018</v>
      </c>
      <c r="BQ74" s="2" t="str">
        <f>HYPERLINK("http://www.uniprot.org/uniprot/Q8VQ99#expression","Q8VQ99")</f>
        <v>Q8VQ99</v>
      </c>
      <c r="BR74" s="2">
        <v>19</v>
      </c>
      <c r="BS74" s="2">
        <v>36</v>
      </c>
      <c r="BT74" s="2">
        <v>47</v>
      </c>
      <c r="BU74" s="2" t="s">
        <v>1007</v>
      </c>
      <c r="BV74" s="9" t="str">
        <f>HYPERLINK(".\links\FLYBASE\AGAP003638-PA-FLYBASE.txt","FBpp0298286")</f>
        <v>FBpp0298286</v>
      </c>
      <c r="BW74" s="2" t="str">
        <f>HYPERLINK("http://flybase.org/reports/FBgn0003159#alliance_summary_container","5E-41")</f>
        <v>5E-41</v>
      </c>
      <c r="BX74" s="2">
        <v>1234</v>
      </c>
      <c r="BY74" s="2">
        <v>38</v>
      </c>
      <c r="BZ74" s="2">
        <v>48</v>
      </c>
      <c r="CA74" s="2">
        <v>28</v>
      </c>
      <c r="CB74" s="9" t="str">
        <f>HYPERLINK(".\links\CDD\AGAP003638-PA-CDD.txt","PHA03247, large tegument protein UL36")</f>
        <v>PHA03247, large tegument protein UL36</v>
      </c>
      <c r="CC74" s="13">
        <v>1E-8</v>
      </c>
      <c r="CD74" s="2">
        <v>8.1</v>
      </c>
      <c r="CE74" s="2" t="s">
        <v>1008</v>
      </c>
      <c r="CF74" s="2" t="s">
        <v>1009</v>
      </c>
      <c r="CG74" s="9" t="str">
        <f>HYPERLINK(".\links\KOG\AGAP003638-PA-KOG.txt","subunit SEC31")</f>
        <v>subunit SEC31</v>
      </c>
      <c r="CH74" s="13">
        <v>1.0000000000000001E-5</v>
      </c>
      <c r="CI74" s="2">
        <v>27.4</v>
      </c>
      <c r="CJ74" s="2" t="s">
        <v>1010</v>
      </c>
      <c r="CK74" s="2" t="s">
        <v>482</v>
      </c>
      <c r="CL74" s="9" t="str">
        <f>HYPERLINK(".\links\PFAM\AGAP003638-PA-PFAM.txt","SOG2, RAM signalling pathway protein")</f>
        <v>SOG2, RAM signalling pathway protein</v>
      </c>
      <c r="CM74" s="13">
        <v>8.0000000000000004E-4</v>
      </c>
      <c r="CN74" s="2">
        <v>28.7</v>
      </c>
      <c r="CO74" s="2" t="s">
        <v>1011</v>
      </c>
      <c r="CP74" s="9" t="str">
        <f>HYPERLINK(".\links\SMART\AGAP003638-PA-SMART.txt","Spc7, Spc7 kinetochore protein")</f>
        <v>Spc7, Spc7 kinetochore protein</v>
      </c>
      <c r="CQ74" s="13">
        <v>0.15</v>
      </c>
      <c r="CR74" s="2">
        <v>31.1</v>
      </c>
      <c r="CS74" s="2" t="s">
        <v>1012</v>
      </c>
      <c r="CT74" s="2" t="s">
        <v>1005</v>
      </c>
      <c r="CU74" s="2" t="s">
        <v>1005</v>
      </c>
      <c r="CV74" s="2" t="s">
        <v>1005</v>
      </c>
      <c r="CW74" s="2" t="str">
        <f>HYPERLINK(".\links\pep\AGAP003638-PA-pep.txt","AGAP003638-PA")</f>
        <v>AGAP003638-PA</v>
      </c>
      <c r="CX74" s="2" t="s">
        <v>88</v>
      </c>
      <c r="CY74" s="2">
        <v>1748</v>
      </c>
      <c r="CZ74" s="2" t="s">
        <v>106</v>
      </c>
      <c r="DA74" s="2" t="s">
        <v>1013</v>
      </c>
      <c r="DB74" s="2">
        <v>0</v>
      </c>
      <c r="DC74" s="2">
        <v>6</v>
      </c>
      <c r="DD74" s="2" t="str">
        <f>HYPERLINK("https://www.kegg.jp/kegg-bin/search_pathway_text?map=aga&amp;keyword=AGAP003638&amp;mode=1&amp;viewImage=true","AGAP003638")</f>
        <v>AGAP003638</v>
      </c>
      <c r="DE74" s="2" t="s">
        <v>1003</v>
      </c>
      <c r="DF74" s="2" t="s">
        <v>167</v>
      </c>
      <c r="DG74" s="2" t="s">
        <v>87</v>
      </c>
      <c r="DH74" s="2" t="str">
        <f>HYPERLINK("https://vectorbase.org/vectorbase/app/record/gene/AGAP003638","AGAP003638-RA")</f>
        <v>AGAP003638-RA</v>
      </c>
      <c r="DI74" s="2" t="s">
        <v>108</v>
      </c>
      <c r="DJ74" s="2">
        <v>5661</v>
      </c>
      <c r="DK74" s="2" t="str">
        <f>HYPERLINK(".\links\netoglyc\AGAP003638-PA-netoglyc.txt","25")</f>
        <v>25</v>
      </c>
      <c r="DL74" s="2">
        <v>21.5</v>
      </c>
      <c r="DM74" s="2">
        <v>5.2</v>
      </c>
      <c r="DN74" s="2">
        <v>8.4</v>
      </c>
      <c r="DO74" s="2" t="s">
        <v>97</v>
      </c>
      <c r="DP74" s="2" t="s">
        <v>1014</v>
      </c>
      <c r="DQ74" s="2" t="str">
        <f>HYPERLINK(".\links\Sigp\AGAP003638-PA-SigP.txt","CYT")</f>
        <v>CYT</v>
      </c>
      <c r="DR74" s="2" t="s">
        <v>94</v>
      </c>
      <c r="DS74" s="2">
        <v>189.01499999999999</v>
      </c>
      <c r="DT74" s="2">
        <v>7.7</v>
      </c>
      <c r="DU74" s="2" t="s">
        <v>94</v>
      </c>
      <c r="DV74" s="2" t="s">
        <v>94</v>
      </c>
      <c r="DW74" s="2" t="s">
        <v>463</v>
      </c>
      <c r="DX74" s="2">
        <v>1748</v>
      </c>
      <c r="DY74" s="8">
        <v>0</v>
      </c>
      <c r="DZ74" s="2" t="s">
        <v>94</v>
      </c>
      <c r="EA74" s="2" t="s">
        <v>94</v>
      </c>
      <c r="EB74" s="2" t="s">
        <v>94</v>
      </c>
      <c r="EC74" s="2" t="str">
        <f>HYPERLINK(".\links\gpi\AGAP003638-PA-gpi.txt","N")</f>
        <v>N</v>
      </c>
      <c r="ED74" s="2">
        <v>0.27</v>
      </c>
      <c r="EF74" s="2">
        <v>4</v>
      </c>
      <c r="EG74" s="2" t="str">
        <f>HYPERLINK(".\links\pep\AGAP003638-PA-sulf.txt","1")</f>
        <v>1</v>
      </c>
      <c r="EH74" s="2" t="s">
        <v>94</v>
      </c>
      <c r="EI74" s="2">
        <v>21.453089244851299</v>
      </c>
      <c r="EJ74" s="2">
        <v>8.3524027459954198</v>
      </c>
      <c r="EK74" s="2">
        <v>5.2059496567505699</v>
      </c>
      <c r="EL74" s="2">
        <v>13.558352402745999</v>
      </c>
      <c r="EM74" s="2">
        <v>2</v>
      </c>
      <c r="EN74" s="2">
        <v>2</v>
      </c>
      <c r="EO74" s="2">
        <v>4</v>
      </c>
      <c r="EP74" s="2" t="s">
        <v>94</v>
      </c>
      <c r="EQ74" s="2" t="s">
        <v>94</v>
      </c>
      <c r="ER74" s="2" t="s">
        <v>94</v>
      </c>
      <c r="ES74" s="2" t="s">
        <v>94</v>
      </c>
      <c r="ET74" s="2" t="str">
        <f>HYPERLINK(".\links\REFSEQ-INVERTEBRATE\AGAP003638-PA-REFSEQ-INVERTEBRATE.txt","AGAP003638-PA")</f>
        <v>AGAP003638-PA</v>
      </c>
      <c r="EU74" s="2" t="str">
        <f>HYPERLINK("http://www.ncbi.nlm.nih.gov/sutils/blink.cgi?pid=XP_313403.3","0.0")</f>
        <v>0.0</v>
      </c>
      <c r="EV74" s="2" t="str">
        <f>HYPERLINK("http://www.ncbi.nlm.nih.gov/protein/XP_313403.3","XP_313403.3")</f>
        <v>XP_313403.3</v>
      </c>
      <c r="EW74" s="2">
        <v>100</v>
      </c>
      <c r="EX74" s="2">
        <v>100</v>
      </c>
      <c r="EY74" s="2">
        <v>100</v>
      </c>
      <c r="EZ74" s="2" t="s">
        <v>98</v>
      </c>
    </row>
    <row r="75" spans="1:156" x14ac:dyDescent="0.25">
      <c r="A75" s="2" t="s">
        <v>1015</v>
      </c>
      <c r="B75" s="2">
        <v>0.91452031519072896</v>
      </c>
      <c r="C75" s="2">
        <v>1.8849422390925124</v>
      </c>
      <c r="D75" s="2">
        <v>3.9048252251025199</v>
      </c>
      <c r="E75" s="2">
        <v>17.542305588245501</v>
      </c>
      <c r="F75" s="2">
        <v>2.8098552296166701E-5</v>
      </c>
      <c r="G75" s="2">
        <v>2.7394640109778198E-3</v>
      </c>
      <c r="H75" s="2" t="s">
        <v>1016</v>
      </c>
      <c r="I75" s="2" t="s">
        <v>87</v>
      </c>
      <c r="J75" s="2" t="str">
        <f>HYPERLINK("https://vectorbase.org/vectorbase/app/record/gene/AGAP003873","AGAP003873-RA")</f>
        <v>AGAP003873-RA</v>
      </c>
      <c r="K75" s="2" t="str">
        <f>HYPERLINK(".\links\pep\AGAP003873-PA-pep.txt","AGAP003873-PA")</f>
        <v>AGAP003873-PA</v>
      </c>
      <c r="L75" s="8" t="s">
        <v>88</v>
      </c>
      <c r="M75" s="2">
        <v>2125</v>
      </c>
      <c r="N75" s="2">
        <v>0</v>
      </c>
      <c r="O75" s="2">
        <v>5</v>
      </c>
      <c r="P75" s="2" t="s">
        <v>1017</v>
      </c>
      <c r="Q75" s="9" t="s">
        <v>1018</v>
      </c>
      <c r="R75" s="2" t="s">
        <v>1019</v>
      </c>
      <c r="S75" s="2" t="str">
        <f>HYPERLINK(".\links\KOG\AGAP003873-PA-KOG.txt","KOG")</f>
        <v>KOG</v>
      </c>
      <c r="T75" s="2">
        <v>5.9999999999999998E-21</v>
      </c>
      <c r="U75" s="2">
        <v>97.7</v>
      </c>
      <c r="V75" s="2" t="s">
        <v>1020</v>
      </c>
      <c r="W75" s="10" t="s">
        <v>1021</v>
      </c>
      <c r="X75" s="2" t="s">
        <v>1019</v>
      </c>
      <c r="Y75" s="2" t="str">
        <f>HYPERLINK(".\links\KOG\AGAP003873-PA-KOG.txt","KOG")</f>
        <v>KOG</v>
      </c>
      <c r="Z75" s="13">
        <v>2E-41</v>
      </c>
      <c r="AA75" s="2">
        <v>95</v>
      </c>
      <c r="AB75" s="11" t="str">
        <f>HYPERLINK(".\links\pep\AGAP003873-PA-sulf.txt","4")</f>
        <v>4</v>
      </c>
      <c r="AC75" s="11" t="str">
        <f>HYPERLINK(".\links\Sigp\AGAP003873-PA-SigP.txt","SIG")</f>
        <v>SIG</v>
      </c>
      <c r="AD75" s="2" t="s">
        <v>1022</v>
      </c>
      <c r="AE75" s="2">
        <v>230.18199999999999</v>
      </c>
      <c r="AF75" s="2">
        <v>4.67</v>
      </c>
      <c r="AG75" s="2">
        <v>226.76400000000001</v>
      </c>
      <c r="AH75" s="2">
        <v>4.6500000000000004</v>
      </c>
      <c r="AI75" s="2" t="s">
        <v>1023</v>
      </c>
      <c r="AJ75" s="11" t="str">
        <f>HYPERLINK(".\links\tmhmm\AGAP003873-PA-tmhmm.txt","2")</f>
        <v>2</v>
      </c>
      <c r="AK75" s="2">
        <v>2.1</v>
      </c>
      <c r="AL75" s="2">
        <v>95.8</v>
      </c>
      <c r="AM75" s="2">
        <v>2.2000000000000002</v>
      </c>
      <c r="AN75" s="11" t="str">
        <f>HYPERLINK(".\links\gpi\AGAP003873-PA-gpi.txt","N")</f>
        <v>N</v>
      </c>
      <c r="AO75" s="12" t="str">
        <f>HYPERLINK(".\links\netoglyc\AGAP003873-PA-netoglyc.txt","0")</f>
        <v>0</v>
      </c>
      <c r="AP75" s="11">
        <v>12.8</v>
      </c>
      <c r="AQ75" s="2">
        <v>9.9</v>
      </c>
      <c r="AR75" s="2">
        <v>5.4</v>
      </c>
      <c r="AS75" s="2">
        <v>0.1</v>
      </c>
      <c r="AT75" s="9" t="str">
        <f>HYPERLINK(".\links\NR-LIGHT\AGAP003873-PA-NR-LIGHT.txt","AGAP003873-PA")</f>
        <v>AGAP003873-PA</v>
      </c>
      <c r="AU75" s="2" t="str">
        <f>HYPERLINK("http://www.ncbi.nlm.nih.gov/sutils/blink.cgi?pid=XP_310433.5","0.0")</f>
        <v>0.0</v>
      </c>
      <c r="AV75" s="2" t="str">
        <f>HYPERLINK("http://www.ncbi.nlm.nih.gov/protein/XP_310433.5","XP_310433.5")</f>
        <v>XP_310433.5</v>
      </c>
      <c r="AW75" s="2">
        <v>99</v>
      </c>
      <c r="AX75" s="2">
        <v>100</v>
      </c>
      <c r="AY75" s="2">
        <v>99</v>
      </c>
      <c r="AZ75" s="2" t="s">
        <v>98</v>
      </c>
      <c r="BA75" s="9" t="str">
        <f>HYPERLINK(".\links\REFSEQ-INVERTEBRATE\AGAP003873-PA-REFSEQ-INVERTEBRATE.txt","AGAP003873-PA")</f>
        <v>AGAP003873-PA</v>
      </c>
      <c r="BB75" s="2" t="str">
        <f>HYPERLINK("http://www.ncbi.nlm.nih.gov/sutils/blink.cgi?pid=XP_310433.5","0.0")</f>
        <v>0.0</v>
      </c>
      <c r="BC75" s="2" t="str">
        <f>HYPERLINK("http://www.ncbi.nlm.nih.gov/protein/XP_310433.5","XP_310433.5")</f>
        <v>XP_310433.5</v>
      </c>
      <c r="BD75" s="2">
        <v>99</v>
      </c>
      <c r="BE75" s="2">
        <v>100</v>
      </c>
      <c r="BF75" s="2">
        <v>99</v>
      </c>
      <c r="BG75" s="2" t="s">
        <v>98</v>
      </c>
      <c r="BH75" s="9" t="str">
        <f>HYPERLINK(".\links\REFSEQ-PROTOZOA\AGAP003873-PA-REFSEQ-PROTOZOA.txt","hypothetical protein SARC_07472")</f>
        <v>hypothetical protein SARC_07472</v>
      </c>
      <c r="BI75" s="2" t="str">
        <f>HYPERLINK("http://www.ncbi.nlm.nih.gov/sutils/blink.cgi?pid=XP_014154061.1","1E-135")</f>
        <v>1E-135</v>
      </c>
      <c r="BJ75" s="2" t="str">
        <f>HYPERLINK("http://www.ncbi.nlm.nih.gov/protein/XP_014154061.1","XP_014154061.1")</f>
        <v>XP_014154061.1</v>
      </c>
      <c r="BK75" s="2">
        <v>33</v>
      </c>
      <c r="BL75" s="2">
        <v>44</v>
      </c>
      <c r="BM75" s="2">
        <v>77</v>
      </c>
      <c r="BN75" s="2" t="s">
        <v>368</v>
      </c>
      <c r="BO75" s="9" t="str">
        <f>HYPERLINK(".\links\SWISSP\AGAP003873-PA-SWISSP.txt","Protein crumbs")</f>
        <v>Protein crumbs</v>
      </c>
      <c r="BP75" s="2" t="str">
        <f>HYPERLINK("http://www.uniprot.org/uniprot/P10040","0.0")</f>
        <v>0.0</v>
      </c>
      <c r="BQ75" s="2" t="str">
        <f>HYPERLINK("http://www.uniprot.org/uniprot/P10040#expression","P10040")</f>
        <v>P10040</v>
      </c>
      <c r="BR75" s="2">
        <v>51</v>
      </c>
      <c r="BS75" s="2">
        <v>65</v>
      </c>
      <c r="BT75" s="2">
        <v>102</v>
      </c>
      <c r="BU75" s="2" t="s">
        <v>100</v>
      </c>
      <c r="BV75" s="9" t="str">
        <f>HYPERLINK(".\links\FLYBASE\AGAP003873-PA-FLYBASE.txt","FBpp0293268")</f>
        <v>FBpp0293268</v>
      </c>
      <c r="BW75" s="2" t="str">
        <f>HYPERLINK("http://flybase.org/reports/FBgn0259685#alliance_summary_container","0.0")</f>
        <v>0.0</v>
      </c>
      <c r="BX75" s="2">
        <v>2253</v>
      </c>
      <c r="BY75" s="2">
        <v>53</v>
      </c>
      <c r="BZ75" s="2">
        <v>68</v>
      </c>
      <c r="CA75" s="2">
        <v>99</v>
      </c>
      <c r="CB75" s="9" t="str">
        <f>HYPERLINK(".\links\CDD\AGAP003873-PA-CDD.txt","Laminin_G_1, Laminin G domain")</f>
        <v>Laminin_G_1, Laminin G domain</v>
      </c>
      <c r="CC75" s="13">
        <v>9.9999999999999998E-20</v>
      </c>
      <c r="CD75" s="2">
        <v>103.1</v>
      </c>
      <c r="CE75" s="2" t="s">
        <v>1024</v>
      </c>
      <c r="CF75" s="2" t="s">
        <v>1025</v>
      </c>
      <c r="CG75" s="9" t="str">
        <f>HYPERLINK(".\links\KOG\AGAP003873-PA-KOG.txt","Cadherin EGF LAG seven-pass G-type receptor")</f>
        <v>Cadherin EGF LAG seven-pass G-type receptor</v>
      </c>
      <c r="CH75" s="13">
        <v>6.0000000000000003E-36</v>
      </c>
      <c r="CI75" s="2">
        <v>23.5</v>
      </c>
      <c r="CJ75" s="2" t="s">
        <v>1026</v>
      </c>
      <c r="CK75" s="2" t="s">
        <v>326</v>
      </c>
      <c r="CL75" s="9" t="str">
        <f>HYPERLINK(".\links\PFAM\AGAP003873-PA-PFAM.txt","Laminin_G_1, Laminin G domain")</f>
        <v>Laminin_G_1, Laminin G domain</v>
      </c>
      <c r="CM75" s="13">
        <v>3.0000000000000003E-20</v>
      </c>
      <c r="CN75" s="2">
        <v>103.1</v>
      </c>
      <c r="CO75" s="2" t="s">
        <v>1024</v>
      </c>
      <c r="CP75" s="9" t="str">
        <f>HYPERLINK(".\links\SMART\AGAP003873-PA-SMART.txt","LamG, Laminin G domain")</f>
        <v>LamG, Laminin G domain</v>
      </c>
      <c r="CQ75" s="13">
        <v>6.0000000000000001E-17</v>
      </c>
      <c r="CR75" s="2">
        <v>104.5</v>
      </c>
      <c r="CS75" s="2" t="s">
        <v>1027</v>
      </c>
      <c r="CT75" s="2" t="s">
        <v>1020</v>
      </c>
      <c r="CU75" s="2" t="s">
        <v>1020</v>
      </c>
      <c r="CV75" s="2" t="s">
        <v>1020</v>
      </c>
      <c r="CW75" s="2" t="str">
        <f>HYPERLINK(".\links\pep\AGAP003873-PA-pep.txt","AGAP003873-PA")</f>
        <v>AGAP003873-PA</v>
      </c>
      <c r="CX75" s="2" t="s">
        <v>88</v>
      </c>
      <c r="CY75" s="2">
        <v>2125</v>
      </c>
      <c r="CZ75" s="2" t="s">
        <v>106</v>
      </c>
      <c r="DA75" s="2" t="s">
        <v>1028</v>
      </c>
      <c r="DB75" s="2">
        <v>0</v>
      </c>
      <c r="DC75" s="2">
        <v>5</v>
      </c>
      <c r="DD75" s="2" t="str">
        <f>HYPERLINK("https://www.kegg.jp/kegg-bin/search_pathway_text?map=aga&amp;keyword=AGAP003873&amp;mode=1&amp;viewImage=true","AGAP003873")</f>
        <v>AGAP003873</v>
      </c>
      <c r="DE75" s="2" t="s">
        <v>1015</v>
      </c>
      <c r="DF75" s="2" t="s">
        <v>1016</v>
      </c>
      <c r="DG75" s="2" t="s">
        <v>87</v>
      </c>
      <c r="DH75" s="2" t="str">
        <f>HYPERLINK("https://vectorbase.org/vectorbase/app/record/gene/AGAP003873","AGAP003873-RA")</f>
        <v>AGAP003873-RA</v>
      </c>
      <c r="DI75" s="2" t="s">
        <v>125</v>
      </c>
      <c r="DJ75" s="2">
        <v>9451</v>
      </c>
      <c r="DK75" s="2" t="str">
        <f>HYPERLINK(".\links\netoglyc\AGAP003873-PA-netoglyc.txt","0")</f>
        <v>0</v>
      </c>
      <c r="DL75" s="2">
        <v>12.8</v>
      </c>
      <c r="DM75" s="2">
        <v>9.9</v>
      </c>
      <c r="DN75" s="2">
        <v>5.4</v>
      </c>
      <c r="DO75" s="2">
        <v>0.1</v>
      </c>
      <c r="DP75" s="2" t="s">
        <v>1029</v>
      </c>
      <c r="DQ75" s="2" t="str">
        <f>HYPERLINK(".\links\Sigp\AGAP003873-PA-SigP.txt","SIG")</f>
        <v>SIG</v>
      </c>
      <c r="DR75" s="2" t="s">
        <v>1022</v>
      </c>
      <c r="DS75" s="2">
        <v>230.18199999999999</v>
      </c>
      <c r="DT75" s="2">
        <v>4.67</v>
      </c>
      <c r="DU75" s="2">
        <v>226.76400000000001</v>
      </c>
      <c r="DV75" s="2">
        <v>4.6500000000000004</v>
      </c>
      <c r="DW75" s="2" t="s">
        <v>1023</v>
      </c>
      <c r="DX75" s="2">
        <v>2125</v>
      </c>
      <c r="DY75" s="8" t="str">
        <f>HYPERLINK(".\links\tmhmm\AGAP003873-PA-tmhmm.txt","2")</f>
        <v>2</v>
      </c>
      <c r="DZ75" s="2">
        <v>2.1</v>
      </c>
      <c r="EA75" s="2">
        <v>95.8</v>
      </c>
      <c r="EB75" s="2">
        <v>2.2000000000000002</v>
      </c>
      <c r="EC75" s="2" t="str">
        <f>HYPERLINK(".\links\gpi\AGAP003873-PA-gpi.txt","N")</f>
        <v>N</v>
      </c>
      <c r="ED75" s="2">
        <v>0.28999999999999998</v>
      </c>
      <c r="EE75" s="2" t="s">
        <v>1030</v>
      </c>
      <c r="EF75" s="2">
        <v>197</v>
      </c>
      <c r="EG75" s="2" t="str">
        <f>HYPERLINK(".\links\pep\AGAP003873-PA-sulf.txt","4")</f>
        <v>4</v>
      </c>
      <c r="EH75" s="2" t="s">
        <v>94</v>
      </c>
      <c r="EI75" s="2">
        <v>12.8</v>
      </c>
      <c r="EJ75" s="2">
        <v>5.4117647058823497</v>
      </c>
      <c r="EK75" s="2">
        <v>9.9294117647058808</v>
      </c>
      <c r="EL75" s="2">
        <v>15.3411764705882</v>
      </c>
      <c r="EM75" s="2">
        <v>7</v>
      </c>
      <c r="EN75" s="2">
        <v>12</v>
      </c>
      <c r="EO75" s="2">
        <v>13</v>
      </c>
      <c r="EP75" s="2" t="s">
        <v>94</v>
      </c>
      <c r="EQ75" s="2" t="s">
        <v>94</v>
      </c>
      <c r="ER75" s="2" t="s">
        <v>94</v>
      </c>
      <c r="ES75" s="2" t="s">
        <v>94</v>
      </c>
      <c r="ET75" s="2" t="str">
        <f>HYPERLINK(".\links\REFSEQ-INVERTEBRATE\AGAP003873-PA-REFSEQ-INVERTEBRATE.txt","AGAP003873-PA")</f>
        <v>AGAP003873-PA</v>
      </c>
      <c r="EU75" s="2" t="str">
        <f>HYPERLINK("http://www.ncbi.nlm.nih.gov/sutils/blink.cgi?pid=XP_310433.5","0.0")</f>
        <v>0.0</v>
      </c>
      <c r="EV75" s="2" t="str">
        <f>HYPERLINK("http://www.ncbi.nlm.nih.gov/protein/XP_310433.5","XP_310433.5")</f>
        <v>XP_310433.5</v>
      </c>
      <c r="EW75" s="2">
        <v>99</v>
      </c>
      <c r="EX75" s="2">
        <v>100</v>
      </c>
      <c r="EY75" s="2">
        <v>99</v>
      </c>
      <c r="EZ75" s="2" t="s">
        <v>98</v>
      </c>
    </row>
    <row r="76" spans="1:156" x14ac:dyDescent="0.25">
      <c r="A76" s="2" t="s">
        <v>1031</v>
      </c>
      <c r="B76" s="2">
        <v>0.91125756245373801</v>
      </c>
      <c r="C76" s="2">
        <v>1.8806841311206397</v>
      </c>
      <c r="D76" s="2">
        <v>2.5888180223416701</v>
      </c>
      <c r="E76" s="2">
        <v>13.1696657237532</v>
      </c>
      <c r="F76" s="2">
        <v>2.8451748688739902E-4</v>
      </c>
      <c r="G76" s="2">
        <v>1.54636889281272E-2</v>
      </c>
      <c r="H76" s="2" t="s">
        <v>167</v>
      </c>
      <c r="I76" s="2" t="s">
        <v>87</v>
      </c>
      <c r="J76" s="2" t="str">
        <f>HYPERLINK("https://vectorbase.org/vectorbase/app/record/gene/AGAP029525","AGAP029525-RB")</f>
        <v>AGAP029525-RB</v>
      </c>
      <c r="K76" s="2" t="str">
        <f>HYPERLINK(".\links\pep\AGAP029525-PB-pep.txt","AGAP029525-PB")</f>
        <v>AGAP029525-PB</v>
      </c>
      <c r="L76" s="8" t="s">
        <v>88</v>
      </c>
      <c r="M76" s="2">
        <v>966</v>
      </c>
      <c r="N76" s="2">
        <v>0</v>
      </c>
      <c r="O76" s="2">
        <v>0</v>
      </c>
      <c r="P76" s="2" t="s">
        <v>94</v>
      </c>
      <c r="Q76" s="9" t="s">
        <v>1032</v>
      </c>
      <c r="R76" s="2" t="s">
        <v>238</v>
      </c>
      <c r="S76" s="2" t="str">
        <f>HYPERLINK(".\links\REFSEQ-INVERTEBRATE\AGAP029525-PB-REFSEQ-INVERTEBRATE.txt","REFSEQ-INVERTEBRATE")</f>
        <v>REFSEQ-INVERTEBRATE</v>
      </c>
      <c r="T76" s="2">
        <v>0</v>
      </c>
      <c r="U76" s="2">
        <v>98.4</v>
      </c>
      <c r="V76" s="2" t="s">
        <v>1033</v>
      </c>
      <c r="W76" s="10" t="s">
        <v>1034</v>
      </c>
      <c r="X76" s="2" t="s">
        <v>238</v>
      </c>
      <c r="Y76" s="2" t="str">
        <f>HYPERLINK(".\links\REFSEQVERTEBRATE95\AGAP029525-PB-REFSEQVERTEBRATE95.txt","REFSEQVERTEBRATE95")</f>
        <v>REFSEQVERTEBRATE95</v>
      </c>
      <c r="Z76" s="13">
        <v>0</v>
      </c>
      <c r="AA76" s="2">
        <v>103.9</v>
      </c>
      <c r="AB76" s="11" t="str">
        <f>HYPERLINK(".\links\pep\AGAP029525-PB-sulf.txt","1")</f>
        <v>1</v>
      </c>
      <c r="AC76" s="11" t="str">
        <f>HYPERLINK(".\links\Sigp\AGAP029525-PB-SigP.txt","CYT")</f>
        <v>CYT</v>
      </c>
      <c r="AD76" s="2" t="s">
        <v>94</v>
      </c>
      <c r="AE76" s="2">
        <v>105.354</v>
      </c>
      <c r="AF76" s="2">
        <v>6.66</v>
      </c>
      <c r="AG76" s="2" t="s">
        <v>94</v>
      </c>
      <c r="AH76" s="2" t="s">
        <v>94</v>
      </c>
      <c r="AI76" s="2" t="s">
        <v>1035</v>
      </c>
      <c r="AJ76" s="11">
        <v>0</v>
      </c>
      <c r="AK76" s="2" t="s">
        <v>94</v>
      </c>
      <c r="AL76" s="2" t="s">
        <v>94</v>
      </c>
      <c r="AM76" s="2" t="s">
        <v>94</v>
      </c>
      <c r="AN76" s="9" t="str">
        <f>HYPERLINK(".\links\gpi\AGAP029525-PB-gpi.txt","N")</f>
        <v>N</v>
      </c>
      <c r="AO76" s="12" t="str">
        <f>HYPERLINK(".\links\netoglyc\AGAP029525-PB-netoglyc.txt","1")</f>
        <v>1</v>
      </c>
      <c r="AP76" s="11">
        <v>19</v>
      </c>
      <c r="AQ76" s="2">
        <v>9.1</v>
      </c>
      <c r="AR76" s="2">
        <v>3.1</v>
      </c>
      <c r="AS76" s="2" t="s">
        <v>97</v>
      </c>
      <c r="AT76" s="9" t="str">
        <f>HYPERLINK(".\links\NR-LIGHT\AGAP029525-PB-NR-LIGHT.txt","AGAP012350-PA-like protein")</f>
        <v>AGAP012350-PA-like protein</v>
      </c>
      <c r="AU76" s="2" t="str">
        <f>HYPERLINK("http://www.ncbi.nlm.nih.gov/sutils/blink.cgi?pid=KFB37680.1","0.0")</f>
        <v>0.0</v>
      </c>
      <c r="AV76" s="2" t="str">
        <f>HYPERLINK("http://www.ncbi.nlm.nih.gov/protein/KFB37680.1","KFB37680.1")</f>
        <v>KFB37680.1</v>
      </c>
      <c r="AW76" s="2">
        <v>92</v>
      </c>
      <c r="AX76" s="2">
        <v>96</v>
      </c>
      <c r="AY76" s="2">
        <v>98</v>
      </c>
      <c r="AZ76" s="2" t="s">
        <v>174</v>
      </c>
      <c r="BA76" s="9" t="str">
        <f>HYPERLINK(".\links\REFSEQ-INVERTEBRATE\AGAP029525-PB-REFSEQ-INVERTEBRATE.txt","echinoderm microtubule-associated protein-like 2 isoform X1")</f>
        <v>echinoderm microtubule-associated protein-like 2 isoform X1</v>
      </c>
      <c r="BB76" s="2" t="str">
        <f>HYPERLINK("http://www.ncbi.nlm.nih.gov/sutils/blink.cgi?pid=XP_019556866.1","0.0")</f>
        <v>0.0</v>
      </c>
      <c r="BC76" s="2" t="str">
        <f>HYPERLINK("http://www.ncbi.nlm.nih.gov/protein/XP_019556866.1","XP_019556866.1")</f>
        <v>XP_019556866.1</v>
      </c>
      <c r="BD76" s="2">
        <v>77</v>
      </c>
      <c r="BE76" s="2">
        <v>85</v>
      </c>
      <c r="BF76" s="2">
        <v>98</v>
      </c>
      <c r="BG76" s="2" t="s">
        <v>495</v>
      </c>
      <c r="BH76" s="9" t="str">
        <f>HYPERLINK(".\links\REFSEQ-PROTOZOA\AGAP029525-PB-REFSEQ-PROTOZOA.txt","hypothetical protein PTSG_01512")</f>
        <v>hypothetical protein PTSG_01512</v>
      </c>
      <c r="BI76" s="2" t="str">
        <f>HYPERLINK("http://www.ncbi.nlm.nih.gov/sutils/blink.cgi?pid=XP_004997490.1","3E-083")</f>
        <v>3E-083</v>
      </c>
      <c r="BJ76" s="2" t="str">
        <f>HYPERLINK("http://www.ncbi.nlm.nih.gov/protein/XP_004997490.1","XP_004997490.1")</f>
        <v>XP_004997490.1</v>
      </c>
      <c r="BK76" s="2">
        <v>33</v>
      </c>
      <c r="BL76" s="2">
        <v>50</v>
      </c>
      <c r="BM76" s="2">
        <v>32</v>
      </c>
      <c r="BN76" s="2" t="s">
        <v>117</v>
      </c>
      <c r="BO76" s="9" t="str">
        <f>HYPERLINK(".\links\SWISSP\AGAP029525-PB-SWISSP.txt","Echinoderm microtubule-associated protein-like 1")</f>
        <v>Echinoderm microtubule-associated protein-like 1</v>
      </c>
      <c r="BP76" s="2" t="str">
        <f>HYPERLINK("http://www.uniprot.org/uniprot/Q4V8C3","0.0")</f>
        <v>0.0</v>
      </c>
      <c r="BQ76" s="2" t="str">
        <f>HYPERLINK("http://www.uniprot.org/uniprot/Q4V8C3#expression","Q4V8C3")</f>
        <v>Q4V8C3</v>
      </c>
      <c r="BR76" s="2">
        <v>45</v>
      </c>
      <c r="BS76" s="2">
        <v>66</v>
      </c>
      <c r="BT76" s="2">
        <v>89</v>
      </c>
      <c r="BU76" s="2" t="s">
        <v>177</v>
      </c>
      <c r="BV76" s="9" t="str">
        <f>HYPERLINK(".\links\FLYBASE\AGAP029525-PB-FLYBASE.txt","FBpp0288784")</f>
        <v>FBpp0288784</v>
      </c>
      <c r="BW76" s="2" t="str">
        <f>HYPERLINK("http://flybase.org/reports/FBgn0259099#alliance_summary_container","2E-98")</f>
        <v>2E-98</v>
      </c>
      <c r="BX76" s="2">
        <v>819</v>
      </c>
      <c r="BY76" s="2">
        <v>30</v>
      </c>
      <c r="BZ76" s="2">
        <v>52</v>
      </c>
      <c r="CA76" s="2">
        <v>75</v>
      </c>
      <c r="CB76" s="9" t="str">
        <f>HYPERLINK(".\links\CDD\AGAP029525-PB-CDD.txt","HELP, HELP motif")</f>
        <v>HELP, HELP motif</v>
      </c>
      <c r="CC76" s="13">
        <v>6.0000000000000002E-27</v>
      </c>
      <c r="CD76" s="2">
        <v>101.4</v>
      </c>
      <c r="CE76" s="2" t="s">
        <v>1036</v>
      </c>
      <c r="CF76" s="2" t="s">
        <v>1037</v>
      </c>
      <c r="CG76" s="9" t="str">
        <f>HYPERLINK(".\links\KOG\AGAP029525-PB-KOG.txt","contains HELP and WD40 domains")</f>
        <v>contains HELP and WD40 domains</v>
      </c>
      <c r="CH76" s="13">
        <v>0</v>
      </c>
      <c r="CI76" s="2">
        <v>102.2</v>
      </c>
      <c r="CJ76" s="2" t="s">
        <v>1038</v>
      </c>
      <c r="CK76" s="2" t="s">
        <v>447</v>
      </c>
      <c r="CL76" s="9" t="str">
        <f>HYPERLINK(".\links\PFAM\AGAP029525-PB-PFAM.txt","HELP, HELP motif")</f>
        <v>HELP, HELP motif</v>
      </c>
      <c r="CM76" s="13">
        <v>1E-27</v>
      </c>
      <c r="CN76" s="2">
        <v>101.4</v>
      </c>
      <c r="CO76" s="2" t="s">
        <v>1036</v>
      </c>
      <c r="CP76" s="9" t="str">
        <f>HYPERLINK(".\links\SMART\AGAP029525-PB-SMART.txt","WD40, WD40 repeats")</f>
        <v>WD40, WD40 repeats</v>
      </c>
      <c r="CQ76" s="13">
        <v>2.0000000000000002E-5</v>
      </c>
      <c r="CR76" s="2">
        <v>97.5</v>
      </c>
      <c r="CS76" s="2" t="s">
        <v>1039</v>
      </c>
      <c r="CT76" s="2" t="s">
        <v>1033</v>
      </c>
      <c r="CU76" s="2" t="s">
        <v>1033</v>
      </c>
      <c r="CV76" s="2" t="s">
        <v>1033</v>
      </c>
      <c r="CW76" s="2" t="str">
        <f>HYPERLINK(".\links\pep\AGAP029525-PB-pep.txt","AGAP029525-PB")</f>
        <v>AGAP029525-PB</v>
      </c>
      <c r="CX76" s="2" t="s">
        <v>88</v>
      </c>
      <c r="CY76" s="2">
        <v>966</v>
      </c>
      <c r="CZ76" s="2" t="s">
        <v>106</v>
      </c>
      <c r="DA76" s="2" t="s">
        <v>1040</v>
      </c>
      <c r="DB76" s="2">
        <v>0</v>
      </c>
      <c r="DC76" s="2">
        <v>0</v>
      </c>
      <c r="DD76" s="2" t="str">
        <f>HYPERLINK("https://www.kegg.jp/kegg-bin/search_pathway_text?map=aga&amp;keyword=AGAP029525&amp;mode=1&amp;viewImage=true","AGAP029525")</f>
        <v>AGAP029525</v>
      </c>
      <c r="DE76" s="2" t="s">
        <v>1031</v>
      </c>
      <c r="DF76" s="2" t="s">
        <v>167</v>
      </c>
      <c r="DG76" s="2" t="s">
        <v>87</v>
      </c>
      <c r="DH76" s="2" t="str">
        <f>HYPERLINK("https://vectorbase.org/vectorbase/app/record/gene/AGAP029525","AGAP029525-RB")</f>
        <v>AGAP029525-RB</v>
      </c>
      <c r="DI76" s="2" t="s">
        <v>125</v>
      </c>
      <c r="DJ76" s="2">
        <v>5492</v>
      </c>
      <c r="DK76" s="2" t="str">
        <f>HYPERLINK(".\links\netoglyc\AGAP029525-PB-netoglyc.txt","1")</f>
        <v>1</v>
      </c>
      <c r="DL76" s="2">
        <v>19</v>
      </c>
      <c r="DM76" s="2">
        <v>9.1</v>
      </c>
      <c r="DN76" s="2">
        <v>3.1</v>
      </c>
      <c r="DO76" s="2" t="s">
        <v>97</v>
      </c>
      <c r="DP76" s="2" t="s">
        <v>94</v>
      </c>
      <c r="DQ76" s="2" t="str">
        <f>HYPERLINK(".\links\Sigp\AGAP029525-PB-SigP.txt","CYT")</f>
        <v>CYT</v>
      </c>
      <c r="DR76" s="2" t="s">
        <v>94</v>
      </c>
      <c r="DS76" s="2">
        <v>105.354</v>
      </c>
      <c r="DT76" s="2">
        <v>6.66</v>
      </c>
      <c r="DU76" s="2" t="s">
        <v>94</v>
      </c>
      <c r="DV76" s="2" t="s">
        <v>94</v>
      </c>
      <c r="DW76" s="2" t="s">
        <v>1035</v>
      </c>
      <c r="DX76" s="2">
        <v>966</v>
      </c>
      <c r="DY76" s="8">
        <v>0</v>
      </c>
      <c r="DZ76" s="2" t="s">
        <v>94</v>
      </c>
      <c r="EA76" s="2" t="s">
        <v>94</v>
      </c>
      <c r="EB76" s="2" t="s">
        <v>94</v>
      </c>
      <c r="EC76" s="2" t="str">
        <f>HYPERLINK(".\links\gpi\AGAP029525-PB-gpi.txt","Y-NoSP")</f>
        <v>Y-NoSP</v>
      </c>
      <c r="ED76" s="2">
        <v>0.23</v>
      </c>
      <c r="EF76" s="2">
        <v>16</v>
      </c>
      <c r="EG76" s="2" t="str">
        <f>HYPERLINK(".\links\pep\AGAP029525-PB-sulf.txt","1")</f>
        <v>1</v>
      </c>
      <c r="EH76" s="2" t="s">
        <v>94</v>
      </c>
      <c r="EI76" s="2">
        <v>19.047619047619001</v>
      </c>
      <c r="EJ76" s="2">
        <v>3.1055900621118</v>
      </c>
      <c r="EK76" s="2">
        <v>9.1097308488612807</v>
      </c>
      <c r="EL76" s="2">
        <v>12.2153209109731</v>
      </c>
      <c r="EM76" s="2" t="s">
        <v>94</v>
      </c>
      <c r="EN76" s="2">
        <v>2</v>
      </c>
      <c r="EO76" s="2">
        <v>2</v>
      </c>
      <c r="EP76" s="2" t="s">
        <v>94</v>
      </c>
      <c r="EQ76" s="2" t="s">
        <v>94</v>
      </c>
      <c r="ER76" s="2" t="s">
        <v>94</v>
      </c>
      <c r="ES76" s="2" t="s">
        <v>94</v>
      </c>
      <c r="ET76" s="2" t="str">
        <f>HYPERLINK(".\links\REFSEQ-INVERTEBRATE\AGAP029525-PB-REFSEQ-INVERTEBRATE.txt","echinoderm microtubule-associated protein-like 2 isoform X2")</f>
        <v>echinoderm microtubule-associated protein-like 2 isoform X2</v>
      </c>
      <c r="EU76" s="2" t="str">
        <f>HYPERLINK("http://www.ncbi.nlm.nih.gov/sutils/blink.cgi?pid=XP_035895480.1","0.0")</f>
        <v>0.0</v>
      </c>
      <c r="EV76" s="2" t="str">
        <f>HYPERLINK("http://www.ncbi.nlm.nih.gov/protein/XP_035895480.1","XP_035895480.1")</f>
        <v>XP_035895480.1</v>
      </c>
      <c r="EW76" s="2">
        <v>91</v>
      </c>
      <c r="EX76" s="2">
        <v>95</v>
      </c>
      <c r="EY76" s="2">
        <v>102</v>
      </c>
      <c r="EZ76" s="2" t="s">
        <v>184</v>
      </c>
    </row>
    <row r="77" spans="1:156" x14ac:dyDescent="0.25">
      <c r="A77" s="2" t="s">
        <v>1041</v>
      </c>
      <c r="B77" s="2">
        <v>0.907522750612201</v>
      </c>
      <c r="C77" s="2">
        <v>1.8758217608846379</v>
      </c>
      <c r="D77" s="2">
        <v>5.1464100185081501</v>
      </c>
      <c r="E77" s="2">
        <v>16.256422928247002</v>
      </c>
      <c r="F77" s="2">
        <v>5.5321734735539602E-5</v>
      </c>
      <c r="G77" s="2">
        <v>4.5493708295130299E-3</v>
      </c>
      <c r="H77" s="2" t="s">
        <v>167</v>
      </c>
      <c r="I77" s="2" t="s">
        <v>87</v>
      </c>
      <c r="J77" s="2" t="str">
        <f>HYPERLINK("https://vectorbase.org/vectorbase/app/record/gene/AGAP012674","AGAP012674-RA")</f>
        <v>AGAP012674-RA</v>
      </c>
      <c r="K77" s="2" t="str">
        <f>HYPERLINK(".\links\pep\AGAP012674-PA-pep.txt","AGAP012674-PA")</f>
        <v>AGAP012674-PA</v>
      </c>
      <c r="L77" s="8" t="s">
        <v>88</v>
      </c>
      <c r="M77" s="2">
        <v>262</v>
      </c>
      <c r="N77" s="2">
        <v>0</v>
      </c>
      <c r="O77" s="2">
        <v>1</v>
      </c>
      <c r="P77" s="2" t="s">
        <v>94</v>
      </c>
      <c r="Q77" s="9" t="s">
        <v>818</v>
      </c>
      <c r="R77" s="2" t="s">
        <v>192</v>
      </c>
      <c r="S77" s="2" t="str">
        <f>HYPERLINK(".\links\PFAM\AGAP012674-PA-PFAM.txt","PFAM")</f>
        <v>PFAM</v>
      </c>
      <c r="T77" s="2">
        <v>8.9999999999999995E-15</v>
      </c>
      <c r="U77" s="2">
        <v>97.4</v>
      </c>
      <c r="V77" s="2" t="s">
        <v>1042</v>
      </c>
      <c r="W77" s="10" t="s">
        <v>820</v>
      </c>
      <c r="X77" s="2" t="s">
        <v>821</v>
      </c>
      <c r="Y77" s="2" t="str">
        <f>HYPERLINK(".\links\PFAM\AGAP012674-PA-PFAM.txt","PFAM")</f>
        <v>PFAM</v>
      </c>
      <c r="Z77" s="13">
        <v>7.0000000000000003E-16</v>
      </c>
      <c r="AA77" s="2">
        <v>93.7</v>
      </c>
      <c r="AB77" s="11" t="s">
        <v>94</v>
      </c>
      <c r="AC77" s="11" t="str">
        <f>HYPERLINK(".\links\Sigp\AGAP012674-PA-SigP.txt","SIG")</f>
        <v>SIG</v>
      </c>
      <c r="AD77" s="2" t="s">
        <v>429</v>
      </c>
      <c r="AE77" s="2">
        <v>30.640999999999998</v>
      </c>
      <c r="AF77" s="2">
        <v>8.7200000000000006</v>
      </c>
      <c r="AG77" s="2">
        <v>26.37</v>
      </c>
      <c r="AH77" s="2">
        <v>6.57</v>
      </c>
      <c r="AI77" s="2" t="s">
        <v>1043</v>
      </c>
      <c r="AJ77" s="11" t="str">
        <f>HYPERLINK(".\links\tmhmm\AGAP012674-PA-tmhmm.txt","1")</f>
        <v>1</v>
      </c>
      <c r="AK77" s="2">
        <v>8.4</v>
      </c>
      <c r="AL77" s="2">
        <v>84.4</v>
      </c>
      <c r="AM77" s="2">
        <v>7.3</v>
      </c>
      <c r="AN77" s="11" t="str">
        <f>HYPERLINK(".\links\gpi\AGAP012674-PA-gpi.txt","N")</f>
        <v>N</v>
      </c>
      <c r="AO77" s="12" t="str">
        <f>HYPERLINK(".\links\netoglyc\AGAP012674-PA-netoglyc.txt","0")</f>
        <v>0</v>
      </c>
      <c r="AP77" s="11">
        <v>16.8</v>
      </c>
      <c r="AQ77" s="2">
        <v>5</v>
      </c>
      <c r="AR77" s="2">
        <v>2.7</v>
      </c>
      <c r="AS77" s="2" t="s">
        <v>97</v>
      </c>
      <c r="AT77" s="9" t="str">
        <f>HYPERLINK(".\links\NR-LIGHT\AGAP012674-PA-NR-LIGHT.txt","AGAP012674-PA")</f>
        <v>AGAP012674-PA</v>
      </c>
      <c r="AU77" s="2" t="str">
        <f>HYPERLINK("http://www.ncbi.nlm.nih.gov/sutils/blink.cgi?pid=XP_561415.5","1E-148")</f>
        <v>1E-148</v>
      </c>
      <c r="AV77" s="2" t="str">
        <f>HYPERLINK("http://www.ncbi.nlm.nih.gov/protein/XP_561415.5","XP_561415.5")</f>
        <v>XP_561415.5</v>
      </c>
      <c r="AW77" s="2">
        <v>100</v>
      </c>
      <c r="AX77" s="2">
        <v>100</v>
      </c>
      <c r="AY77" s="2">
        <v>100</v>
      </c>
      <c r="AZ77" s="2" t="s">
        <v>98</v>
      </c>
      <c r="BA77" s="9" t="str">
        <f>HYPERLINK(".\links\REFSEQ-INVERTEBRATE\AGAP012674-PA-REFSEQ-INVERTEBRATE.txt","AGAP012674-PA")</f>
        <v>AGAP012674-PA</v>
      </c>
      <c r="BB77" s="2" t="str">
        <f>HYPERLINK("http://www.ncbi.nlm.nih.gov/sutils/blink.cgi?pid=XP_561415.5","1E-148")</f>
        <v>1E-148</v>
      </c>
      <c r="BC77" s="2" t="str">
        <f>HYPERLINK("http://www.ncbi.nlm.nih.gov/protein/XP_561415.5","XP_561415.5")</f>
        <v>XP_561415.5</v>
      </c>
      <c r="BD77" s="2">
        <v>100</v>
      </c>
      <c r="BE77" s="2">
        <v>100</v>
      </c>
      <c r="BF77" s="2">
        <v>100</v>
      </c>
      <c r="BG77" s="2" t="s">
        <v>98</v>
      </c>
      <c r="BH77" s="9" t="str">
        <f>HYPERLINK(".\links\REFSEQ-PROTOZOA\AGAP012674-PA-REFSEQ-PROTOZOA.txt","putative 3', 5'-cyclic nucleotide phosphodiesterase")</f>
        <v>putative 3', 5'-cyclic nucleotide phosphodiesterase</v>
      </c>
      <c r="BI77" s="2" t="str">
        <f>HYPERLINK("http://www.ncbi.nlm.nih.gov/sutils/blink.cgi?pid=XP_003881971.1","2.4")</f>
        <v>2.4</v>
      </c>
      <c r="BJ77" s="2" t="str">
        <f>HYPERLINK("http://www.ncbi.nlm.nih.gov/protein/XP_003881971.1","XP_003881971.1")</f>
        <v>XP_003881971.1</v>
      </c>
      <c r="BK77" s="2">
        <v>34</v>
      </c>
      <c r="BL77" s="2">
        <v>52</v>
      </c>
      <c r="BM77" s="2">
        <v>4</v>
      </c>
      <c r="BN77" s="2" t="s">
        <v>1044</v>
      </c>
      <c r="BO77" s="9" t="str">
        <f>HYPERLINK(".\links\SWISSP\AGAP012674-PA-SWISSP.txt","Biogenesis of lysosome-related organelles complex 1 subunit 2")</f>
        <v>Biogenesis of lysosome-related organelles complex 1 subunit 2</v>
      </c>
      <c r="BP77" s="2" t="str">
        <f>HYPERLINK("http://www.uniprot.org/uniprot/F4K657","1.6")</f>
        <v>1.6</v>
      </c>
      <c r="BQ77" s="2" t="str">
        <f>HYPERLINK("http://www.uniprot.org/uniprot/F4K657#expression","F4K657")</f>
        <v>F4K657</v>
      </c>
      <c r="BR77" s="2">
        <v>25</v>
      </c>
      <c r="BS77" s="2">
        <v>45</v>
      </c>
      <c r="BT77" s="2">
        <v>86</v>
      </c>
      <c r="BU77" s="2" t="s">
        <v>823</v>
      </c>
      <c r="BV77" s="9" t="str">
        <f>HYPERLINK(".\links\FLYBASE\AGAP012674-PA-FLYBASE.txt","FBpp0312591")</f>
        <v>FBpp0312591</v>
      </c>
      <c r="BW77" s="2" t="str">
        <f>HYPERLINK("http://flybase.org/reports/FBgn0038395#alliance_summary_container","4E-05")</f>
        <v>4E-05</v>
      </c>
      <c r="BX77" s="2">
        <v>263</v>
      </c>
      <c r="BY77" s="2">
        <v>18</v>
      </c>
      <c r="BZ77" s="2">
        <v>42</v>
      </c>
      <c r="CA77" s="2">
        <v>85</v>
      </c>
      <c r="CB77" s="9" t="str">
        <f>HYPERLINK(".\links\CDD\AGAP012674-PA-CDD.txt","JHBP, Haemolymph juvenile hormone binding protein (JHBP)")</f>
        <v>JHBP, Haemolymph juvenile hormone binding protein (JHBP)</v>
      </c>
      <c r="CC77" s="13">
        <v>4E-14</v>
      </c>
      <c r="CD77" s="2">
        <v>97.5</v>
      </c>
      <c r="CE77" s="2" t="s">
        <v>824</v>
      </c>
      <c r="CF77" s="2" t="s">
        <v>1045</v>
      </c>
      <c r="CG77" s="9" t="str">
        <f>HYPERLINK(".\links\KOG\AGAP012674-PA-KOG.txt","Cytoplasmic tryptophanyl-tRNA synthetase")</f>
        <v>Cytoplasmic tryptophanyl-tRNA synthetase</v>
      </c>
      <c r="CH77" s="13">
        <v>4</v>
      </c>
      <c r="CI77" s="2">
        <v>10.1</v>
      </c>
      <c r="CJ77" s="2" t="s">
        <v>826</v>
      </c>
      <c r="CK77" s="2" t="s">
        <v>613</v>
      </c>
      <c r="CL77" s="9" t="str">
        <f>HYPERLINK(".\links\PFAM\AGAP012674-PA-PFAM.txt","JHBP, Haemolymph juvenile hormone binding protein (JHBP)")</f>
        <v>JHBP, Haemolymph juvenile hormone binding protein (JHBP)</v>
      </c>
      <c r="CM77" s="13">
        <v>8.9999999999999995E-15</v>
      </c>
      <c r="CN77" s="2">
        <v>97.5</v>
      </c>
      <c r="CO77" s="2" t="s">
        <v>824</v>
      </c>
      <c r="CP77" s="9" t="str">
        <f>HYPERLINK(".\links\SMART\AGAP012674-PA-SMART.txt","JHBP, Juvenile hormone binding protein domains in insects")</f>
        <v>JHBP, Juvenile hormone binding protein domains in insects</v>
      </c>
      <c r="CQ77" s="13">
        <v>2.0000000000000001E-10</v>
      </c>
      <c r="CR77" s="2">
        <v>102.2</v>
      </c>
      <c r="CS77" s="2" t="s">
        <v>827</v>
      </c>
      <c r="CT77" s="2" t="s">
        <v>1042</v>
      </c>
      <c r="CU77" s="2" t="s">
        <v>1042</v>
      </c>
      <c r="CV77" s="2" t="s">
        <v>1042</v>
      </c>
      <c r="CW77" s="2" t="str">
        <f>HYPERLINK(".\links\pep\AGAP012674-PA-pep.txt","AGAP012674-PA")</f>
        <v>AGAP012674-PA</v>
      </c>
      <c r="CX77" s="2" t="s">
        <v>88</v>
      </c>
      <c r="CY77" s="2">
        <v>262</v>
      </c>
      <c r="CZ77" s="2" t="s">
        <v>106</v>
      </c>
      <c r="DA77" s="2" t="s">
        <v>1046</v>
      </c>
      <c r="DB77" s="2">
        <v>0</v>
      </c>
      <c r="DC77" s="2">
        <v>1</v>
      </c>
      <c r="DD77" s="2" t="str">
        <f>HYPERLINK("https://www.kegg.jp/kegg-bin/search_pathway_text?map=aga&amp;keyword=AGAP012674&amp;mode=1&amp;viewImage=true","AGAP012674")</f>
        <v>AGAP012674</v>
      </c>
      <c r="DE77" s="2" t="s">
        <v>1041</v>
      </c>
      <c r="DF77" s="2" t="s">
        <v>167</v>
      </c>
      <c r="DG77" s="2" t="s">
        <v>87</v>
      </c>
      <c r="DH77" s="2" t="str">
        <f>HYPERLINK("https://vectorbase.org/vectorbase/app/record/gene/AGAP012674","AGAP012674-RA")</f>
        <v>AGAP012674-RA</v>
      </c>
      <c r="DI77" s="2" t="s">
        <v>250</v>
      </c>
      <c r="DJ77" s="2">
        <v>789</v>
      </c>
      <c r="DK77" s="2" t="str">
        <f>HYPERLINK(".\links\netoglyc\AGAP012674-PA-netoglyc.txt","0")</f>
        <v>0</v>
      </c>
      <c r="DL77" s="2">
        <v>16.8</v>
      </c>
      <c r="DM77" s="2">
        <v>5</v>
      </c>
      <c r="DN77" s="2">
        <v>2.7</v>
      </c>
      <c r="DO77" s="2" t="s">
        <v>97</v>
      </c>
      <c r="DP77" s="2" t="s">
        <v>94</v>
      </c>
      <c r="DQ77" s="2" t="str">
        <f>HYPERLINK(".\links\Sigp\AGAP012674-PA-SigP.txt","SIG")</f>
        <v>SIG</v>
      </c>
      <c r="DR77" s="2" t="s">
        <v>429</v>
      </c>
      <c r="DS77" s="2">
        <v>30.640999999999998</v>
      </c>
      <c r="DT77" s="2">
        <v>8.7200000000000006</v>
      </c>
      <c r="DU77" s="2">
        <v>26.37</v>
      </c>
      <c r="DV77" s="2">
        <v>6.57</v>
      </c>
      <c r="DW77" s="2" t="s">
        <v>1043</v>
      </c>
      <c r="DX77" s="2">
        <v>262</v>
      </c>
      <c r="DY77" s="8" t="str">
        <f>HYPERLINK(".\links\tmhmm\AGAP012674-PA-tmhmm.txt","1")</f>
        <v>1</v>
      </c>
      <c r="DZ77" s="2">
        <v>8.4</v>
      </c>
      <c r="EA77" s="2">
        <v>84.4</v>
      </c>
      <c r="EB77" s="2">
        <v>7.3</v>
      </c>
      <c r="EC77" s="2" t="str">
        <f>HYPERLINK(".\links\gpi\AGAP012674-PA-gpi.txt","N")</f>
        <v>N</v>
      </c>
      <c r="ED77" s="2">
        <v>0.32</v>
      </c>
      <c r="EF77" s="2">
        <v>4</v>
      </c>
      <c r="EG77" s="2" t="s">
        <v>94</v>
      </c>
      <c r="EH77" s="2" t="s">
        <v>94</v>
      </c>
      <c r="EI77" s="2">
        <v>16.793893129771</v>
      </c>
      <c r="EJ77" s="2">
        <v>2.6717557251908399</v>
      </c>
      <c r="EK77" s="2">
        <v>4.9618320610686997</v>
      </c>
      <c r="EL77" s="2">
        <v>7.6335877862595396</v>
      </c>
      <c r="EM77" s="2" t="s">
        <v>94</v>
      </c>
      <c r="EN77" s="2">
        <v>1</v>
      </c>
      <c r="EO77" s="2">
        <v>1</v>
      </c>
      <c r="EP77" s="2" t="s">
        <v>94</v>
      </c>
      <c r="EQ77" s="2" t="s">
        <v>94</v>
      </c>
      <c r="ER77" s="2" t="s">
        <v>94</v>
      </c>
      <c r="ES77" s="2" t="s">
        <v>94</v>
      </c>
      <c r="ET77" s="2" t="str">
        <f>HYPERLINK(".\links\REFSEQ-INVERTEBRATE\AGAP012674-PA-REFSEQ-INVERTEBRATE.txt","AGAP012674-PA")</f>
        <v>AGAP012674-PA</v>
      </c>
      <c r="EU77" s="2" t="str">
        <f>HYPERLINK("http://www.ncbi.nlm.nih.gov/sutils/blink.cgi?pid=XP_561415.5","0.0")</f>
        <v>0.0</v>
      </c>
      <c r="EV77" s="2" t="str">
        <f>HYPERLINK("http://www.ncbi.nlm.nih.gov/protein/XP_561415.5","XP_561415.5")</f>
        <v>XP_561415.5</v>
      </c>
      <c r="EW77" s="2">
        <v>100</v>
      </c>
      <c r="EX77" s="2">
        <v>100</v>
      </c>
      <c r="EY77" s="2">
        <v>100</v>
      </c>
      <c r="EZ77" s="2" t="s">
        <v>98</v>
      </c>
    </row>
    <row r="78" spans="1:156" x14ac:dyDescent="0.25">
      <c r="A78" s="2" t="s">
        <v>1047</v>
      </c>
      <c r="B78" s="2">
        <v>0.90268725344588097</v>
      </c>
      <c r="C78" s="2">
        <v>1.8695450727270966</v>
      </c>
      <c r="D78" s="2">
        <v>4.0266673370649499</v>
      </c>
      <c r="E78" s="2">
        <v>19.5891864511097</v>
      </c>
      <c r="F78" s="2">
        <v>9.6011073207408003E-6</v>
      </c>
      <c r="G78" s="2">
        <v>1.16407271708007E-3</v>
      </c>
      <c r="H78" s="2" t="s">
        <v>167</v>
      </c>
      <c r="I78" s="2" t="s">
        <v>87</v>
      </c>
      <c r="J78" s="2" t="str">
        <f>HYPERLINK("https://vectorbase.org/vectorbase/app/record/gene/AGAP001427","AGAP001427-RA")</f>
        <v>AGAP001427-RA</v>
      </c>
      <c r="K78" s="2" t="str">
        <f>HYPERLINK(".\links\pep\AGAP001427-PA-pep.txt","AGAP001427-PA")</f>
        <v>AGAP001427-PA</v>
      </c>
      <c r="L78" s="8" t="s">
        <v>88</v>
      </c>
      <c r="M78" s="2">
        <v>2907</v>
      </c>
      <c r="N78" s="2">
        <v>0</v>
      </c>
      <c r="O78" s="2">
        <v>2</v>
      </c>
      <c r="P78" s="2" t="s">
        <v>94</v>
      </c>
      <c r="Q78" s="9" t="s">
        <v>1048</v>
      </c>
      <c r="R78" s="2" t="s">
        <v>318</v>
      </c>
      <c r="S78" s="2" t="str">
        <f>HYPERLINK(".\links\SWISSP\AGAP001427-PA-SWISSP.txt","SWISSP")</f>
        <v>SWISSP</v>
      </c>
      <c r="T78" s="2">
        <v>4E-51</v>
      </c>
      <c r="U78" s="2">
        <v>33.700000000000003</v>
      </c>
      <c r="V78" s="2" t="s">
        <v>1049</v>
      </c>
      <c r="W78" s="10" t="s">
        <v>1050</v>
      </c>
      <c r="X78" s="2" t="s">
        <v>192</v>
      </c>
      <c r="Y78" s="2" t="str">
        <f>HYPERLINK(".\links\REFSEQ-INVERTEBRATE\AGAP001427-PA-REFSEQ-INVERTEBRATE.txt","REFSEQ-INVERTEBRATE")</f>
        <v>REFSEQ-INVERTEBRATE</v>
      </c>
      <c r="Z78" s="2">
        <v>0</v>
      </c>
      <c r="AA78" s="2">
        <v>106.8</v>
      </c>
      <c r="AB78" s="11" t="str">
        <f>HYPERLINK(".\links\pep\AGAP001427-PA-sulf.txt","5")</f>
        <v>5</v>
      </c>
      <c r="AC78" s="11" t="str">
        <f>HYPERLINK(".\links\Sigp\AGAP001427-PA-SigP.txt","CYT")</f>
        <v>CYT</v>
      </c>
      <c r="AD78" s="2" t="s">
        <v>94</v>
      </c>
      <c r="AE78" s="2">
        <v>303.10599999999999</v>
      </c>
      <c r="AF78" s="2">
        <v>4.72</v>
      </c>
      <c r="AG78" s="2" t="s">
        <v>94</v>
      </c>
      <c r="AH78" s="2" t="s">
        <v>94</v>
      </c>
      <c r="AI78" s="2" t="s">
        <v>463</v>
      </c>
      <c r="AJ78" s="11">
        <v>0</v>
      </c>
      <c r="AK78" s="2" t="s">
        <v>94</v>
      </c>
      <c r="AL78" s="2" t="s">
        <v>94</v>
      </c>
      <c r="AM78" s="2" t="s">
        <v>94</v>
      </c>
      <c r="AN78" s="11" t="str">
        <f>HYPERLINK(".\links\gpi\AGAP001427-PA-gpi.txt","N")</f>
        <v>N</v>
      </c>
      <c r="AO78" s="12" t="str">
        <f>HYPERLINK(".\links\netoglyc\AGAP001427-PA-netoglyc.txt","81")</f>
        <v>81</v>
      </c>
      <c r="AP78" s="11">
        <v>23.1</v>
      </c>
      <c r="AQ78" s="2">
        <v>6.3</v>
      </c>
      <c r="AR78" s="2">
        <v>8.3000000000000007</v>
      </c>
      <c r="AS78" s="2" t="s">
        <v>97</v>
      </c>
      <c r="AT78" s="9" t="str">
        <f>HYPERLINK(".\links\NR-LIGHT\AGAP001427-PA-NR-LIGHT.txt","AGAP001427-PA")</f>
        <v>AGAP001427-PA</v>
      </c>
      <c r="AU78" s="2" t="str">
        <f>HYPERLINK("http://www.ncbi.nlm.nih.gov/sutils/blink.cgi?pid=XP_321703.5","0.0")</f>
        <v>0.0</v>
      </c>
      <c r="AV78" s="2" t="str">
        <f>HYPERLINK("http://www.ncbi.nlm.nih.gov/protein/XP_321703.5","XP_321703.5")</f>
        <v>XP_321703.5</v>
      </c>
      <c r="AW78" s="2">
        <v>100</v>
      </c>
      <c r="AX78" s="2">
        <v>100</v>
      </c>
      <c r="AY78" s="2">
        <v>100</v>
      </c>
      <c r="AZ78" s="2" t="s">
        <v>98</v>
      </c>
      <c r="BA78" s="9" t="str">
        <f>HYPERLINK(".\links\REFSEQ-INVERTEBRATE\AGAP001427-PA-REFSEQ-INVERTEBRATE.txt","AGAP001427-PA")</f>
        <v>AGAP001427-PA</v>
      </c>
      <c r="BB78" s="2" t="str">
        <f>HYPERLINK("http://www.ncbi.nlm.nih.gov/sutils/blink.cgi?pid=XP_321703.5","0.0")</f>
        <v>0.0</v>
      </c>
      <c r="BC78" s="2" t="str">
        <f>HYPERLINK("http://www.ncbi.nlm.nih.gov/protein/XP_321703.5","XP_321703.5")</f>
        <v>XP_321703.5</v>
      </c>
      <c r="BD78" s="2">
        <v>100</v>
      </c>
      <c r="BE78" s="2">
        <v>100</v>
      </c>
      <c r="BF78" s="2">
        <v>100</v>
      </c>
      <c r="BG78" s="2" t="s">
        <v>98</v>
      </c>
      <c r="BH78" s="9" t="str">
        <f>HYPERLINK(".\links\REFSEQ-PROTOZOA\AGAP001427-PA-REFSEQ-PROTOZOA.txt","uncharacterized protein, partial")</f>
        <v>uncharacterized protein, partial</v>
      </c>
      <c r="BI78" s="2" t="str">
        <f>HYPERLINK("http://www.ncbi.nlm.nih.gov/sutils/blink.cgi?pid=XP_003886575.1","1E-059")</f>
        <v>1E-059</v>
      </c>
      <c r="BJ78" s="2" t="str">
        <f>HYPERLINK("http://www.ncbi.nlm.nih.gov/protein/XP_003886575.1","XP_003886575.1")</f>
        <v>XP_003886575.1</v>
      </c>
      <c r="BK78" s="2">
        <v>20</v>
      </c>
      <c r="BL78" s="2">
        <v>37</v>
      </c>
      <c r="BM78" s="2">
        <v>47</v>
      </c>
      <c r="BN78" s="2" t="s">
        <v>916</v>
      </c>
      <c r="BO78" s="9" t="str">
        <f>HYPERLINK(".\links\SWISSP\AGAP001427-PA-SWISSP.txt","Serine-rich adhesin for platelets")</f>
        <v>Serine-rich adhesin for platelets</v>
      </c>
      <c r="BP78" s="2" t="str">
        <f>HYPERLINK("http://www.uniprot.org/uniprot/Q4L9P0","3E-053")</f>
        <v>3E-053</v>
      </c>
      <c r="BQ78" s="2" t="str">
        <f>HYPERLINK("http://www.uniprot.org/uniprot/Q4L9P0#expression","Q4L9P0")</f>
        <v>Q4L9P0</v>
      </c>
      <c r="BR78" s="2">
        <v>18</v>
      </c>
      <c r="BS78" s="2">
        <v>36</v>
      </c>
      <c r="BT78" s="2">
        <v>82</v>
      </c>
      <c r="BU78" s="2" t="s">
        <v>1051</v>
      </c>
      <c r="BV78" s="9" t="str">
        <f>HYPERLINK(".\links\FLYBASE\AGAP001427-PA-FLYBASE.txt","FBpp0112322")</f>
        <v>FBpp0112322</v>
      </c>
      <c r="BW78" s="2" t="str">
        <f>HYPERLINK("http://flybase.org/reports/FBgn0051635#alliance_summary_container","7E-75")</f>
        <v>7E-75</v>
      </c>
      <c r="BX78" s="2">
        <v>1782</v>
      </c>
      <c r="BY78" s="2">
        <v>49</v>
      </c>
      <c r="BZ78" s="2">
        <v>70</v>
      </c>
      <c r="CA78" s="2">
        <v>15</v>
      </c>
      <c r="CB78" s="9" t="str">
        <f>HYPERLINK(".\links\CDD\AGAP001427-PA-CDD.txt","LRR_RI, Leucine-rich repeats (LRRs), ribonuclease inhibitor (RI)-like subfamily")</f>
        <v>LRR_RI, Leucine-rich repeats (LRRs), ribonuclease inhibitor (RI)-like subfamily</v>
      </c>
      <c r="CC78" s="13">
        <v>8.9999999999999996E-17</v>
      </c>
      <c r="CD78" s="2">
        <v>55.2</v>
      </c>
      <c r="CE78" s="2" t="s">
        <v>1052</v>
      </c>
      <c r="CF78" s="2" t="s">
        <v>1053</v>
      </c>
      <c r="CG78" s="9" t="str">
        <f>HYPERLINK(".\links\KOG\AGAP001427-PA-KOG.txt","Ribonuclease inhibitor type leucine-rich repeat proteins")</f>
        <v>Ribonuclease inhibitor type leucine-rich repeat proteins</v>
      </c>
      <c r="CH78" s="13">
        <v>8.0000000000000006E-15</v>
      </c>
      <c r="CI78" s="2">
        <v>74.5</v>
      </c>
      <c r="CJ78" s="2" t="s">
        <v>1054</v>
      </c>
      <c r="CK78" s="2" t="s">
        <v>372</v>
      </c>
      <c r="CL78" s="9" t="str">
        <f>HYPERLINK(".\links\PFAM\AGAP001427-PA-PFAM.txt","PAT1, Topoisomerase II-associated protein PAT1")</f>
        <v>PAT1, Topoisomerase II-associated protein PAT1</v>
      </c>
      <c r="CM78" s="13">
        <v>3E-10</v>
      </c>
      <c r="CN78" s="2">
        <v>17.399999999999999</v>
      </c>
      <c r="CO78" s="2" t="s">
        <v>1055</v>
      </c>
      <c r="CP78" s="9" t="str">
        <f>HYPERLINK(".\links\SMART\AGAP001427-PA-SMART.txt","Amelogenin, Amelogenins, cell adhesion proteins, play a role in the biomineralisation of teeth")</f>
        <v>Amelogenin, Amelogenins, cell adhesion proteins, play a role in the biomineralisation of teeth</v>
      </c>
      <c r="CQ78" s="13">
        <v>6.9999999999999998E-9</v>
      </c>
      <c r="CR78" s="2">
        <v>63</v>
      </c>
      <c r="CS78" s="2" t="s">
        <v>421</v>
      </c>
      <c r="CT78" s="2" t="s">
        <v>1049</v>
      </c>
      <c r="CU78" s="2" t="s">
        <v>1049</v>
      </c>
      <c r="CV78" s="2" t="s">
        <v>1049</v>
      </c>
      <c r="CW78" s="2" t="str">
        <f>HYPERLINK(".\links\pep\AGAP001427-PA-pep.txt","AGAP001427-PA")</f>
        <v>AGAP001427-PA</v>
      </c>
      <c r="CX78" s="2" t="s">
        <v>88</v>
      </c>
      <c r="CY78" s="2">
        <v>2907</v>
      </c>
      <c r="CZ78" s="2" t="s">
        <v>106</v>
      </c>
      <c r="DA78" s="2" t="s">
        <v>1056</v>
      </c>
      <c r="DB78" s="2">
        <v>0</v>
      </c>
      <c r="DC78" s="2">
        <v>2</v>
      </c>
      <c r="DD78" s="2" t="str">
        <f>HYPERLINK("https://www.kegg.jp/kegg-bin/search_pathway_text?map=aga&amp;keyword=AGAP001427&amp;mode=1&amp;viewImage=true","AGAP001427")</f>
        <v>AGAP001427</v>
      </c>
      <c r="DE78" s="2" t="s">
        <v>1047</v>
      </c>
      <c r="DF78" s="2" t="s">
        <v>167</v>
      </c>
      <c r="DG78" s="2" t="s">
        <v>87</v>
      </c>
      <c r="DH78" s="2" t="str">
        <f>HYPERLINK("https://vectorbase.org/vectorbase/app/record/gene/AGAP001427","AGAP001427-RA")</f>
        <v>AGAP001427-RA</v>
      </c>
      <c r="DI78" s="2" t="s">
        <v>250</v>
      </c>
      <c r="DJ78" s="2">
        <v>13309</v>
      </c>
      <c r="DK78" s="2" t="str">
        <f>HYPERLINK(".\links\netoglyc\AGAP001427-PA-netoglyc.txt","81")</f>
        <v>81</v>
      </c>
      <c r="DL78" s="2">
        <v>23.1</v>
      </c>
      <c r="DM78" s="2">
        <v>6.3</v>
      </c>
      <c r="DN78" s="2">
        <v>8.3000000000000007</v>
      </c>
      <c r="DO78" s="2" t="s">
        <v>97</v>
      </c>
      <c r="DP78" s="2" t="s">
        <v>94</v>
      </c>
      <c r="DQ78" s="2" t="str">
        <f>HYPERLINK(".\links\Sigp\AGAP001427-PA-SigP.txt","CYT")</f>
        <v>CYT</v>
      </c>
      <c r="DR78" s="2" t="s">
        <v>94</v>
      </c>
      <c r="DS78" s="2">
        <v>303.10599999999999</v>
      </c>
      <c r="DT78" s="2">
        <v>4.72</v>
      </c>
      <c r="DU78" s="2" t="s">
        <v>94</v>
      </c>
      <c r="DV78" s="2" t="s">
        <v>94</v>
      </c>
      <c r="DW78" s="2" t="s">
        <v>463</v>
      </c>
      <c r="DX78" s="2">
        <v>2907</v>
      </c>
      <c r="DY78" s="8">
        <v>0</v>
      </c>
      <c r="DZ78" s="2" t="s">
        <v>94</v>
      </c>
      <c r="EA78" s="2" t="s">
        <v>94</v>
      </c>
      <c r="EB78" s="2" t="s">
        <v>94</v>
      </c>
      <c r="EC78" s="2" t="str">
        <f>HYPERLINK(".\links\gpi\AGAP001427-PA-gpi.txt","Y-NoSP")</f>
        <v>Y-NoSP</v>
      </c>
      <c r="ED78" s="2">
        <v>0.3</v>
      </c>
      <c r="EF78" s="2">
        <v>35</v>
      </c>
      <c r="EG78" s="2" t="str">
        <f>HYPERLINK(".\links\pep\AGAP001427-PA-sulf.txt","5")</f>
        <v>5</v>
      </c>
      <c r="EH78" s="2" t="s">
        <v>94</v>
      </c>
      <c r="EI78" s="2">
        <v>23.082215342277301</v>
      </c>
      <c r="EJ78" s="2">
        <v>8.2903336773305796</v>
      </c>
      <c r="EK78" s="2">
        <v>6.3295493636050901</v>
      </c>
      <c r="EL78" s="2">
        <v>14.619883040935701</v>
      </c>
      <c r="EM78" s="2">
        <v>5</v>
      </c>
      <c r="EN78" s="2">
        <v>7</v>
      </c>
      <c r="EO78" s="2">
        <v>10</v>
      </c>
      <c r="EP78" s="2" t="s">
        <v>94</v>
      </c>
      <c r="EQ78" s="2" t="s">
        <v>94</v>
      </c>
      <c r="ER78" s="2" t="s">
        <v>94</v>
      </c>
      <c r="ES78" s="2" t="s">
        <v>94</v>
      </c>
      <c r="ET78" s="2" t="str">
        <f>HYPERLINK(".\links\REFSEQ-INVERTEBRATE\AGAP001427-PA-REFSEQ-INVERTEBRATE.txt","AGAP001427-PA")</f>
        <v>AGAP001427-PA</v>
      </c>
      <c r="EU78" s="2" t="str">
        <f>HYPERLINK("http://www.ncbi.nlm.nih.gov/sutils/blink.cgi?pid=XP_321703.5","0.0")</f>
        <v>0.0</v>
      </c>
      <c r="EV78" s="2" t="str">
        <f>HYPERLINK("http://www.ncbi.nlm.nih.gov/protein/XP_321703.5","XP_321703.5")</f>
        <v>XP_321703.5</v>
      </c>
      <c r="EW78" s="2">
        <v>100</v>
      </c>
      <c r="EX78" s="2">
        <v>100</v>
      </c>
      <c r="EY78" s="2">
        <v>100</v>
      </c>
      <c r="EZ78" s="2" t="s">
        <v>98</v>
      </c>
    </row>
    <row r="79" spans="1:156" x14ac:dyDescent="0.25">
      <c r="A79" s="2" t="s">
        <v>1057</v>
      </c>
      <c r="B79" s="2">
        <v>0.89194945731227404</v>
      </c>
      <c r="C79" s="2">
        <v>1.8556819407306098</v>
      </c>
      <c r="D79" s="2">
        <v>5.3478442656851302</v>
      </c>
      <c r="E79" s="2">
        <v>13.4383391477436</v>
      </c>
      <c r="F79" s="2">
        <v>2.4653378224934099E-4</v>
      </c>
      <c r="G79" s="2">
        <v>1.37956803475268E-2</v>
      </c>
      <c r="H79" s="2" t="s">
        <v>1058</v>
      </c>
      <c r="I79" s="2" t="s">
        <v>87</v>
      </c>
      <c r="J79" s="2" t="str">
        <f>HYPERLINK("https://vectorbase.org/vectorbase/app/record/gene/AGAP001601","AGAP001601-RA")</f>
        <v>AGAP001601-RA</v>
      </c>
      <c r="K79" s="2" t="str">
        <f>HYPERLINK(".\links\pep\AGAP001601-PA-pep.txt","AGAP001601-PA")</f>
        <v>AGAP001601-PA</v>
      </c>
      <c r="L79" s="8" t="s">
        <v>88</v>
      </c>
      <c r="M79" s="2">
        <v>566</v>
      </c>
      <c r="N79" s="2">
        <v>0</v>
      </c>
      <c r="O79" s="2">
        <v>1</v>
      </c>
      <c r="P79" s="2" t="s">
        <v>1059</v>
      </c>
      <c r="Q79" s="9" t="s">
        <v>1060</v>
      </c>
      <c r="R79" s="2" t="s">
        <v>1061</v>
      </c>
      <c r="S79" s="2" t="str">
        <f>HYPERLINK(".\links\CDD\AGAP001601-PA-CDD.txt","CDD")</f>
        <v>CDD</v>
      </c>
      <c r="T79" s="2">
        <v>0</v>
      </c>
      <c r="U79" s="2">
        <v>101.4</v>
      </c>
      <c r="V79" s="2" t="s">
        <v>1062</v>
      </c>
      <c r="W79" s="10" t="s">
        <v>1063</v>
      </c>
      <c r="X79" s="2" t="s">
        <v>1064</v>
      </c>
      <c r="Y79" s="2" t="str">
        <f>HYPERLINK(".\links\COG\AGAP001601-PA-COG.txt","COG")</f>
        <v>COG</v>
      </c>
      <c r="Z79" s="13">
        <v>7.0000000000000001E-49</v>
      </c>
      <c r="AA79" s="2">
        <v>99.6</v>
      </c>
      <c r="AB79" s="11" t="str">
        <f>HYPERLINK(".\links\pep\AGAP001601-PA-sulf.txt","1")</f>
        <v>1</v>
      </c>
      <c r="AC79" s="11" t="str">
        <f>HYPERLINK(".\links\Sigp\AGAP001601-PA-SigP.txt","SIG")</f>
        <v>SIG</v>
      </c>
      <c r="AD79" s="2" t="s">
        <v>1065</v>
      </c>
      <c r="AE79" s="2">
        <v>63.189</v>
      </c>
      <c r="AF79" s="2">
        <v>5.3</v>
      </c>
      <c r="AG79" s="2">
        <v>60.51</v>
      </c>
      <c r="AH79" s="2">
        <v>5.24</v>
      </c>
      <c r="AI79" s="2" t="s">
        <v>1066</v>
      </c>
      <c r="AJ79" s="11">
        <v>0</v>
      </c>
      <c r="AK79" s="2" t="s">
        <v>94</v>
      </c>
      <c r="AL79" s="2" t="s">
        <v>94</v>
      </c>
      <c r="AM79" s="2" t="s">
        <v>94</v>
      </c>
      <c r="AN79" s="11" t="str">
        <f>HYPERLINK(".\links\gpi\AGAP001601-PA-gpi.txt","N")</f>
        <v>N</v>
      </c>
      <c r="AO79" s="12" t="str">
        <f>HYPERLINK(".\links\netoglyc\AGAP001601-PA-netoglyc.txt","0")</f>
        <v>0</v>
      </c>
      <c r="AP79" s="11">
        <v>11</v>
      </c>
      <c r="AQ79" s="2">
        <v>8.3000000000000007</v>
      </c>
      <c r="AR79" s="2">
        <v>4.2</v>
      </c>
      <c r="AS79" s="2">
        <v>0.5</v>
      </c>
      <c r="AT79" s="9" t="str">
        <f>HYPERLINK(".\links\NR-LIGHT\AGAP001601-PA-NR-LIGHT.txt","AGAP001601-PA")</f>
        <v>AGAP001601-PA</v>
      </c>
      <c r="AU79" s="2" t="str">
        <f>HYPERLINK("http://www.ncbi.nlm.nih.gov/sutils/blink.cgi?pid=XP_321497.2","0.0")</f>
        <v>0.0</v>
      </c>
      <c r="AV79" s="2" t="str">
        <f>HYPERLINK("http://www.ncbi.nlm.nih.gov/protein/XP_321497.2","XP_321497.2")</f>
        <v>XP_321497.2</v>
      </c>
      <c r="AW79" s="2">
        <v>100</v>
      </c>
      <c r="AX79" s="2">
        <v>100</v>
      </c>
      <c r="AY79" s="2">
        <v>100</v>
      </c>
      <c r="AZ79" s="2" t="s">
        <v>98</v>
      </c>
      <c r="BA79" s="9" t="str">
        <f>HYPERLINK(".\links\REFSEQ-INVERTEBRATE\AGAP001601-PA-REFSEQ-INVERTEBRATE.txt","AGAP001601-PA")</f>
        <v>AGAP001601-PA</v>
      </c>
      <c r="BB79" s="2" t="str">
        <f>HYPERLINK("http://www.ncbi.nlm.nih.gov/sutils/blink.cgi?pid=XP_321497.2","0.0")</f>
        <v>0.0</v>
      </c>
      <c r="BC79" s="2" t="str">
        <f>HYPERLINK("http://www.ncbi.nlm.nih.gov/protein/XP_321497.2","XP_321497.2")</f>
        <v>XP_321497.2</v>
      </c>
      <c r="BD79" s="2">
        <v>100</v>
      </c>
      <c r="BE79" s="2">
        <v>100</v>
      </c>
      <c r="BF79" s="2">
        <v>100</v>
      </c>
      <c r="BG79" s="2" t="s">
        <v>98</v>
      </c>
      <c r="BH79" s="9" t="str">
        <f>HYPERLINK(".\links\REFSEQ-PROTOZOA\AGAP001601-PA-REFSEQ-PROTOZOA.txt","hypothetical protein SARC_10046")</f>
        <v>hypothetical protein SARC_10046</v>
      </c>
      <c r="BI79" s="2" t="str">
        <f>HYPERLINK("http://www.ncbi.nlm.nih.gov/sutils/blink.cgi?pid=XP_014151397.1","2E-073")</f>
        <v>2E-073</v>
      </c>
      <c r="BJ79" s="2" t="str">
        <f>HYPERLINK("http://www.ncbi.nlm.nih.gov/protein/XP_014151397.1","XP_014151397.1")</f>
        <v>XP_014151397.1</v>
      </c>
      <c r="BK79" s="2">
        <v>31</v>
      </c>
      <c r="BL79" s="2">
        <v>51</v>
      </c>
      <c r="BM79" s="2">
        <v>83</v>
      </c>
      <c r="BN79" s="2" t="s">
        <v>368</v>
      </c>
      <c r="BO79" s="9" t="str">
        <f>HYPERLINK(".\links\SWISSP\AGAP001601-PA-SWISSP.txt","Apyrase")</f>
        <v>Apyrase</v>
      </c>
      <c r="BP79" s="2" t="str">
        <f>HYPERLINK("http://www.uniprot.org/uniprot/B3A0N5","1E-136")</f>
        <v>1E-136</v>
      </c>
      <c r="BQ79" s="2" t="str">
        <f>HYPERLINK("http://www.uniprot.org/uniprot/B3A0N5#expression","B3A0N5")</f>
        <v>B3A0N5</v>
      </c>
      <c r="BR79" s="2">
        <v>45</v>
      </c>
      <c r="BS79" s="2">
        <v>66</v>
      </c>
      <c r="BT79" s="2">
        <v>95</v>
      </c>
      <c r="BU79" s="2" t="s">
        <v>1067</v>
      </c>
      <c r="BV79" s="9" t="str">
        <f>HYPERLINK(".\links\FLYBASE\AGAP001601-PA-FLYBASE.txt","FBpp0288787")</f>
        <v>FBpp0288787</v>
      </c>
      <c r="BW79" s="2" t="str">
        <f>HYPERLINK("http://flybase.org/reports/FBgn0259101#alliance_summary_container","1E-176")</f>
        <v>1E-176</v>
      </c>
      <c r="BX79" s="2">
        <v>557</v>
      </c>
      <c r="BY79" s="2">
        <v>47</v>
      </c>
      <c r="BZ79" s="2">
        <v>65</v>
      </c>
      <c r="CA79" s="2">
        <v>96</v>
      </c>
      <c r="CB79" s="9" t="str">
        <f>HYPERLINK(".\links\CDD\AGAP001601-PA-CDD.txt","MPP_CD73_N, CD73 ecto-5'-nucleotidase and related proteins, N-terminal metallophosphatase domain")</f>
        <v>MPP_CD73_N, CD73 ecto-5'-nucleotidase and related proteins, N-terminal metallophosphatase domain</v>
      </c>
      <c r="CC79" s="13">
        <v>9.9999999999999998E-121</v>
      </c>
      <c r="CD79" s="2">
        <v>101.4</v>
      </c>
      <c r="CE79" s="2" t="s">
        <v>1068</v>
      </c>
      <c r="CF79" s="2" t="s">
        <v>1069</v>
      </c>
      <c r="CG79" s="9" t="str">
        <f>HYPERLINK(".\links\KOG\AGAP001601-PA-KOG.txt","5' nucleotidase")</f>
        <v>5' nucleotidase</v>
      </c>
      <c r="CH79" s="13">
        <v>3.0000000000000001E-73</v>
      </c>
      <c r="CI79" s="2">
        <v>93.4</v>
      </c>
      <c r="CJ79" s="2" t="s">
        <v>1070</v>
      </c>
      <c r="CK79" s="2" t="s">
        <v>1071</v>
      </c>
      <c r="CL79" s="9" t="str">
        <f>HYPERLINK(".\links\PFAM\AGAP001601-PA-PFAM.txt","5_nucleotid_C, 5'-nucleotidase, C-terminal domain")</f>
        <v>5_nucleotid_C, 5'-nucleotidase, C-terminal domain</v>
      </c>
      <c r="CM79" s="13">
        <v>3.9999999999999998E-38</v>
      </c>
      <c r="CN79" s="2">
        <v>112.4</v>
      </c>
      <c r="CO79" s="2" t="s">
        <v>1072</v>
      </c>
      <c r="CP79" s="9" t="str">
        <f>HYPERLINK(".\links\SMART\AGAP001601-PA-SMART.txt","PGA_cap, Bacterial capsule synthesis protein PGA_cap")</f>
        <v>PGA_cap, Bacterial capsule synthesis protein PGA_cap</v>
      </c>
      <c r="CQ79" s="13">
        <v>1.0000000000000001E-9</v>
      </c>
      <c r="CR79" s="2">
        <v>64.400000000000006</v>
      </c>
      <c r="CS79" s="2" t="s">
        <v>1073</v>
      </c>
      <c r="CT79" s="2" t="s">
        <v>1062</v>
      </c>
      <c r="CU79" s="2" t="s">
        <v>1062</v>
      </c>
      <c r="CV79" s="2" t="s">
        <v>1062</v>
      </c>
      <c r="CW79" s="2" t="str">
        <f>HYPERLINK(".\links\pep\AGAP001601-PA-pep.txt","AGAP001601-PA")</f>
        <v>AGAP001601-PA</v>
      </c>
      <c r="CX79" s="2" t="s">
        <v>88</v>
      </c>
      <c r="CY79" s="2">
        <v>566</v>
      </c>
      <c r="CZ79" s="2" t="s">
        <v>106</v>
      </c>
      <c r="DA79" s="2" t="s">
        <v>1074</v>
      </c>
      <c r="DB79" s="2">
        <v>0</v>
      </c>
      <c r="DC79" s="2">
        <v>1</v>
      </c>
      <c r="DD79" s="2" t="str">
        <f>HYPERLINK("https://www.kegg.jp/kegg-bin/search_pathway_text?map=aga&amp;keyword=AGAP001601&amp;mode=1&amp;viewImage=true","AGAP001601")</f>
        <v>AGAP001601</v>
      </c>
      <c r="DE79" s="2" t="s">
        <v>1057</v>
      </c>
      <c r="DF79" s="2" t="s">
        <v>1058</v>
      </c>
      <c r="DG79" s="2" t="s">
        <v>87</v>
      </c>
      <c r="DH79" s="2" t="str">
        <f>HYPERLINK("https://vectorbase.org/vectorbase/app/record/gene/AGAP001601","AGAP001601-RA")</f>
        <v>AGAP001601-RA</v>
      </c>
      <c r="DI79" s="2" t="s">
        <v>108</v>
      </c>
      <c r="DJ79" s="2">
        <v>2044</v>
      </c>
      <c r="DK79" s="2" t="str">
        <f>HYPERLINK(".\links\netoglyc\AGAP001601-PA-netoglyc.txt","0")</f>
        <v>0</v>
      </c>
      <c r="DL79" s="2">
        <v>11</v>
      </c>
      <c r="DM79" s="2">
        <v>8.3000000000000007</v>
      </c>
      <c r="DN79" s="2">
        <v>4.2</v>
      </c>
      <c r="DO79" s="2">
        <v>0.5</v>
      </c>
      <c r="DP79" s="2" t="s">
        <v>94</v>
      </c>
      <c r="DQ79" s="2" t="str">
        <f>HYPERLINK(".\links\Sigp\AGAP001601-PA-SigP.txt","SIG")</f>
        <v>SIG</v>
      </c>
      <c r="DR79" s="2" t="s">
        <v>1065</v>
      </c>
      <c r="DS79" s="2">
        <v>63.189</v>
      </c>
      <c r="DT79" s="2">
        <v>5.3</v>
      </c>
      <c r="DU79" s="2">
        <v>60.51</v>
      </c>
      <c r="DV79" s="2">
        <v>5.24</v>
      </c>
      <c r="DW79" s="2" t="s">
        <v>1066</v>
      </c>
      <c r="DX79" s="2">
        <v>566</v>
      </c>
      <c r="DY79" s="8">
        <v>0</v>
      </c>
      <c r="DZ79" s="2" t="s">
        <v>94</v>
      </c>
      <c r="EA79" s="2" t="s">
        <v>94</v>
      </c>
      <c r="EB79" s="2" t="s">
        <v>94</v>
      </c>
      <c r="EC79" s="2" t="str">
        <f>HYPERLINK(".\links\gpi\AGAP001601-PA-gpi.txt","N")</f>
        <v>N</v>
      </c>
      <c r="ED79" s="2">
        <v>0.26</v>
      </c>
      <c r="EF79" s="2">
        <v>13</v>
      </c>
      <c r="EG79" s="2" t="str">
        <f>HYPERLINK(".\links\pep\AGAP001601-PA-sulf.txt","1")</f>
        <v>1</v>
      </c>
      <c r="EH79" s="2" t="s">
        <v>94</v>
      </c>
      <c r="EI79" s="2">
        <v>10.9540636042403</v>
      </c>
      <c r="EJ79" s="2">
        <v>4.2402826855123701</v>
      </c>
      <c r="EK79" s="2">
        <v>8.3038869257950498</v>
      </c>
      <c r="EL79" s="2">
        <v>12.544169611307399</v>
      </c>
      <c r="EM79" s="2">
        <v>1</v>
      </c>
      <c r="EN79" s="2" t="s">
        <v>94</v>
      </c>
      <c r="EO79" s="2">
        <v>1</v>
      </c>
      <c r="EP79" s="2" t="s">
        <v>94</v>
      </c>
      <c r="EQ79" s="2" t="s">
        <v>94</v>
      </c>
      <c r="ER79" s="2" t="s">
        <v>94</v>
      </c>
      <c r="ES79" s="2" t="s">
        <v>94</v>
      </c>
      <c r="ET79" s="2" t="str">
        <f>HYPERLINK(".\links\REFSEQ-INVERTEBRATE\AGAP001601-PA-REFSEQ-INVERTEBRATE.txt","AGAP001601-PA")</f>
        <v>AGAP001601-PA</v>
      </c>
      <c r="EU79" s="2" t="str">
        <f>HYPERLINK("http://www.ncbi.nlm.nih.gov/sutils/blink.cgi?pid=XP_321497.2","0.0")</f>
        <v>0.0</v>
      </c>
      <c r="EV79" s="2" t="str">
        <f>HYPERLINK("http://www.ncbi.nlm.nih.gov/protein/XP_321497.2","XP_321497.2")</f>
        <v>XP_321497.2</v>
      </c>
      <c r="EW79" s="2">
        <v>100</v>
      </c>
      <c r="EX79" s="2">
        <v>100</v>
      </c>
      <c r="EY79" s="2">
        <v>100</v>
      </c>
      <c r="EZ79" s="2" t="s">
        <v>98</v>
      </c>
    </row>
    <row r="80" spans="1:156" x14ac:dyDescent="0.25">
      <c r="A80" s="2" t="s">
        <v>1075</v>
      </c>
      <c r="B80" s="2">
        <v>0.889886638990945</v>
      </c>
      <c r="C80" s="2">
        <v>1.8530305145867789</v>
      </c>
      <c r="D80" s="2">
        <v>2.9197780357162202</v>
      </c>
      <c r="E80" s="2">
        <v>17.020073891006199</v>
      </c>
      <c r="F80" s="2">
        <v>3.6986713495499602E-5</v>
      </c>
      <c r="G80" s="2">
        <v>3.4292485247739198E-3</v>
      </c>
      <c r="H80" s="2" t="s">
        <v>1076</v>
      </c>
      <c r="I80" s="2" t="s">
        <v>94</v>
      </c>
      <c r="J80" s="2" t="str">
        <f>HYPERLINK("https://vectorbase.org/vectorbase/app/record/gene/AGAP029720","AGAP029720-RA")</f>
        <v>AGAP029720-RA</v>
      </c>
      <c r="K80" s="2" t="str">
        <f>HYPERLINK(".\links\pep\AGAP029720-PA-pep.txt","AGAP029720-PA")</f>
        <v>AGAP029720-PA</v>
      </c>
      <c r="L80" s="8" t="s">
        <v>88</v>
      </c>
      <c r="M80" s="2">
        <v>467</v>
      </c>
      <c r="N80" s="2">
        <v>0</v>
      </c>
      <c r="O80" s="2">
        <v>2</v>
      </c>
      <c r="P80" s="2" t="s">
        <v>1077</v>
      </c>
      <c r="Q80" s="9" t="s">
        <v>1078</v>
      </c>
      <c r="R80" s="2" t="s">
        <v>113</v>
      </c>
      <c r="S80" s="2" t="str">
        <f>HYPERLINK(".\links\KOG\AGAP029720-PA-KOG.txt","KOG")</f>
        <v>KOG</v>
      </c>
      <c r="T80" s="2">
        <v>0</v>
      </c>
      <c r="U80" s="2">
        <v>100.6</v>
      </c>
      <c r="V80" s="2" t="s">
        <v>1079</v>
      </c>
      <c r="W80" s="10" t="s">
        <v>1080</v>
      </c>
      <c r="X80" s="2" t="s">
        <v>113</v>
      </c>
      <c r="Y80" s="2" t="str">
        <f>HYPERLINK(".\links\KOG\AGAP029720-PA-KOG.txt","KOG")</f>
        <v>KOG</v>
      </c>
      <c r="Z80" s="13">
        <v>0</v>
      </c>
      <c r="AA80" s="2">
        <v>100.2</v>
      </c>
      <c r="AB80" s="11" t="str">
        <f>HYPERLINK(".\links\pep\AGAP029720-PA-sulf.txt","2")</f>
        <v>2</v>
      </c>
      <c r="AC80" s="11" t="str">
        <f>HYPERLINK(".\links\Sigp\AGAP029720-PA-SigP.txt","CYT")</f>
        <v>CYT</v>
      </c>
      <c r="AD80" s="2" t="s">
        <v>94</v>
      </c>
      <c r="AE80" s="2">
        <v>51.231000000000002</v>
      </c>
      <c r="AF80" s="2">
        <v>5.94</v>
      </c>
      <c r="AG80" s="2" t="s">
        <v>94</v>
      </c>
      <c r="AH80" s="2" t="s">
        <v>94</v>
      </c>
      <c r="AI80" s="2" t="s">
        <v>1081</v>
      </c>
      <c r="AJ80" s="11" t="str">
        <f>HYPERLINK(".\links\tmhmm\AGAP029720-PA-tmhmm.txt","10")</f>
        <v>10</v>
      </c>
      <c r="AK80" s="2">
        <v>45</v>
      </c>
      <c r="AL80" s="2">
        <v>35.5</v>
      </c>
      <c r="AM80" s="2">
        <v>19.5</v>
      </c>
      <c r="AN80" s="9" t="str">
        <f>HYPERLINK(".\links\gpi\AGAP029720-PA-gpi.txt","N")</f>
        <v>N</v>
      </c>
      <c r="AO80" s="12" t="str">
        <f>HYPERLINK(".\links\netoglyc\AGAP029720-PA-netoglyc.txt","0")</f>
        <v>0</v>
      </c>
      <c r="AP80" s="11">
        <v>11.8</v>
      </c>
      <c r="AQ80" s="2">
        <v>8.4</v>
      </c>
      <c r="AR80" s="2">
        <v>5.0999999999999996</v>
      </c>
      <c r="AS80" s="2" t="s">
        <v>97</v>
      </c>
      <c r="AT80" s="9" t="str">
        <f>HYPERLINK(".\links\NR-LIGHT\AGAP029720-PA-NR-LIGHT.txt","amino acid transporter")</f>
        <v>amino acid transporter</v>
      </c>
      <c r="AU80" s="2" t="str">
        <f>HYPERLINK("http://www.ncbi.nlm.nih.gov/sutils/blink.cgi?pid=ETN67041.1","0.0")</f>
        <v>0.0</v>
      </c>
      <c r="AV80" s="2" t="str">
        <f>HYPERLINK("http://www.ncbi.nlm.nih.gov/protein/ETN67041.1","ETN67041.1")</f>
        <v>ETN67041.1</v>
      </c>
      <c r="AW80" s="2">
        <v>92</v>
      </c>
      <c r="AX80" s="2">
        <v>96</v>
      </c>
      <c r="AY80" s="2">
        <v>100</v>
      </c>
      <c r="AZ80" s="2" t="s">
        <v>291</v>
      </c>
      <c r="BA80" s="9" t="str">
        <f>HYPERLINK(".\links\REFSEQ-INVERTEBRATE\AGAP029720-PA-REFSEQ-INVERTEBRATE.txt","proton-coupled amino acid transporter-like protein pathetic")</f>
        <v>proton-coupled amino acid transporter-like protein pathetic</v>
      </c>
      <c r="BB80" s="2" t="str">
        <f>HYPERLINK("http://www.ncbi.nlm.nih.gov/sutils/blink.cgi?pid=XP_021704528.1","0.0")</f>
        <v>0.0</v>
      </c>
      <c r="BC80" s="2" t="str">
        <f>HYPERLINK("http://www.ncbi.nlm.nih.gov/protein/XP_021704528.1","XP_021704528.1")</f>
        <v>XP_021704528.1</v>
      </c>
      <c r="BD80" s="2">
        <v>83</v>
      </c>
      <c r="BE80" s="2">
        <v>89</v>
      </c>
      <c r="BF80" s="2">
        <v>101</v>
      </c>
      <c r="BG80" s="2" t="s">
        <v>175</v>
      </c>
      <c r="BH80" s="9" t="str">
        <f>HYPERLINK(".\links\REFSEQ-PROTOZOA\AGAP029720-PA-REFSEQ-PROTOZOA.txt","hypothetical protein, partial")</f>
        <v>hypothetical protein, partial</v>
      </c>
      <c r="BI80" s="2" t="str">
        <f>HYPERLINK("http://www.ncbi.nlm.nih.gov/sutils/blink.cgi?pid=XP_001744195.1","1E-040")</f>
        <v>1E-040</v>
      </c>
      <c r="BJ80" s="2" t="str">
        <f>HYPERLINK("http://www.ncbi.nlm.nih.gov/protein/XP_001744195.1","XP_001744195.1")</f>
        <v>XP_001744195.1</v>
      </c>
      <c r="BK80" s="2">
        <v>28</v>
      </c>
      <c r="BL80" s="2">
        <v>50</v>
      </c>
      <c r="BM80" s="2">
        <v>99</v>
      </c>
      <c r="BN80" s="2" t="s">
        <v>704</v>
      </c>
      <c r="BO80" s="9" t="str">
        <f>HYPERLINK(".\links\SWISSP\AGAP029720-PA-SWISSP.txt","Proton-coupled amino acid transporter-like protein pathetic")</f>
        <v>Proton-coupled amino acid transporter-like protein pathetic</v>
      </c>
      <c r="BP80" s="2" t="str">
        <f>HYPERLINK("http://www.uniprot.org/uniprot/Q9VT04","1E-095")</f>
        <v>1E-095</v>
      </c>
      <c r="BQ80" s="2" t="str">
        <f>HYPERLINK("http://www.uniprot.org/uniprot/Q9VT04#expression","Q9VT04")</f>
        <v>Q9VT04</v>
      </c>
      <c r="BR80" s="2">
        <v>42</v>
      </c>
      <c r="BS80" s="2">
        <v>62</v>
      </c>
      <c r="BT80" s="2">
        <v>92</v>
      </c>
      <c r="BU80" s="2" t="s">
        <v>100</v>
      </c>
      <c r="BV80" s="9" t="str">
        <f>HYPERLINK(".\links\FLYBASE\AGAP029720-PA-FLYBASE.txt","FBpp0086994")</f>
        <v>FBpp0086994</v>
      </c>
      <c r="BW80" s="2" t="str">
        <f>HYPERLINK("http://flybase.org/reports/FBgn0033760#alliance_summary_container","0.0")</f>
        <v>0.0</v>
      </c>
      <c r="BX80" s="2">
        <v>474</v>
      </c>
      <c r="BY80" s="2">
        <v>63</v>
      </c>
      <c r="BZ80" s="2">
        <v>77</v>
      </c>
      <c r="CA80" s="2">
        <v>99</v>
      </c>
      <c r="CB80" s="9" t="str">
        <f>HYPERLINK(".\links\CDD\AGAP029720-PA-CDD.txt","Aa_trans, Transmembrane amino acid transporter protein")</f>
        <v>Aa_trans, Transmembrane amino acid transporter protein</v>
      </c>
      <c r="CC80" s="13">
        <v>1.9999999999999999E-48</v>
      </c>
      <c r="CD80" s="2">
        <v>101.7</v>
      </c>
      <c r="CE80" s="2" t="s">
        <v>1082</v>
      </c>
      <c r="CF80" s="2" t="s">
        <v>1083</v>
      </c>
      <c r="CG80" s="9" t="str">
        <f>HYPERLINK(".\links\KOG\AGAP029720-PA-KOG.txt","Amino acid transporters")</f>
        <v>Amino acid transporters</v>
      </c>
      <c r="CH80" s="13">
        <v>1.0000000000000001E-133</v>
      </c>
      <c r="CI80" s="2">
        <v>100.7</v>
      </c>
      <c r="CJ80" s="2" t="s">
        <v>1084</v>
      </c>
      <c r="CK80" s="2" t="s">
        <v>278</v>
      </c>
      <c r="CL80" s="9" t="str">
        <f>HYPERLINK(".\links\PFAM\AGAP029720-PA-PFAM.txt","Aa_trans, Transmembrane amino acid transporter protein")</f>
        <v>Aa_trans, Transmembrane amino acid transporter protein</v>
      </c>
      <c r="CM80" s="13">
        <v>3E-49</v>
      </c>
      <c r="CN80" s="2">
        <v>101.7</v>
      </c>
      <c r="CO80" s="2" t="s">
        <v>1082</v>
      </c>
      <c r="CP80" s="9" t="str">
        <f>HYPERLINK(".\links\SMART\AGAP029720-PA-SMART.txt","IL7, Interleukin-7 and interleukin-9 family")</f>
        <v>IL7, Interleukin-7 and interleukin-9 family</v>
      </c>
      <c r="CQ80" s="13">
        <v>1.5</v>
      </c>
      <c r="CR80" s="2">
        <v>17.8</v>
      </c>
      <c r="CS80" s="2" t="s">
        <v>1085</v>
      </c>
      <c r="CT80" s="2" t="s">
        <v>1079</v>
      </c>
      <c r="CU80" s="2" t="s">
        <v>1079</v>
      </c>
      <c r="CV80" s="2" t="s">
        <v>1079</v>
      </c>
      <c r="CW80" s="2" t="str">
        <f>HYPERLINK(".\links\pep\AGAP029720-PA-pep.txt","AGAP029720-PA")</f>
        <v>AGAP029720-PA</v>
      </c>
      <c r="CX80" s="2" t="s">
        <v>88</v>
      </c>
      <c r="CY80" s="2">
        <v>467</v>
      </c>
      <c r="CZ80" s="2" t="s">
        <v>106</v>
      </c>
      <c r="DA80" s="2">
        <v>0</v>
      </c>
      <c r="DB80" s="2">
        <v>2</v>
      </c>
      <c r="DD80" s="2" t="str">
        <f>HYPERLINK("https://www.kegg.jp/kegg-bin/search_pathway_text?map=aga&amp;keyword=AGAP029720&amp;mode=1&amp;viewImage=true","AGAP029720")</f>
        <v>AGAP029720</v>
      </c>
      <c r="DE80" s="2" t="s">
        <v>1075</v>
      </c>
      <c r="DF80" s="2" t="s">
        <v>1076</v>
      </c>
      <c r="DG80" s="2" t="s">
        <v>94</v>
      </c>
      <c r="DH80" s="2" t="str">
        <f>HYPERLINK("https://vectorbase.org/vectorbase/app/record/gene/AGAP029720","AGAP029720-RA")</f>
        <v>AGAP029720-RA</v>
      </c>
      <c r="DI80" s="2" t="s">
        <v>108</v>
      </c>
      <c r="DJ80" s="2">
        <v>2313</v>
      </c>
      <c r="DK80" s="2" t="str">
        <f>HYPERLINK(".\links\netoglyc\AGAP029720-PA-netoglyc.txt","0")</f>
        <v>0</v>
      </c>
      <c r="DL80" s="2">
        <v>11.8</v>
      </c>
      <c r="DM80" s="2">
        <v>8.4</v>
      </c>
      <c r="DN80" s="2">
        <v>5.0999999999999996</v>
      </c>
      <c r="DO80" s="2" t="s">
        <v>97</v>
      </c>
      <c r="DP80" s="2" t="s">
        <v>94</v>
      </c>
      <c r="DQ80" s="2" t="str">
        <f>HYPERLINK(".\links\Sigp\AGAP029720-PA-SigP.txt","CYT")</f>
        <v>CYT</v>
      </c>
      <c r="DR80" s="2" t="s">
        <v>94</v>
      </c>
      <c r="DS80" s="2">
        <v>51.231000000000002</v>
      </c>
      <c r="DT80" s="2">
        <v>5.94</v>
      </c>
      <c r="DU80" s="2" t="s">
        <v>94</v>
      </c>
      <c r="DV80" s="2" t="s">
        <v>94</v>
      </c>
      <c r="DW80" s="2" t="s">
        <v>1081</v>
      </c>
      <c r="DX80" s="2">
        <v>467</v>
      </c>
      <c r="DY80" s="8" t="str">
        <f>HYPERLINK(".\links\tmhmm\AGAP029720-PA-tmhmm.txt","10")</f>
        <v>10</v>
      </c>
      <c r="DZ80" s="2">
        <v>45</v>
      </c>
      <c r="EA80" s="2">
        <v>35.5</v>
      </c>
      <c r="EB80" s="2">
        <v>19.5</v>
      </c>
      <c r="EC80" s="2" t="str">
        <f>HYPERLINK(".\links\gpi\AGAP029720-PA-gpi.txt","N")</f>
        <v>N</v>
      </c>
      <c r="ED80" s="2">
        <v>0.32</v>
      </c>
      <c r="EF80" s="2">
        <v>6</v>
      </c>
      <c r="EG80" s="2" t="str">
        <f>HYPERLINK(".\links\pep\AGAP029720-PA-sulf.txt","2")</f>
        <v>2</v>
      </c>
      <c r="EH80" s="2" t="s">
        <v>94</v>
      </c>
      <c r="EI80" s="2">
        <v>11.7773019271949</v>
      </c>
      <c r="EJ80" s="2">
        <v>5.1391862955032099</v>
      </c>
      <c r="EK80" s="2">
        <v>8.3511777301927204</v>
      </c>
      <c r="EL80" s="2">
        <v>13.4903640256959</v>
      </c>
      <c r="EM80" s="2">
        <v>1</v>
      </c>
      <c r="EN80" s="2">
        <v>1</v>
      </c>
      <c r="EO80" s="2">
        <v>1</v>
      </c>
      <c r="EP80" s="2" t="s">
        <v>94</v>
      </c>
      <c r="EQ80" s="2" t="s">
        <v>94</v>
      </c>
      <c r="ER80" s="2" t="s">
        <v>94</v>
      </c>
      <c r="ES80" s="2" t="s">
        <v>94</v>
      </c>
      <c r="ET80" s="2" t="str">
        <f>HYPERLINK(".\links\REFSEQ-INVERTEBRATE\AGAP029720-PA-REFSEQ-INVERTEBRATE.txt","proton-coupled amino acid transporter-like protein pathetic")</f>
        <v>proton-coupled amino acid transporter-like protein pathetic</v>
      </c>
      <c r="EU80" s="2" t="str">
        <f>HYPERLINK("http://www.ncbi.nlm.nih.gov/sutils/blink.cgi?pid=XP_035902653.1","0.0")</f>
        <v>0.0</v>
      </c>
      <c r="EV80" s="2" t="str">
        <f>HYPERLINK("http://www.ncbi.nlm.nih.gov/protein/XP_035902653.1","XP_035902653.1")</f>
        <v>XP_035902653.1</v>
      </c>
      <c r="EW80" s="2">
        <v>96</v>
      </c>
      <c r="EX80" s="2">
        <v>98</v>
      </c>
      <c r="EY80" s="2">
        <v>100</v>
      </c>
      <c r="EZ80" s="2" t="s">
        <v>184</v>
      </c>
    </row>
    <row r="81" spans="1:156" x14ac:dyDescent="0.25">
      <c r="A81" s="2" t="s">
        <v>1086</v>
      </c>
      <c r="B81" s="2">
        <v>0.88366518931121896</v>
      </c>
      <c r="C81" s="2">
        <v>1.8450567476069717</v>
      </c>
      <c r="D81" s="2">
        <v>3.86451069530932</v>
      </c>
      <c r="E81" s="2">
        <v>16.597606511484202</v>
      </c>
      <c r="F81" s="2">
        <v>4.6209301290669501E-5</v>
      </c>
      <c r="G81" s="2">
        <v>4.0091868101455198E-3</v>
      </c>
      <c r="H81" s="2" t="s">
        <v>167</v>
      </c>
      <c r="I81" s="2" t="s">
        <v>87</v>
      </c>
      <c r="J81" s="2" t="str">
        <f>HYPERLINK("https://vectorbase.org/vectorbase/app/record/gene/AGAP029115","AGAP029115-RA")</f>
        <v>AGAP029115-RA</v>
      </c>
      <c r="K81" s="2" t="str">
        <f>HYPERLINK(".\links\pep\AGAP029115-PA-pep.txt","AGAP029115-PA")</f>
        <v>AGAP029115-PA</v>
      </c>
      <c r="L81" s="8" t="s">
        <v>88</v>
      </c>
      <c r="M81" s="2">
        <v>569</v>
      </c>
      <c r="N81" s="2">
        <v>0</v>
      </c>
      <c r="O81" s="2">
        <v>2</v>
      </c>
      <c r="P81" s="2" t="s">
        <v>94</v>
      </c>
      <c r="Q81" s="9" t="s">
        <v>1087</v>
      </c>
      <c r="R81" s="2" t="s">
        <v>1019</v>
      </c>
      <c r="S81" s="2" t="str">
        <f>HYPERLINK(".\links\REFSEQ-INVERTEBRATE\AGAP029115-PA-REFSEQ-INVERTEBRATE.txt","REFSEQ-INVERTEBRATE")</f>
        <v>REFSEQ-INVERTEBRATE</v>
      </c>
      <c r="T81" s="2">
        <v>0</v>
      </c>
      <c r="U81" s="2">
        <v>102.2</v>
      </c>
      <c r="V81" s="2" t="s">
        <v>1088</v>
      </c>
      <c r="W81" s="10" t="s">
        <v>1089</v>
      </c>
      <c r="X81" s="2" t="s">
        <v>1019</v>
      </c>
      <c r="Y81" s="2" t="str">
        <f>HYPERLINK(".\links\REFSEQ-INVERTEBRATE\AGAP029115-PA-REFSEQ-INVERTEBRATE.txt","REFSEQ-INVERTEBRATE")</f>
        <v>REFSEQ-INVERTEBRATE</v>
      </c>
      <c r="Z81" s="2">
        <v>0</v>
      </c>
      <c r="AA81" s="2">
        <v>103.1</v>
      </c>
      <c r="AB81" s="11" t="str">
        <f>HYPERLINK(".\links\pep\AGAP029115-PA-sulf.txt","1")</f>
        <v>1</v>
      </c>
      <c r="AC81" s="11" t="str">
        <f>HYPERLINK(".\links\Sigp\AGAP029115-PA-SigP.txt","CYT")</f>
        <v>CYT</v>
      </c>
      <c r="AD81" s="2" t="s">
        <v>94</v>
      </c>
      <c r="AE81" s="2">
        <v>60.881999999999998</v>
      </c>
      <c r="AF81" s="2">
        <v>9.32</v>
      </c>
      <c r="AG81" s="2" t="s">
        <v>94</v>
      </c>
      <c r="AH81" s="2" t="s">
        <v>94</v>
      </c>
      <c r="AI81" s="2" t="s">
        <v>1090</v>
      </c>
      <c r="AJ81" s="11" t="str">
        <f>HYPERLINK(".\links\tmhmm\AGAP029115-PA-tmhmm.txt","7")</f>
        <v>7</v>
      </c>
      <c r="AK81" s="2">
        <v>27.1</v>
      </c>
      <c r="AL81" s="2">
        <v>19.7</v>
      </c>
      <c r="AM81" s="2">
        <v>53.3</v>
      </c>
      <c r="AN81" s="9" t="str">
        <f>HYPERLINK(".\links\gpi\AGAP029115-PA-gpi.txt","N")</f>
        <v>N</v>
      </c>
      <c r="AO81" s="12" t="str">
        <f>HYPERLINK(".\links\netoglyc\AGAP029115-PA-netoglyc.txt","17")</f>
        <v>17</v>
      </c>
      <c r="AP81" s="11">
        <v>16.3</v>
      </c>
      <c r="AQ81" s="2">
        <v>9.6999999999999993</v>
      </c>
      <c r="AR81" s="2">
        <v>5.6</v>
      </c>
      <c r="AS81" s="2" t="s">
        <v>97</v>
      </c>
      <c r="AT81" s="9" t="str">
        <f>HYPERLINK(".\links\NR-LIGHT\AGAP029115-PA-NR-LIGHT.txt","AGAP002679-PA")</f>
        <v>AGAP002679-PA</v>
      </c>
      <c r="AU81" s="2" t="str">
        <f>HYPERLINK("http://www.ncbi.nlm.nih.gov/sutils/blink.cgi?pid=XP_312245.4","0.0")</f>
        <v>0.0</v>
      </c>
      <c r="AV81" s="2" t="str">
        <f>HYPERLINK("http://www.ncbi.nlm.nih.gov/protein/XP_312245.4","XP_312245.4")</f>
        <v>XP_312245.4</v>
      </c>
      <c r="AW81" s="2">
        <v>93</v>
      </c>
      <c r="AX81" s="2">
        <v>93</v>
      </c>
      <c r="AY81" s="2">
        <v>105</v>
      </c>
      <c r="AZ81" s="2" t="s">
        <v>98</v>
      </c>
      <c r="BA81" s="9" t="str">
        <f>HYPERLINK(".\links\REFSEQ-INVERTEBRATE\AGAP029115-PA-REFSEQ-INVERTEBRATE.txt","AGAP002679-PA")</f>
        <v>AGAP002679-PA</v>
      </c>
      <c r="BB81" s="2" t="str">
        <f>HYPERLINK("http://www.ncbi.nlm.nih.gov/sutils/blink.cgi?pid=XP_312245.4","0.0")</f>
        <v>0.0</v>
      </c>
      <c r="BC81" s="2" t="str">
        <f>HYPERLINK("http://www.ncbi.nlm.nih.gov/protein/XP_312245.4","XP_312245.4")</f>
        <v>XP_312245.4</v>
      </c>
      <c r="BD81" s="2">
        <v>93</v>
      </c>
      <c r="BE81" s="2">
        <v>93</v>
      </c>
      <c r="BF81" s="2">
        <v>105</v>
      </c>
      <c r="BG81" s="2" t="s">
        <v>98</v>
      </c>
      <c r="BH81" s="9" t="str">
        <f>HYPERLINK(".\links\REFSEQ-PROTOZOA\AGAP029115-PA-REFSEQ-PROTOZOA.txt","hypothetical protein, conserved")</f>
        <v>hypothetical protein, conserved</v>
      </c>
      <c r="BI81" s="2" t="str">
        <f>HYPERLINK("http://www.ncbi.nlm.nih.gov/sutils/blink.cgi?pid=XP_013247546.1","6E-005")</f>
        <v>6E-005</v>
      </c>
      <c r="BJ81" s="2" t="str">
        <f>HYPERLINK("http://www.ncbi.nlm.nih.gov/protein/XP_013247546.1","XP_013247546.1")</f>
        <v>XP_013247546.1</v>
      </c>
      <c r="BK81" s="2">
        <v>34</v>
      </c>
      <c r="BL81" s="2">
        <v>43</v>
      </c>
      <c r="BM81" s="2">
        <v>9</v>
      </c>
      <c r="BN81" s="2" t="s">
        <v>1091</v>
      </c>
      <c r="BO81" s="9" t="str">
        <f>HYPERLINK(".\links\SWISSP\AGAP029115-PA-SWISSP.txt","5-hydroxytryptamine receptor 1A-alpha")</f>
        <v>5-hydroxytryptamine receptor 1A-alpha</v>
      </c>
      <c r="BP81" s="2" t="str">
        <f>HYPERLINK("http://www.uniprot.org/uniprot/O42385","5E-023")</f>
        <v>5E-023</v>
      </c>
      <c r="BQ81" s="2" t="str">
        <f>HYPERLINK("http://www.uniprot.org/uniprot/O42385#expression","O42385")</f>
        <v>O42385</v>
      </c>
      <c r="BR81" s="2">
        <v>26</v>
      </c>
      <c r="BS81" s="2">
        <v>43</v>
      </c>
      <c r="BT81" s="2">
        <v>97</v>
      </c>
      <c r="BU81" s="2" t="s">
        <v>1092</v>
      </c>
      <c r="BV81" s="9" t="str">
        <f>HYPERLINK(".\links\FLYBASE\AGAP029115-PA-FLYBASE.txt","FBpp0306720")</f>
        <v>FBpp0306720</v>
      </c>
      <c r="BW81" s="2" t="str">
        <f>HYPERLINK("http://flybase.org/reports/FBgn0039747#alliance_summary_container","2E-18")</f>
        <v>2E-18</v>
      </c>
      <c r="BX81" s="2">
        <v>772</v>
      </c>
      <c r="BY81" s="2">
        <v>26</v>
      </c>
      <c r="BZ81" s="2">
        <v>49</v>
      </c>
      <c r="CA81" s="2">
        <v>28</v>
      </c>
      <c r="CB81" s="9" t="str">
        <f>HYPERLINK(".\links\CDD\AGAP029115-PA-CDD.txt","7tm_classA_rhodopsin-like, rhodopsin receptor-like class A family of the seven-transmembrane G protein-coupled receptor superfamily")</f>
        <v>7tm_classA_rhodopsin-like, rhodopsin receptor-like class A family of the seven-transmembrane G protein-coupled receptor superfamily</v>
      </c>
      <c r="CC81" s="13">
        <v>3.0000000000000001E-26</v>
      </c>
      <c r="CD81" s="2">
        <v>78.8</v>
      </c>
      <c r="CE81" s="2" t="s">
        <v>1093</v>
      </c>
      <c r="CF81" s="2" t="s">
        <v>1094</v>
      </c>
      <c r="CG81" s="9" t="str">
        <f>HYPERLINK(".\links\KOG\AGAP029115-PA-KOG.txt","Muscarinic acetylcholine receptor")</f>
        <v>Muscarinic acetylcholine receptor</v>
      </c>
      <c r="CH81" s="13">
        <v>2.9999999999999999E-16</v>
      </c>
      <c r="CI81" s="2">
        <v>98</v>
      </c>
      <c r="CJ81" s="2" t="s">
        <v>1095</v>
      </c>
      <c r="CK81" s="2" t="s">
        <v>326</v>
      </c>
      <c r="CL81" s="9" t="str">
        <f>HYPERLINK(".\links\PFAM\AGAP029115-PA-PFAM.txt","7tm_1, 7 transmembrane receptor (rhodopsin family)")</f>
        <v>7tm_1, 7 transmembrane receptor (rhodopsin family)</v>
      </c>
      <c r="CM81" s="13">
        <v>3E-23</v>
      </c>
      <c r="CN81" s="2">
        <v>78.7</v>
      </c>
      <c r="CO81" s="2" t="s">
        <v>1096</v>
      </c>
      <c r="CP81" s="9" t="str">
        <f>HYPERLINK(".\links\SMART\AGAP029115-PA-SMART.txt","PP2Ac, Protein phosphatase 2A homologues, catalytic domain")</f>
        <v>PP2Ac, Protein phosphatase 2A homologues, catalytic domain</v>
      </c>
      <c r="CQ81" s="13">
        <v>0.79</v>
      </c>
      <c r="CR81" s="2">
        <v>6.6</v>
      </c>
      <c r="CS81" s="2" t="s">
        <v>1097</v>
      </c>
      <c r="CT81" s="2" t="s">
        <v>1088</v>
      </c>
      <c r="CU81" s="2" t="s">
        <v>1088</v>
      </c>
      <c r="CV81" s="2" t="s">
        <v>1088</v>
      </c>
      <c r="CW81" s="2" t="str">
        <f>HYPERLINK(".\links\pep\AGAP029115-PA-pep.txt","AGAP029115-PA")</f>
        <v>AGAP029115-PA</v>
      </c>
      <c r="CX81" s="2" t="s">
        <v>88</v>
      </c>
      <c r="CY81" s="2">
        <v>569</v>
      </c>
      <c r="CZ81" s="2" t="s">
        <v>106</v>
      </c>
      <c r="DA81" s="2" t="s">
        <v>1098</v>
      </c>
      <c r="DB81" s="2">
        <v>0</v>
      </c>
      <c r="DC81" s="2">
        <v>2</v>
      </c>
      <c r="DD81" s="2" t="str">
        <f>HYPERLINK("https://www.kegg.jp/kegg-bin/search_pathway_text?map=aga&amp;keyword=AGAP029115&amp;mode=1&amp;viewImage=true","AGAP029115")</f>
        <v>AGAP029115</v>
      </c>
      <c r="DE81" s="2" t="s">
        <v>1086</v>
      </c>
      <c r="DF81" s="2" t="s">
        <v>167</v>
      </c>
      <c r="DG81" s="2" t="s">
        <v>87</v>
      </c>
      <c r="DH81" s="2" t="str">
        <f>HYPERLINK("https://vectorbase.org/vectorbase/app/record/gene/AGAP029115","AGAP029115-RA")</f>
        <v>AGAP029115-RA</v>
      </c>
      <c r="DI81" s="2" t="s">
        <v>250</v>
      </c>
      <c r="DJ81" s="2">
        <v>2178</v>
      </c>
      <c r="DK81" s="2" t="str">
        <f>HYPERLINK(".\links\netoglyc\AGAP029115-PA-netoglyc.txt","17")</f>
        <v>17</v>
      </c>
      <c r="DL81" s="2">
        <v>16.3</v>
      </c>
      <c r="DM81" s="2">
        <v>9.6999999999999993</v>
      </c>
      <c r="DN81" s="2">
        <v>5.6</v>
      </c>
      <c r="DO81" s="2" t="s">
        <v>97</v>
      </c>
      <c r="DP81" s="2" t="s">
        <v>1099</v>
      </c>
      <c r="DQ81" s="2" t="str">
        <f>HYPERLINK(".\links\Sigp\AGAP029115-PA-SigP.txt","CYT")</f>
        <v>CYT</v>
      </c>
      <c r="DR81" s="2" t="s">
        <v>94</v>
      </c>
      <c r="DS81" s="2">
        <v>60.881999999999998</v>
      </c>
      <c r="DT81" s="2">
        <v>9.32</v>
      </c>
      <c r="DU81" s="2" t="s">
        <v>94</v>
      </c>
      <c r="DV81" s="2" t="s">
        <v>94</v>
      </c>
      <c r="DW81" s="2" t="s">
        <v>1090</v>
      </c>
      <c r="DX81" s="2">
        <v>569</v>
      </c>
      <c r="DY81" s="8" t="str">
        <f>HYPERLINK(".\links\tmhmm\AGAP029115-PA-tmhmm.txt","7")</f>
        <v>7</v>
      </c>
      <c r="DZ81" s="2">
        <v>27.1</v>
      </c>
      <c r="EA81" s="2">
        <v>19.7</v>
      </c>
      <c r="EB81" s="2">
        <v>53.3</v>
      </c>
      <c r="EC81" s="2" t="str">
        <f>HYPERLINK(".\links\gpi\AGAP029115-PA-gpi.txt","N")</f>
        <v>N</v>
      </c>
      <c r="ED81" s="2">
        <v>0.32</v>
      </c>
      <c r="EF81" s="2">
        <v>15</v>
      </c>
      <c r="EG81" s="2" t="str">
        <f>HYPERLINK(".\links\pep\AGAP029115-PA-sulf.txt","1")</f>
        <v>1</v>
      </c>
      <c r="EH81" s="2" t="s">
        <v>94</v>
      </c>
      <c r="EI81" s="2">
        <v>16.344463971880501</v>
      </c>
      <c r="EJ81" s="2">
        <v>5.6239015817223201</v>
      </c>
      <c r="EK81" s="2">
        <v>9.6660808435852399</v>
      </c>
      <c r="EL81" s="2">
        <v>15.289982425307601</v>
      </c>
      <c r="EM81" s="2">
        <v>2</v>
      </c>
      <c r="EN81" s="2">
        <v>1</v>
      </c>
      <c r="EO81" s="2">
        <v>3</v>
      </c>
      <c r="EP81" s="2" t="s">
        <v>94</v>
      </c>
      <c r="EQ81" s="2" t="s">
        <v>94</v>
      </c>
      <c r="ER81" s="2" t="s">
        <v>94</v>
      </c>
      <c r="ES81" s="2" t="s">
        <v>94</v>
      </c>
      <c r="ET81" s="2" t="str">
        <f>HYPERLINK(".\links\REFSEQ-INVERTEBRATE\AGAP029115-PA-REFSEQ-INVERTEBRATE.txt","glucose-dependent insulinotropic receptor-like isoform X1")</f>
        <v>glucose-dependent insulinotropic receptor-like isoform X1</v>
      </c>
      <c r="EU81" s="2" t="str">
        <f>HYPERLINK("http://www.ncbi.nlm.nih.gov/sutils/blink.cgi?pid=XP_035896070.1","0.0")</f>
        <v>0.0</v>
      </c>
      <c r="EV81" s="2" t="str">
        <f>HYPERLINK("http://www.ncbi.nlm.nih.gov/protein/XP_035896070.1","XP_035896070.1")</f>
        <v>XP_035896070.1</v>
      </c>
      <c r="EW81" s="2">
        <v>80</v>
      </c>
      <c r="EX81" s="2">
        <v>84</v>
      </c>
      <c r="EY81" s="2">
        <v>97</v>
      </c>
      <c r="EZ81" s="2" t="s">
        <v>184</v>
      </c>
    </row>
    <row r="82" spans="1:156" x14ac:dyDescent="0.25">
      <c r="A82" s="2" t="s">
        <v>1100</v>
      </c>
      <c r="B82" s="2">
        <v>0.88337502276341096</v>
      </c>
      <c r="C82" s="2">
        <v>1.8446856921198165</v>
      </c>
      <c r="D82" s="2">
        <v>4.7202213178948798</v>
      </c>
      <c r="E82" s="2">
        <v>24.832414464888501</v>
      </c>
      <c r="F82" s="2">
        <v>6.2536957736160297E-7</v>
      </c>
      <c r="G82" s="2">
        <v>1.4785300232771699E-4</v>
      </c>
      <c r="H82" s="2" t="s">
        <v>167</v>
      </c>
      <c r="I82" s="2" t="s">
        <v>87</v>
      </c>
      <c r="J82" s="2" t="str">
        <f>HYPERLINK("https://vectorbase.org/vectorbase/app/record/gene/AGAP013178","AGAP013178-RA")</f>
        <v>AGAP013178-RA</v>
      </c>
      <c r="K82" s="2" t="str">
        <f>HYPERLINK(".\links\pep\AGAP013178-PA-pep.txt","AGAP013178-PA")</f>
        <v>AGAP013178-PA</v>
      </c>
      <c r="L82" s="8" t="s">
        <v>88</v>
      </c>
      <c r="M82" s="2">
        <v>1484</v>
      </c>
      <c r="N82" s="2">
        <v>0</v>
      </c>
      <c r="O82" s="2">
        <v>1</v>
      </c>
      <c r="P82" s="2" t="s">
        <v>94</v>
      </c>
      <c r="Q82" s="9" t="s">
        <v>1101</v>
      </c>
      <c r="R82" s="2" t="s">
        <v>380</v>
      </c>
      <c r="S82" s="2" t="str">
        <f>HYPERLINK(".\links\SWISSP\AGAP013178-PA-SWISSP.txt","SWISSP")</f>
        <v>SWISSP</v>
      </c>
      <c r="T82" s="2">
        <v>5.9999999999999998E-41</v>
      </c>
      <c r="U82" s="2">
        <v>41.2</v>
      </c>
      <c r="V82" s="2" t="s">
        <v>1102</v>
      </c>
      <c r="W82" s="10" t="s">
        <v>1103</v>
      </c>
      <c r="X82" s="2" t="s">
        <v>380</v>
      </c>
      <c r="Y82" s="2" t="str">
        <f>HYPERLINK(".\links\UNIPROTKB\AGAP013178-PA-UNIPROTKB.txt","UNIPROTKB")</f>
        <v>UNIPROTKB</v>
      </c>
      <c r="Z82" s="13">
        <v>2E-45</v>
      </c>
      <c r="AA82" s="2">
        <v>30.9</v>
      </c>
      <c r="AB82" s="11" t="str">
        <f>HYPERLINK(".\links\pep\AGAP013178-PA-sulf.txt","3")</f>
        <v>3</v>
      </c>
      <c r="AC82" s="11" t="str">
        <f>HYPERLINK(".\links\Sigp\AGAP013178-PA-SigP.txt","CYT")</f>
        <v>CYT</v>
      </c>
      <c r="AD82" s="2" t="s">
        <v>94</v>
      </c>
      <c r="AE82" s="2">
        <v>154.11199999999999</v>
      </c>
      <c r="AF82" s="2">
        <v>6.58</v>
      </c>
      <c r="AG82" s="2" t="s">
        <v>94</v>
      </c>
      <c r="AH82" s="2" t="s">
        <v>94</v>
      </c>
      <c r="AI82" s="2" t="s">
        <v>1104</v>
      </c>
      <c r="AJ82" s="11">
        <v>0</v>
      </c>
      <c r="AK82" s="2" t="s">
        <v>94</v>
      </c>
      <c r="AL82" s="2" t="s">
        <v>94</v>
      </c>
      <c r="AM82" s="2" t="s">
        <v>94</v>
      </c>
      <c r="AN82" s="11" t="str">
        <f>HYPERLINK(".\links\gpi\AGAP013178-PA-gpi.txt","N")</f>
        <v>N</v>
      </c>
      <c r="AO82" s="12" t="str">
        <f>HYPERLINK(".\links\netoglyc\AGAP013178-PA-netoglyc.txt","43")</f>
        <v>43</v>
      </c>
      <c r="AP82" s="11">
        <v>22.6</v>
      </c>
      <c r="AQ82" s="2">
        <v>9</v>
      </c>
      <c r="AR82" s="2">
        <v>8</v>
      </c>
      <c r="AS82" s="2" t="s">
        <v>97</v>
      </c>
      <c r="AT82" s="9" t="str">
        <f>HYPERLINK(".\links\NR-LIGHT\AGAP013178-PA-NR-LIGHT.txt","AGAP013178-PA")</f>
        <v>AGAP013178-PA</v>
      </c>
      <c r="AU82" s="2" t="str">
        <f>HYPERLINK("http://www.ncbi.nlm.nih.gov/sutils/blink.cgi?pid=XP_003436010.1","0.0")</f>
        <v>0.0</v>
      </c>
      <c r="AV82" s="2" t="str">
        <f>HYPERLINK("http://www.ncbi.nlm.nih.gov/protein/XP_003436010.1","XP_003436010.1")</f>
        <v>XP_003436010.1</v>
      </c>
      <c r="AW82" s="2">
        <v>100</v>
      </c>
      <c r="AX82" s="2">
        <v>100</v>
      </c>
      <c r="AY82" s="2">
        <v>100</v>
      </c>
      <c r="AZ82" s="2" t="s">
        <v>98</v>
      </c>
      <c r="BA82" s="9" t="str">
        <f>HYPERLINK(".\links\REFSEQ-INVERTEBRATE\AGAP013178-PA-REFSEQ-INVERTEBRATE.txt","AGAP013178-PA")</f>
        <v>AGAP013178-PA</v>
      </c>
      <c r="BB82" s="2" t="str">
        <f>HYPERLINK("http://www.ncbi.nlm.nih.gov/sutils/blink.cgi?pid=XP_003436010.1","0.0")</f>
        <v>0.0</v>
      </c>
      <c r="BC82" s="2" t="str">
        <f>HYPERLINK("http://www.ncbi.nlm.nih.gov/protein/XP_003436010.1","XP_003436010.1")</f>
        <v>XP_003436010.1</v>
      </c>
      <c r="BD82" s="2">
        <v>100</v>
      </c>
      <c r="BE82" s="2">
        <v>100</v>
      </c>
      <c r="BF82" s="2">
        <v>100</v>
      </c>
      <c r="BG82" s="2" t="s">
        <v>98</v>
      </c>
      <c r="BH82" s="9" t="str">
        <f>HYPERLINK(".\links\REFSEQ-PROTOZOA\AGAP013178-PA-REFSEQ-PROTOZOA.txt","uncharacterized protein, partial")</f>
        <v>uncharacterized protein, partial</v>
      </c>
      <c r="BI82" s="2" t="str">
        <f>HYPERLINK("http://www.ncbi.nlm.nih.gov/sutils/blink.cgi?pid=XP_003886575.1","9E-033")</f>
        <v>9E-033</v>
      </c>
      <c r="BJ82" s="2" t="str">
        <f>HYPERLINK("http://www.ncbi.nlm.nih.gov/protein/XP_003886575.1","XP_003886575.1")</f>
        <v>XP_003886575.1</v>
      </c>
      <c r="BK82" s="2">
        <v>17</v>
      </c>
      <c r="BL82" s="2">
        <v>36</v>
      </c>
      <c r="BM82" s="2">
        <v>37</v>
      </c>
      <c r="BN82" s="2" t="s">
        <v>916</v>
      </c>
      <c r="BO82" s="9" t="str">
        <f>HYPERLINK(".\links\SWISSP\AGAP013178-PA-SWISSP.txt","Forkhead box protein N3")</f>
        <v>Forkhead box protein N3</v>
      </c>
      <c r="BP82" s="2" t="str">
        <f>HYPERLINK("http://www.uniprot.org/uniprot/Q33BP8","6E-041")</f>
        <v>6E-041</v>
      </c>
      <c r="BQ82" s="2" t="str">
        <f>HYPERLINK("http://www.uniprot.org/uniprot/Q33BP8#expression","Q33BP8")</f>
        <v>Q33BP8</v>
      </c>
      <c r="BR82" s="2">
        <v>46</v>
      </c>
      <c r="BS82" s="2">
        <v>62</v>
      </c>
      <c r="BT82" s="2">
        <v>41</v>
      </c>
      <c r="BU82" s="2" t="s">
        <v>1105</v>
      </c>
      <c r="BV82" s="9" t="str">
        <f>HYPERLINK(".\links\FLYBASE\AGAP013178-PA-FLYBASE.txt","FBpp0305405")</f>
        <v>FBpp0305405</v>
      </c>
      <c r="BW82" s="2" t="str">
        <f>HYPERLINK("http://flybase.org/reports/FBgn0029504#alliance_summary_container","1E-56")</f>
        <v>1E-56</v>
      </c>
      <c r="BX82" s="2">
        <v>1268</v>
      </c>
      <c r="BY82" s="2">
        <v>69</v>
      </c>
      <c r="BZ82" s="2">
        <v>77</v>
      </c>
      <c r="CA82" s="2">
        <v>12</v>
      </c>
      <c r="CB82" s="9" t="str">
        <f>HYPERLINK(".\links\CDD\AGAP013178-PA-CDD.txt","Forkhead, Forkhead domain")</f>
        <v>Forkhead, Forkhead domain</v>
      </c>
      <c r="CC82" s="13">
        <v>2E-35</v>
      </c>
      <c r="CD82" s="2">
        <v>100</v>
      </c>
      <c r="CE82" s="2" t="s">
        <v>1106</v>
      </c>
      <c r="CF82" s="2" t="s">
        <v>1107</v>
      </c>
      <c r="CG82" s="9" t="str">
        <f>HYPERLINK(".\links\KOG\AGAP013178-PA-KOG.txt","Forkhead/HNF-3-related transcription factor")</f>
        <v>Forkhead/HNF-3-related transcription factor</v>
      </c>
      <c r="CH82" s="13">
        <v>4.0000000000000003E-17</v>
      </c>
      <c r="CI82" s="2">
        <v>28.9</v>
      </c>
      <c r="CJ82" s="2" t="s">
        <v>1108</v>
      </c>
      <c r="CK82" s="2" t="s">
        <v>296</v>
      </c>
      <c r="CL82" s="9" t="str">
        <f>HYPERLINK(".\links\PFAM\AGAP013178-PA-PFAM.txt","Forkhead, Forkhead domain")</f>
        <v>Forkhead, Forkhead domain</v>
      </c>
      <c r="CM82" s="13">
        <v>3.9999999999999998E-36</v>
      </c>
      <c r="CN82" s="2">
        <v>100</v>
      </c>
      <c r="CO82" s="2" t="s">
        <v>1106</v>
      </c>
      <c r="CP82" s="9" t="str">
        <f>HYPERLINK(".\links\SMART\AGAP013178-PA-SMART.txt","FH, FORKHEAD")</f>
        <v>FH, FORKHEAD</v>
      </c>
      <c r="CQ82" s="13">
        <v>1.9999999999999999E-34</v>
      </c>
      <c r="CR82" s="2">
        <v>93.3</v>
      </c>
      <c r="CS82" s="2" t="s">
        <v>1109</v>
      </c>
      <c r="CT82" s="2" t="s">
        <v>1102</v>
      </c>
      <c r="CU82" s="2" t="s">
        <v>1102</v>
      </c>
      <c r="CV82" s="2" t="s">
        <v>1102</v>
      </c>
      <c r="CW82" s="2" t="str">
        <f>HYPERLINK(".\links\pep\AGAP013178-PA-pep.txt","AGAP013178-PA")</f>
        <v>AGAP013178-PA</v>
      </c>
      <c r="CX82" s="2" t="s">
        <v>88</v>
      </c>
      <c r="CY82" s="2">
        <v>1484</v>
      </c>
      <c r="CZ82" s="2" t="s">
        <v>106</v>
      </c>
      <c r="DA82" s="2" t="s">
        <v>1110</v>
      </c>
      <c r="DB82" s="2">
        <v>0</v>
      </c>
      <c r="DC82" s="2">
        <v>1</v>
      </c>
      <c r="DD82" s="2" t="str">
        <f>HYPERLINK("https://www.kegg.jp/kegg-bin/search_pathway_text?map=aga&amp;keyword=AGAP013178&amp;mode=1&amp;viewImage=true","AGAP013178")</f>
        <v>AGAP013178</v>
      </c>
      <c r="DE82" s="2" t="s">
        <v>1100</v>
      </c>
      <c r="DF82" s="2" t="s">
        <v>167</v>
      </c>
      <c r="DG82" s="2" t="s">
        <v>87</v>
      </c>
      <c r="DH82" s="2" t="str">
        <f>HYPERLINK("https://vectorbase.org/vectorbase/app/record/gene/AGAP013178","AGAP013178-RA")</f>
        <v>AGAP013178-RA</v>
      </c>
      <c r="DI82" s="2" t="s">
        <v>250</v>
      </c>
      <c r="DJ82" s="2">
        <v>8661</v>
      </c>
      <c r="DK82" s="2" t="str">
        <f>HYPERLINK(".\links\netoglyc\AGAP013178-PA-netoglyc.txt","43")</f>
        <v>43</v>
      </c>
      <c r="DL82" s="2">
        <v>22.6</v>
      </c>
      <c r="DM82" s="2">
        <v>9</v>
      </c>
      <c r="DN82" s="2">
        <v>8</v>
      </c>
      <c r="DO82" s="2" t="s">
        <v>97</v>
      </c>
      <c r="DP82" s="2" t="s">
        <v>94</v>
      </c>
      <c r="DQ82" s="2" t="str">
        <f>HYPERLINK(".\links\Sigp\AGAP013178-PA-SigP.txt","CYT")</f>
        <v>CYT</v>
      </c>
      <c r="DR82" s="2" t="s">
        <v>94</v>
      </c>
      <c r="DS82" s="2">
        <v>154.11199999999999</v>
      </c>
      <c r="DT82" s="2">
        <v>6.58</v>
      </c>
      <c r="DU82" s="2" t="s">
        <v>94</v>
      </c>
      <c r="DV82" s="2" t="s">
        <v>94</v>
      </c>
      <c r="DW82" s="2" t="s">
        <v>1104</v>
      </c>
      <c r="DX82" s="2">
        <v>1484</v>
      </c>
      <c r="DY82" s="8">
        <v>0</v>
      </c>
      <c r="DZ82" s="2" t="s">
        <v>94</v>
      </c>
      <c r="EA82" s="2" t="s">
        <v>94</v>
      </c>
      <c r="EB82" s="2" t="s">
        <v>94</v>
      </c>
      <c r="EC82" s="2" t="str">
        <f>HYPERLINK(".\links\gpi\AGAP013178-PA-gpi.txt","Y-NoSP")</f>
        <v>Y-NoSP</v>
      </c>
      <c r="ED82" s="2">
        <v>0.43</v>
      </c>
      <c r="EF82" s="2">
        <v>5</v>
      </c>
      <c r="EG82" s="2" t="str">
        <f>HYPERLINK(".\links\pep\AGAP013178-PA-sulf.txt","3")</f>
        <v>3</v>
      </c>
      <c r="EH82" s="2" t="s">
        <v>94</v>
      </c>
      <c r="EI82" s="2">
        <v>22.641509433962302</v>
      </c>
      <c r="EJ82" s="2">
        <v>7.9514824797843699</v>
      </c>
      <c r="EK82" s="2">
        <v>9.0296495956873297</v>
      </c>
      <c r="EL82" s="2">
        <v>16.981132075471699</v>
      </c>
      <c r="EM82" s="2">
        <v>3</v>
      </c>
      <c r="EN82" s="2">
        <v>2</v>
      </c>
      <c r="EO82" s="2">
        <v>4</v>
      </c>
      <c r="EP82" s="2" t="s">
        <v>94</v>
      </c>
      <c r="EQ82" s="2" t="s">
        <v>94</v>
      </c>
      <c r="ER82" s="2" t="s">
        <v>94</v>
      </c>
      <c r="ES82" s="2" t="s">
        <v>94</v>
      </c>
      <c r="ET82" s="2" t="str">
        <f>HYPERLINK(".\links\REFSEQ-INVERTEBRATE\AGAP013178-PA-REFSEQ-INVERTEBRATE.txt","AGAP013178-PA")</f>
        <v>AGAP013178-PA</v>
      </c>
      <c r="EU82" s="2" t="str">
        <f>HYPERLINK("http://www.ncbi.nlm.nih.gov/sutils/blink.cgi?pid=XP_003436010.1","0.0")</f>
        <v>0.0</v>
      </c>
      <c r="EV82" s="2" t="str">
        <f>HYPERLINK("http://www.ncbi.nlm.nih.gov/protein/XP_003436010.1","XP_003436010.1")</f>
        <v>XP_003436010.1</v>
      </c>
      <c r="EW82" s="2">
        <v>100</v>
      </c>
      <c r="EX82" s="2">
        <v>100</v>
      </c>
      <c r="EY82" s="2">
        <v>100</v>
      </c>
      <c r="EZ82" s="2" t="s">
        <v>98</v>
      </c>
    </row>
    <row r="83" spans="1:156" x14ac:dyDescent="0.25">
      <c r="A83" s="2" t="s">
        <v>1111</v>
      </c>
      <c r="B83" s="2">
        <v>0.87138056884216097</v>
      </c>
      <c r="C83" s="2">
        <v>1.8294126965329047</v>
      </c>
      <c r="D83" s="2">
        <v>2.7318455155805901</v>
      </c>
      <c r="E83" s="2">
        <v>13.754316635193501</v>
      </c>
      <c r="F83" s="2">
        <v>2.0834149828324899E-4</v>
      </c>
      <c r="G83" s="2">
        <v>1.2087641406531799E-2</v>
      </c>
      <c r="H83" s="2" t="s">
        <v>167</v>
      </c>
      <c r="I83" s="2" t="s">
        <v>87</v>
      </c>
      <c r="J83" s="2" t="str">
        <f>HYPERLINK("https://vectorbase.org/vectorbase/app/record/gene/AGAP001786","AGAP001786-RB")</f>
        <v>AGAP001786-RB</v>
      </c>
      <c r="K83" s="2" t="str">
        <f>HYPERLINK(".\links\pep\AGAP001786-PB-pep.txt","AGAP001786-PB")</f>
        <v>AGAP001786-PB</v>
      </c>
      <c r="Q83" s="9"/>
      <c r="R83" s="2" t="s">
        <v>771</v>
      </c>
      <c r="V83" s="2" t="s">
        <v>1112</v>
      </c>
      <c r="W83" s="10" t="s">
        <v>1113</v>
      </c>
      <c r="X83" s="2" t="s">
        <v>286</v>
      </c>
      <c r="Y83" s="2" t="str">
        <f>HYPERLINK(".\links\PFAM\AGAP001786-PB-PFAM.txt","PFAM")</f>
        <v>PFAM</v>
      </c>
      <c r="Z83" s="13">
        <v>2.0000000000000001E-84</v>
      </c>
      <c r="AA83" s="2">
        <v>101.5</v>
      </c>
      <c r="AB83" s="9"/>
      <c r="AC83" s="9"/>
      <c r="AJ83" s="9"/>
      <c r="AN83" s="9"/>
      <c r="AO83" s="15"/>
      <c r="AP83" s="9"/>
      <c r="AT83" s="9"/>
      <c r="BA83" s="9"/>
      <c r="BH83" s="9"/>
      <c r="BO83" s="9"/>
      <c r="BV83" s="9"/>
      <c r="CB83" s="9"/>
      <c r="CG83" s="9"/>
      <c r="CL83" s="9"/>
      <c r="CP83" s="9"/>
      <c r="CW83" s="2" t="str">
        <f>HYPERLINK(".\links\pep\AGAP001786-PB-pep.txt","AGAP001786-PB")</f>
        <v>AGAP001786-PB</v>
      </c>
      <c r="CX83" s="2" t="s">
        <v>88</v>
      </c>
      <c r="CY83" s="2">
        <v>2661</v>
      </c>
      <c r="CZ83" s="2" t="s">
        <v>106</v>
      </c>
      <c r="DA83" s="2" t="s">
        <v>1114</v>
      </c>
      <c r="DB83" s="2">
        <v>0</v>
      </c>
      <c r="DC83" s="2">
        <v>11</v>
      </c>
      <c r="DD83" s="2" t="str">
        <f>HYPERLINK("https://www.kegg.jp/kegg-bin/search_pathway_text?map=aga&amp;keyword=AGAP001786&amp;mode=1&amp;viewImage=true","AGAP001786")</f>
        <v>AGAP001786</v>
      </c>
      <c r="DE83" s="2" t="s">
        <v>1111</v>
      </c>
      <c r="DF83" s="2" t="s">
        <v>167</v>
      </c>
      <c r="DG83" s="2" t="s">
        <v>87</v>
      </c>
      <c r="DH83" s="2" t="str">
        <f>HYPERLINK("https://vectorbase.org/vectorbase/app/record/gene/AGAP001786","AGAP001786-RB")</f>
        <v>AGAP001786-RB</v>
      </c>
      <c r="DI83" s="2" t="s">
        <v>143</v>
      </c>
      <c r="DJ83" s="2">
        <v>10141</v>
      </c>
      <c r="DK83" s="2" t="str">
        <f>HYPERLINK(".\links\netoglyc\AGAP001786-PB-netoglyc.txt","48")</f>
        <v>48</v>
      </c>
      <c r="DL83" s="2">
        <v>16</v>
      </c>
      <c r="DM83" s="2">
        <v>10.8</v>
      </c>
      <c r="DN83" s="2">
        <v>14.7</v>
      </c>
      <c r="DO83" s="2">
        <v>0.3</v>
      </c>
      <c r="DP83" s="2" t="s">
        <v>1115</v>
      </c>
      <c r="DQ83" s="2" t="str">
        <f>HYPERLINK(".\links\Sigp\AGAP001786-PB-SigP.txt","CYT")</f>
        <v>CYT</v>
      </c>
      <c r="DR83" s="2" t="s">
        <v>94</v>
      </c>
      <c r="DS83" s="2">
        <v>277.19200000000001</v>
      </c>
      <c r="DT83" s="2">
        <v>6.39</v>
      </c>
      <c r="DU83" s="2" t="s">
        <v>94</v>
      </c>
      <c r="DV83" s="2" t="s">
        <v>94</v>
      </c>
      <c r="DW83" s="2" t="s">
        <v>348</v>
      </c>
      <c r="DX83" s="2">
        <v>2661</v>
      </c>
      <c r="DY83" s="8">
        <v>0</v>
      </c>
      <c r="DZ83" s="2" t="s">
        <v>94</v>
      </c>
      <c r="EA83" s="2" t="s">
        <v>94</v>
      </c>
      <c r="EB83" s="2" t="s">
        <v>94</v>
      </c>
      <c r="EC83" s="2" t="str">
        <f>HYPERLINK(".\links\gpi\AGAP001786-PB-gpi.txt","Y-NoSP")</f>
        <v>Y-NoSP</v>
      </c>
      <c r="ED83" s="2">
        <v>0.44</v>
      </c>
      <c r="EF83" s="2">
        <v>21</v>
      </c>
      <c r="EG83" s="2" t="str">
        <f>HYPERLINK(".\links\pep\AGAP001786-PB-sulf.txt","2")</f>
        <v>2</v>
      </c>
      <c r="EH83" s="2" t="s">
        <v>94</v>
      </c>
      <c r="EI83" s="2">
        <v>16.046599022923701</v>
      </c>
      <c r="EJ83" s="2">
        <v>14.7313040210447</v>
      </c>
      <c r="EK83" s="2">
        <v>10.8229988726043</v>
      </c>
      <c r="EL83" s="2">
        <v>25.554302893649002</v>
      </c>
      <c r="EM83" s="2">
        <v>37</v>
      </c>
      <c r="EN83" s="2">
        <v>5</v>
      </c>
      <c r="EO83" s="2">
        <v>5</v>
      </c>
      <c r="EP83" s="2" t="s">
        <v>94</v>
      </c>
      <c r="EQ83" s="2" t="s">
        <v>94</v>
      </c>
      <c r="ER83" s="2" t="s">
        <v>94</v>
      </c>
      <c r="ES83" s="2" t="s">
        <v>486</v>
      </c>
      <c r="ET83" s="2" t="str">
        <f>HYPERLINK(".\links\REFSEQ-INVERTEBRATE\AGAP001786-PB-REFSEQ-INVERTEBRATE.txt","AGAP001786-PA")</f>
        <v>AGAP001786-PA</v>
      </c>
      <c r="EU83" s="2" t="str">
        <f>HYPERLINK("http://www.ncbi.nlm.nih.gov/sutils/blink.cgi?pid=XP_321283.5","0.0")</f>
        <v>0.0</v>
      </c>
      <c r="EV83" s="2" t="str">
        <f>HYPERLINK("http://www.ncbi.nlm.nih.gov/protein/XP_321283.5","XP_321283.5")</f>
        <v>XP_321283.5</v>
      </c>
      <c r="EW83" s="2">
        <v>96</v>
      </c>
      <c r="EX83" s="2">
        <v>96</v>
      </c>
      <c r="EY83" s="2">
        <v>62</v>
      </c>
      <c r="EZ83" s="2" t="s">
        <v>98</v>
      </c>
    </row>
    <row r="84" spans="1:156" x14ac:dyDescent="0.25">
      <c r="A84" s="2" t="s">
        <v>1116</v>
      </c>
      <c r="B84" s="2">
        <v>0.85982883728980997</v>
      </c>
      <c r="C84" s="2">
        <v>1.814822985538328</v>
      </c>
      <c r="D84" s="2">
        <v>5.8293558809542798</v>
      </c>
      <c r="E84" s="2">
        <v>19.493037619611201</v>
      </c>
      <c r="F84" s="2">
        <v>1.00967027645599E-5</v>
      </c>
      <c r="G84" s="2">
        <v>1.2086647853727E-3</v>
      </c>
      <c r="H84" s="2" t="s">
        <v>167</v>
      </c>
      <c r="I84" s="2" t="s">
        <v>87</v>
      </c>
      <c r="J84" s="2" t="str">
        <f>HYPERLINK("https://vectorbase.org/vectorbase/app/record/gene/AGAP002323","AGAP002323-RA")</f>
        <v>AGAP002323-RA</v>
      </c>
      <c r="K84" s="2" t="str">
        <f>HYPERLINK(".\links\pep\AGAP002323-PA-pep.txt","AGAP002323-PA")</f>
        <v>AGAP002323-PA</v>
      </c>
      <c r="L84" s="8" t="s">
        <v>88</v>
      </c>
      <c r="M84" s="2">
        <v>500</v>
      </c>
      <c r="N84" s="2">
        <v>0</v>
      </c>
      <c r="O84" s="2">
        <v>3</v>
      </c>
      <c r="P84" s="2" t="s">
        <v>94</v>
      </c>
      <c r="Q84" s="9" t="s">
        <v>1117</v>
      </c>
      <c r="R84" s="2" t="s">
        <v>651</v>
      </c>
      <c r="S84" s="2" t="str">
        <f>HYPERLINK(".\links\SWISSP\AGAP002323-PA-SWISSP.txt","SWISSP")</f>
        <v>SWISSP</v>
      </c>
      <c r="T84" s="2">
        <v>5.0000000000000002E-11</v>
      </c>
      <c r="U84" s="2">
        <v>34.4</v>
      </c>
      <c r="V84" s="2" t="s">
        <v>1118</v>
      </c>
      <c r="W84" s="10" t="s">
        <v>1119</v>
      </c>
      <c r="X84" s="2" t="s">
        <v>289</v>
      </c>
      <c r="Y84" s="2" t="str">
        <f>HYPERLINK(".\links\CDD\AGAP002323-PA-CDD.txt","CDD")</f>
        <v>CDD</v>
      </c>
      <c r="Z84" s="2">
        <v>7.0000000000000001E-12</v>
      </c>
      <c r="AA84" s="2">
        <v>100</v>
      </c>
      <c r="AB84" s="11" t="s">
        <v>94</v>
      </c>
      <c r="AC84" s="11" t="str">
        <f>HYPERLINK(".\links\Sigp\AGAP002323-PA-SigP.txt","CYT")</f>
        <v>CYT</v>
      </c>
      <c r="AD84" s="2" t="s">
        <v>94</v>
      </c>
      <c r="AE84" s="2">
        <v>54.756999999999998</v>
      </c>
      <c r="AF84" s="2">
        <v>9.02</v>
      </c>
      <c r="AG84" s="2" t="s">
        <v>94</v>
      </c>
      <c r="AH84" s="2" t="s">
        <v>94</v>
      </c>
      <c r="AI84" s="2" t="s">
        <v>348</v>
      </c>
      <c r="AJ84" s="11">
        <v>0</v>
      </c>
      <c r="AK84" s="2" t="s">
        <v>94</v>
      </c>
      <c r="AL84" s="2" t="s">
        <v>94</v>
      </c>
      <c r="AM84" s="2" t="s">
        <v>94</v>
      </c>
      <c r="AN84" s="11" t="str">
        <f>HYPERLINK(".\links\gpi\AGAP002323-PA-gpi.txt","N")</f>
        <v>N</v>
      </c>
      <c r="AO84" s="12" t="str">
        <f>HYPERLINK(".\links\netoglyc\AGAP002323-PA-netoglyc.txt","14")</f>
        <v>14</v>
      </c>
      <c r="AP84" s="11">
        <v>13.4</v>
      </c>
      <c r="AQ84" s="2">
        <v>7.4</v>
      </c>
      <c r="AR84" s="2">
        <v>8</v>
      </c>
      <c r="AS84" s="2" t="s">
        <v>97</v>
      </c>
      <c r="AT84" s="9" t="str">
        <f>HYPERLINK(".\links\NR-LIGHT\AGAP002323-PA-NR-LIGHT.txt","AGAP002323-PA")</f>
        <v>AGAP002323-PA</v>
      </c>
      <c r="AU84" s="2" t="str">
        <f>HYPERLINK("http://www.ncbi.nlm.nih.gov/sutils/blink.cgi?pid=XP_312648.4","0.0")</f>
        <v>0.0</v>
      </c>
      <c r="AV84" s="2" t="str">
        <f>HYPERLINK("http://www.ncbi.nlm.nih.gov/protein/XP_312648.4","XP_312648.4")</f>
        <v>XP_312648.4</v>
      </c>
      <c r="AW84" s="2">
        <v>100</v>
      </c>
      <c r="AX84" s="2">
        <v>100</v>
      </c>
      <c r="AY84" s="2">
        <v>100</v>
      </c>
      <c r="AZ84" s="2" t="s">
        <v>98</v>
      </c>
      <c r="BA84" s="9" t="str">
        <f>HYPERLINK(".\links\REFSEQ-INVERTEBRATE\AGAP002323-PA-REFSEQ-INVERTEBRATE.txt","AGAP002323-PA")</f>
        <v>AGAP002323-PA</v>
      </c>
      <c r="BB84" s="2" t="str">
        <f>HYPERLINK("http://www.ncbi.nlm.nih.gov/sutils/blink.cgi?pid=XP_312648.4","0.0")</f>
        <v>0.0</v>
      </c>
      <c r="BC84" s="2" t="str">
        <f>HYPERLINK("http://www.ncbi.nlm.nih.gov/protein/XP_312648.4","XP_312648.4")</f>
        <v>XP_312648.4</v>
      </c>
      <c r="BD84" s="2">
        <v>100</v>
      </c>
      <c r="BE84" s="2">
        <v>100</v>
      </c>
      <c r="BF84" s="2">
        <v>100</v>
      </c>
      <c r="BG84" s="2" t="s">
        <v>98</v>
      </c>
      <c r="BH84" s="9" t="str">
        <f>HYPERLINK(".\links\REFSEQ-PROTOZOA\AGAP002323-PA-REFSEQ-PROTOZOA.txt","ring finger protein 1")</f>
        <v>ring finger protein 1</v>
      </c>
      <c r="BI84" s="2" t="str">
        <f>HYPERLINK("http://www.ncbi.nlm.nih.gov/sutils/blink.cgi?pid=XP_004995496.1","1E-007")</f>
        <v>1E-007</v>
      </c>
      <c r="BJ84" s="2" t="str">
        <f>HYPERLINK("http://www.ncbi.nlm.nih.gov/protein/XP_004995496.1","XP_004995496.1")</f>
        <v>XP_004995496.1</v>
      </c>
      <c r="BK84" s="2">
        <v>28</v>
      </c>
      <c r="BL84" s="2">
        <v>39</v>
      </c>
      <c r="BM84" s="2">
        <v>55</v>
      </c>
      <c r="BN84" s="2" t="s">
        <v>117</v>
      </c>
      <c r="BO84" s="9" t="str">
        <f>HYPERLINK(".\links\SWISSP\AGAP002323-PA-SWISSP.txt","Probable E3 ubiquitin-protein ligase sinah")</f>
        <v>Probable E3 ubiquitin-protein ligase sinah</v>
      </c>
      <c r="BP84" s="2" t="str">
        <f>HYPERLINK("http://www.uniprot.org/uniprot/Q8T3Y0","5E-011")</f>
        <v>5E-011</v>
      </c>
      <c r="BQ84" s="2" t="str">
        <f>HYPERLINK("http://www.uniprot.org/uniprot/Q8T3Y0#expression","Q8T3Y0")</f>
        <v>Q8T3Y0</v>
      </c>
      <c r="BR84" s="2">
        <v>33</v>
      </c>
      <c r="BS84" s="2">
        <v>49</v>
      </c>
      <c r="BT84" s="2">
        <v>34</v>
      </c>
      <c r="BU84" s="2" t="s">
        <v>100</v>
      </c>
      <c r="BV84" s="9" t="str">
        <f>HYPERLINK(".\links\FLYBASE\AGAP002323-PA-FLYBASE.txt","FBpp0307996")</f>
        <v>FBpp0307996</v>
      </c>
      <c r="BW84" s="2" t="str">
        <f>HYPERLINK("http://flybase.org/reports/FBgn0085404#alliance_summary_container","1E-52")</f>
        <v>1E-52</v>
      </c>
      <c r="BX84" s="2">
        <v>568</v>
      </c>
      <c r="BY84" s="2">
        <v>49</v>
      </c>
      <c r="BZ84" s="2">
        <v>66</v>
      </c>
      <c r="CA84" s="2">
        <v>33</v>
      </c>
      <c r="CB84" s="9" t="str">
        <f>HYPERLINK(".\links\CDD\AGAP002323-PA-CDD.txt","RING-HC_SIAHs, RING finger, HC subclass, found in Drosophila melanogaster protein Seven-in-Absentia (sina) and its homologs")</f>
        <v>RING-HC_SIAHs, RING finger, HC subclass, found in Drosophila melanogaster protein Seven-in-Absentia (sina) and its homologs</v>
      </c>
      <c r="CC84" s="13">
        <v>8.9999999999999999E-10</v>
      </c>
      <c r="CD84" s="2">
        <v>100</v>
      </c>
      <c r="CE84" s="2" t="s">
        <v>1120</v>
      </c>
      <c r="CF84" s="2" t="s">
        <v>1121</v>
      </c>
      <c r="CG84" s="9" t="str">
        <f>HYPERLINK(".\links\KOG\AGAP002323-PA-KOG.txt","Zn finger protein")</f>
        <v>Zn finger protein</v>
      </c>
      <c r="CH84" s="13">
        <v>4.9999999999999997E-12</v>
      </c>
      <c r="CI84" s="2">
        <v>27.1</v>
      </c>
      <c r="CJ84" s="2" t="s">
        <v>1122</v>
      </c>
      <c r="CK84" s="2" t="s">
        <v>122</v>
      </c>
      <c r="CL84" s="9" t="str">
        <f>HYPERLINK(".\links\PFAM\AGAP002323-PA-PFAM.txt","zf-C3HC4, Zinc finger, C3HC4 type (RING finger)")</f>
        <v>zf-C3HC4, Zinc finger, C3HC4 type (RING finger)</v>
      </c>
      <c r="CM84" s="13">
        <v>1E-3</v>
      </c>
      <c r="CN84" s="2">
        <v>100</v>
      </c>
      <c r="CO84" s="2" t="s">
        <v>1123</v>
      </c>
      <c r="CP84" s="9" t="str">
        <f>HYPERLINK(".\links\SMART\AGAP002323-PA-SMART.txt","PDZ, Domain present in PSD-95, Dlg, and ZO-1/2")</f>
        <v>PDZ, Domain present in PSD-95, Dlg, and ZO-1/2</v>
      </c>
      <c r="CQ84" s="13">
        <v>2.9999999999999999E-7</v>
      </c>
      <c r="CR84" s="2">
        <v>90.6</v>
      </c>
      <c r="CS84" s="2" t="s">
        <v>1124</v>
      </c>
      <c r="CT84" s="2" t="s">
        <v>1118</v>
      </c>
      <c r="CU84" s="2" t="s">
        <v>1118</v>
      </c>
      <c r="CV84" s="2" t="s">
        <v>1118</v>
      </c>
      <c r="CW84" s="2" t="str">
        <f>HYPERLINK(".\links\pep\AGAP002323-PA-pep.txt","AGAP002323-PA")</f>
        <v>AGAP002323-PA</v>
      </c>
      <c r="CX84" s="2" t="s">
        <v>88</v>
      </c>
      <c r="CY84" s="2">
        <v>500</v>
      </c>
      <c r="CZ84" s="2" t="s">
        <v>106</v>
      </c>
      <c r="DA84" s="2" t="s">
        <v>1125</v>
      </c>
      <c r="DB84" s="2">
        <v>0</v>
      </c>
      <c r="DC84" s="2">
        <v>3</v>
      </c>
      <c r="DD84" s="2" t="str">
        <f>HYPERLINK("https://www.kegg.jp/kegg-bin/search_pathway_text?map=aga&amp;keyword=AGAP002323&amp;mode=1&amp;viewImage=true","AGAP002323")</f>
        <v>AGAP002323</v>
      </c>
      <c r="DE84" s="2" t="s">
        <v>1116</v>
      </c>
      <c r="DF84" s="2" t="s">
        <v>167</v>
      </c>
      <c r="DG84" s="2" t="s">
        <v>87</v>
      </c>
      <c r="DH84" s="2" t="str">
        <f>HYPERLINK("https://vectorbase.org/vectorbase/app/record/gene/AGAP002323","AGAP002323-RA")</f>
        <v>AGAP002323-RA</v>
      </c>
      <c r="DI84" s="2" t="s">
        <v>108</v>
      </c>
      <c r="DJ84" s="2">
        <v>1926</v>
      </c>
      <c r="DK84" s="2" t="str">
        <f>HYPERLINK(".\links\netoglyc\AGAP002323-PA-netoglyc.txt","14")</f>
        <v>14</v>
      </c>
      <c r="DL84" s="2">
        <v>13.4</v>
      </c>
      <c r="DM84" s="2">
        <v>7.4</v>
      </c>
      <c r="DN84" s="2">
        <v>8</v>
      </c>
      <c r="DO84" s="2" t="s">
        <v>97</v>
      </c>
      <c r="DP84" s="2" t="s">
        <v>1126</v>
      </c>
      <c r="DQ84" s="2" t="str">
        <f>HYPERLINK(".\links\Sigp\AGAP002323-PA-SigP.txt","CYT")</f>
        <v>CYT</v>
      </c>
      <c r="DR84" s="2" t="s">
        <v>94</v>
      </c>
      <c r="DS84" s="2">
        <v>54.756999999999998</v>
      </c>
      <c r="DT84" s="2">
        <v>9.02</v>
      </c>
      <c r="DU84" s="2" t="s">
        <v>94</v>
      </c>
      <c r="DV84" s="2" t="s">
        <v>94</v>
      </c>
      <c r="DW84" s="2" t="s">
        <v>348</v>
      </c>
      <c r="DX84" s="2">
        <v>500</v>
      </c>
      <c r="DY84" s="8">
        <v>0</v>
      </c>
      <c r="DZ84" s="2" t="s">
        <v>94</v>
      </c>
      <c r="EA84" s="2" t="s">
        <v>94</v>
      </c>
      <c r="EB84" s="2" t="s">
        <v>94</v>
      </c>
      <c r="EC84" s="2" t="str">
        <f>HYPERLINK(".\links\gpi\AGAP002323-PA-gpi.txt","N")</f>
        <v>N</v>
      </c>
      <c r="ED84" s="2">
        <v>0.3</v>
      </c>
      <c r="EF84" s="2">
        <v>17</v>
      </c>
      <c r="EG84" s="2" t="s">
        <v>94</v>
      </c>
      <c r="EH84" s="2" t="s">
        <v>94</v>
      </c>
      <c r="EI84" s="2">
        <v>13.4</v>
      </c>
      <c r="EJ84" s="2">
        <v>8</v>
      </c>
      <c r="EK84" s="2">
        <v>7.4</v>
      </c>
      <c r="EL84" s="2">
        <v>15.4</v>
      </c>
      <c r="EM84" s="2" t="s">
        <v>94</v>
      </c>
      <c r="EN84" s="2" t="s">
        <v>94</v>
      </c>
      <c r="EO84" s="2" t="s">
        <v>94</v>
      </c>
      <c r="EP84" s="2" t="s">
        <v>94</v>
      </c>
      <c r="EQ84" s="2" t="s">
        <v>94</v>
      </c>
      <c r="ER84" s="2" t="s">
        <v>94</v>
      </c>
      <c r="ES84" s="2" t="s">
        <v>94</v>
      </c>
      <c r="ET84" s="2" t="str">
        <f>HYPERLINK(".\links\REFSEQ-INVERTEBRATE\AGAP002323-PA-REFSEQ-INVERTEBRATE.txt","AGAP002323-PA")</f>
        <v>AGAP002323-PA</v>
      </c>
      <c r="EU84" s="2" t="str">
        <f>HYPERLINK("http://www.ncbi.nlm.nih.gov/sutils/blink.cgi?pid=XP_312648.4","0.0")</f>
        <v>0.0</v>
      </c>
      <c r="EV84" s="2" t="str">
        <f>HYPERLINK("http://www.ncbi.nlm.nih.gov/protein/XP_312648.4","XP_312648.4")</f>
        <v>XP_312648.4</v>
      </c>
      <c r="EW84" s="2">
        <v>100</v>
      </c>
      <c r="EX84" s="2">
        <v>100</v>
      </c>
      <c r="EY84" s="2">
        <v>100</v>
      </c>
      <c r="EZ84" s="2" t="s">
        <v>98</v>
      </c>
    </row>
    <row r="85" spans="1:156" x14ac:dyDescent="0.25">
      <c r="A85" s="2" t="s">
        <v>1127</v>
      </c>
      <c r="B85" s="2">
        <v>0.84727790228598199</v>
      </c>
      <c r="C85" s="2">
        <v>1.7991031470961243</v>
      </c>
      <c r="D85" s="2">
        <v>6.8016152884782697</v>
      </c>
      <c r="E85" s="2">
        <v>15.5472726921261</v>
      </c>
      <c r="F85" s="2">
        <v>8.0467646972311798E-5</v>
      </c>
      <c r="G85" s="2">
        <v>6.1369559469125201E-3</v>
      </c>
      <c r="H85" s="2" t="s">
        <v>1128</v>
      </c>
      <c r="I85" s="2" t="s">
        <v>87</v>
      </c>
      <c r="J85" s="2" t="str">
        <f>HYPERLINK("https://vectorbase.org/vectorbase/app/record/gene/AGAP001563","AGAP001563-RA")</f>
        <v>AGAP001563-RA</v>
      </c>
      <c r="K85" s="2" t="str">
        <f>HYPERLINK(".\links\pep\AGAP001563-PA-pep.txt","AGAP001563-PA")</f>
        <v>AGAP001563-PA</v>
      </c>
      <c r="L85" s="8" t="s">
        <v>88</v>
      </c>
      <c r="M85" s="2">
        <v>555</v>
      </c>
      <c r="N85" s="2">
        <v>0</v>
      </c>
      <c r="O85" s="2">
        <v>1</v>
      </c>
      <c r="P85" s="2" t="s">
        <v>1129</v>
      </c>
      <c r="Q85" s="9" t="s">
        <v>1130</v>
      </c>
      <c r="R85" s="2" t="s">
        <v>550</v>
      </c>
      <c r="S85" s="2" t="str">
        <f>HYPERLINK(".\links\KOG\AGAP001563-PA-KOG.txt","KOG")</f>
        <v>KOG</v>
      </c>
      <c r="T85" s="2">
        <v>0</v>
      </c>
      <c r="U85" s="2">
        <v>99.2</v>
      </c>
      <c r="V85" s="2" t="s">
        <v>1131</v>
      </c>
      <c r="W85" s="10" t="s">
        <v>1132</v>
      </c>
      <c r="X85" s="2" t="s">
        <v>550</v>
      </c>
      <c r="Y85" s="2" t="str">
        <f>HYPERLINK(".\links\COG\AGAP001563-PA-COG.txt","COG")</f>
        <v>COG</v>
      </c>
      <c r="Z85" s="13">
        <v>3.9999999999999998E-36</v>
      </c>
      <c r="AA85" s="2">
        <v>89.6</v>
      </c>
      <c r="AB85" s="11" t="str">
        <f>HYPERLINK(".\links\pep\AGAP001563-PA-sulf.txt","1")</f>
        <v>1</v>
      </c>
      <c r="AC85" s="11" t="str">
        <f>HYPERLINK(".\links\Sigp\AGAP001563-PA-SigP.txt","CYT")</f>
        <v>CYT</v>
      </c>
      <c r="AD85" s="2" t="s">
        <v>94</v>
      </c>
      <c r="AE85" s="2">
        <v>61.701000000000001</v>
      </c>
      <c r="AF85" s="2">
        <v>8.4</v>
      </c>
      <c r="AG85" s="2" t="s">
        <v>94</v>
      </c>
      <c r="AH85" s="2" t="s">
        <v>94</v>
      </c>
      <c r="AI85" s="2" t="s">
        <v>1133</v>
      </c>
      <c r="AJ85" s="11" t="str">
        <f>HYPERLINK(".\links\tmhmm\AGAP001563-PA-tmhmm.txt","1")</f>
        <v>1</v>
      </c>
      <c r="AK85" s="2">
        <v>4</v>
      </c>
      <c r="AL85" s="2">
        <v>95.5</v>
      </c>
      <c r="AM85" s="2">
        <v>0.5</v>
      </c>
      <c r="AN85" s="11" t="str">
        <f>HYPERLINK(".\links\gpi\AGAP001563-PA-gpi.txt","N")</f>
        <v>N</v>
      </c>
      <c r="AO85" s="12" t="str">
        <f>HYPERLINK(".\links\netoglyc\AGAP001563-PA-netoglyc.txt","0")</f>
        <v>0</v>
      </c>
      <c r="AP85" s="11">
        <v>13.3</v>
      </c>
      <c r="AQ85" s="2">
        <v>6.7</v>
      </c>
      <c r="AR85" s="2">
        <v>3.6</v>
      </c>
      <c r="AS85" s="2" t="s">
        <v>97</v>
      </c>
      <c r="AT85" s="9" t="str">
        <f>HYPERLINK(".\links\NR-LIGHT\AGAP001563-PA-NR-LIGHT.txt","AGAP001563-PA")</f>
        <v>AGAP001563-PA</v>
      </c>
      <c r="AU85" s="2" t="str">
        <f>HYPERLINK("http://www.ncbi.nlm.nih.gov/sutils/blink.cgi?pid=XP_321549.1","0.0")</f>
        <v>0.0</v>
      </c>
      <c r="AV85" s="2" t="str">
        <f>HYPERLINK("http://www.ncbi.nlm.nih.gov/protein/XP_321549.1","XP_321549.1")</f>
        <v>XP_321549.1</v>
      </c>
      <c r="AW85" s="2">
        <v>100</v>
      </c>
      <c r="AX85" s="2">
        <v>100</v>
      </c>
      <c r="AY85" s="2">
        <v>100</v>
      </c>
      <c r="AZ85" s="2" t="s">
        <v>98</v>
      </c>
      <c r="BA85" s="9" t="str">
        <f>HYPERLINK(".\links\REFSEQ-INVERTEBRATE\AGAP001563-PA-REFSEQ-INVERTEBRATE.txt","AGAP001563-PA")</f>
        <v>AGAP001563-PA</v>
      </c>
      <c r="BB85" s="2" t="str">
        <f>HYPERLINK("http://www.ncbi.nlm.nih.gov/sutils/blink.cgi?pid=XP_321549.1","0.0")</f>
        <v>0.0</v>
      </c>
      <c r="BC85" s="2" t="str">
        <f>HYPERLINK("http://www.ncbi.nlm.nih.gov/protein/XP_321549.1","XP_321549.1")</f>
        <v>XP_321549.1</v>
      </c>
      <c r="BD85" s="2">
        <v>100</v>
      </c>
      <c r="BE85" s="2">
        <v>100</v>
      </c>
      <c r="BF85" s="2">
        <v>100</v>
      </c>
      <c r="BG85" s="2" t="s">
        <v>98</v>
      </c>
      <c r="BH85" s="9" t="str">
        <f>HYPERLINK(".\links\REFSEQ-PROTOZOA\AGAP001563-PA-REFSEQ-PROTOZOA.txt","glycerol kinase 2")</f>
        <v>glycerol kinase 2</v>
      </c>
      <c r="BI85" s="2" t="str">
        <f>HYPERLINK("http://www.ncbi.nlm.nih.gov/sutils/blink.cgi?pid=XP_004363793.1","1E-145")</f>
        <v>1E-145</v>
      </c>
      <c r="BJ85" s="2" t="str">
        <f>HYPERLINK("http://www.ncbi.nlm.nih.gov/protein/XP_004363793.1","XP_004363793.1")</f>
        <v>XP_004363793.1</v>
      </c>
      <c r="BK85" s="2">
        <v>50</v>
      </c>
      <c r="BL85" s="2">
        <v>65</v>
      </c>
      <c r="BM85" s="2">
        <v>92</v>
      </c>
      <c r="BN85" s="2" t="s">
        <v>227</v>
      </c>
      <c r="BO85" s="9" t="str">
        <f>HYPERLINK(".\links\SWISSP\AGAP001563-PA-SWISSP.txt","Glycerol kinase")</f>
        <v>Glycerol kinase</v>
      </c>
      <c r="BP85" s="2" t="str">
        <f>HYPERLINK("http://www.uniprot.org/uniprot/Q0IID9","1E-160")</f>
        <v>1E-160</v>
      </c>
      <c r="BQ85" s="2" t="str">
        <f>HYPERLINK("http://www.uniprot.org/uniprot/Q0IID9#expression","Q0IID9")</f>
        <v>Q0IID9</v>
      </c>
      <c r="BR85" s="2">
        <v>51</v>
      </c>
      <c r="BS85" s="2">
        <v>67</v>
      </c>
      <c r="BT85" s="2">
        <v>100</v>
      </c>
      <c r="BU85" s="2" t="s">
        <v>1134</v>
      </c>
      <c r="BV85" s="9" t="str">
        <f>HYPERLINK(".\links\FLYBASE\AGAP001563-PA-FLYBASE.txt","FBpp0311803")</f>
        <v>FBpp0311803</v>
      </c>
      <c r="BW85" s="2" t="str">
        <f>HYPERLINK("http://flybase.org/reports/FBgn0035266#alliance_summary_container","0.0")</f>
        <v>0.0</v>
      </c>
      <c r="BX85" s="2">
        <v>576</v>
      </c>
      <c r="BY85" s="2">
        <v>56</v>
      </c>
      <c r="BZ85" s="2">
        <v>76</v>
      </c>
      <c r="CA85" s="2">
        <v>96</v>
      </c>
      <c r="CB85" s="9" t="str">
        <f>HYPERLINK(".\links\CDD\AGAP001563-PA-CDD.txt","FGGY_GK1-3_metazoa, Metazoan glycerol kinase 1 and 3-like proteins")</f>
        <v>FGGY_GK1-3_metazoa, Metazoan glycerol kinase 1 and 3-like proteins</v>
      </c>
      <c r="CC85" s="13">
        <v>0</v>
      </c>
      <c r="CD85" s="2">
        <v>101</v>
      </c>
      <c r="CE85" s="2" t="s">
        <v>1135</v>
      </c>
      <c r="CF85" s="2" t="s">
        <v>1136</v>
      </c>
      <c r="CG85" s="9" t="str">
        <f>HYPERLINK(".\links\KOG\AGAP001563-PA-KOG.txt","Ribulose kinase and related carbohydrate kinases")</f>
        <v>Ribulose kinase and related carbohydrate kinases</v>
      </c>
      <c r="CH85" s="13">
        <v>1E-150</v>
      </c>
      <c r="CI85" s="2">
        <v>99.2</v>
      </c>
      <c r="CJ85" s="2" t="s">
        <v>1137</v>
      </c>
      <c r="CK85" s="2" t="s">
        <v>556</v>
      </c>
      <c r="CL85" s="9" t="str">
        <f>HYPERLINK(".\links\PFAM\AGAP001563-PA-PFAM.txt","FGGY_N, FGGY family of carbohydrate kinases, N-terminal domain")</f>
        <v>FGGY_N, FGGY family of carbohydrate kinases, N-terminal domain</v>
      </c>
      <c r="CM85" s="13">
        <v>9.9999999999999997E-61</v>
      </c>
      <c r="CN85" s="2">
        <v>107.3</v>
      </c>
      <c r="CO85" s="2" t="s">
        <v>1138</v>
      </c>
      <c r="CP85" s="9" t="str">
        <f>HYPERLINK(".\links\SMART\AGAP001563-PA-SMART.txt","RanBD, Ran-binding domain")</f>
        <v>RanBD, Ran-binding domain</v>
      </c>
      <c r="CQ85" s="13">
        <v>2.4</v>
      </c>
      <c r="CR85" s="2">
        <v>15.4</v>
      </c>
      <c r="CS85" s="2" t="s">
        <v>1139</v>
      </c>
      <c r="CT85" s="2" t="s">
        <v>1131</v>
      </c>
      <c r="CU85" s="2" t="s">
        <v>1131</v>
      </c>
      <c r="CV85" s="2" t="s">
        <v>1131</v>
      </c>
      <c r="CW85" s="2" t="str">
        <f>HYPERLINK(".\links\pep\AGAP001563-PA-pep.txt","AGAP001563-PA")</f>
        <v>AGAP001563-PA</v>
      </c>
      <c r="CX85" s="2" t="s">
        <v>88</v>
      </c>
      <c r="CY85" s="2">
        <v>555</v>
      </c>
      <c r="CZ85" s="2" t="s">
        <v>106</v>
      </c>
      <c r="DA85" s="2" t="s">
        <v>1140</v>
      </c>
      <c r="DB85" s="2">
        <v>0</v>
      </c>
      <c r="DC85" s="2">
        <v>1</v>
      </c>
      <c r="DD85" s="2" t="str">
        <f>HYPERLINK("https://www.kegg.jp/kegg-bin/search_pathway_text?map=aga&amp;keyword=AGAP001563&amp;mode=1&amp;viewImage=true","AGAP001563")</f>
        <v>AGAP001563</v>
      </c>
      <c r="DE85" s="2" t="s">
        <v>1127</v>
      </c>
      <c r="DF85" s="2" t="s">
        <v>1128</v>
      </c>
      <c r="DG85" s="2" t="s">
        <v>87</v>
      </c>
      <c r="DH85" s="2" t="str">
        <f>HYPERLINK("https://vectorbase.org/vectorbase/app/record/gene/AGAP001563","AGAP001563-RA")</f>
        <v>AGAP001563-RA</v>
      </c>
      <c r="DI85" s="2" t="s">
        <v>250</v>
      </c>
      <c r="DJ85" s="2">
        <v>3314</v>
      </c>
      <c r="DK85" s="2" t="str">
        <f>HYPERLINK(".\links\netoglyc\AGAP001563-PA-netoglyc.txt","0")</f>
        <v>0</v>
      </c>
      <c r="DL85" s="2">
        <v>13.3</v>
      </c>
      <c r="DM85" s="2">
        <v>6.7</v>
      </c>
      <c r="DN85" s="2">
        <v>3.6</v>
      </c>
      <c r="DO85" s="2" t="s">
        <v>97</v>
      </c>
      <c r="DP85" s="2" t="s">
        <v>1141</v>
      </c>
      <c r="DQ85" s="2" t="str">
        <f>HYPERLINK(".\links\Sigp\AGAP001563-PA-SigP.txt","CYT")</f>
        <v>CYT</v>
      </c>
      <c r="DR85" s="2" t="s">
        <v>94</v>
      </c>
      <c r="DS85" s="2">
        <v>61.701000000000001</v>
      </c>
      <c r="DT85" s="2">
        <v>8.4</v>
      </c>
      <c r="DU85" s="2" t="s">
        <v>94</v>
      </c>
      <c r="DV85" s="2" t="s">
        <v>94</v>
      </c>
      <c r="DW85" s="2" t="s">
        <v>1133</v>
      </c>
      <c r="DX85" s="2">
        <v>555</v>
      </c>
      <c r="DY85" s="8" t="str">
        <f>HYPERLINK(".\links\tmhmm\AGAP001563-PA-tmhmm.txt","1")</f>
        <v>1</v>
      </c>
      <c r="DZ85" s="2">
        <v>4</v>
      </c>
      <c r="EA85" s="2">
        <v>95.5</v>
      </c>
      <c r="EB85" s="2">
        <v>0.5</v>
      </c>
      <c r="EC85" s="2" t="str">
        <f>HYPERLINK(".\links\gpi\AGAP001563-PA-gpi.txt","Y-NoSP")</f>
        <v>Y-NoSP</v>
      </c>
      <c r="ED85" s="2">
        <v>0.16</v>
      </c>
      <c r="EF85" s="2">
        <v>10</v>
      </c>
      <c r="EG85" s="2" t="str">
        <f>HYPERLINK(".\links\pep\AGAP001563-PA-sulf.txt","1")</f>
        <v>1</v>
      </c>
      <c r="EH85" s="2" t="s">
        <v>94</v>
      </c>
      <c r="EI85" s="2">
        <v>13.3333333333333</v>
      </c>
      <c r="EJ85" s="2">
        <v>3.6036036036036001</v>
      </c>
      <c r="EK85" s="2">
        <v>6.6666666666666696</v>
      </c>
      <c r="EL85" s="2">
        <v>10.2702702702703</v>
      </c>
      <c r="EM85" s="2" t="s">
        <v>94</v>
      </c>
      <c r="EN85" s="2">
        <v>1</v>
      </c>
      <c r="EO85" s="2">
        <v>1</v>
      </c>
      <c r="EP85" s="2" t="s">
        <v>94</v>
      </c>
      <c r="EQ85" s="2" t="s">
        <v>94</v>
      </c>
      <c r="ER85" s="2" t="s">
        <v>94</v>
      </c>
      <c r="ES85" s="2" t="s">
        <v>94</v>
      </c>
      <c r="ET85" s="2" t="str">
        <f>HYPERLINK(".\links\REFSEQ-INVERTEBRATE\AGAP001563-PA-REFSEQ-INVERTEBRATE.txt","AGAP001563-PA")</f>
        <v>AGAP001563-PA</v>
      </c>
      <c r="EU85" s="2" t="str">
        <f>HYPERLINK("http://www.ncbi.nlm.nih.gov/sutils/blink.cgi?pid=XP_321549.1","0.0")</f>
        <v>0.0</v>
      </c>
      <c r="EV85" s="2" t="str">
        <f>HYPERLINK("http://www.ncbi.nlm.nih.gov/protein/XP_321549.1","XP_321549.1")</f>
        <v>XP_321549.1</v>
      </c>
      <c r="EW85" s="2">
        <v>100</v>
      </c>
      <c r="EX85" s="2">
        <v>100</v>
      </c>
      <c r="EY85" s="2">
        <v>100</v>
      </c>
      <c r="EZ85" s="2" t="s">
        <v>98</v>
      </c>
    </row>
    <row r="86" spans="1:156" x14ac:dyDescent="0.25">
      <c r="A86" s="2" t="s">
        <v>1142</v>
      </c>
      <c r="B86" s="2">
        <v>0.84646349455209702</v>
      </c>
      <c r="C86" s="2">
        <v>1.7980878320112244</v>
      </c>
      <c r="D86" s="2">
        <v>3.2045037700587198</v>
      </c>
      <c r="E86" s="2">
        <v>15.3759995299938</v>
      </c>
      <c r="F86" s="2">
        <v>8.8100230457051798E-5</v>
      </c>
      <c r="G86" s="2">
        <v>6.5603455073412502E-3</v>
      </c>
      <c r="H86" s="2" t="s">
        <v>1143</v>
      </c>
      <c r="I86" s="2" t="s">
        <v>87</v>
      </c>
      <c r="J86" s="2" t="str">
        <f>HYPERLINK("https://vectorbase.org/vectorbase/app/record/gene/AGAP003645","AGAP003645-RA")</f>
        <v>AGAP003645-RA</v>
      </c>
      <c r="K86" s="2" t="str">
        <f>HYPERLINK(".\links\pep\AGAP003645-PA-pep.txt","AGAP003645-PA")</f>
        <v>AGAP003645-PA</v>
      </c>
      <c r="L86" s="8" t="s">
        <v>88</v>
      </c>
      <c r="M86" s="2">
        <v>1014</v>
      </c>
      <c r="N86" s="2">
        <v>0</v>
      </c>
      <c r="O86" s="2">
        <v>3</v>
      </c>
      <c r="P86" s="2" t="s">
        <v>1144</v>
      </c>
      <c r="Q86" s="9" t="s">
        <v>1145</v>
      </c>
      <c r="R86" s="2" t="s">
        <v>318</v>
      </c>
      <c r="S86" s="2" t="str">
        <f>HYPERLINK(".\links\KOG\AGAP003645-PA-KOG.txt","KOG")</f>
        <v>KOG</v>
      </c>
      <c r="T86" s="2">
        <v>0</v>
      </c>
      <c r="U86" s="2">
        <v>98.9</v>
      </c>
      <c r="V86" s="2" t="s">
        <v>1146</v>
      </c>
      <c r="W86" s="10" t="s">
        <v>1147</v>
      </c>
      <c r="X86" s="2" t="s">
        <v>318</v>
      </c>
      <c r="Y86" s="2" t="str">
        <f>HYPERLINK(".\links\KOG\AGAP003645-PA-KOG.txt","KOG")</f>
        <v>KOG</v>
      </c>
      <c r="Z86" s="2">
        <v>0</v>
      </c>
      <c r="AA86" s="2">
        <v>98.4</v>
      </c>
      <c r="AB86" s="11" t="str">
        <f>HYPERLINK(".\links\pep\AGAP003645-PA-sulf.txt","5")</f>
        <v>5</v>
      </c>
      <c r="AC86" s="11" t="str">
        <f>HYPERLINK(".\links\Sigp\AGAP003645-PA-SigP.txt","CYT")</f>
        <v>CYT</v>
      </c>
      <c r="AD86" s="2" t="s">
        <v>94</v>
      </c>
      <c r="AE86" s="2">
        <v>107.492</v>
      </c>
      <c r="AF86" s="2">
        <v>6.02</v>
      </c>
      <c r="AG86" s="2" t="s">
        <v>94</v>
      </c>
      <c r="AH86" s="2" t="s">
        <v>94</v>
      </c>
      <c r="AI86" s="2" t="s">
        <v>1148</v>
      </c>
      <c r="AJ86" s="11">
        <v>0</v>
      </c>
      <c r="AK86" s="2" t="s">
        <v>94</v>
      </c>
      <c r="AL86" s="2" t="s">
        <v>94</v>
      </c>
      <c r="AM86" s="2" t="s">
        <v>94</v>
      </c>
      <c r="AN86" s="11" t="str">
        <f>HYPERLINK(".\links\gpi\AGAP003645-PA-gpi.txt","N")</f>
        <v>N</v>
      </c>
      <c r="AO86" s="12" t="str">
        <f>HYPERLINK(".\links\netoglyc\AGAP003645-PA-netoglyc.txt","32")</f>
        <v>32</v>
      </c>
      <c r="AP86" s="11">
        <v>17.2</v>
      </c>
      <c r="AQ86" s="2">
        <v>10.3</v>
      </c>
      <c r="AR86" s="2">
        <v>6.7</v>
      </c>
      <c r="AS86" s="2">
        <v>0.6</v>
      </c>
      <c r="AT86" s="9" t="str">
        <f>HYPERLINK(".\links\NR-LIGHT\AGAP003645-PA-NR-LIGHT.txt","AGAP003645-PA")</f>
        <v>AGAP003645-PA</v>
      </c>
      <c r="AU86" s="2" t="str">
        <f>HYPERLINK("http://www.ncbi.nlm.nih.gov/sutils/blink.cgi?pid=XP_562507.4","0.0")</f>
        <v>0.0</v>
      </c>
      <c r="AV86" s="2" t="str">
        <f>HYPERLINK("http://www.ncbi.nlm.nih.gov/protein/XP_562507.4","XP_562507.4")</f>
        <v>XP_562507.4</v>
      </c>
      <c r="AW86" s="2">
        <v>100</v>
      </c>
      <c r="AX86" s="2">
        <v>100</v>
      </c>
      <c r="AY86" s="2">
        <v>100</v>
      </c>
      <c r="AZ86" s="2" t="s">
        <v>98</v>
      </c>
      <c r="BA86" s="9" t="str">
        <f>HYPERLINK(".\links\REFSEQ-INVERTEBRATE\AGAP003645-PA-REFSEQ-INVERTEBRATE.txt","AGAP003645-PA")</f>
        <v>AGAP003645-PA</v>
      </c>
      <c r="BB86" s="2" t="str">
        <f>HYPERLINK("http://www.ncbi.nlm.nih.gov/sutils/blink.cgi?pid=XP_562507.4","0.0")</f>
        <v>0.0</v>
      </c>
      <c r="BC86" s="2" t="str">
        <f>HYPERLINK("http://www.ncbi.nlm.nih.gov/protein/XP_562507.4","XP_562507.4")</f>
        <v>XP_562507.4</v>
      </c>
      <c r="BD86" s="2">
        <v>100</v>
      </c>
      <c r="BE86" s="2">
        <v>100</v>
      </c>
      <c r="BF86" s="2">
        <v>100</v>
      </c>
      <c r="BG86" s="2" t="s">
        <v>98</v>
      </c>
      <c r="BH86" s="9" t="str">
        <f>HYPERLINK(".\links\REFSEQ-PROTOZOA\AGAP003645-PA-REFSEQ-PROTOZOA.txt","hypothetical protein GUITHDRAFT_110021")</f>
        <v>hypothetical protein GUITHDRAFT_110021</v>
      </c>
      <c r="BI86" s="2" t="str">
        <f>HYPERLINK("http://www.ncbi.nlm.nih.gov/sutils/blink.cgi?pid=XP_005830883.1","7E-068")</f>
        <v>7E-068</v>
      </c>
      <c r="BJ86" s="2" t="str">
        <f>HYPERLINK("http://www.ncbi.nlm.nih.gov/protein/XP_005830883.1","XP_005830883.1")</f>
        <v>XP_005830883.1</v>
      </c>
      <c r="BK86" s="2">
        <v>31</v>
      </c>
      <c r="BL86" s="2">
        <v>50</v>
      </c>
      <c r="BM86" s="2">
        <v>87</v>
      </c>
      <c r="BN86" s="2" t="s">
        <v>690</v>
      </c>
      <c r="BO86" s="9" t="str">
        <f>HYPERLINK(".\links\SWISSP\AGAP003645-PA-SWISSP.txt","Kelch-like ECH-associated protein 1")</f>
        <v>Kelch-like ECH-associated protein 1</v>
      </c>
      <c r="BP86" s="2" t="str">
        <f>HYPERLINK("http://www.uniprot.org/uniprot/Q684M4","1E-163")</f>
        <v>1E-163</v>
      </c>
      <c r="BQ86" s="2" t="str">
        <f>HYPERLINK("http://www.uniprot.org/uniprot/Q684M4#expression","Q684M4")</f>
        <v>Q684M4</v>
      </c>
      <c r="BR86" s="2">
        <v>51</v>
      </c>
      <c r="BS86" s="2">
        <v>67</v>
      </c>
      <c r="BT86" s="2">
        <v>90</v>
      </c>
      <c r="BU86" s="2" t="s">
        <v>1105</v>
      </c>
      <c r="BV86" s="9" t="str">
        <f>HYPERLINK(".\links\FLYBASE\AGAP003645-PA-FLYBASE.txt","FBpp0082865")</f>
        <v>FBpp0082865</v>
      </c>
      <c r="BW86" s="2" t="str">
        <f>HYPERLINK("http://flybase.org/reports/FBgn0038475#alliance_summary_container","0.0")</f>
        <v>0.0</v>
      </c>
      <c r="BX86" s="2">
        <v>744</v>
      </c>
      <c r="BY86" s="2">
        <v>73</v>
      </c>
      <c r="BZ86" s="2">
        <v>83</v>
      </c>
      <c r="CA86" s="2">
        <v>83</v>
      </c>
      <c r="CB86" s="9" t="str">
        <f>HYPERLINK(".\links\CDD\AGAP003645-PA-CDD.txt","PHA03098, kelch-like protein")</f>
        <v>PHA03098, kelch-like protein</v>
      </c>
      <c r="CC86" s="13">
        <v>9.9999999999999996E-75</v>
      </c>
      <c r="CD86" s="2">
        <v>100.7</v>
      </c>
      <c r="CE86" s="2" t="s">
        <v>1149</v>
      </c>
      <c r="CF86" s="2" t="s">
        <v>1150</v>
      </c>
      <c r="CG86" s="9" t="str">
        <f>HYPERLINK(".\links\KOG\AGAP003645-PA-KOG.txt","involved in regulatory/signal transduction processes")</f>
        <v>involved in regulatory/signal transduction processes</v>
      </c>
      <c r="CH86" s="13">
        <v>0</v>
      </c>
      <c r="CI86" s="2">
        <v>98.9</v>
      </c>
      <c r="CJ86" s="2" t="s">
        <v>1151</v>
      </c>
      <c r="CK86" s="2" t="s">
        <v>1152</v>
      </c>
      <c r="CL86" s="9" t="str">
        <f>HYPERLINK(".\links\PFAM\AGAP003645-PA-PFAM.txt","BACK, BTB And C-terminal Kelch")</f>
        <v>BACK, BTB And C-terminal Kelch</v>
      </c>
      <c r="CM86" s="13">
        <v>1.9999999999999999E-36</v>
      </c>
      <c r="CN86" s="2">
        <v>100</v>
      </c>
      <c r="CO86" s="2" t="s">
        <v>1153</v>
      </c>
      <c r="CP86" s="9" t="str">
        <f>HYPERLINK(".\links\SMART\AGAP003645-PA-SMART.txt","BACK, BTB And C-terminal Kelch")</f>
        <v>BACK, BTB And C-terminal Kelch</v>
      </c>
      <c r="CQ86" s="13">
        <v>2.9999999999999999E-35</v>
      </c>
      <c r="CR86" s="2">
        <v>100</v>
      </c>
      <c r="CS86" s="2" t="s">
        <v>1154</v>
      </c>
      <c r="CT86" s="2" t="s">
        <v>1146</v>
      </c>
      <c r="CU86" s="2" t="s">
        <v>1146</v>
      </c>
      <c r="CV86" s="2" t="s">
        <v>1146</v>
      </c>
      <c r="CW86" s="2" t="str">
        <f>HYPERLINK(".\links\pep\AGAP003645-PA-pep.txt","AGAP003645-PA")</f>
        <v>AGAP003645-PA</v>
      </c>
      <c r="CX86" s="2" t="s">
        <v>88</v>
      </c>
      <c r="CY86" s="2">
        <v>1014</v>
      </c>
      <c r="CZ86" s="2" t="s">
        <v>106</v>
      </c>
      <c r="DA86" s="2" t="s">
        <v>1155</v>
      </c>
      <c r="DB86" s="2">
        <v>0</v>
      </c>
      <c r="DC86" s="2">
        <v>3</v>
      </c>
      <c r="DD86" s="2" t="str">
        <f>HYPERLINK("https://www.kegg.jp/kegg-bin/search_pathway_text?map=aga&amp;keyword=AGAP003645&amp;mode=1&amp;viewImage=true","AGAP003645")</f>
        <v>AGAP003645</v>
      </c>
      <c r="DE86" s="2" t="s">
        <v>1142</v>
      </c>
      <c r="DF86" s="2" t="s">
        <v>1143</v>
      </c>
      <c r="DG86" s="2" t="s">
        <v>87</v>
      </c>
      <c r="DH86" s="2" t="str">
        <f>HYPERLINK("https://vectorbase.org/vectorbase/app/record/gene/AGAP003645","AGAP003645-RA")</f>
        <v>AGAP003645-RA</v>
      </c>
      <c r="DI86" s="2" t="s">
        <v>108</v>
      </c>
      <c r="DJ86" s="2">
        <v>4681</v>
      </c>
      <c r="DK86" s="2" t="str">
        <f>HYPERLINK(".\links\netoglyc\AGAP003645-PA-netoglyc.txt","32")</f>
        <v>32</v>
      </c>
      <c r="DL86" s="2">
        <v>17.2</v>
      </c>
      <c r="DM86" s="2">
        <v>10.3</v>
      </c>
      <c r="DN86" s="2">
        <v>6.7</v>
      </c>
      <c r="DO86" s="2">
        <v>0.6</v>
      </c>
      <c r="DP86" s="2" t="s">
        <v>1156</v>
      </c>
      <c r="DQ86" s="2" t="str">
        <f>HYPERLINK(".\links\Sigp\AGAP003645-PA-SigP.txt","CYT")</f>
        <v>CYT</v>
      </c>
      <c r="DR86" s="2" t="s">
        <v>94</v>
      </c>
      <c r="DS86" s="2">
        <v>107.492</v>
      </c>
      <c r="DT86" s="2">
        <v>6.02</v>
      </c>
      <c r="DU86" s="2" t="s">
        <v>94</v>
      </c>
      <c r="DV86" s="2" t="s">
        <v>94</v>
      </c>
      <c r="DW86" s="2" t="s">
        <v>1148</v>
      </c>
      <c r="DX86" s="2">
        <v>1014</v>
      </c>
      <c r="DY86" s="8">
        <v>0</v>
      </c>
      <c r="DZ86" s="2" t="s">
        <v>94</v>
      </c>
      <c r="EA86" s="2" t="s">
        <v>94</v>
      </c>
      <c r="EB86" s="2" t="s">
        <v>94</v>
      </c>
      <c r="EC86" s="2" t="str">
        <f>HYPERLINK(".\links\gpi\AGAP003645-PA-gpi.txt","N")</f>
        <v>N</v>
      </c>
      <c r="ED86" s="2">
        <v>0.25</v>
      </c>
      <c r="EF86" s="2">
        <v>28</v>
      </c>
      <c r="EG86" s="2" t="str">
        <f>HYPERLINK(".\links\pep\AGAP003645-PA-sulf.txt","5")</f>
        <v>5</v>
      </c>
      <c r="EH86" s="2" t="s">
        <v>94</v>
      </c>
      <c r="EI86" s="2">
        <v>17.159763313609499</v>
      </c>
      <c r="EJ86" s="2">
        <v>6.7061143984220903</v>
      </c>
      <c r="EK86" s="2">
        <v>10.2564102564103</v>
      </c>
      <c r="EL86" s="2">
        <v>16.962524654832301</v>
      </c>
      <c r="EM86" s="2">
        <v>2</v>
      </c>
      <c r="EN86" s="2">
        <v>1</v>
      </c>
      <c r="EO86" s="2">
        <v>2</v>
      </c>
      <c r="EP86" s="2" t="s">
        <v>94</v>
      </c>
      <c r="EQ86" s="2" t="s">
        <v>94</v>
      </c>
      <c r="ER86" s="2" t="s">
        <v>94</v>
      </c>
      <c r="ES86" s="2" t="s">
        <v>94</v>
      </c>
      <c r="ET86" s="2" t="str">
        <f>HYPERLINK(".\links\REFSEQ-INVERTEBRATE\AGAP003645-PA-REFSEQ-INVERTEBRATE.txt","AGAP003645-PA")</f>
        <v>AGAP003645-PA</v>
      </c>
      <c r="EU86" s="2" t="str">
        <f>HYPERLINK("http://www.ncbi.nlm.nih.gov/sutils/blink.cgi?pid=XP_562507.4","0.0")</f>
        <v>0.0</v>
      </c>
      <c r="EV86" s="2" t="str">
        <f>HYPERLINK("http://www.ncbi.nlm.nih.gov/protein/XP_562507.4","XP_562507.4")</f>
        <v>XP_562507.4</v>
      </c>
      <c r="EW86" s="2">
        <v>100</v>
      </c>
      <c r="EX86" s="2">
        <v>100</v>
      </c>
      <c r="EY86" s="2">
        <v>100</v>
      </c>
      <c r="EZ86" s="2" t="s">
        <v>98</v>
      </c>
    </row>
    <row r="87" spans="1:156" x14ac:dyDescent="0.25">
      <c r="A87" s="2" t="s">
        <v>1157</v>
      </c>
      <c r="B87" s="2">
        <v>0.83751368792202696</v>
      </c>
      <c r="C87" s="2">
        <v>1.7869678616054829</v>
      </c>
      <c r="D87" s="2">
        <v>4.0780421467809704</v>
      </c>
      <c r="E87" s="2">
        <v>13.8351431723865</v>
      </c>
      <c r="F87" s="2">
        <v>1.9956837556435499E-4</v>
      </c>
      <c r="G87" s="2">
        <v>1.17957382982007E-2</v>
      </c>
      <c r="H87" s="2" t="s">
        <v>1158</v>
      </c>
      <c r="I87" s="2" t="s">
        <v>94</v>
      </c>
      <c r="J87" s="2" t="str">
        <f>HYPERLINK("https://vectorbase.org/vectorbase/app/record/gene/AGAP005536","AGAP005536-RA")</f>
        <v>AGAP005536-RA</v>
      </c>
      <c r="K87" s="2" t="str">
        <f>HYPERLINK(".\links\pep\AGAP005536-PA-pep.txt","AGAP005536-PA")</f>
        <v>AGAP005536-PA</v>
      </c>
      <c r="L87" s="8" t="s">
        <v>88</v>
      </c>
      <c r="M87" s="2">
        <v>934</v>
      </c>
      <c r="N87" s="2">
        <v>0</v>
      </c>
      <c r="O87" s="2">
        <v>1</v>
      </c>
      <c r="P87" s="2" t="s">
        <v>962</v>
      </c>
      <c r="Q87" s="9" t="s">
        <v>1159</v>
      </c>
      <c r="R87" s="2" t="s">
        <v>318</v>
      </c>
      <c r="S87" s="2" t="str">
        <f>HYPERLINK(".\links\KOG\AGAP005536-PA-KOG.txt","KOG")</f>
        <v>KOG</v>
      </c>
      <c r="T87" s="2">
        <v>6E-51</v>
      </c>
      <c r="U87" s="2">
        <v>46.8</v>
      </c>
      <c r="V87" s="2" t="s">
        <v>1160</v>
      </c>
      <c r="W87" s="10" t="s">
        <v>1161</v>
      </c>
      <c r="X87" s="2" t="s">
        <v>238</v>
      </c>
      <c r="Y87" s="2" t="str">
        <f>HYPERLINK(".\links\UNIPROTKB\AGAP005536-PA-UNIPROTKB.txt","UNIPROTKB")</f>
        <v>UNIPROTKB</v>
      </c>
      <c r="Z87" s="2">
        <v>0</v>
      </c>
      <c r="AA87" s="2">
        <v>69.7</v>
      </c>
      <c r="AB87" s="11" t="s">
        <v>94</v>
      </c>
      <c r="AC87" s="11" t="str">
        <f>HYPERLINK(".\links\Sigp\AGAP005536-PA-SigP.txt","CYT")</f>
        <v>CYT</v>
      </c>
      <c r="AD87" s="2" t="s">
        <v>94</v>
      </c>
      <c r="AE87" s="2">
        <v>102.28100000000001</v>
      </c>
      <c r="AF87" s="2">
        <v>6.76</v>
      </c>
      <c r="AG87" s="2" t="s">
        <v>94</v>
      </c>
      <c r="AH87" s="2" t="s">
        <v>94</v>
      </c>
      <c r="AI87" s="2" t="s">
        <v>443</v>
      </c>
      <c r="AJ87" s="11">
        <v>0</v>
      </c>
      <c r="AK87" s="2" t="s">
        <v>94</v>
      </c>
      <c r="AL87" s="2" t="s">
        <v>94</v>
      </c>
      <c r="AM87" s="2" t="s">
        <v>94</v>
      </c>
      <c r="AN87" s="11" t="str">
        <f>HYPERLINK(".\links\gpi\AGAP005536-PA-gpi.txt","N")</f>
        <v>N</v>
      </c>
      <c r="AO87" s="12" t="str">
        <f>HYPERLINK(".\links\netoglyc\AGAP005536-PA-netoglyc.txt","1")</f>
        <v>1</v>
      </c>
      <c r="AP87" s="11">
        <v>16.5</v>
      </c>
      <c r="AQ87" s="2">
        <v>7.7</v>
      </c>
      <c r="AR87" s="2">
        <v>4.4000000000000004</v>
      </c>
      <c r="AS87" s="2" t="s">
        <v>97</v>
      </c>
      <c r="AT87" s="9" t="str">
        <f>HYPERLINK(".\links\NR-LIGHT\AGAP005536-PA-NR-LIGHT.txt","AGAP005536-PA")</f>
        <v>AGAP005536-PA</v>
      </c>
      <c r="AU87" s="2" t="str">
        <f>HYPERLINK("http://www.ncbi.nlm.nih.gov/sutils/blink.cgi?pid=XP_315535.4","0.0")</f>
        <v>0.0</v>
      </c>
      <c r="AV87" s="2" t="str">
        <f>HYPERLINK("http://www.ncbi.nlm.nih.gov/protein/XP_315535.4","XP_315535.4")</f>
        <v>XP_315535.4</v>
      </c>
      <c r="AW87" s="2">
        <v>100</v>
      </c>
      <c r="AX87" s="2">
        <v>100</v>
      </c>
      <c r="AY87" s="2">
        <v>100</v>
      </c>
      <c r="AZ87" s="2" t="s">
        <v>98</v>
      </c>
      <c r="BA87" s="9" t="str">
        <f>HYPERLINK(".\links\REFSEQ-INVERTEBRATE\AGAP005536-PA-REFSEQ-INVERTEBRATE.txt","AGAP005536-PA")</f>
        <v>AGAP005536-PA</v>
      </c>
      <c r="BB87" s="2" t="str">
        <f>HYPERLINK("http://www.ncbi.nlm.nih.gov/sutils/blink.cgi?pid=XP_315535.4","0.0")</f>
        <v>0.0</v>
      </c>
      <c r="BC87" s="2" t="str">
        <f>HYPERLINK("http://www.ncbi.nlm.nih.gov/protein/XP_315535.4","XP_315535.4")</f>
        <v>XP_315535.4</v>
      </c>
      <c r="BD87" s="2">
        <v>100</v>
      </c>
      <c r="BE87" s="2">
        <v>100</v>
      </c>
      <c r="BF87" s="2">
        <v>100</v>
      </c>
      <c r="BG87" s="2" t="s">
        <v>98</v>
      </c>
      <c r="BH87" s="9" t="str">
        <f>HYPERLINK(".\links\REFSEQ-PROTOZOA\AGAP005536-PA-REFSEQ-PROTOZOA.txt","hypothetical protein CAOG_01392")</f>
        <v>hypothetical protein CAOG_01392</v>
      </c>
      <c r="BI87" s="2" t="str">
        <f>HYPERLINK("http://www.ncbi.nlm.nih.gov/sutils/blink.cgi?pid=XP_004349912.2","4E-054")</f>
        <v>4E-054</v>
      </c>
      <c r="BJ87" s="2" t="str">
        <f>HYPERLINK("http://www.ncbi.nlm.nih.gov/protein/XP_004349912.2","XP_004349912.2")</f>
        <v>XP_004349912.2</v>
      </c>
      <c r="BK87" s="2">
        <v>36</v>
      </c>
      <c r="BL87" s="2">
        <v>55</v>
      </c>
      <c r="BM87" s="2">
        <v>41</v>
      </c>
      <c r="BN87" s="2" t="s">
        <v>227</v>
      </c>
      <c r="BO87" s="9" t="str">
        <f>HYPERLINK(".\links\SWISSP\AGAP005536-PA-SWISSP.txt","High affinity cAMP-specific 3',5'-cyclic phosphodiesterase 7A")</f>
        <v>High affinity cAMP-specific 3',5'-cyclic phosphodiesterase 7A</v>
      </c>
      <c r="BP87" s="2" t="str">
        <f>HYPERLINK("http://www.uniprot.org/uniprot/Q13946","1E-101")</f>
        <v>1E-101</v>
      </c>
      <c r="BQ87" s="2" t="str">
        <f>HYPERLINK("http://www.uniprot.org/uniprot/Q13946#expression","Q13946")</f>
        <v>Q13946</v>
      </c>
      <c r="BR87" s="2">
        <v>47</v>
      </c>
      <c r="BS87" s="2">
        <v>69</v>
      </c>
      <c r="BT87" s="2">
        <v>77</v>
      </c>
      <c r="BU87" s="2" t="s">
        <v>196</v>
      </c>
      <c r="BV87" s="9" t="str">
        <f>HYPERLINK(".\links\FLYBASE\AGAP005536-PA-FLYBASE.txt","FBpp0070488")</f>
        <v>FBpp0070488</v>
      </c>
      <c r="BW87" s="2" t="str">
        <f>HYPERLINK("http://flybase.org/reports/FBgn0000479#alliance_summary_container","4E-47")</f>
        <v>4E-47</v>
      </c>
      <c r="BX87" s="2">
        <v>1057</v>
      </c>
      <c r="BY87" s="2">
        <v>29</v>
      </c>
      <c r="BZ87" s="2">
        <v>50</v>
      </c>
      <c r="CA87" s="2">
        <v>30</v>
      </c>
      <c r="CB87" s="9" t="str">
        <f>HYPERLINK(".\links\CDD\AGAP005536-PA-CDD.txt","PDEase_I, 3'5'-cyclic nucleotide phosphodiesterase")</f>
        <v>PDEase_I, 3'5'-cyclic nucleotide phosphodiesterase</v>
      </c>
      <c r="CC87" s="13">
        <v>3.0000000000000001E-84</v>
      </c>
      <c r="CD87" s="2">
        <v>98.7</v>
      </c>
      <c r="CE87" s="2" t="s">
        <v>456</v>
      </c>
      <c r="CF87" s="2" t="s">
        <v>1162</v>
      </c>
      <c r="CG87" s="9" t="str">
        <f>HYPERLINK(".\links\KOG\AGAP005536-PA-KOG.txt","Cyclic nucleotide phosphodiesterase")</f>
        <v>Cyclic nucleotide phosphodiesterase</v>
      </c>
      <c r="CH87" s="13">
        <v>7.0000000000000002E-84</v>
      </c>
      <c r="CI87" s="2">
        <v>48.2</v>
      </c>
      <c r="CJ87" s="2" t="s">
        <v>325</v>
      </c>
      <c r="CK87" s="2" t="s">
        <v>326</v>
      </c>
      <c r="CL87" s="9" t="str">
        <f>HYPERLINK(".\links\PFAM\AGAP005536-PA-PFAM.txt","PDEase_I, 3'5'-cyclic nucleotide phosphodiesterase")</f>
        <v>PDEase_I, 3'5'-cyclic nucleotide phosphodiesterase</v>
      </c>
      <c r="CM87" s="13">
        <v>5.0000000000000002E-85</v>
      </c>
      <c r="CN87" s="2">
        <v>98.7</v>
      </c>
      <c r="CO87" s="2" t="s">
        <v>456</v>
      </c>
      <c r="CP87" s="9" t="str">
        <f>HYPERLINK(".\links\SMART\AGAP005536-PA-SMART.txt","HDc, Metal dependent phosphohydrolases with conserved 'HD' motif")</f>
        <v>HDc, Metal dependent phosphohydrolases with conserved 'HD' motif</v>
      </c>
      <c r="CQ87" s="13">
        <v>2.0000000000000001E-9</v>
      </c>
      <c r="CR87" s="2">
        <v>134.69999999999999</v>
      </c>
      <c r="CS87" s="2" t="s">
        <v>967</v>
      </c>
      <c r="CT87" s="2" t="s">
        <v>1160</v>
      </c>
      <c r="CU87" s="2" t="s">
        <v>1160</v>
      </c>
      <c r="CV87" s="2" t="s">
        <v>1160</v>
      </c>
      <c r="CW87" s="2" t="str">
        <f>HYPERLINK(".\links\pep\AGAP005536-PA-pep.txt","AGAP005536-PA")</f>
        <v>AGAP005536-PA</v>
      </c>
      <c r="CX87" s="2" t="s">
        <v>88</v>
      </c>
      <c r="CY87" s="2">
        <v>934</v>
      </c>
      <c r="CZ87" s="2" t="s">
        <v>106</v>
      </c>
      <c r="DA87" s="2">
        <v>0</v>
      </c>
      <c r="DB87" s="2">
        <v>1</v>
      </c>
      <c r="DD87" s="2" t="str">
        <f>HYPERLINK("https://www.kegg.jp/kegg-bin/search_pathway_text?map=aga&amp;keyword=AGAP005536&amp;mode=1&amp;viewImage=true","AGAP005536")</f>
        <v>AGAP005536</v>
      </c>
      <c r="DE87" s="2" t="s">
        <v>1163</v>
      </c>
      <c r="DF87" s="2" t="s">
        <v>1158</v>
      </c>
      <c r="DG87" s="2" t="s">
        <v>94</v>
      </c>
      <c r="DH87" s="2" t="str">
        <f>HYPERLINK("https://vectorbase.org/vectorbase/app/record/gene/AGAP005536","AGAP005536-RA")</f>
        <v>AGAP005536-RA</v>
      </c>
      <c r="DI87" s="2" t="s">
        <v>125</v>
      </c>
      <c r="DJ87" s="2">
        <v>7245</v>
      </c>
      <c r="DK87" s="2" t="str">
        <f>HYPERLINK(".\links\netoglyc\AGAP005536-PA-netoglyc.txt","1")</f>
        <v>1</v>
      </c>
      <c r="DL87" s="2">
        <v>16.5</v>
      </c>
      <c r="DM87" s="2">
        <v>7.7</v>
      </c>
      <c r="DN87" s="2">
        <v>4.4000000000000004</v>
      </c>
      <c r="DO87" s="2" t="s">
        <v>97</v>
      </c>
      <c r="DP87" s="2" t="s">
        <v>1164</v>
      </c>
      <c r="DQ87" s="2" t="str">
        <f>HYPERLINK(".\links\Sigp\AGAP005536-PA-SigP.txt","CYT")</f>
        <v>CYT</v>
      </c>
      <c r="DR87" s="2" t="s">
        <v>94</v>
      </c>
      <c r="DS87" s="2">
        <v>102.28100000000001</v>
      </c>
      <c r="DT87" s="2">
        <v>6.76</v>
      </c>
      <c r="DU87" s="2" t="s">
        <v>94</v>
      </c>
      <c r="DV87" s="2" t="s">
        <v>94</v>
      </c>
      <c r="DW87" s="2" t="s">
        <v>443</v>
      </c>
      <c r="DX87" s="2">
        <v>934</v>
      </c>
      <c r="DY87" s="8">
        <v>0</v>
      </c>
      <c r="DZ87" s="2" t="s">
        <v>94</v>
      </c>
      <c r="EA87" s="2" t="s">
        <v>94</v>
      </c>
      <c r="EB87" s="2" t="s">
        <v>94</v>
      </c>
      <c r="EC87" s="2" t="str">
        <f>HYPERLINK(".\links\gpi\AGAP005536-PA-gpi.txt","Y-NoSP")</f>
        <v>Y-NoSP</v>
      </c>
      <c r="ED87" s="2">
        <v>0.22</v>
      </c>
      <c r="EF87" s="2">
        <v>15</v>
      </c>
      <c r="EG87" s="2" t="s">
        <v>94</v>
      </c>
      <c r="EH87" s="2" t="s">
        <v>94</v>
      </c>
      <c r="EI87" s="2">
        <v>16.4882226980728</v>
      </c>
      <c r="EJ87" s="2">
        <v>4.3897216274089903</v>
      </c>
      <c r="EK87" s="2">
        <v>7.7087794432548202</v>
      </c>
      <c r="EL87" s="2">
        <v>12.098501070663801</v>
      </c>
      <c r="EM87" s="2" t="s">
        <v>94</v>
      </c>
      <c r="EN87" s="2" t="s">
        <v>94</v>
      </c>
      <c r="EO87" s="2">
        <v>2</v>
      </c>
      <c r="EP87" s="2" t="s">
        <v>94</v>
      </c>
      <c r="EQ87" s="2" t="s">
        <v>94</v>
      </c>
      <c r="ER87" s="2" t="s">
        <v>94</v>
      </c>
      <c r="ES87" s="2" t="s">
        <v>94</v>
      </c>
      <c r="ET87" s="2" t="str">
        <f>HYPERLINK(".\links\REFSEQ-INVERTEBRATE\AGAP005536-PA-REFSEQ-INVERTEBRATE.txt","AGAP005536-PA")</f>
        <v>AGAP005536-PA</v>
      </c>
      <c r="EU87" s="2" t="str">
        <f>HYPERLINK("http://www.ncbi.nlm.nih.gov/sutils/blink.cgi?pid=XP_315535.4","0.0")</f>
        <v>0.0</v>
      </c>
      <c r="EV87" s="2" t="str">
        <f>HYPERLINK("http://www.ncbi.nlm.nih.gov/protein/XP_315535.4","XP_315535.4")</f>
        <v>XP_315535.4</v>
      </c>
      <c r="EW87" s="2">
        <v>100</v>
      </c>
      <c r="EX87" s="2">
        <v>100</v>
      </c>
      <c r="EY87" s="2">
        <v>100</v>
      </c>
      <c r="EZ87" s="2" t="s">
        <v>98</v>
      </c>
    </row>
    <row r="88" spans="1:156" x14ac:dyDescent="0.25">
      <c r="A88" s="2" t="s">
        <v>1165</v>
      </c>
      <c r="B88" s="2">
        <v>0.83697480330131202</v>
      </c>
      <c r="C88" s="2">
        <v>1.7863005066578395</v>
      </c>
      <c r="D88" s="2">
        <v>2.9175072905558799</v>
      </c>
      <c r="E88" s="2">
        <v>21.192648327928602</v>
      </c>
      <c r="F88" s="2">
        <v>4.1535468048390904E-6</v>
      </c>
      <c r="G88" s="2">
        <v>6.1375143958380203E-4</v>
      </c>
      <c r="H88" s="2" t="s">
        <v>1166</v>
      </c>
      <c r="I88" s="2" t="s">
        <v>87</v>
      </c>
      <c r="J88" s="2" t="str">
        <f>HYPERLINK("https://vectorbase.org/vectorbase/app/record/gene/AGAP001535","AGAP001535-RA")</f>
        <v>AGAP001535-RA</v>
      </c>
      <c r="K88" s="2" t="str">
        <f>HYPERLINK(".\links\pep\AGAP001535-PA-pep.txt","AGAP001535-PA")</f>
        <v>AGAP001535-PA</v>
      </c>
      <c r="L88" s="8" t="s">
        <v>88</v>
      </c>
      <c r="M88" s="2">
        <v>3637</v>
      </c>
      <c r="N88" s="2">
        <v>0</v>
      </c>
      <c r="O88" s="2">
        <v>13</v>
      </c>
      <c r="P88" s="2" t="s">
        <v>1167</v>
      </c>
      <c r="Q88" s="9" t="s">
        <v>1168</v>
      </c>
      <c r="R88" s="2" t="s">
        <v>347</v>
      </c>
      <c r="S88" s="2" t="str">
        <f>HYPERLINK(".\links\KOG\AGAP001535-PA-KOG.txt","KOG")</f>
        <v>KOG</v>
      </c>
      <c r="T88" s="2">
        <v>5.0000000000000002E-57</v>
      </c>
      <c r="U88" s="2">
        <v>31.1</v>
      </c>
      <c r="V88" s="2" t="s">
        <v>1169</v>
      </c>
      <c r="W88" s="10" t="s">
        <v>1170</v>
      </c>
      <c r="X88" s="2" t="s">
        <v>286</v>
      </c>
      <c r="Y88" s="2" t="str">
        <f>HYPERLINK(".\links\REFSEQVERTEBRATE95\AGAP001535-PA-REFSEQVERTEBRATE95.txt","REFSEQVERTEBRATE95")</f>
        <v>REFSEQVERTEBRATE95</v>
      </c>
      <c r="Z88" s="2">
        <v>0</v>
      </c>
      <c r="AA88" s="2">
        <v>31</v>
      </c>
      <c r="AB88" s="11" t="str">
        <f>HYPERLINK(".\links\pep\AGAP001535-PA-sulf.txt","1")</f>
        <v>1</v>
      </c>
      <c r="AC88" s="11" t="str">
        <f>HYPERLINK(".\links\Sigp\AGAP001535-PA-SigP.txt","CYT")</f>
        <v>CYT</v>
      </c>
      <c r="AD88" s="2" t="s">
        <v>94</v>
      </c>
      <c r="AE88" s="2">
        <v>379.58499999999998</v>
      </c>
      <c r="AF88" s="2">
        <v>9.8000000000000007</v>
      </c>
      <c r="AG88" s="2" t="s">
        <v>94</v>
      </c>
      <c r="AH88" s="2" t="s">
        <v>94</v>
      </c>
      <c r="AI88" s="2" t="s">
        <v>1104</v>
      </c>
      <c r="AJ88" s="11">
        <v>0</v>
      </c>
      <c r="AK88" s="2" t="s">
        <v>94</v>
      </c>
      <c r="AL88" s="2" t="s">
        <v>94</v>
      </c>
      <c r="AM88" s="2" t="s">
        <v>94</v>
      </c>
      <c r="AN88" s="11" t="str">
        <f>HYPERLINK(".\links\gpi\AGAP001535-PA-gpi.txt","N")</f>
        <v>N</v>
      </c>
      <c r="AO88" s="12" t="str">
        <f>HYPERLINK(".\links\netoglyc\AGAP001535-PA-netoglyc.txt","42")</f>
        <v>42</v>
      </c>
      <c r="AP88" s="11">
        <v>19.899999999999999</v>
      </c>
      <c r="AQ88" s="2">
        <v>10.8</v>
      </c>
      <c r="AR88" s="2">
        <v>7.4</v>
      </c>
      <c r="AS88" s="2">
        <v>0.1</v>
      </c>
      <c r="AT88" s="9" t="str">
        <f>HYPERLINK(".\links\NR-LIGHT\AGAP001535-PA-NR-LIGHT.txt","AGAP001535-PA")</f>
        <v>AGAP001535-PA</v>
      </c>
      <c r="AU88" s="2" t="str">
        <f>HYPERLINK("http://www.ncbi.nlm.nih.gov/sutils/blink.cgi?pid=XP_321588.5","0.0")</f>
        <v>0.0</v>
      </c>
      <c r="AV88" s="2" t="str">
        <f>HYPERLINK("http://www.ncbi.nlm.nih.gov/protein/XP_321588.5","XP_321588.5")</f>
        <v>XP_321588.5</v>
      </c>
      <c r="AW88" s="2">
        <v>99</v>
      </c>
      <c r="AX88" s="2">
        <v>99</v>
      </c>
      <c r="AY88" s="2">
        <v>101</v>
      </c>
      <c r="AZ88" s="2" t="s">
        <v>98</v>
      </c>
      <c r="BA88" s="9" t="str">
        <f>HYPERLINK(".\links\REFSEQ-INVERTEBRATE\AGAP001535-PA-REFSEQ-INVERTEBRATE.txt","AGAP001535-PA")</f>
        <v>AGAP001535-PA</v>
      </c>
      <c r="BB88" s="2" t="str">
        <f>HYPERLINK("http://www.ncbi.nlm.nih.gov/sutils/blink.cgi?pid=XP_321588.5","0.0")</f>
        <v>0.0</v>
      </c>
      <c r="BC88" s="2" t="str">
        <f>HYPERLINK("http://www.ncbi.nlm.nih.gov/protein/XP_321588.5","XP_321588.5")</f>
        <v>XP_321588.5</v>
      </c>
      <c r="BD88" s="2">
        <v>99</v>
      </c>
      <c r="BE88" s="2">
        <v>99</v>
      </c>
      <c r="BF88" s="2">
        <v>101</v>
      </c>
      <c r="BG88" s="2" t="s">
        <v>98</v>
      </c>
      <c r="BH88" s="9" t="str">
        <f>HYPERLINK(".\links\REFSEQ-PROTOZOA\AGAP001535-PA-REFSEQ-PROTOZOA.txt","proteophosphoglycan 5")</f>
        <v>proteophosphoglycan 5</v>
      </c>
      <c r="BI88" s="2" t="str">
        <f>HYPERLINK("http://www.ncbi.nlm.nih.gov/sutils/blink.cgi?pid=XP_003722449.1","5E-099")</f>
        <v>5E-099</v>
      </c>
      <c r="BJ88" s="2" t="str">
        <f>HYPERLINK("http://www.ncbi.nlm.nih.gov/protein/XP_003722449.1","XP_003722449.1")</f>
        <v>XP_003722449.1</v>
      </c>
      <c r="BK88" s="2">
        <v>19</v>
      </c>
      <c r="BL88" s="2">
        <v>35</v>
      </c>
      <c r="BM88" s="2">
        <v>15</v>
      </c>
      <c r="BN88" s="2" t="s">
        <v>1171</v>
      </c>
      <c r="BO88" s="9" t="str">
        <f>HYPERLINK(".\links\SWISSP\AGAP001535-PA-SWISSP.txt","Histone-lysine N-methyltransferase ash1")</f>
        <v>Histone-lysine N-methyltransferase ash1</v>
      </c>
      <c r="BP88" s="2" t="str">
        <f>HYPERLINK("http://www.uniprot.org/uniprot/Q9VW15","0.0")</f>
        <v>0.0</v>
      </c>
      <c r="BQ88" s="2" t="str">
        <f>HYPERLINK("http://www.uniprot.org/uniprot/Q9VW15#expression","Q9VW15")</f>
        <v>Q9VW15</v>
      </c>
      <c r="BR88" s="2">
        <v>42</v>
      </c>
      <c r="BS88" s="2">
        <v>55</v>
      </c>
      <c r="BT88" s="2">
        <v>61</v>
      </c>
      <c r="BU88" s="2" t="s">
        <v>100</v>
      </c>
      <c r="BV88" s="9" t="str">
        <f>HYPERLINK(".\links\FLYBASE\AGAP001535-PA-FLYBASE.txt","FBpp0297152")</f>
        <v>FBpp0297152</v>
      </c>
      <c r="BW88" s="2" t="str">
        <f>HYPERLINK("http://flybase.org/reports/FBgn0005386#alliance_summary_container","0.0")</f>
        <v>0.0</v>
      </c>
      <c r="BX88" s="2">
        <v>2226</v>
      </c>
      <c r="BY88" s="2">
        <v>46</v>
      </c>
      <c r="BZ88" s="2">
        <v>59</v>
      </c>
      <c r="CA88" s="2">
        <v>50</v>
      </c>
      <c r="CB88" s="9" t="str">
        <f>HYPERLINK(".\links\CDD\AGAP001535-PA-CDD.txt","BAH_polybromo, BAH, or Bromo Adjacent Homology domain, as present in polybromo and yeast RSC1/2")</f>
        <v>BAH_polybromo, BAH, or Bromo Adjacent Homology domain, as present in polybromo and yeast RSC1/2</v>
      </c>
      <c r="CC88" s="13">
        <v>2E-50</v>
      </c>
      <c r="CD88" s="2">
        <v>117.4</v>
      </c>
      <c r="CE88" s="2" t="s">
        <v>1172</v>
      </c>
      <c r="CF88" s="2" t="s">
        <v>1173</v>
      </c>
      <c r="CG88" s="9" t="str">
        <f>HYPERLINK(".\links\KOG\AGAP001535-PA-KOG.txt","involved in regulation of endocytosis")</f>
        <v>involved in regulation of endocytosis</v>
      </c>
      <c r="CH88" s="13">
        <v>5.0000000000000002E-57</v>
      </c>
      <c r="CI88" s="2">
        <v>31.1</v>
      </c>
      <c r="CJ88" s="2" t="s">
        <v>1174</v>
      </c>
      <c r="CK88" s="2" t="s">
        <v>482</v>
      </c>
      <c r="CL88" s="9" t="str">
        <f>HYPERLINK(".\links\PFAM\AGAP001535-PA-PFAM.txt","SET, SET domain")</f>
        <v>SET, SET domain</v>
      </c>
      <c r="CM88" s="13">
        <v>1E-27</v>
      </c>
      <c r="CN88" s="2">
        <v>100</v>
      </c>
      <c r="CO88" s="2" t="s">
        <v>1175</v>
      </c>
      <c r="CP88" s="9" t="str">
        <f>HYPERLINK(".\links\SMART\AGAP001535-PA-SMART.txt","SET, SET (Su(var)3-9, Enhancer-of-zeste, Trithorax) domain")</f>
        <v>SET, SET (Su(var)3-9, Enhancer-of-zeste, Trithorax) domain</v>
      </c>
      <c r="CQ88" s="13">
        <v>8E-41</v>
      </c>
      <c r="CR88" s="2">
        <v>98.4</v>
      </c>
      <c r="CS88" s="2" t="s">
        <v>1176</v>
      </c>
      <c r="CT88" s="2" t="s">
        <v>1169</v>
      </c>
      <c r="CU88" s="2" t="s">
        <v>1169</v>
      </c>
      <c r="CV88" s="2" t="s">
        <v>1169</v>
      </c>
      <c r="CW88" s="2" t="str">
        <f>HYPERLINK(".\links\pep\AGAP001535-PA-pep.txt","AGAP001535-PA")</f>
        <v>AGAP001535-PA</v>
      </c>
      <c r="CX88" s="2" t="s">
        <v>88</v>
      </c>
      <c r="CY88" s="2">
        <v>3637</v>
      </c>
      <c r="CZ88" s="2" t="s">
        <v>106</v>
      </c>
      <c r="DA88" s="2" t="s">
        <v>1177</v>
      </c>
      <c r="DB88" s="2">
        <v>0</v>
      </c>
      <c r="DC88" s="2">
        <v>13</v>
      </c>
      <c r="DD88" s="2" t="str">
        <f>HYPERLINK("https://www.kegg.jp/kegg-bin/search_pathway_text?map=aga&amp;keyword=AGAP001535&amp;mode=1&amp;viewImage=true","AGAP001535")</f>
        <v>AGAP001535</v>
      </c>
      <c r="DE88" s="2" t="s">
        <v>1165</v>
      </c>
      <c r="DF88" s="2" t="s">
        <v>1166</v>
      </c>
      <c r="DG88" s="2" t="s">
        <v>87</v>
      </c>
      <c r="DH88" s="2" t="str">
        <f>HYPERLINK("https://vectorbase.org/vectorbase/app/record/gene/AGAP001535","AGAP001535-RA")</f>
        <v>AGAP001535-RA</v>
      </c>
      <c r="DI88" s="2" t="s">
        <v>143</v>
      </c>
      <c r="DJ88" s="2">
        <v>11363</v>
      </c>
      <c r="DK88" s="2" t="str">
        <f>HYPERLINK(".\links\netoglyc\AGAP001535-PA-netoglyc.txt","42")</f>
        <v>42</v>
      </c>
      <c r="DL88" s="2">
        <v>19.899999999999999</v>
      </c>
      <c r="DM88" s="2">
        <v>10.8</v>
      </c>
      <c r="DN88" s="2">
        <v>7.4</v>
      </c>
      <c r="DO88" s="2">
        <v>0.1</v>
      </c>
      <c r="DP88" s="2" t="s">
        <v>1178</v>
      </c>
      <c r="DQ88" s="2" t="str">
        <f>HYPERLINK(".\links\Sigp\AGAP001535-PA-SigP.txt","CYT")</f>
        <v>CYT</v>
      </c>
      <c r="DR88" s="2" t="s">
        <v>94</v>
      </c>
      <c r="DS88" s="2">
        <v>379.58499999999998</v>
      </c>
      <c r="DT88" s="2">
        <v>9.8000000000000007</v>
      </c>
      <c r="DU88" s="2" t="s">
        <v>94</v>
      </c>
      <c r="DV88" s="2" t="s">
        <v>94</v>
      </c>
      <c r="DW88" s="2" t="s">
        <v>1104</v>
      </c>
      <c r="DX88" s="2">
        <v>3637</v>
      </c>
      <c r="DY88" s="8">
        <v>0</v>
      </c>
      <c r="DZ88" s="2" t="s">
        <v>94</v>
      </c>
      <c r="EA88" s="2" t="s">
        <v>94</v>
      </c>
      <c r="EB88" s="2" t="s">
        <v>94</v>
      </c>
      <c r="EC88" s="2" t="str">
        <f>HYPERLINK(".\links\gpi\AGAP001535-PA-gpi.txt","Y-NoSP")</f>
        <v>Y-NoSP</v>
      </c>
      <c r="ED88" s="2">
        <v>0.34</v>
      </c>
      <c r="EF88" s="2">
        <v>52</v>
      </c>
      <c r="EG88" s="2" t="str">
        <f>HYPERLINK(".\links\pep\AGAP001535-PA-sulf.txt","1")</f>
        <v>1</v>
      </c>
      <c r="EH88" s="2" t="s">
        <v>94</v>
      </c>
      <c r="EI88" s="2">
        <v>19.851525982953</v>
      </c>
      <c r="EJ88" s="2">
        <v>7.4237008523508399</v>
      </c>
      <c r="EK88" s="2">
        <v>10.750618641737701</v>
      </c>
      <c r="EL88" s="2">
        <v>18.1743194940885</v>
      </c>
      <c r="EM88" s="2">
        <v>15</v>
      </c>
      <c r="EN88" s="2">
        <v>13</v>
      </c>
      <c r="EO88" s="2">
        <v>13</v>
      </c>
      <c r="EP88" s="2" t="s">
        <v>94</v>
      </c>
      <c r="EQ88" s="2" t="s">
        <v>94</v>
      </c>
      <c r="ER88" s="2" t="s">
        <v>94</v>
      </c>
      <c r="ES88" s="2" t="s">
        <v>94</v>
      </c>
      <c r="ET88" s="2" t="str">
        <f>HYPERLINK(".\links\REFSEQ-INVERTEBRATE\AGAP001535-PA-REFSEQ-INVERTEBRATE.txt","AGAP001535-PA")</f>
        <v>AGAP001535-PA</v>
      </c>
      <c r="EU88" s="2" t="str">
        <f>HYPERLINK("http://www.ncbi.nlm.nih.gov/sutils/blink.cgi?pid=XP_321588.5","0.0")</f>
        <v>0.0</v>
      </c>
      <c r="EV88" s="2" t="str">
        <f>HYPERLINK("http://www.ncbi.nlm.nih.gov/protein/XP_321588.5","XP_321588.5")</f>
        <v>XP_321588.5</v>
      </c>
      <c r="EW88" s="2">
        <v>99</v>
      </c>
      <c r="EX88" s="2">
        <v>99</v>
      </c>
      <c r="EY88" s="2">
        <v>101</v>
      </c>
      <c r="EZ88" s="2" t="s">
        <v>98</v>
      </c>
    </row>
    <row r="89" spans="1:156" x14ac:dyDescent="0.25">
      <c r="A89" s="2" t="s">
        <v>1179</v>
      </c>
      <c r="B89" s="2">
        <v>0.82270755427939901</v>
      </c>
      <c r="C89" s="2">
        <v>1.7687223002913781</v>
      </c>
      <c r="D89" s="2">
        <v>3.5433008865645901</v>
      </c>
      <c r="E89" s="2">
        <v>19.4662680264477</v>
      </c>
      <c r="F89" s="2">
        <v>1.0239201813471501E-5</v>
      </c>
      <c r="G89" s="2">
        <v>1.210401644375E-3</v>
      </c>
      <c r="H89" s="2" t="s">
        <v>167</v>
      </c>
      <c r="I89" s="2" t="s">
        <v>87</v>
      </c>
      <c r="J89" s="2" t="str">
        <f>HYPERLINK("https://vectorbase.org/vectorbase/app/record/gene/AGAP012236","AGAP012236-RA")</f>
        <v>AGAP012236-RA</v>
      </c>
      <c r="K89" s="2" t="str">
        <f>HYPERLINK(".\links\pep\AGAP012236-PA-pep.txt","AGAP012236-PA")</f>
        <v>AGAP012236-PA</v>
      </c>
      <c r="L89" s="8" t="s">
        <v>88</v>
      </c>
      <c r="M89" s="2">
        <v>3711</v>
      </c>
      <c r="N89" s="2">
        <v>0</v>
      </c>
      <c r="O89" s="2">
        <v>6</v>
      </c>
      <c r="P89" s="2" t="s">
        <v>94</v>
      </c>
      <c r="Q89" s="9" t="s">
        <v>1180</v>
      </c>
      <c r="R89" s="2" t="s">
        <v>192</v>
      </c>
      <c r="S89" s="2" t="str">
        <f>HYPERLINK(".\links\PFAM\AGAP012236-PA-PFAM.txt","PFAM")</f>
        <v>PFAM</v>
      </c>
      <c r="T89" s="2">
        <v>1.0000000000000001E-9</v>
      </c>
      <c r="U89" s="2">
        <v>38</v>
      </c>
      <c r="V89" s="2" t="s">
        <v>1181</v>
      </c>
      <c r="W89" s="10" t="s">
        <v>1182</v>
      </c>
      <c r="X89" s="2" t="s">
        <v>192</v>
      </c>
      <c r="Y89" s="2" t="str">
        <f>HYPERLINK(".\links\REFSEQ-INVERTEBRATE\AGAP012236-PA-REFSEQ-INVERTEBRATE.txt","REFSEQ-INVERTEBRATE")</f>
        <v>REFSEQ-INVERTEBRATE</v>
      </c>
      <c r="Z89" s="2">
        <v>0</v>
      </c>
      <c r="AA89" s="2">
        <v>68.7</v>
      </c>
      <c r="AB89" s="11" t="str">
        <f>HYPERLINK(".\links\pep\AGAP012236-PA-sulf.txt","1")</f>
        <v>1</v>
      </c>
      <c r="AC89" s="11" t="str">
        <f>HYPERLINK(".\links\Sigp\AGAP012236-PA-SigP.txt","CYT")</f>
        <v>CYT</v>
      </c>
      <c r="AD89" s="2" t="s">
        <v>94</v>
      </c>
      <c r="AE89" s="2">
        <v>385.87700000000001</v>
      </c>
      <c r="AF89" s="2">
        <v>5.86</v>
      </c>
      <c r="AG89" s="2" t="s">
        <v>94</v>
      </c>
      <c r="AH89" s="2" t="s">
        <v>94</v>
      </c>
      <c r="AI89" s="2" t="s">
        <v>1183</v>
      </c>
      <c r="AJ89" s="11">
        <v>0</v>
      </c>
      <c r="AK89" s="2" t="s">
        <v>94</v>
      </c>
      <c r="AL89" s="2" t="s">
        <v>94</v>
      </c>
      <c r="AM89" s="2" t="s">
        <v>94</v>
      </c>
      <c r="AN89" s="11" t="str">
        <f>HYPERLINK(".\links\gpi\AGAP012236-PA-gpi.txt","N")</f>
        <v>N</v>
      </c>
      <c r="AO89" s="12" t="str">
        <f>HYPERLINK(".\links\netoglyc\AGAP012236-PA-netoglyc.txt","32")</f>
        <v>32</v>
      </c>
      <c r="AP89" s="11">
        <v>21.4</v>
      </c>
      <c r="AQ89" s="2">
        <v>8.5</v>
      </c>
      <c r="AR89" s="2">
        <v>7.8</v>
      </c>
      <c r="AS89" s="2">
        <v>0.1</v>
      </c>
      <c r="AT89" s="9" t="str">
        <f>HYPERLINK(".\links\NR-LIGHT\AGAP012236-PA-NR-LIGHT.txt","AGAP012236-PA-like protein")</f>
        <v>AGAP012236-PA-like protein</v>
      </c>
      <c r="AU89" s="2" t="str">
        <f>HYPERLINK("http://www.ncbi.nlm.nih.gov/sutils/blink.cgi?pid=KFB47448.1","0.0")</f>
        <v>0.0</v>
      </c>
      <c r="AV89" s="2" t="str">
        <f>HYPERLINK("http://www.ncbi.nlm.nih.gov/protein/KFB47448.1","KFB47448.1")</f>
        <v>KFB47448.1</v>
      </c>
      <c r="AW89" s="2">
        <v>45</v>
      </c>
      <c r="AX89" s="2">
        <v>55</v>
      </c>
      <c r="AY89" s="2">
        <v>105</v>
      </c>
      <c r="AZ89" s="2" t="s">
        <v>174</v>
      </c>
      <c r="BA89" s="9" t="str">
        <f>HYPERLINK(".\links\REFSEQ-INVERTEBRATE\AGAP012236-PA-REFSEQ-INVERTEBRATE.txt","AGAP012236-PA, partial")</f>
        <v>AGAP012236-PA, partial</v>
      </c>
      <c r="BB89" s="2" t="str">
        <f>HYPERLINK("http://www.ncbi.nlm.nih.gov/sutils/blink.cgi?pid=XP_001689248.1","0.0")</f>
        <v>0.0</v>
      </c>
      <c r="BC89" s="2" t="str">
        <f>HYPERLINK("http://www.ncbi.nlm.nih.gov/protein/XP_001689248.1","XP_001689248.1")</f>
        <v>XP_001689248.1</v>
      </c>
      <c r="BD89" s="2">
        <v>94</v>
      </c>
      <c r="BE89" s="2">
        <v>94</v>
      </c>
      <c r="BF89" s="2">
        <v>28</v>
      </c>
      <c r="BG89" s="2" t="s">
        <v>98</v>
      </c>
      <c r="BH89" s="9" t="str">
        <f>HYPERLINK(".\links\REFSEQ-PROTOZOA\AGAP012236-PA-REFSEQ-PROTOZOA.txt","proteophosphoglycan ppg4")</f>
        <v>proteophosphoglycan ppg4</v>
      </c>
      <c r="BI89" s="2" t="str">
        <f>HYPERLINK("http://www.ncbi.nlm.nih.gov/sutils/blink.cgi?pid=XP_003722448.1","2E-060")</f>
        <v>2E-060</v>
      </c>
      <c r="BJ89" s="2" t="str">
        <f>HYPERLINK("http://www.ncbi.nlm.nih.gov/protein/XP_003722448.1","XP_003722448.1")</f>
        <v>XP_003722448.1</v>
      </c>
      <c r="BK89" s="2">
        <v>18</v>
      </c>
      <c r="BL89" s="2">
        <v>33</v>
      </c>
      <c r="BM89" s="2">
        <v>37</v>
      </c>
      <c r="BN89" s="2" t="s">
        <v>1171</v>
      </c>
      <c r="BO89" s="9" t="str">
        <f>HYPERLINK(".\links\SWISSP\AGAP012236-PA-SWISSP.txt","Platelet binding protein GspB")</f>
        <v>Platelet binding protein GspB</v>
      </c>
      <c r="BP89" s="2" t="str">
        <f>HYPERLINK("http://www.uniprot.org/uniprot/Q939N5","2E-041")</f>
        <v>2E-041</v>
      </c>
      <c r="BQ89" s="2" t="str">
        <f>HYPERLINK("http://www.uniprot.org/uniprot/Q939N5#expression","Q939N5")</f>
        <v>Q939N5</v>
      </c>
      <c r="BR89" s="2">
        <v>18</v>
      </c>
      <c r="BS89" s="2">
        <v>34</v>
      </c>
      <c r="BT89" s="2">
        <v>63</v>
      </c>
      <c r="BU89" s="2" t="s">
        <v>1184</v>
      </c>
      <c r="BV89" s="9" t="str">
        <f>HYPERLINK(".\links\FLYBASE\AGAP012236-PA-FLYBASE.txt","FBpp0305264")</f>
        <v>FBpp0305264</v>
      </c>
      <c r="BW89" s="2" t="str">
        <f>HYPERLINK("http://flybase.org/reports/FBgn0036398#alliance_summary_container","9E-52")</f>
        <v>9E-52</v>
      </c>
      <c r="BX89" s="2">
        <v>3146</v>
      </c>
      <c r="BY89" s="2">
        <v>42</v>
      </c>
      <c r="BZ89" s="2">
        <v>52</v>
      </c>
      <c r="CA89" s="2">
        <v>9</v>
      </c>
      <c r="CB89" s="9" t="str">
        <f>HYPERLINK(".\links\CDD\AGAP012236-PA-CDD.txt","PHD_MLL5, PHD finger found in mixed lineage leukemia 5 (MLL5)")</f>
        <v>PHD_MLL5, PHD finger found in mixed lineage leukemia 5 (MLL5)</v>
      </c>
      <c r="CC89" s="13">
        <v>1E-26</v>
      </c>
      <c r="CD89" s="2">
        <v>100</v>
      </c>
      <c r="CE89" s="2" t="s">
        <v>1185</v>
      </c>
      <c r="CF89" s="2" t="s">
        <v>1186</v>
      </c>
      <c r="CG89" s="9" t="str">
        <f>HYPERLINK(".\links\KOG\AGAP012236-PA-KOG.txt","subunit TRAP230")</f>
        <v>subunit TRAP230</v>
      </c>
      <c r="CH89" s="13">
        <v>2E-12</v>
      </c>
      <c r="CI89" s="2">
        <v>14.9</v>
      </c>
      <c r="CJ89" s="2" t="s">
        <v>311</v>
      </c>
      <c r="CK89" s="2" t="s">
        <v>296</v>
      </c>
      <c r="CL89" s="9" t="str">
        <f>HYPERLINK(".\links\PFAM\AGAP012236-PA-PFAM.txt","PHD, PHD-finger")</f>
        <v>PHD, PHD-finger</v>
      </c>
      <c r="CM89" s="13">
        <v>9.9999999999999998E-13</v>
      </c>
      <c r="CN89" s="2">
        <v>100</v>
      </c>
      <c r="CO89" s="2" t="s">
        <v>1187</v>
      </c>
      <c r="CP89" s="9" t="str">
        <f>HYPERLINK(".\links\SMART\AGAP012236-PA-SMART.txt","SET, SET (Su(var)3-9, Enhancer-of-zeste, Trithorax) domain")</f>
        <v>SET, SET (Su(var)3-9, Enhancer-of-zeste, Trithorax) domain</v>
      </c>
      <c r="CQ89" s="13">
        <v>4.0000000000000003E-17</v>
      </c>
      <c r="CR89" s="2">
        <v>90.3</v>
      </c>
      <c r="CS89" s="2" t="s">
        <v>1176</v>
      </c>
      <c r="CT89" s="2" t="s">
        <v>1181</v>
      </c>
      <c r="CU89" s="2" t="s">
        <v>1181</v>
      </c>
      <c r="CV89" s="2" t="s">
        <v>1181</v>
      </c>
      <c r="CW89" s="2" t="str">
        <f>HYPERLINK(".\links\pep\AGAP012236-PA-pep.txt","AGAP012236-PA")</f>
        <v>AGAP012236-PA</v>
      </c>
      <c r="CX89" s="2" t="s">
        <v>88</v>
      </c>
      <c r="CY89" s="2">
        <v>3711</v>
      </c>
      <c r="CZ89" s="2" t="s">
        <v>106</v>
      </c>
      <c r="DA89" s="2" t="s">
        <v>1188</v>
      </c>
      <c r="DB89" s="2">
        <v>0</v>
      </c>
      <c r="DC89" s="2">
        <v>6</v>
      </c>
      <c r="DD89" s="2" t="str">
        <f>HYPERLINK("https://www.kegg.jp/kegg-bin/search_pathway_text?map=aga&amp;keyword=AGAP012236&amp;mode=1&amp;viewImage=true","AGAP012236")</f>
        <v>AGAP012236</v>
      </c>
      <c r="DE89" s="2" t="s">
        <v>1179</v>
      </c>
      <c r="DF89" s="2" t="s">
        <v>167</v>
      </c>
      <c r="DG89" s="2" t="s">
        <v>87</v>
      </c>
      <c r="DH89" s="2" t="str">
        <f>HYPERLINK("https://vectorbase.org/vectorbase/app/record/gene/AGAP012236","AGAP012236-RA")</f>
        <v>AGAP012236-RA</v>
      </c>
      <c r="DI89" s="2" t="s">
        <v>125</v>
      </c>
      <c r="DJ89" s="2">
        <v>17206</v>
      </c>
      <c r="DK89" s="2" t="str">
        <f>HYPERLINK(".\links\netoglyc\AGAP012236-PA-netoglyc.txt","32")</f>
        <v>32</v>
      </c>
      <c r="DL89" s="2">
        <v>21.4</v>
      </c>
      <c r="DM89" s="2">
        <v>8.5</v>
      </c>
      <c r="DN89" s="2">
        <v>7.8</v>
      </c>
      <c r="DO89" s="2">
        <v>0.1</v>
      </c>
      <c r="DP89" s="2" t="s">
        <v>1189</v>
      </c>
      <c r="DQ89" s="2" t="str">
        <f>HYPERLINK(".\links\Sigp\AGAP012236-PA-SigP.txt","CYT")</f>
        <v>CYT</v>
      </c>
      <c r="DR89" s="2" t="s">
        <v>94</v>
      </c>
      <c r="DS89" s="2">
        <v>385.87700000000001</v>
      </c>
      <c r="DT89" s="2">
        <v>5.86</v>
      </c>
      <c r="DU89" s="2" t="s">
        <v>94</v>
      </c>
      <c r="DV89" s="2" t="s">
        <v>94</v>
      </c>
      <c r="DW89" s="2" t="s">
        <v>1183</v>
      </c>
      <c r="DX89" s="2">
        <v>3711</v>
      </c>
      <c r="DY89" s="8">
        <v>0</v>
      </c>
      <c r="DZ89" s="2" t="s">
        <v>94</v>
      </c>
      <c r="EA89" s="2" t="s">
        <v>94</v>
      </c>
      <c r="EB89" s="2" t="s">
        <v>94</v>
      </c>
      <c r="EC89" s="2" t="str">
        <f>HYPERLINK(".\links\gpi\AGAP012236-PA-gpi.txt","Y-NoSP")</f>
        <v>Y-NoSP</v>
      </c>
      <c r="ED89" s="2">
        <v>0.33</v>
      </c>
      <c r="EF89" s="2">
        <v>32</v>
      </c>
      <c r="EG89" s="2" t="str">
        <f>HYPERLINK(".\links\pep\AGAP012236-PA-sulf.txt","1")</f>
        <v>1</v>
      </c>
      <c r="EH89" s="2" t="s">
        <v>94</v>
      </c>
      <c r="EI89" s="2">
        <v>21.368903260576701</v>
      </c>
      <c r="EJ89" s="2">
        <v>7.78765831312315</v>
      </c>
      <c r="EK89" s="2">
        <v>8.4613311775801705</v>
      </c>
      <c r="EL89" s="2">
        <v>16.248989490703298</v>
      </c>
      <c r="EM89" s="2">
        <v>9</v>
      </c>
      <c r="EN89" s="2">
        <v>10</v>
      </c>
      <c r="EO89" s="2">
        <v>14</v>
      </c>
      <c r="EP89" s="2" t="s">
        <v>94</v>
      </c>
      <c r="EQ89" s="2" t="s">
        <v>94</v>
      </c>
      <c r="ER89" s="2" t="s">
        <v>94</v>
      </c>
      <c r="ES89" s="2" t="s">
        <v>486</v>
      </c>
      <c r="ET89" s="2" t="str">
        <f>HYPERLINK(".\links\REFSEQ-INVERTEBRATE\AGAP012236-PA-REFSEQ-INVERTEBRATE.txt","mucin-19")</f>
        <v>mucin-19</v>
      </c>
      <c r="EU89" s="2" t="str">
        <f>HYPERLINK("http://www.ncbi.nlm.nih.gov/sutils/blink.cgi?pid=XP_035895652.1","0.0")</f>
        <v>0.0</v>
      </c>
      <c r="EV89" s="2" t="str">
        <f>HYPERLINK("http://www.ncbi.nlm.nih.gov/protein/XP_035895652.1","XP_035895652.1")</f>
        <v>XP_035895652.1</v>
      </c>
      <c r="EW89" s="2">
        <v>58</v>
      </c>
      <c r="EX89" s="2">
        <v>65</v>
      </c>
      <c r="EY89" s="2">
        <v>69</v>
      </c>
      <c r="EZ89" s="2" t="s">
        <v>184</v>
      </c>
    </row>
    <row r="90" spans="1:156" x14ac:dyDescent="0.25">
      <c r="A90" s="2" t="s">
        <v>1190</v>
      </c>
      <c r="B90" s="2">
        <v>0.81691848567694403</v>
      </c>
      <c r="C90" s="2">
        <v>1.7616392103194167</v>
      </c>
      <c r="D90" s="2">
        <v>4.52869388340123</v>
      </c>
      <c r="E90" s="2">
        <v>20.645238980314801</v>
      </c>
      <c r="F90" s="2">
        <v>5.5274464894340199E-6</v>
      </c>
      <c r="G90" s="2">
        <v>7.6872149192025701E-4</v>
      </c>
      <c r="H90" s="2" t="s">
        <v>167</v>
      </c>
      <c r="I90" s="2" t="s">
        <v>87</v>
      </c>
      <c r="J90" s="2" t="str">
        <f>HYPERLINK("https://vectorbase.org/vectorbase/app/record/gene/AGAP028559","AGAP028559-RA")</f>
        <v>AGAP028559-RA</v>
      </c>
      <c r="K90" s="2" t="str">
        <f>HYPERLINK(".\links\pep\AGAP028559-PA-pep.txt","AGAP028559-PA")</f>
        <v>AGAP028559-PA</v>
      </c>
      <c r="L90" s="8" t="s">
        <v>88</v>
      </c>
      <c r="M90" s="2">
        <v>1395</v>
      </c>
      <c r="N90" s="2">
        <v>0</v>
      </c>
      <c r="O90" s="2">
        <v>3</v>
      </c>
      <c r="P90" s="2" t="s">
        <v>94</v>
      </c>
      <c r="Q90" s="9" t="s">
        <v>1191</v>
      </c>
      <c r="R90" s="2" t="s">
        <v>253</v>
      </c>
      <c r="S90" s="2" t="str">
        <f>HYPERLINK(".\links\REFSEQ-INVERTEBRATE\AGAP028559-PA-REFSEQ-INVERTEBRATE.txt","REFSEQ-INVERTEBRATE")</f>
        <v>REFSEQ-INVERTEBRATE</v>
      </c>
      <c r="T90" s="2">
        <v>0</v>
      </c>
      <c r="U90" s="2">
        <v>90.6</v>
      </c>
      <c r="V90" s="2" t="s">
        <v>1192</v>
      </c>
      <c r="W90" s="10" t="s">
        <v>1193</v>
      </c>
      <c r="X90" s="2" t="s">
        <v>771</v>
      </c>
      <c r="AB90" s="11" t="str">
        <f>HYPERLINK(".\links\pep\AGAP028559-PA-sulf.txt","6")</f>
        <v>6</v>
      </c>
      <c r="AC90" s="11" t="str">
        <f>HYPERLINK(".\links\Sigp\AGAP028559-PA-SigP.txt","CYT")</f>
        <v>CYT</v>
      </c>
      <c r="AD90" s="2" t="s">
        <v>94</v>
      </c>
      <c r="AE90" s="2">
        <v>147.828</v>
      </c>
      <c r="AF90" s="2">
        <v>6.02</v>
      </c>
      <c r="AG90" s="2" t="s">
        <v>94</v>
      </c>
      <c r="AH90" s="2" t="s">
        <v>94</v>
      </c>
      <c r="AI90" s="2" t="s">
        <v>1194</v>
      </c>
      <c r="AJ90" s="11">
        <v>0</v>
      </c>
      <c r="AK90" s="2" t="s">
        <v>94</v>
      </c>
      <c r="AL90" s="2" t="s">
        <v>94</v>
      </c>
      <c r="AM90" s="2" t="s">
        <v>94</v>
      </c>
      <c r="AN90" s="11" t="str">
        <f>HYPERLINK(".\links\gpi\AGAP028559-PA-gpi.txt","N")</f>
        <v>N</v>
      </c>
      <c r="AO90" s="12" t="str">
        <f>HYPERLINK(".\links\netoglyc\AGAP028559-PA-netoglyc.txt","12")</f>
        <v>12</v>
      </c>
      <c r="AP90" s="11">
        <v>19.8</v>
      </c>
      <c r="AQ90" s="2">
        <v>10.199999999999999</v>
      </c>
      <c r="AR90" s="2">
        <v>6.3</v>
      </c>
      <c r="AS90" s="2">
        <v>0.2</v>
      </c>
      <c r="AT90" s="9" t="str">
        <f>HYPERLINK(".\links\NR-LIGHT\AGAP028559-PA-NR-LIGHT.txt","hypothetical protein ZHAS_00008546")</f>
        <v>hypothetical protein ZHAS_00008546</v>
      </c>
      <c r="AU90" s="2" t="str">
        <f>HYPERLINK("http://www.ncbi.nlm.nih.gov/sutils/blink.cgi?pid=KFB41090.1","0.0")</f>
        <v>0.0</v>
      </c>
      <c r="AV90" s="2" t="str">
        <f>HYPERLINK("http://www.ncbi.nlm.nih.gov/protein/KFB41090.1","KFB41090.1")</f>
        <v>KFB41090.1</v>
      </c>
      <c r="AW90" s="2">
        <v>47</v>
      </c>
      <c r="AX90" s="2">
        <v>54</v>
      </c>
      <c r="AY90" s="2">
        <v>82</v>
      </c>
      <c r="AZ90" s="2" t="s">
        <v>174</v>
      </c>
      <c r="BA90" s="9" t="str">
        <f>HYPERLINK(".\links\REFSEQ-INVERTEBRATE\AGAP028559-PA-REFSEQ-INVERTEBRATE.txt","conserved hypothetical protein")</f>
        <v>conserved hypothetical protein</v>
      </c>
      <c r="BB90" s="2" t="str">
        <f>HYPERLINK("http://www.ncbi.nlm.nih.gov/sutils/blink.cgi?pid=XP_001848629.1","0.0")</f>
        <v>0.0</v>
      </c>
      <c r="BC90" s="2" t="str">
        <f>HYPERLINK("http://www.ncbi.nlm.nih.gov/protein/XP_001848629.1","XP_001848629.1")</f>
        <v>XP_001848629.1</v>
      </c>
      <c r="BD90" s="2">
        <v>39</v>
      </c>
      <c r="BE90" s="2">
        <v>48</v>
      </c>
      <c r="BF90" s="2">
        <v>91</v>
      </c>
      <c r="BG90" s="2" t="s">
        <v>1195</v>
      </c>
      <c r="BH90" s="9" t="str">
        <f>HYPERLINK(".\links\REFSEQ-PROTOZOA\AGAP028559-PA-REFSEQ-PROTOZOA.txt","proteophosphoglycan 5")</f>
        <v>proteophosphoglycan 5</v>
      </c>
      <c r="BI90" s="2" t="str">
        <f>HYPERLINK("http://www.ncbi.nlm.nih.gov/sutils/blink.cgi?pid=XP_003722449.1","2E-014")</f>
        <v>2E-014</v>
      </c>
      <c r="BJ90" s="2" t="str">
        <f>HYPERLINK("http://www.ncbi.nlm.nih.gov/protein/XP_003722449.1","XP_003722449.1")</f>
        <v>XP_003722449.1</v>
      </c>
      <c r="BK90" s="2">
        <v>16</v>
      </c>
      <c r="BL90" s="2">
        <v>31</v>
      </c>
      <c r="BM90" s="2">
        <v>8</v>
      </c>
      <c r="BN90" s="2" t="s">
        <v>1171</v>
      </c>
      <c r="BO90" s="9" t="str">
        <f>HYPERLINK(".\links\SWISSP\AGAP028559-PA-SWISSP.txt","Serine-rich adhesin for platelets")</f>
        <v>Serine-rich adhesin for platelets</v>
      </c>
      <c r="BP90" s="2" t="str">
        <f>HYPERLINK("http://www.uniprot.org/uniprot/Q8VQ99","7E-014")</f>
        <v>7E-014</v>
      </c>
      <c r="BQ90" s="2" t="str">
        <f>HYPERLINK("http://www.uniprot.org/uniprot/Q8VQ99#expression","Q8VQ99")</f>
        <v>Q8VQ99</v>
      </c>
      <c r="BR90" s="2">
        <v>18</v>
      </c>
      <c r="BS90" s="2">
        <v>35</v>
      </c>
      <c r="BT90" s="2">
        <v>53</v>
      </c>
      <c r="BU90" s="2" t="s">
        <v>1007</v>
      </c>
      <c r="BV90" s="9" t="str">
        <f>HYPERLINK(".\links\FLYBASE\AGAP028559-PA-FLYBASE.txt","FBpp0292365")</f>
        <v>FBpp0292365</v>
      </c>
      <c r="BW90" s="2" t="str">
        <f>HYPERLINK("http://flybase.org/reports/FBgn0261802#alliance_summary_container","1E-09")</f>
        <v>1E-09</v>
      </c>
      <c r="BX90" s="2">
        <v>1639</v>
      </c>
      <c r="BY90" s="2">
        <v>26</v>
      </c>
      <c r="BZ90" s="2">
        <v>41</v>
      </c>
      <c r="CA90" s="2">
        <v>16</v>
      </c>
      <c r="CB90" s="9" t="str">
        <f>HYPERLINK(".\links\CDD\AGAP028559-PA-CDD.txt","PRK12323, DNA polymerase III subunits gamma and tau")</f>
        <v>PRK12323, DNA polymerase III subunits gamma and tau</v>
      </c>
      <c r="CC90" s="13">
        <v>1.4999999999999999E-2</v>
      </c>
      <c r="CD90" s="2">
        <v>10.9</v>
      </c>
      <c r="CE90" s="2" t="s">
        <v>1196</v>
      </c>
      <c r="CF90" s="2" t="s">
        <v>1197</v>
      </c>
      <c r="CG90" s="9" t="str">
        <f>HYPERLINK(".\links\KOG\AGAP028559-PA-KOG.txt","Poly(A) ribonuclease subunit")</f>
        <v>Poly(A) ribonuclease subunit</v>
      </c>
      <c r="CH90" s="13">
        <v>9.0999999999999998E-2</v>
      </c>
      <c r="CI90" s="2">
        <v>12.8</v>
      </c>
      <c r="CJ90" s="2" t="s">
        <v>1198</v>
      </c>
      <c r="CK90" s="2" t="s">
        <v>372</v>
      </c>
      <c r="CL90" s="9" t="str">
        <f>HYPERLINK(".\links\PFAM\AGAP028559-PA-PFAM.txt","RAP1, Rhoptry-associated protein 1 (RAP-1)")</f>
        <v>RAP1, Rhoptry-associated protein 1 (RAP-1)</v>
      </c>
      <c r="CM90" s="13">
        <v>7.4999999999999997E-2</v>
      </c>
      <c r="CN90" s="2">
        <v>10.7</v>
      </c>
      <c r="CO90" s="2" t="s">
        <v>1199</v>
      </c>
      <c r="CP90" s="9" t="str">
        <f>HYPERLINK(".\links\SMART\AGAP028559-PA-SMART.txt","DM6, Cysteine-rich domain currently specific to Drosophila")</f>
        <v>DM6, Cysteine-rich domain currently specific to Drosophila</v>
      </c>
      <c r="CQ90" s="13">
        <v>0.33</v>
      </c>
      <c r="CR90" s="2">
        <v>40.1</v>
      </c>
      <c r="CS90" s="2" t="s">
        <v>1200</v>
      </c>
      <c r="CT90" s="2" t="s">
        <v>1192</v>
      </c>
      <c r="CU90" s="2" t="s">
        <v>1192</v>
      </c>
      <c r="CV90" s="2" t="s">
        <v>1192</v>
      </c>
      <c r="CW90" s="2" t="str">
        <f>HYPERLINK(".\links\pep\AGAP028559-PA-pep.txt","AGAP028559-PA")</f>
        <v>AGAP028559-PA</v>
      </c>
      <c r="CX90" s="2" t="s">
        <v>88</v>
      </c>
      <c r="CY90" s="2">
        <v>1395</v>
      </c>
      <c r="CZ90" s="2" t="s">
        <v>106</v>
      </c>
      <c r="DA90" s="2" t="s">
        <v>1201</v>
      </c>
      <c r="DB90" s="2">
        <v>0</v>
      </c>
      <c r="DC90" s="2">
        <v>3</v>
      </c>
      <c r="DD90" s="2" t="str">
        <f>HYPERLINK("https://www.kegg.jp/kegg-bin/search_pathway_text?map=aga&amp;keyword=AGAP028559&amp;mode=1&amp;viewImage=true","AGAP028559")</f>
        <v>AGAP028559</v>
      </c>
      <c r="DE90" s="2" t="s">
        <v>1202</v>
      </c>
      <c r="DF90" s="2" t="s">
        <v>167</v>
      </c>
      <c r="DG90" s="2" t="s">
        <v>87</v>
      </c>
      <c r="DH90" s="2" t="str">
        <f>HYPERLINK("https://vectorbase.org/vectorbase/app/record/gene/AGAP028559","AGAP028559-RA")</f>
        <v>AGAP028559-RA</v>
      </c>
      <c r="DI90" s="2" t="s">
        <v>125</v>
      </c>
      <c r="DJ90" s="2">
        <v>4661</v>
      </c>
      <c r="DK90" s="2" t="str">
        <f>HYPERLINK(".\links\netoglyc\AGAP028559-PA-netoglyc.txt","12")</f>
        <v>12</v>
      </c>
      <c r="DL90" s="2">
        <v>19.8</v>
      </c>
      <c r="DM90" s="2">
        <v>10.199999999999999</v>
      </c>
      <c r="DN90" s="2">
        <v>6.3</v>
      </c>
      <c r="DO90" s="2">
        <v>0.2</v>
      </c>
      <c r="DP90" s="2" t="s">
        <v>1203</v>
      </c>
      <c r="DQ90" s="2" t="str">
        <f>HYPERLINK(".\links\Sigp\AGAP028559-PA-SigP.txt","CYT")</f>
        <v>CYT</v>
      </c>
      <c r="DR90" s="2" t="s">
        <v>94</v>
      </c>
      <c r="DS90" s="2">
        <v>147.828</v>
      </c>
      <c r="DT90" s="2">
        <v>6.02</v>
      </c>
      <c r="DU90" s="2" t="s">
        <v>94</v>
      </c>
      <c r="DV90" s="2" t="s">
        <v>94</v>
      </c>
      <c r="DW90" s="2" t="s">
        <v>1194</v>
      </c>
      <c r="DX90" s="2">
        <v>1395</v>
      </c>
      <c r="DY90" s="8">
        <v>0</v>
      </c>
      <c r="DZ90" s="2" t="s">
        <v>94</v>
      </c>
      <c r="EA90" s="2" t="s">
        <v>94</v>
      </c>
      <c r="EB90" s="2" t="s">
        <v>94</v>
      </c>
      <c r="EC90" s="2" t="str">
        <f>HYPERLINK(".\links\gpi\AGAP028559-PA-gpi.txt","Y-NoSP")</f>
        <v>Y-NoSP</v>
      </c>
      <c r="ED90" s="2">
        <v>0.27</v>
      </c>
      <c r="EF90" s="2">
        <v>26</v>
      </c>
      <c r="EG90" s="2" t="str">
        <f>HYPERLINK(".\links\pep\AGAP028559-PA-sulf.txt","6")</f>
        <v>6</v>
      </c>
      <c r="EH90" s="2" t="s">
        <v>94</v>
      </c>
      <c r="EI90" s="2">
        <v>19.784946236559101</v>
      </c>
      <c r="EJ90" s="2">
        <v>6.3082437275985699</v>
      </c>
      <c r="EK90" s="2">
        <v>10.179211469534</v>
      </c>
      <c r="EL90" s="2">
        <v>16.487455197132601</v>
      </c>
      <c r="EM90" s="2" t="s">
        <v>94</v>
      </c>
      <c r="EN90" s="2">
        <v>4</v>
      </c>
      <c r="EO90" s="2">
        <v>5</v>
      </c>
      <c r="EP90" s="2" t="s">
        <v>94</v>
      </c>
      <c r="EQ90" s="2" t="s">
        <v>94</v>
      </c>
      <c r="ER90" s="2" t="s">
        <v>94</v>
      </c>
      <c r="ES90" s="2" t="s">
        <v>94</v>
      </c>
      <c r="ET90" s="2" t="str">
        <f>HYPERLINK(".\links\REFSEQ-INVERTEBRATE\AGAP028559-PA-REFSEQ-INVERTEBRATE.txt","uncharacterized protein LOC118513594 isoform X3")</f>
        <v>uncharacterized protein LOC118513594 isoform X3</v>
      </c>
      <c r="EU90" s="2" t="str">
        <f>HYPERLINK("http://www.ncbi.nlm.nih.gov/sutils/blink.cgi?pid=XP_035915477.1","0.0")</f>
        <v>0.0</v>
      </c>
      <c r="EV90" s="2" t="str">
        <f>HYPERLINK("http://www.ncbi.nlm.nih.gov/protein/XP_035915477.1","XP_035915477.1")</f>
        <v>XP_035915477.1</v>
      </c>
      <c r="EW90" s="2">
        <v>65</v>
      </c>
      <c r="EX90" s="2">
        <v>71</v>
      </c>
      <c r="EY90" s="2">
        <v>69</v>
      </c>
      <c r="EZ90" s="2" t="s">
        <v>184</v>
      </c>
    </row>
    <row r="91" spans="1:156" x14ac:dyDescent="0.25">
      <c r="A91" s="2" t="s">
        <v>1204</v>
      </c>
      <c r="B91" s="2">
        <v>0.81376341485386205</v>
      </c>
      <c r="C91" s="2">
        <v>1.7577908410076291</v>
      </c>
      <c r="D91" s="2">
        <v>5.4885957333833097</v>
      </c>
      <c r="E91" s="2">
        <v>14.8153454759812</v>
      </c>
      <c r="F91" s="2">
        <v>1.1856677132169001E-4</v>
      </c>
      <c r="G91" s="2">
        <v>8.2447496793325303E-3</v>
      </c>
      <c r="H91" s="2" t="s">
        <v>1205</v>
      </c>
      <c r="I91" s="2" t="s">
        <v>87</v>
      </c>
      <c r="J91" s="2" t="str">
        <f>HYPERLINK("https://vectorbase.org/vectorbase/app/record/gene/AGAP010687","AGAP010687-RA")</f>
        <v>AGAP010687-RA</v>
      </c>
      <c r="K91" s="2" t="str">
        <f>HYPERLINK(".\links\pep\AGAP010687-PA-pep.txt","AGAP010687-PA")</f>
        <v>AGAP010687-PA</v>
      </c>
      <c r="L91" s="8" t="s">
        <v>88</v>
      </c>
      <c r="M91" s="2">
        <v>1290</v>
      </c>
      <c r="N91" s="2">
        <v>0</v>
      </c>
      <c r="O91" s="2">
        <v>3</v>
      </c>
      <c r="P91" s="2" t="s">
        <v>1206</v>
      </c>
      <c r="Q91" s="9" t="s">
        <v>1207</v>
      </c>
      <c r="R91" s="2" t="s">
        <v>131</v>
      </c>
      <c r="S91" s="2" t="str">
        <f>HYPERLINK(".\links\KOG\AGAP010687-PA-KOG.txt","KOG")</f>
        <v>KOG</v>
      </c>
      <c r="T91" s="2">
        <v>0</v>
      </c>
      <c r="U91" s="2">
        <v>52</v>
      </c>
      <c r="V91" s="2" t="s">
        <v>1208</v>
      </c>
      <c r="W91" s="10" t="s">
        <v>1209</v>
      </c>
      <c r="X91" s="2" t="s">
        <v>131</v>
      </c>
      <c r="Y91" s="2" t="str">
        <f>HYPERLINK(".\links\REFSEQVERTEBRATE95\AGAP010687-PA-REFSEQVERTEBRATE95.txt","REFSEQVERTEBRATE95")</f>
        <v>REFSEQVERTEBRATE95</v>
      </c>
      <c r="Z91" s="2">
        <v>0</v>
      </c>
      <c r="AA91" s="2">
        <v>102.1</v>
      </c>
      <c r="AB91" s="11" t="str">
        <f>HYPERLINK(".\links\pep\AGAP010687-PA-sulf.txt","2")</f>
        <v>2</v>
      </c>
      <c r="AC91" s="11" t="str">
        <f>HYPERLINK(".\links\Sigp\AGAP010687-PA-SigP.txt","CYT")</f>
        <v>CYT</v>
      </c>
      <c r="AD91" s="2" t="s">
        <v>94</v>
      </c>
      <c r="AE91" s="2">
        <v>145.024</v>
      </c>
      <c r="AF91" s="2">
        <v>8.36</v>
      </c>
      <c r="AG91" s="2" t="s">
        <v>94</v>
      </c>
      <c r="AH91" s="2" t="s">
        <v>94</v>
      </c>
      <c r="AI91" s="2" t="s">
        <v>1210</v>
      </c>
      <c r="AJ91" s="11">
        <v>0</v>
      </c>
      <c r="AK91" s="2" t="s">
        <v>94</v>
      </c>
      <c r="AL91" s="2" t="s">
        <v>94</v>
      </c>
      <c r="AM91" s="2" t="s">
        <v>94</v>
      </c>
      <c r="AN91" s="11" t="str">
        <f>HYPERLINK(".\links\gpi\AGAP010687-PA-gpi.txt","N")</f>
        <v>N</v>
      </c>
      <c r="AO91" s="12" t="str">
        <f>HYPERLINK(".\links\netoglyc\AGAP010687-PA-netoglyc.txt","2")</f>
        <v>2</v>
      </c>
      <c r="AP91" s="11">
        <v>13.1</v>
      </c>
      <c r="AQ91" s="2">
        <v>7.1</v>
      </c>
      <c r="AR91" s="2">
        <v>5.3</v>
      </c>
      <c r="AS91" s="2" t="s">
        <v>97</v>
      </c>
      <c r="AT91" s="9" t="str">
        <f>HYPERLINK(".\links\NR-LIGHT\AGAP010687-PA-NR-LIGHT.txt","AGAP010687-PA, partial")</f>
        <v>AGAP010687-PA, partial</v>
      </c>
      <c r="AU91" s="2" t="str">
        <f>HYPERLINK("http://www.ncbi.nlm.nih.gov/sutils/blink.cgi?pid=XP_311402.2","0.0")</f>
        <v>0.0</v>
      </c>
      <c r="AV91" s="2" t="str">
        <f>HYPERLINK("http://www.ncbi.nlm.nih.gov/protein/XP_311402.2","XP_311402.2")</f>
        <v>XP_311402.2</v>
      </c>
      <c r="AW91" s="2">
        <v>94</v>
      </c>
      <c r="AX91" s="2">
        <v>94</v>
      </c>
      <c r="AY91" s="2">
        <v>104</v>
      </c>
      <c r="AZ91" s="2" t="s">
        <v>98</v>
      </c>
      <c r="BA91" s="9" t="str">
        <f>HYPERLINK(".\links\REFSEQ-INVERTEBRATE\AGAP010687-PA-REFSEQ-INVERTEBRATE.txt","AGAP010687-PA, partial")</f>
        <v>AGAP010687-PA, partial</v>
      </c>
      <c r="BB91" s="2" t="str">
        <f>HYPERLINK("http://www.ncbi.nlm.nih.gov/sutils/blink.cgi?pid=XP_311402.2","0.0")</f>
        <v>0.0</v>
      </c>
      <c r="BC91" s="2" t="str">
        <f>HYPERLINK("http://www.ncbi.nlm.nih.gov/protein/XP_311402.2","XP_311402.2")</f>
        <v>XP_311402.2</v>
      </c>
      <c r="BD91" s="2">
        <v>94</v>
      </c>
      <c r="BE91" s="2">
        <v>94</v>
      </c>
      <c r="BF91" s="2">
        <v>104</v>
      </c>
      <c r="BG91" s="2" t="s">
        <v>98</v>
      </c>
      <c r="BH91" s="9" t="str">
        <f>HYPERLINK(".\links\REFSEQ-PROTOZOA\AGAP010687-PA-REFSEQ-PROTOZOA.txt","phospholipase D1")</f>
        <v>phospholipase D1</v>
      </c>
      <c r="BI91" s="2" t="str">
        <f>HYPERLINK("http://www.ncbi.nlm.nih.gov/sutils/blink.cgi?pid=XP_004345228.2","7E-095")</f>
        <v>7E-095</v>
      </c>
      <c r="BJ91" s="2" t="str">
        <f>HYPERLINK("http://www.ncbi.nlm.nih.gov/protein/XP_004345228.2","XP_004345228.2")</f>
        <v>XP_004345228.2</v>
      </c>
      <c r="BK91" s="2">
        <v>42</v>
      </c>
      <c r="BL91" s="2">
        <v>62</v>
      </c>
      <c r="BM91" s="2">
        <v>17</v>
      </c>
      <c r="BN91" s="2" t="s">
        <v>227</v>
      </c>
      <c r="BO91" s="9" t="str">
        <f>HYPERLINK(".\links\SWISSP\AGAP010687-PA-SWISSP.txt","Phospholipase D1")</f>
        <v>Phospholipase D1</v>
      </c>
      <c r="BP91" s="2" t="str">
        <f>HYPERLINK("http://www.uniprot.org/uniprot/Q13393","1E-112")</f>
        <v>1E-112</v>
      </c>
      <c r="BQ91" s="2" t="str">
        <f>HYPERLINK("http://www.uniprot.org/uniprot/Q13393#expression","Q13393")</f>
        <v>Q13393</v>
      </c>
      <c r="BR91" s="2">
        <v>47</v>
      </c>
      <c r="BS91" s="2">
        <v>65</v>
      </c>
      <c r="BT91" s="2">
        <v>42</v>
      </c>
      <c r="BU91" s="2" t="s">
        <v>196</v>
      </c>
      <c r="BV91" s="9" t="str">
        <f>HYPERLINK(".\links\FLYBASE\AGAP010687-PA-FLYBASE.txt","FBpp0112984")</f>
        <v>FBpp0112984</v>
      </c>
      <c r="BW91" s="2" t="str">
        <f>HYPERLINK("http://flybase.org/reports/FBgn0286511#alliance_summary_container","0.0")</f>
        <v>0.0</v>
      </c>
      <c r="BX91" s="2">
        <v>1364</v>
      </c>
      <c r="BY91" s="2">
        <v>53</v>
      </c>
      <c r="BZ91" s="2">
        <v>67</v>
      </c>
      <c r="CA91" s="2">
        <v>94</v>
      </c>
      <c r="CB91" s="9" t="str">
        <f>HYPERLINK(".\links\CDD\AGAP010687-PA-CDD.txt","PLN02866, phospholipase D")</f>
        <v>PLN02866, phospholipase D</v>
      </c>
      <c r="CC91" s="13">
        <v>2E-91</v>
      </c>
      <c r="CD91" s="2">
        <v>33.200000000000003</v>
      </c>
      <c r="CE91" s="2" t="s">
        <v>1211</v>
      </c>
      <c r="CF91" s="2" t="s">
        <v>1212</v>
      </c>
      <c r="CG91" s="9" t="str">
        <f>HYPERLINK(".\links\KOG\AGAP010687-PA-KOG.txt","Phospholipase D1")</f>
        <v>Phospholipase D1</v>
      </c>
      <c r="CH91" s="13">
        <v>9.9999999999999999E-117</v>
      </c>
      <c r="CI91" s="2">
        <v>52.2</v>
      </c>
      <c r="CJ91" s="2" t="s">
        <v>1213</v>
      </c>
      <c r="CK91" s="2" t="s">
        <v>232</v>
      </c>
      <c r="CL91" s="9" t="str">
        <f>HYPERLINK(".\links\PFAM\AGAP010687-PA-PFAM.txt","PLDc_2, PLD-like domain")</f>
        <v>PLDc_2, PLD-like domain</v>
      </c>
      <c r="CM91" s="13">
        <v>2.0000000000000001E-9</v>
      </c>
      <c r="CN91" s="2">
        <v>128.80000000000001</v>
      </c>
      <c r="CO91" s="2" t="s">
        <v>1214</v>
      </c>
      <c r="CP91" s="9" t="str">
        <f>HYPERLINK(".\links\SMART\AGAP010687-PA-SMART.txt","PX, PhoX homologous domain, present in p47phox and p40phox")</f>
        <v>PX, PhoX homologous domain, present in p47phox and p40phox</v>
      </c>
      <c r="CQ91" s="13">
        <v>9.9999999999999995E-8</v>
      </c>
      <c r="CR91" s="2">
        <v>126.7</v>
      </c>
      <c r="CS91" s="2" t="s">
        <v>1215</v>
      </c>
      <c r="CT91" s="2" t="s">
        <v>1208</v>
      </c>
      <c r="CU91" s="2" t="s">
        <v>1208</v>
      </c>
      <c r="CV91" s="2" t="s">
        <v>1208</v>
      </c>
      <c r="CW91" s="2" t="str">
        <f>HYPERLINK(".\links\pep\AGAP010687-PA-pep.txt","AGAP010687-PA")</f>
        <v>AGAP010687-PA</v>
      </c>
      <c r="CX91" s="2" t="s">
        <v>88</v>
      </c>
      <c r="CY91" s="2">
        <v>1290</v>
      </c>
      <c r="CZ91" s="2" t="s">
        <v>106</v>
      </c>
      <c r="DA91" s="2" t="s">
        <v>1216</v>
      </c>
      <c r="DB91" s="2">
        <v>0</v>
      </c>
      <c r="DC91" s="2">
        <v>3</v>
      </c>
      <c r="DD91" s="2" t="str">
        <f>HYPERLINK("https://www.kegg.jp/kegg-bin/search_pathway_text?map=aga&amp;keyword=AGAP010687&amp;mode=1&amp;viewImage=true","AGAP010687")</f>
        <v>AGAP010687</v>
      </c>
      <c r="DE91" s="2" t="s">
        <v>1217</v>
      </c>
      <c r="DF91" s="2" t="s">
        <v>1205</v>
      </c>
      <c r="DG91" s="2" t="s">
        <v>87</v>
      </c>
      <c r="DH91" s="2" t="str">
        <f>HYPERLINK("https://vectorbase.org/vectorbase/app/record/gene/AGAP010687","AGAP010687-RA")</f>
        <v>AGAP010687-RA</v>
      </c>
      <c r="DI91" s="2" t="s">
        <v>125</v>
      </c>
      <c r="DJ91" s="2">
        <v>4683</v>
      </c>
      <c r="DK91" s="2" t="str">
        <f>HYPERLINK(".\links\netoglyc\AGAP010687-PA-netoglyc.txt","2")</f>
        <v>2</v>
      </c>
      <c r="DL91" s="2">
        <v>13.1</v>
      </c>
      <c r="DM91" s="2">
        <v>7.1</v>
      </c>
      <c r="DN91" s="2">
        <v>5.3</v>
      </c>
      <c r="DO91" s="2" t="s">
        <v>97</v>
      </c>
      <c r="DP91" s="2" t="s">
        <v>94</v>
      </c>
      <c r="DQ91" s="2" t="str">
        <f>HYPERLINK(".\links\Sigp\AGAP010687-PA-SigP.txt","CYT")</f>
        <v>CYT</v>
      </c>
      <c r="DR91" s="2" t="s">
        <v>94</v>
      </c>
      <c r="DS91" s="2">
        <v>145.024</v>
      </c>
      <c r="DT91" s="2">
        <v>8.36</v>
      </c>
      <c r="DU91" s="2" t="s">
        <v>94</v>
      </c>
      <c r="DV91" s="2" t="s">
        <v>94</v>
      </c>
      <c r="DW91" s="2" t="s">
        <v>1210</v>
      </c>
      <c r="DX91" s="2">
        <v>1290</v>
      </c>
      <c r="DY91" s="8">
        <v>0</v>
      </c>
      <c r="DZ91" s="2" t="s">
        <v>94</v>
      </c>
      <c r="EA91" s="2" t="s">
        <v>94</v>
      </c>
      <c r="EB91" s="2" t="s">
        <v>94</v>
      </c>
      <c r="EC91" s="2" t="str">
        <f>HYPERLINK(".\links\gpi\AGAP010687-PA-gpi.txt","N")</f>
        <v>N</v>
      </c>
      <c r="ED91" s="2">
        <v>0.11</v>
      </c>
      <c r="EF91" s="2">
        <v>24</v>
      </c>
      <c r="EG91" s="2" t="str">
        <f>HYPERLINK(".\links\pep\AGAP010687-PA-sulf.txt","2")</f>
        <v>2</v>
      </c>
      <c r="EH91" s="2" t="s">
        <v>94</v>
      </c>
      <c r="EI91" s="2">
        <v>13.1007751937984</v>
      </c>
      <c r="EJ91" s="2">
        <v>5.2713178294573604</v>
      </c>
      <c r="EK91" s="2">
        <v>7.1317829457364299</v>
      </c>
      <c r="EL91" s="2">
        <v>12.403100775193799</v>
      </c>
      <c r="EM91" s="2">
        <v>2</v>
      </c>
      <c r="EN91" s="2">
        <v>2</v>
      </c>
      <c r="EO91" s="2">
        <v>3</v>
      </c>
      <c r="EP91" s="2" t="s">
        <v>94</v>
      </c>
      <c r="EQ91" s="2" t="s">
        <v>94</v>
      </c>
      <c r="ER91" s="2" t="s">
        <v>94</v>
      </c>
      <c r="ES91" s="2" t="s">
        <v>94</v>
      </c>
      <c r="ET91" s="2" t="str">
        <f>HYPERLINK(".\links\REFSEQ-INVERTEBRATE\AGAP010687-PA-REFSEQ-INVERTEBRATE.txt","AGAP010687-PA, partial")</f>
        <v>AGAP010687-PA, partial</v>
      </c>
      <c r="EU91" s="2" t="str">
        <f>HYPERLINK("http://www.ncbi.nlm.nih.gov/sutils/blink.cgi?pid=XP_311402.2","0.0")</f>
        <v>0.0</v>
      </c>
      <c r="EV91" s="2" t="str">
        <f>HYPERLINK("http://www.ncbi.nlm.nih.gov/protein/XP_311402.2","XP_311402.2")</f>
        <v>XP_311402.2</v>
      </c>
      <c r="EW91" s="2">
        <v>94</v>
      </c>
      <c r="EX91" s="2">
        <v>94</v>
      </c>
      <c r="EY91" s="2">
        <v>104</v>
      </c>
      <c r="EZ91" s="2" t="s">
        <v>98</v>
      </c>
    </row>
    <row r="92" spans="1:156" x14ac:dyDescent="0.25">
      <c r="A92" s="2" t="s">
        <v>1218</v>
      </c>
      <c r="B92" s="2">
        <v>0.81007427710644098</v>
      </c>
      <c r="C92" s="2">
        <v>1.7533017089888401</v>
      </c>
      <c r="D92" s="2">
        <v>5.2786850770924802</v>
      </c>
      <c r="E92" s="2">
        <v>17.4333832908519</v>
      </c>
      <c r="F92" s="2">
        <v>2.97553973008578E-5</v>
      </c>
      <c r="G92" s="2">
        <v>2.8713958395327802E-3</v>
      </c>
      <c r="H92" s="2" t="s">
        <v>167</v>
      </c>
      <c r="I92" s="2" t="s">
        <v>87</v>
      </c>
      <c r="J92" s="2" t="str">
        <f>HYPERLINK("https://vectorbase.org/vectorbase/app/record/gene/AGAP009638","AGAP009638-RA")</f>
        <v>AGAP009638-RA</v>
      </c>
      <c r="K92" s="2" t="str">
        <f>HYPERLINK(".\links\pep\AGAP009638-PA-pep.txt","AGAP009638-PA")</f>
        <v>AGAP009638-PA</v>
      </c>
      <c r="L92" s="8" t="s">
        <v>88</v>
      </c>
      <c r="M92" s="2">
        <v>4185</v>
      </c>
      <c r="N92" s="2">
        <v>0</v>
      </c>
      <c r="O92" s="2">
        <v>0</v>
      </c>
      <c r="P92" s="2" t="s">
        <v>94</v>
      </c>
      <c r="Q92" s="9" t="s">
        <v>1219</v>
      </c>
      <c r="R92" s="2" t="s">
        <v>1220</v>
      </c>
      <c r="S92" s="2" t="str">
        <f>HYPERLINK(".\links\KOG\AGAP009638-PA-KOG.txt","KOG")</f>
        <v>KOG</v>
      </c>
      <c r="T92" s="2">
        <v>1.0000000000000001E-9</v>
      </c>
      <c r="U92" s="2">
        <v>42.9</v>
      </c>
      <c r="V92" s="2" t="s">
        <v>1221</v>
      </c>
      <c r="W92" s="10" t="s">
        <v>1222</v>
      </c>
      <c r="X92" s="2" t="s">
        <v>238</v>
      </c>
      <c r="Y92" s="2" t="str">
        <f>HYPERLINK(".\links\REFSEQ-INVERTEBRATE\AGAP009638-PA-REFSEQ-INVERTEBRATE.txt","REFSEQ-INVERTEBRATE")</f>
        <v>REFSEQ-INVERTEBRATE</v>
      </c>
      <c r="Z92" s="13">
        <v>0</v>
      </c>
      <c r="AA92" s="2">
        <v>105</v>
      </c>
      <c r="AB92" s="11" t="str">
        <f>HYPERLINK(".\links\pep\AGAP009638-PA-sulf.txt","6")</f>
        <v>6</v>
      </c>
      <c r="AC92" s="11" t="str">
        <f>HYPERLINK(".\links\Sigp\AGAP009638-PA-SigP.txt","CYT")</f>
        <v>CYT</v>
      </c>
      <c r="AD92" s="2" t="s">
        <v>94</v>
      </c>
      <c r="AE92" s="2">
        <v>477.137</v>
      </c>
      <c r="AF92" s="2">
        <v>7.34</v>
      </c>
      <c r="AG92" s="2" t="s">
        <v>94</v>
      </c>
      <c r="AH92" s="2" t="s">
        <v>94</v>
      </c>
      <c r="AI92" s="2" t="s">
        <v>463</v>
      </c>
      <c r="AJ92" s="11">
        <v>0</v>
      </c>
      <c r="AK92" s="2" t="s">
        <v>94</v>
      </c>
      <c r="AL92" s="2" t="s">
        <v>94</v>
      </c>
      <c r="AM92" s="2" t="s">
        <v>94</v>
      </c>
      <c r="AN92" s="11" t="str">
        <f>HYPERLINK(".\links\gpi\AGAP009638-PA-gpi.txt","N")</f>
        <v>N</v>
      </c>
      <c r="AO92" s="12" t="str">
        <f>HYPERLINK(".\links\netoglyc\AGAP009638-PA-netoglyc.txt","9")</f>
        <v>9</v>
      </c>
      <c r="AP92" s="11">
        <v>15.3</v>
      </c>
      <c r="AQ92" s="2">
        <v>5.0999999999999996</v>
      </c>
      <c r="AR92" s="2">
        <v>11.4</v>
      </c>
      <c r="AS92" s="2" t="s">
        <v>97</v>
      </c>
      <c r="AT92" s="9" t="str">
        <f>HYPERLINK(".\links\NR-LIGHT\AGAP009638-PA-NR-LIGHT.txt","AGAP009638-PA, partial")</f>
        <v>AGAP009638-PA, partial</v>
      </c>
      <c r="AU92" s="2" t="str">
        <f>HYPERLINK("http://www.ncbi.nlm.nih.gov/sutils/blink.cgi?pid=XP_318671.4","0.0")</f>
        <v>0.0</v>
      </c>
      <c r="AV92" s="2" t="str">
        <f>HYPERLINK("http://www.ncbi.nlm.nih.gov/protein/XP_318671.4","XP_318671.4")</f>
        <v>XP_318671.4</v>
      </c>
      <c r="AW92" s="2">
        <v>82</v>
      </c>
      <c r="AX92" s="2">
        <v>85</v>
      </c>
      <c r="AY92" s="2">
        <v>104</v>
      </c>
      <c r="AZ92" s="2" t="s">
        <v>98</v>
      </c>
      <c r="BA92" s="9" t="str">
        <f>HYPERLINK(".\links\REFSEQ-INVERTEBRATE\AGAP009638-PA-REFSEQ-INVERTEBRATE.txt","AGAP009638-PA, partial")</f>
        <v>AGAP009638-PA, partial</v>
      </c>
      <c r="BB92" s="2" t="str">
        <f>HYPERLINK("http://www.ncbi.nlm.nih.gov/sutils/blink.cgi?pid=XP_318671.4","0.0")</f>
        <v>0.0</v>
      </c>
      <c r="BC92" s="2" t="str">
        <f>HYPERLINK("http://www.ncbi.nlm.nih.gov/protein/XP_318671.4","XP_318671.4")</f>
        <v>XP_318671.4</v>
      </c>
      <c r="BD92" s="2">
        <v>82</v>
      </c>
      <c r="BE92" s="2">
        <v>85</v>
      </c>
      <c r="BF92" s="2">
        <v>104</v>
      </c>
      <c r="BG92" s="2" t="s">
        <v>98</v>
      </c>
      <c r="BH92" s="9" t="str">
        <f>HYPERLINK(".\links\REFSEQ-PROTOZOA\AGAP009638-PA-REFSEQ-PROTOZOA.txt","hypothetical protein")</f>
        <v>hypothetical protein</v>
      </c>
      <c r="BI92" s="2" t="str">
        <f>HYPERLINK("http://www.ncbi.nlm.nih.gov/sutils/blink.cgi?pid=XP_001311491.1","1E-103")</f>
        <v>1E-103</v>
      </c>
      <c r="BJ92" s="2" t="str">
        <f>HYPERLINK("http://www.ncbi.nlm.nih.gov/protein/XP_001311491.1","XP_001311491.1")</f>
        <v>XP_001311491.1</v>
      </c>
      <c r="BK92" s="2">
        <v>23</v>
      </c>
      <c r="BL92" s="2">
        <v>40</v>
      </c>
      <c r="BM92" s="2">
        <v>107</v>
      </c>
      <c r="BN92" s="2" t="s">
        <v>496</v>
      </c>
      <c r="BO92" s="9" t="str">
        <f>HYPERLINK(".\links\SWISSP\AGAP009638-PA-SWISSP.txt","Titin")</f>
        <v>Titin</v>
      </c>
      <c r="BP92" s="2" t="str">
        <f>HYPERLINK("http://www.uniprot.org/uniprot/A2ASS6","5E-091")</f>
        <v>5E-091</v>
      </c>
      <c r="BQ92" s="2" t="str">
        <f>HYPERLINK("http://www.uniprot.org/uniprot/A2ASS6#expression","A2ASS6")</f>
        <v>A2ASS6</v>
      </c>
      <c r="BR92" s="2">
        <v>24</v>
      </c>
      <c r="BS92" s="2">
        <v>36</v>
      </c>
      <c r="BT92" s="2">
        <v>7</v>
      </c>
      <c r="BU92" s="2" t="s">
        <v>339</v>
      </c>
      <c r="BV92" s="9" t="str">
        <f>HYPERLINK(".\links\FLYBASE\AGAP009638-PA-FLYBASE.txt","FBpp0086659")</f>
        <v>FBpp0086659</v>
      </c>
      <c r="BW92" s="2" t="str">
        <f>HYPERLINK("http://flybase.org/reports/FBgn0050069#alliance_summary_container","0.0")</f>
        <v>0.0</v>
      </c>
      <c r="BX92" s="2">
        <v>4012</v>
      </c>
      <c r="BY92" s="2">
        <v>47</v>
      </c>
      <c r="BZ92" s="2">
        <v>62</v>
      </c>
      <c r="CA92" s="2">
        <v>91</v>
      </c>
      <c r="CB92" s="9" t="str">
        <f>HYPERLINK(".\links\CDD\AGAP009638-PA-CDD.txt","PRK13735, conjugal transfer mating pair stabilization protein TraG")</f>
        <v>PRK13735, conjugal transfer mating pair stabilization protein TraG</v>
      </c>
      <c r="CC92" s="13">
        <v>2.0000000000000001E-10</v>
      </c>
      <c r="CD92" s="2">
        <v>38</v>
      </c>
      <c r="CE92" s="2" t="s">
        <v>1223</v>
      </c>
      <c r="CF92" s="2" t="s">
        <v>1224</v>
      </c>
      <c r="CG92" s="9" t="str">
        <f>HYPERLINK(".\links\KOG\AGAP009638-PA-KOG.txt","Chitinase")</f>
        <v>Chitinase</v>
      </c>
      <c r="CH92" s="13">
        <v>1.0000000000000001E-9</v>
      </c>
      <c r="CI92" s="2">
        <v>43</v>
      </c>
      <c r="CJ92" s="2" t="s">
        <v>1225</v>
      </c>
      <c r="CK92" s="2" t="s">
        <v>200</v>
      </c>
      <c r="CL92" s="9" t="str">
        <f>HYPERLINK(".\links\PFAM\AGAP009638-PA-PFAM.txt","SseC, Secretion system effector C (SseC) like family")</f>
        <v>SseC, Secretion system effector C (SseC) like family</v>
      </c>
      <c r="CM92" s="13">
        <v>3.9999999999999998E-6</v>
      </c>
      <c r="CN92" s="2">
        <v>70.2</v>
      </c>
      <c r="CO92" s="2" t="s">
        <v>1226</v>
      </c>
      <c r="CP92" s="9" t="str">
        <f>HYPERLINK(".\links\SMART\AGAP009638-PA-SMART.txt","MA, Methyl-accepting chemotaxis-like domains (chemotaxis sensory transducer)")</f>
        <v>MA, Methyl-accepting chemotaxis-like domains (chemotaxis sensory transducer)</v>
      </c>
      <c r="CQ92" s="13">
        <v>3.0000000000000001E-3</v>
      </c>
      <c r="CR92" s="2">
        <v>39.700000000000003</v>
      </c>
      <c r="CS92" s="2" t="s">
        <v>1227</v>
      </c>
      <c r="CT92" s="2" t="s">
        <v>1221</v>
      </c>
      <c r="CU92" s="2" t="s">
        <v>1221</v>
      </c>
      <c r="CV92" s="2" t="s">
        <v>1221</v>
      </c>
      <c r="CW92" s="2" t="str">
        <f>HYPERLINK(".\links\pep\AGAP009638-PA-pep.txt","AGAP009638-PA")</f>
        <v>AGAP009638-PA</v>
      </c>
      <c r="CX92" s="2" t="s">
        <v>88</v>
      </c>
      <c r="CY92" s="2">
        <v>4185</v>
      </c>
      <c r="CZ92" s="2" t="s">
        <v>106</v>
      </c>
      <c r="DA92" s="2" t="s">
        <v>1228</v>
      </c>
      <c r="DB92" s="2">
        <v>0</v>
      </c>
      <c r="DC92" s="2">
        <v>0</v>
      </c>
      <c r="DD92" s="2" t="str">
        <f>HYPERLINK("https://www.kegg.jp/kegg-bin/search_pathway_text?map=aga&amp;keyword=AGAP009638&amp;mode=1&amp;viewImage=true","AGAP009638")</f>
        <v>AGAP009638</v>
      </c>
      <c r="DE92" s="2" t="s">
        <v>1218</v>
      </c>
      <c r="DF92" s="2" t="s">
        <v>167</v>
      </c>
      <c r="DG92" s="2" t="s">
        <v>87</v>
      </c>
      <c r="DH92" s="2" t="str">
        <f>HYPERLINK("https://vectorbase.org/vectorbase/app/record/gene/AGAP009638","AGAP009638-RA")</f>
        <v>AGAP009638-RA</v>
      </c>
      <c r="DI92" s="2" t="s">
        <v>125</v>
      </c>
      <c r="DJ92" s="2">
        <v>13777</v>
      </c>
      <c r="DK92" s="2" t="str">
        <f>HYPERLINK(".\links\netoglyc\AGAP009638-PA-netoglyc.txt","9")</f>
        <v>9</v>
      </c>
      <c r="DL92" s="2">
        <v>15.3</v>
      </c>
      <c r="DM92" s="2">
        <v>5.0999999999999996</v>
      </c>
      <c r="DN92" s="2">
        <v>11.4</v>
      </c>
      <c r="DO92" s="2" t="s">
        <v>97</v>
      </c>
      <c r="DP92" s="2" t="s">
        <v>94</v>
      </c>
      <c r="DQ92" s="2" t="str">
        <f>HYPERLINK(".\links\Sigp\AGAP009638-PA-SigP.txt","CYT")</f>
        <v>CYT</v>
      </c>
      <c r="DR92" s="2" t="s">
        <v>94</v>
      </c>
      <c r="DS92" s="2">
        <v>477.137</v>
      </c>
      <c r="DT92" s="2">
        <v>7.34</v>
      </c>
      <c r="DU92" s="2" t="s">
        <v>94</v>
      </c>
      <c r="DV92" s="2" t="s">
        <v>94</v>
      </c>
      <c r="DW92" s="2" t="s">
        <v>463</v>
      </c>
      <c r="DX92" s="2">
        <v>4185</v>
      </c>
      <c r="DY92" s="8">
        <v>0</v>
      </c>
      <c r="DZ92" s="2" t="s">
        <v>94</v>
      </c>
      <c r="EA92" s="2" t="s">
        <v>94</v>
      </c>
      <c r="EB92" s="2" t="s">
        <v>94</v>
      </c>
      <c r="EC92" s="2" t="str">
        <f>HYPERLINK(".\links\gpi\AGAP009638-PA-gpi.txt","N")</f>
        <v>N</v>
      </c>
      <c r="ED92" s="2">
        <v>0.4</v>
      </c>
      <c r="EF92" s="2">
        <v>10</v>
      </c>
      <c r="EG92" s="2" t="str">
        <f>HYPERLINK(".\links\pep\AGAP009638-PA-sulf.txt","6")</f>
        <v>6</v>
      </c>
      <c r="EH92" s="2" t="s">
        <v>94</v>
      </c>
      <c r="EI92" s="2">
        <v>15.292712066905599</v>
      </c>
      <c r="EJ92" s="2">
        <v>11.373954599761101</v>
      </c>
      <c r="EK92" s="2">
        <v>5.0657108721624899</v>
      </c>
      <c r="EL92" s="2">
        <v>16.439665471923501</v>
      </c>
      <c r="EM92" s="2">
        <v>2</v>
      </c>
      <c r="EN92" s="2">
        <v>2</v>
      </c>
      <c r="EO92" s="2">
        <v>3</v>
      </c>
      <c r="EP92" s="2" t="s">
        <v>94</v>
      </c>
      <c r="EQ92" s="2" t="s">
        <v>94</v>
      </c>
      <c r="ER92" s="2" t="s">
        <v>94</v>
      </c>
      <c r="ES92" s="2" t="s">
        <v>94</v>
      </c>
      <c r="ET92" s="2" t="str">
        <f>HYPERLINK(".\links\REFSEQ-INVERTEBRATE\AGAP009638-PA-REFSEQ-INVERTEBRATE.txt","AGAP009638-PA, partial")</f>
        <v>AGAP009638-PA, partial</v>
      </c>
      <c r="EU92" s="2" t="str">
        <f>HYPERLINK("http://www.ncbi.nlm.nih.gov/sutils/blink.cgi?pid=XP_318671.4","0.0")</f>
        <v>0.0</v>
      </c>
      <c r="EV92" s="2" t="str">
        <f>HYPERLINK("http://www.ncbi.nlm.nih.gov/protein/XP_318671.4","XP_318671.4")</f>
        <v>XP_318671.4</v>
      </c>
      <c r="EW92" s="2">
        <v>85</v>
      </c>
      <c r="EX92" s="2">
        <v>88</v>
      </c>
      <c r="EY92" s="2">
        <v>99</v>
      </c>
      <c r="EZ92" s="2" t="s">
        <v>98</v>
      </c>
    </row>
    <row r="93" spans="1:156" x14ac:dyDescent="0.25">
      <c r="A93" s="2" t="s">
        <v>1229</v>
      </c>
      <c r="B93" s="2">
        <v>0.80546455850405496</v>
      </c>
      <c r="C93" s="2">
        <v>1.7477084763268755</v>
      </c>
      <c r="D93" s="2">
        <v>5.3532200440991904</v>
      </c>
      <c r="E93" s="2">
        <v>18.004334317702099</v>
      </c>
      <c r="F93" s="2">
        <v>2.20402572360565E-5</v>
      </c>
      <c r="G93" s="2">
        <v>2.2904913481471101E-3</v>
      </c>
      <c r="H93" s="2" t="s">
        <v>167</v>
      </c>
      <c r="I93" s="2" t="s">
        <v>87</v>
      </c>
      <c r="J93" s="2" t="str">
        <f>HYPERLINK("https://vectorbase.org/vectorbase/app/record/gene/AGAP005918","AGAP005918-RB")</f>
        <v>AGAP005918-RB</v>
      </c>
      <c r="K93" s="2" t="str">
        <f>HYPERLINK(".\links\pep\AGAP005918-PB-pep.txt","AGAP005918-PB")</f>
        <v>AGAP005918-PB</v>
      </c>
      <c r="Q93" s="9"/>
      <c r="V93" s="2" t="s">
        <v>1230</v>
      </c>
      <c r="W93" s="10" t="s">
        <v>1231</v>
      </c>
      <c r="X93" s="2" t="s">
        <v>113</v>
      </c>
      <c r="Y93" s="2" t="str">
        <f>HYPERLINK(".\links\REFSEQVERTEBRATE95\AGAP005918-PB-REFSEQVERTEBRATE95.txt","REFSEQVERTEBRATE95")</f>
        <v>REFSEQVERTEBRATE95</v>
      </c>
      <c r="Z93" s="13">
        <v>0</v>
      </c>
      <c r="AA93" s="2">
        <v>90.1</v>
      </c>
      <c r="AB93" s="9"/>
      <c r="AC93" s="9"/>
      <c r="AJ93" s="9"/>
      <c r="AN93" s="9"/>
      <c r="AO93" s="15"/>
      <c r="AP93" s="9"/>
      <c r="AT93" s="9"/>
      <c r="BA93" s="9"/>
      <c r="BH93" s="9"/>
      <c r="BO93" s="9"/>
      <c r="BV93" s="9"/>
      <c r="CB93" s="9"/>
      <c r="CG93" s="9"/>
      <c r="CL93" s="9"/>
      <c r="CP93" s="9"/>
      <c r="CW93" s="2" t="str">
        <f>HYPERLINK(".\links\pep\AGAP005918-PB-pep.txt","AGAP005918-PB")</f>
        <v>AGAP005918-PB</v>
      </c>
      <c r="CX93" s="2" t="s">
        <v>88</v>
      </c>
      <c r="CY93" s="2">
        <v>454</v>
      </c>
      <c r="CZ93" s="2" t="s">
        <v>106</v>
      </c>
      <c r="DA93" s="2" t="s">
        <v>1232</v>
      </c>
      <c r="DB93" s="2">
        <v>0</v>
      </c>
      <c r="DC93" s="2">
        <v>1</v>
      </c>
      <c r="DD93" s="2" t="str">
        <f>HYPERLINK("https://www.kegg.jp/kegg-bin/search_pathway_text?map=aga&amp;keyword=AGAP005918&amp;mode=1&amp;viewImage=true","AGAP005918")</f>
        <v>AGAP005918</v>
      </c>
      <c r="DE93" s="2" t="s">
        <v>1229</v>
      </c>
      <c r="DF93" s="2" t="s">
        <v>167</v>
      </c>
      <c r="DG93" s="2" t="s">
        <v>87</v>
      </c>
      <c r="DH93" s="2" t="str">
        <f>HYPERLINK("https://vectorbase.org/vectorbase/app/record/gene/AGAP005918","AGAP005918-RB")</f>
        <v>AGAP005918-RB</v>
      </c>
      <c r="DI93" s="2" t="s">
        <v>108</v>
      </c>
      <c r="DJ93" s="2">
        <v>2891</v>
      </c>
      <c r="DK93" s="2" t="str">
        <f>HYPERLINK(".\links\netoglyc\AGAP005918-PB-netoglyc.txt","0")</f>
        <v>0</v>
      </c>
      <c r="DL93" s="2">
        <v>13.9</v>
      </c>
      <c r="DM93" s="2">
        <v>8.6</v>
      </c>
      <c r="DN93" s="2">
        <v>2.4</v>
      </c>
      <c r="DO93" s="2" t="s">
        <v>97</v>
      </c>
      <c r="DP93" s="2" t="s">
        <v>94</v>
      </c>
      <c r="DQ93" s="2" t="str">
        <f>HYPERLINK(".\links\Sigp\AGAP005918-PB-SigP.txt","SIG")</f>
        <v>SIG</v>
      </c>
      <c r="DR93" s="2" t="s">
        <v>1233</v>
      </c>
      <c r="DS93" s="2">
        <v>49.055</v>
      </c>
      <c r="DT93" s="2">
        <v>5.83</v>
      </c>
      <c r="DU93" s="2">
        <v>45.764000000000003</v>
      </c>
      <c r="DV93" s="2">
        <v>5.63</v>
      </c>
      <c r="DW93" s="2" t="s">
        <v>1234</v>
      </c>
      <c r="DX93" s="2">
        <v>454</v>
      </c>
      <c r="DY93" s="8" t="str">
        <f>HYPERLINK(".\links\tmhmm\AGAP005918-PB-tmhmm.txt","6")</f>
        <v>6</v>
      </c>
      <c r="DZ93" s="2">
        <v>27.1</v>
      </c>
      <c r="EA93" s="2">
        <v>6.6</v>
      </c>
      <c r="EB93" s="2">
        <v>66.3</v>
      </c>
      <c r="EC93" s="2" t="str">
        <f>HYPERLINK(".\links\gpi\AGAP005918-PB-gpi.txt","Y-NoSP")</f>
        <v>Y-NoSP</v>
      </c>
      <c r="ED93" s="2">
        <v>0.25</v>
      </c>
      <c r="EF93" s="2">
        <v>11</v>
      </c>
      <c r="EG93" s="2" t="s">
        <v>94</v>
      </c>
      <c r="EH93" s="2" t="s">
        <v>94</v>
      </c>
      <c r="EI93" s="2">
        <v>13.876651982378901</v>
      </c>
      <c r="EJ93" s="2">
        <v>2.4229074889867799</v>
      </c>
      <c r="EK93" s="2">
        <v>8.5903083700440508</v>
      </c>
      <c r="EL93" s="2">
        <v>11.013215859030799</v>
      </c>
      <c r="EM93" s="2">
        <v>1</v>
      </c>
      <c r="EN93" s="2">
        <v>1</v>
      </c>
      <c r="EO93" s="2">
        <v>2</v>
      </c>
      <c r="EP93" s="2" t="s">
        <v>94</v>
      </c>
      <c r="EQ93" s="2" t="s">
        <v>94</v>
      </c>
      <c r="ER93" s="2" t="s">
        <v>94</v>
      </c>
      <c r="ES93" s="2" t="s">
        <v>94</v>
      </c>
      <c r="ET93" s="2" t="str">
        <f>HYPERLINK(".\links\REFSEQ-INVERTEBRATE\AGAP005918-PB-REFSEQ-INVERTEBRATE.txt","AGAP005918-PA")</f>
        <v>AGAP005918-PA</v>
      </c>
      <c r="EU93" s="2" t="str">
        <f>HYPERLINK("http://www.ncbi.nlm.nih.gov/sutils/blink.cgi?pid=XP_315949.4","0.0")</f>
        <v>0.0</v>
      </c>
      <c r="EV93" s="2" t="str">
        <f>HYPERLINK("http://www.ncbi.nlm.nih.gov/protein/XP_315949.4","XP_315949.4")</f>
        <v>XP_315949.4</v>
      </c>
      <c r="EW93" s="2">
        <v>100</v>
      </c>
      <c r="EX93" s="2">
        <v>100</v>
      </c>
      <c r="EY93" s="2">
        <v>100</v>
      </c>
      <c r="EZ93" s="2" t="s">
        <v>98</v>
      </c>
    </row>
    <row r="94" spans="1:156" x14ac:dyDescent="0.25">
      <c r="A94" s="2" t="s">
        <v>1235</v>
      </c>
      <c r="B94" s="2">
        <v>0.80422381581739499</v>
      </c>
      <c r="C94" s="2">
        <v>1.7462060629538587</v>
      </c>
      <c r="D94" s="2">
        <v>5.7743453357716499</v>
      </c>
      <c r="E94" s="2">
        <v>21.420213565451</v>
      </c>
      <c r="F94" s="2">
        <v>3.68861878313501E-6</v>
      </c>
      <c r="G94" s="2">
        <v>5.6499158282329997E-4</v>
      </c>
      <c r="H94" s="2" t="s">
        <v>1236</v>
      </c>
      <c r="I94" s="2" t="s">
        <v>94</v>
      </c>
      <c r="J94" s="2" t="str">
        <f>HYPERLINK("https://vectorbase.org/vectorbase/app/record/gene/AGAP004112","AGAP004112-RA")</f>
        <v>AGAP004112-RA</v>
      </c>
      <c r="K94" s="2" t="str">
        <f>HYPERLINK(".\links\pep\AGAP004112-PA-pep.txt","AGAP004112-PA")</f>
        <v>AGAP004112-PA</v>
      </c>
      <c r="L94" s="8" t="s">
        <v>88</v>
      </c>
      <c r="M94" s="2">
        <v>1233</v>
      </c>
      <c r="N94" s="2">
        <v>0</v>
      </c>
      <c r="O94" s="2">
        <v>3</v>
      </c>
      <c r="P94" s="2" t="s">
        <v>94</v>
      </c>
      <c r="Q94" s="9" t="s">
        <v>1237</v>
      </c>
      <c r="R94" s="2" t="s">
        <v>318</v>
      </c>
      <c r="S94" s="2" t="str">
        <f>HYPERLINK(".\links\CDD\AGAP004112-PA-CDD.txt","CDD")</f>
        <v>CDD</v>
      </c>
      <c r="T94" s="2">
        <v>0</v>
      </c>
      <c r="U94" s="2">
        <v>107.1</v>
      </c>
      <c r="V94" s="2" t="s">
        <v>1238</v>
      </c>
      <c r="W94" s="10" t="s">
        <v>1239</v>
      </c>
      <c r="X94" s="2" t="s">
        <v>318</v>
      </c>
      <c r="Y94" s="2" t="str">
        <f>HYPERLINK(".\links\REFSEQVERTEBRATE95\AGAP004112-PA-REFSEQVERTEBRATE95.txt","REFSEQVERTEBRATE95")</f>
        <v>REFSEQVERTEBRATE95</v>
      </c>
      <c r="Z94" s="13">
        <v>0</v>
      </c>
      <c r="AA94" s="2">
        <v>60.4</v>
      </c>
      <c r="AB94" s="11" t="str">
        <f>HYPERLINK(".\links\pep\AGAP004112-PA-sulf.txt","1")</f>
        <v>1</v>
      </c>
      <c r="AC94" s="11" t="str">
        <f>HYPERLINK(".\links\Sigp\AGAP004112-PA-SigP.txt","CYT")</f>
        <v>CYT</v>
      </c>
      <c r="AD94" s="2" t="s">
        <v>94</v>
      </c>
      <c r="AE94" s="2">
        <v>132.88300000000001</v>
      </c>
      <c r="AF94" s="2">
        <v>6.2</v>
      </c>
      <c r="AG94" s="2" t="s">
        <v>94</v>
      </c>
      <c r="AH94" s="2" t="s">
        <v>94</v>
      </c>
      <c r="AI94" s="2" t="s">
        <v>652</v>
      </c>
      <c r="AJ94" s="11">
        <v>0</v>
      </c>
      <c r="AK94" s="2" t="s">
        <v>94</v>
      </c>
      <c r="AL94" s="2" t="s">
        <v>94</v>
      </c>
      <c r="AM94" s="2" t="s">
        <v>94</v>
      </c>
      <c r="AN94" s="11" t="str">
        <f>HYPERLINK(".\links\gpi\AGAP004112-PA-gpi.txt","N")</f>
        <v>N</v>
      </c>
      <c r="AO94" s="12" t="str">
        <f>HYPERLINK(".\links\netoglyc\AGAP004112-PA-netoglyc.txt","14")</f>
        <v>14</v>
      </c>
      <c r="AP94" s="11">
        <v>18.7</v>
      </c>
      <c r="AQ94" s="2">
        <v>8.3000000000000007</v>
      </c>
      <c r="AR94" s="2">
        <v>5</v>
      </c>
      <c r="AS94" s="2" t="s">
        <v>97</v>
      </c>
      <c r="AT94" s="9" t="str">
        <f>HYPERLINK(".\links\NR-LIGHT\AGAP004112-PA-NR-LIGHT.txt","AGAP004112-PA")</f>
        <v>AGAP004112-PA</v>
      </c>
      <c r="AU94" s="2" t="str">
        <f>HYPERLINK("http://www.ncbi.nlm.nih.gov/sutils/blink.cgi?pid=XP_312990.5","0.0")</f>
        <v>0.0</v>
      </c>
      <c r="AV94" s="2" t="str">
        <f>HYPERLINK("http://www.ncbi.nlm.nih.gov/protein/XP_312990.5","XP_312990.5")</f>
        <v>XP_312990.5</v>
      </c>
      <c r="AW94" s="2">
        <v>98</v>
      </c>
      <c r="AX94" s="2">
        <v>98</v>
      </c>
      <c r="AY94" s="2">
        <v>101</v>
      </c>
      <c r="AZ94" s="2" t="s">
        <v>98</v>
      </c>
      <c r="BA94" s="9" t="str">
        <f>HYPERLINK(".\links\REFSEQ-INVERTEBRATE\AGAP004112-PA-REFSEQ-INVERTEBRATE.txt","AGAP004112-PA")</f>
        <v>AGAP004112-PA</v>
      </c>
      <c r="BB94" s="2" t="str">
        <f>HYPERLINK("http://www.ncbi.nlm.nih.gov/sutils/blink.cgi?pid=XP_312990.5","0.0")</f>
        <v>0.0</v>
      </c>
      <c r="BC94" s="2" t="str">
        <f>HYPERLINK("http://www.ncbi.nlm.nih.gov/protein/XP_312990.5","XP_312990.5")</f>
        <v>XP_312990.5</v>
      </c>
      <c r="BD94" s="2">
        <v>98</v>
      </c>
      <c r="BE94" s="2">
        <v>98</v>
      </c>
      <c r="BF94" s="2">
        <v>101</v>
      </c>
      <c r="BG94" s="2" t="s">
        <v>98</v>
      </c>
      <c r="BH94" s="9" t="str">
        <f>HYPERLINK(".\links\REFSEQ-PROTOZOA\AGAP004112-PA-REFSEQ-PROTOZOA.txt","testis-specific protein kinase 1")</f>
        <v>testis-specific protein kinase 1</v>
      </c>
      <c r="BI94" s="2" t="str">
        <f>HYPERLINK("http://www.ncbi.nlm.nih.gov/sutils/blink.cgi?pid=XP_004345437.2","3E-053")</f>
        <v>3E-053</v>
      </c>
      <c r="BJ94" s="2" t="str">
        <f>HYPERLINK("http://www.ncbi.nlm.nih.gov/protein/XP_004345437.2","XP_004345437.2")</f>
        <v>XP_004345437.2</v>
      </c>
      <c r="BK94" s="2">
        <v>37</v>
      </c>
      <c r="BL94" s="2">
        <v>54</v>
      </c>
      <c r="BM94" s="2">
        <v>37</v>
      </c>
      <c r="BN94" s="2" t="s">
        <v>227</v>
      </c>
      <c r="BO94" s="9" t="str">
        <f>HYPERLINK(".\links\SWISSP\AGAP004112-PA-SWISSP.txt","Dual specificity testis-specific protein kinase 1")</f>
        <v>Dual specificity testis-specific protein kinase 1</v>
      </c>
      <c r="BP94" s="2" t="str">
        <f>HYPERLINK("http://www.uniprot.org/uniprot/Q63572","3E-080")</f>
        <v>3E-080</v>
      </c>
      <c r="BQ94" s="2" t="str">
        <f>HYPERLINK("http://www.uniprot.org/uniprot/Q63572#expression","Q63572")</f>
        <v>Q63572</v>
      </c>
      <c r="BR94" s="2">
        <v>52</v>
      </c>
      <c r="BS94" s="2">
        <v>65</v>
      </c>
      <c r="BT94" s="2">
        <v>51</v>
      </c>
      <c r="BU94" s="2" t="s">
        <v>177</v>
      </c>
      <c r="BV94" s="9" t="str">
        <f>HYPERLINK(".\links\FLYBASE\AGAP004112-PA-FLYBASE.txt","FBpp0293864")</f>
        <v>FBpp0293864</v>
      </c>
      <c r="BW94" s="2" t="str">
        <f>HYPERLINK("http://flybase.org/reports/FBgn0004876#alliance_summary_container","0.0")</f>
        <v>0.0</v>
      </c>
      <c r="BX94" s="2">
        <v>942</v>
      </c>
      <c r="BY94" s="2">
        <v>45</v>
      </c>
      <c r="BZ94" s="2">
        <v>55</v>
      </c>
      <c r="CA94" s="2">
        <v>80</v>
      </c>
      <c r="CB94" s="9" t="str">
        <f>HYPERLINK(".\links\CDD\AGAP004112-PA-CDD.txt","PKc_TESK, Catalytic domain of the Dual-specificity protein kinase, Testicular protein kinase")</f>
        <v>PKc_TESK, Catalytic domain of the Dual-specificity protein kinase, Testicular protein kinase</v>
      </c>
      <c r="CC94" s="13">
        <v>9.9999999999999998E-121</v>
      </c>
      <c r="CD94" s="2">
        <v>107.1</v>
      </c>
      <c r="CE94" s="2" t="s">
        <v>1240</v>
      </c>
      <c r="CF94" s="2" t="s">
        <v>1241</v>
      </c>
      <c r="CG94" s="9" t="str">
        <f>HYPERLINK(".\links\KOG\AGAP004112-PA-KOG.txt","Tyrosine kinase specific for activated (GTP-bound) p21cdc42Hs")</f>
        <v>Tyrosine kinase specific for activated (GTP-bound) p21cdc42Hs</v>
      </c>
      <c r="CH94" s="13">
        <v>5.0000000000000003E-38</v>
      </c>
      <c r="CI94" s="2">
        <v>65.7</v>
      </c>
      <c r="CJ94" s="2" t="s">
        <v>1242</v>
      </c>
      <c r="CK94" s="2" t="s">
        <v>326</v>
      </c>
      <c r="CL94" s="9" t="str">
        <f>HYPERLINK(".\links\PFAM\AGAP004112-PA-PFAM.txt","Pkinase, Protein kinase domain")</f>
        <v>Pkinase, Protein kinase domain</v>
      </c>
      <c r="CM94" s="13">
        <v>1E-42</v>
      </c>
      <c r="CN94" s="2">
        <v>107.1</v>
      </c>
      <c r="CO94" s="2" t="s">
        <v>628</v>
      </c>
      <c r="CP94" s="9" t="str">
        <f>HYPERLINK(".\links\SMART\AGAP004112-PA-SMART.txt","STYKc, Protein kinase")</f>
        <v>STYKc, Protein kinase</v>
      </c>
      <c r="CQ94" s="13">
        <v>7.0000000000000004E-46</v>
      </c>
      <c r="CR94" s="2">
        <v>109.7</v>
      </c>
      <c r="CS94" s="2" t="s">
        <v>1243</v>
      </c>
      <c r="CT94" s="2" t="s">
        <v>1238</v>
      </c>
      <c r="CU94" s="2" t="s">
        <v>1238</v>
      </c>
      <c r="CV94" s="2" t="s">
        <v>1238</v>
      </c>
      <c r="CW94" s="2" t="str">
        <f>HYPERLINK(".\links\pep\AGAP004112-PA-pep.txt","AGAP004112-PA")</f>
        <v>AGAP004112-PA</v>
      </c>
      <c r="CX94" s="2" t="s">
        <v>88</v>
      </c>
      <c r="CY94" s="2">
        <v>1233</v>
      </c>
      <c r="CZ94" s="2" t="s">
        <v>106</v>
      </c>
      <c r="DA94" s="2">
        <v>0</v>
      </c>
      <c r="DB94" s="2">
        <v>3</v>
      </c>
      <c r="DD94" s="2" t="str">
        <f>HYPERLINK("https://www.kegg.jp/kegg-bin/search_pathway_text?map=aga&amp;keyword=AGAP004112&amp;mode=1&amp;viewImage=true","AGAP004112")</f>
        <v>AGAP004112</v>
      </c>
      <c r="DE94" s="2" t="s">
        <v>1235</v>
      </c>
      <c r="DF94" s="2" t="s">
        <v>1236</v>
      </c>
      <c r="DG94" s="2" t="s">
        <v>94</v>
      </c>
      <c r="DH94" s="2" t="str">
        <f>HYPERLINK("https://vectorbase.org/vectorbase/app/record/gene/AGAP004112","AGAP004112-RA")</f>
        <v>AGAP004112-RA</v>
      </c>
      <c r="DI94" s="2" t="s">
        <v>108</v>
      </c>
      <c r="DJ94" s="2">
        <v>8371</v>
      </c>
      <c r="DK94" s="2" t="str">
        <f>HYPERLINK(".\links\netoglyc\AGAP004112-PA-netoglyc.txt","14")</f>
        <v>14</v>
      </c>
      <c r="DL94" s="2">
        <v>18.7</v>
      </c>
      <c r="DM94" s="2">
        <v>8.3000000000000007</v>
      </c>
      <c r="DN94" s="2">
        <v>5</v>
      </c>
      <c r="DO94" s="2" t="s">
        <v>97</v>
      </c>
      <c r="DP94" s="2" t="s">
        <v>1244</v>
      </c>
      <c r="DQ94" s="2" t="str">
        <f>HYPERLINK(".\links\Sigp\AGAP004112-PA-SigP.txt","CYT")</f>
        <v>CYT</v>
      </c>
      <c r="DR94" s="2" t="s">
        <v>94</v>
      </c>
      <c r="DS94" s="2">
        <v>132.88300000000001</v>
      </c>
      <c r="DT94" s="2">
        <v>6.2</v>
      </c>
      <c r="DU94" s="2" t="s">
        <v>94</v>
      </c>
      <c r="DV94" s="2" t="s">
        <v>94</v>
      </c>
      <c r="DW94" s="2" t="s">
        <v>652</v>
      </c>
      <c r="DX94" s="2">
        <v>1233</v>
      </c>
      <c r="DY94" s="8">
        <v>0</v>
      </c>
      <c r="DZ94" s="2" t="s">
        <v>94</v>
      </c>
      <c r="EA94" s="2" t="s">
        <v>94</v>
      </c>
      <c r="EB94" s="2" t="s">
        <v>94</v>
      </c>
      <c r="EC94" s="2" t="str">
        <f>HYPERLINK(".\links\gpi\AGAP004112-PA-gpi.txt","Y-NoSP")</f>
        <v>Y-NoSP</v>
      </c>
      <c r="ED94" s="2">
        <v>0.17</v>
      </c>
      <c r="EF94" s="2">
        <v>31</v>
      </c>
      <c r="EG94" s="2" t="str">
        <f>HYPERLINK(".\links\pep\AGAP004112-PA-sulf.txt","1")</f>
        <v>1</v>
      </c>
      <c r="EH94" s="2" t="s">
        <v>94</v>
      </c>
      <c r="EI94" s="2">
        <v>18.734793187347901</v>
      </c>
      <c r="EJ94" s="2">
        <v>5.02838605028386</v>
      </c>
      <c r="EK94" s="2">
        <v>8.2725060827250605</v>
      </c>
      <c r="EL94" s="2">
        <v>13.300892133008899</v>
      </c>
      <c r="EM94" s="2">
        <v>2</v>
      </c>
      <c r="EN94" s="2">
        <v>3</v>
      </c>
      <c r="EO94" s="2">
        <v>3</v>
      </c>
      <c r="EP94" s="2" t="s">
        <v>94</v>
      </c>
      <c r="EQ94" s="2" t="s">
        <v>94</v>
      </c>
      <c r="ER94" s="2" t="s">
        <v>94</v>
      </c>
      <c r="ES94" s="2" t="s">
        <v>94</v>
      </c>
      <c r="ET94" s="2" t="str">
        <f>HYPERLINK(".\links\REFSEQ-INVERTEBRATE\AGAP004112-PA-REFSEQ-INVERTEBRATE.txt","AGAP004112-PA")</f>
        <v>AGAP004112-PA</v>
      </c>
      <c r="EU94" s="2" t="str">
        <f>HYPERLINK("http://www.ncbi.nlm.nih.gov/sutils/blink.cgi?pid=XP_312990.5","0.0")</f>
        <v>0.0</v>
      </c>
      <c r="EV94" s="2" t="str">
        <f>HYPERLINK("http://www.ncbi.nlm.nih.gov/protein/XP_312990.5","XP_312990.5")</f>
        <v>XP_312990.5</v>
      </c>
      <c r="EW94" s="2">
        <v>98</v>
      </c>
      <c r="EX94" s="2">
        <v>98</v>
      </c>
      <c r="EY94" s="2">
        <v>101</v>
      </c>
      <c r="EZ94" s="2" t="s">
        <v>98</v>
      </c>
    </row>
    <row r="95" spans="1:156" x14ac:dyDescent="0.25">
      <c r="A95" s="2" t="s">
        <v>1245</v>
      </c>
      <c r="B95" s="2">
        <v>0.80140833312568205</v>
      </c>
      <c r="C95" s="2">
        <v>1.7428015882529875</v>
      </c>
      <c r="D95" s="2">
        <v>5.2453604631072297</v>
      </c>
      <c r="E95" s="2">
        <v>15.008816076253799</v>
      </c>
      <c r="F95" s="2">
        <v>1.07010092694123E-4</v>
      </c>
      <c r="G95" s="2">
        <v>7.5521973627486697E-3</v>
      </c>
      <c r="H95" s="2" t="s">
        <v>1246</v>
      </c>
      <c r="I95" s="2" t="s">
        <v>87</v>
      </c>
      <c r="J95" s="2" t="str">
        <f>HYPERLINK("https://vectorbase.org/vectorbase/app/record/gene/AGAP011099","AGAP011099-RA")</f>
        <v>AGAP011099-RA</v>
      </c>
      <c r="K95" s="2" t="str">
        <f>HYPERLINK(".\links\pep\AGAP011099-PA-pep.txt","AGAP011099-PA")</f>
        <v>AGAP011099-PA</v>
      </c>
      <c r="L95" s="8" t="s">
        <v>88</v>
      </c>
      <c r="M95" s="2">
        <v>1468</v>
      </c>
      <c r="N95" s="2">
        <v>0</v>
      </c>
      <c r="O95" s="2">
        <v>1</v>
      </c>
      <c r="P95" s="2" t="s">
        <v>1247</v>
      </c>
      <c r="Q95" s="9" t="s">
        <v>1248</v>
      </c>
      <c r="R95" s="2" t="s">
        <v>238</v>
      </c>
      <c r="S95" s="2" t="str">
        <f>HYPERLINK(".\links\KOG\AGAP011099-PA-KOG.txt","KOG")</f>
        <v>KOG</v>
      </c>
      <c r="T95" s="2">
        <v>0</v>
      </c>
      <c r="U95" s="2">
        <v>78.3</v>
      </c>
      <c r="V95" s="2" t="s">
        <v>1249</v>
      </c>
      <c r="W95" s="10" t="s">
        <v>133</v>
      </c>
      <c r="X95" s="2" t="s">
        <v>238</v>
      </c>
      <c r="Y95" s="2" t="str">
        <f>HYPERLINK(".\links\COG\AGAP011099-PA-COG.txt","COG")</f>
        <v>COG</v>
      </c>
      <c r="Z95" s="2">
        <v>0</v>
      </c>
      <c r="AA95" s="2">
        <v>50.7</v>
      </c>
      <c r="AB95" s="11" t="str">
        <f>HYPERLINK(".\links\pep\AGAP011099-PA-sulf.txt","2")</f>
        <v>2</v>
      </c>
      <c r="AC95" s="11" t="str">
        <f>HYPERLINK(".\links\Sigp\AGAP011099-PA-SigP.txt","CYT")</f>
        <v>CYT</v>
      </c>
      <c r="AD95" s="2" t="s">
        <v>94</v>
      </c>
      <c r="AE95" s="2">
        <v>168.14099999999999</v>
      </c>
      <c r="AF95" s="2">
        <v>9.2100000000000009</v>
      </c>
      <c r="AG95" s="2" t="s">
        <v>94</v>
      </c>
      <c r="AH95" s="2" t="s">
        <v>94</v>
      </c>
      <c r="AI95" s="2" t="s">
        <v>443</v>
      </c>
      <c r="AJ95" s="11">
        <v>0</v>
      </c>
      <c r="AK95" s="2" t="s">
        <v>94</v>
      </c>
      <c r="AL95" s="2" t="s">
        <v>94</v>
      </c>
      <c r="AM95" s="2" t="s">
        <v>94</v>
      </c>
      <c r="AN95" s="11" t="str">
        <f>HYPERLINK(".\links\gpi\AGAP011099-PA-gpi.txt","N")</f>
        <v>N</v>
      </c>
      <c r="AO95" s="12" t="str">
        <f>HYPERLINK(".\links\netoglyc\AGAP011099-PA-netoglyc.txt","0")</f>
        <v>0</v>
      </c>
      <c r="AP95" s="11">
        <v>10.1</v>
      </c>
      <c r="AQ95" s="2">
        <v>5.0999999999999996</v>
      </c>
      <c r="AR95" s="2">
        <v>3.8</v>
      </c>
      <c r="AS95" s="2" t="s">
        <v>97</v>
      </c>
      <c r="AT95" s="9" t="str">
        <f>HYPERLINK(".\links\NR-LIGHT\AGAP011099-PA-NR-LIGHT.txt","myosin iii")</f>
        <v>myosin iii</v>
      </c>
      <c r="AU95" s="2" t="str">
        <f>HYPERLINK("http://www.ncbi.nlm.nih.gov/sutils/blink.cgi?pid=KFB46475.1","0.0")</f>
        <v>0.0</v>
      </c>
      <c r="AV95" s="2" t="str">
        <f>HYPERLINK("http://www.ncbi.nlm.nih.gov/protein/KFB46475.1","KFB46475.1")</f>
        <v>KFB46475.1</v>
      </c>
      <c r="AW95" s="2">
        <v>92</v>
      </c>
      <c r="AX95" s="2">
        <v>94</v>
      </c>
      <c r="AY95" s="2">
        <v>86</v>
      </c>
      <c r="AZ95" s="2" t="s">
        <v>174</v>
      </c>
      <c r="BA95" s="9" t="str">
        <f>HYPERLINK(".\links\REFSEQ-INVERTEBRATE\AGAP011099-PA-REFSEQ-INVERTEBRATE.txt","myosin-IIIb-like isoform X5")</f>
        <v>myosin-IIIb-like isoform X5</v>
      </c>
      <c r="BB95" s="2" t="str">
        <f>HYPERLINK("http://www.ncbi.nlm.nih.gov/sutils/blink.cgi?pid=XP_019562707.1","0.0")</f>
        <v>0.0</v>
      </c>
      <c r="BC95" s="2" t="str">
        <f>HYPERLINK("http://www.ncbi.nlm.nih.gov/protein/XP_019562707.1","XP_019562707.1")</f>
        <v>XP_019562707.1</v>
      </c>
      <c r="BD95" s="2">
        <v>85</v>
      </c>
      <c r="BE95" s="2">
        <v>92</v>
      </c>
      <c r="BF95" s="2">
        <v>100</v>
      </c>
      <c r="BG95" s="2" t="s">
        <v>495</v>
      </c>
      <c r="BH95" s="9" t="str">
        <f>HYPERLINK(".\links\REFSEQ-PROTOZOA\AGAP011099-PA-REFSEQ-PROTOZOA.txt","hypothetical protein, partial")</f>
        <v>hypothetical protein, partial</v>
      </c>
      <c r="BI95" s="2" t="str">
        <f>HYPERLINK("http://www.ncbi.nlm.nih.gov/sutils/blink.cgi?pid=XP_001744231.1","0.0")</f>
        <v>0.0</v>
      </c>
      <c r="BJ95" s="2" t="str">
        <f>HYPERLINK("http://www.ncbi.nlm.nih.gov/protein/XP_001744231.1","XP_001744231.1")</f>
        <v>XP_001744231.1</v>
      </c>
      <c r="BK95" s="2">
        <v>38</v>
      </c>
      <c r="BL95" s="2">
        <v>55</v>
      </c>
      <c r="BM95" s="2">
        <v>101</v>
      </c>
      <c r="BN95" s="2" t="s">
        <v>704</v>
      </c>
      <c r="BO95" s="9" t="str">
        <f>HYPERLINK(".\links\SWISSP\AGAP011099-PA-SWISSP.txt","Myosin-IIIa")</f>
        <v>Myosin-IIIa</v>
      </c>
      <c r="BP95" s="2" t="str">
        <f>HYPERLINK("http://www.uniprot.org/uniprot/Q8NEV4","0.0")</f>
        <v>0.0</v>
      </c>
      <c r="BQ95" s="2" t="str">
        <f>HYPERLINK("http://www.uniprot.org/uniprot/Q8NEV4#expression","Q8NEV4")</f>
        <v>Q8NEV4</v>
      </c>
      <c r="BR95" s="2">
        <v>46</v>
      </c>
      <c r="BS95" s="2">
        <v>64</v>
      </c>
      <c r="BT95" s="2">
        <v>78</v>
      </c>
      <c r="BU95" s="2" t="s">
        <v>196</v>
      </c>
      <c r="BV95" s="9" t="str">
        <f>HYPERLINK(".\links\FLYBASE\AGAP011099-PA-FLYBASE.txt","FBpp0306864")</f>
        <v>FBpp0306864</v>
      </c>
      <c r="BW95" s="2" t="str">
        <f>HYPERLINK("http://flybase.org/reports/FBgn0002938#alliance_summary_container","0.0")</f>
        <v>0.0</v>
      </c>
      <c r="BX95" s="2">
        <v>1135</v>
      </c>
      <c r="BY95" s="2">
        <v>37</v>
      </c>
      <c r="BZ95" s="2">
        <v>57</v>
      </c>
      <c r="CA95" s="2">
        <v>102</v>
      </c>
      <c r="CB95" s="9" t="str">
        <f>HYPERLINK(".\links\CDD\AGAP011099-PA-CDD.txt","MYSc_Myo3, class III myosin, motor domain")</f>
        <v>MYSc_Myo3, class III myosin, motor domain</v>
      </c>
      <c r="CC95" s="13">
        <v>0</v>
      </c>
      <c r="CD95" s="2">
        <v>108.1</v>
      </c>
      <c r="CE95" s="2" t="s">
        <v>1250</v>
      </c>
      <c r="CF95" s="2" t="s">
        <v>1251</v>
      </c>
      <c r="CG95" s="9" t="str">
        <f>HYPERLINK(".\links\KOG\AGAP011099-PA-KOG.txt","myosin IXB and related myosins")</f>
        <v>myosin IXB and related myosins</v>
      </c>
      <c r="CH95" s="13">
        <v>1E-161</v>
      </c>
      <c r="CI95" s="2">
        <v>73.400000000000006</v>
      </c>
      <c r="CJ95" s="2" t="s">
        <v>1252</v>
      </c>
      <c r="CK95" s="2" t="s">
        <v>1253</v>
      </c>
      <c r="CL95" s="9" t="str">
        <f>HYPERLINK(".\links\PFAM\AGAP011099-PA-PFAM.txt","Myosin_head, Myosin head (motor domain)")</f>
        <v>Myosin_head, Myosin head (motor domain)</v>
      </c>
      <c r="CM95" s="13">
        <v>1E-180</v>
      </c>
      <c r="CN95" s="2">
        <v>104.3</v>
      </c>
      <c r="CO95" s="2" t="s">
        <v>1254</v>
      </c>
      <c r="CP95" s="9" t="str">
        <f>HYPERLINK(".\links\SMART\AGAP011099-PA-SMART.txt","MYSc, Myosin")</f>
        <v>MYSc, Myosin</v>
      </c>
      <c r="CQ95" s="13">
        <v>0</v>
      </c>
      <c r="CR95" s="2">
        <v>106.4</v>
      </c>
      <c r="CS95" s="2" t="s">
        <v>1255</v>
      </c>
      <c r="CT95" s="2" t="s">
        <v>1249</v>
      </c>
      <c r="CU95" s="2" t="s">
        <v>1249</v>
      </c>
      <c r="CV95" s="2" t="s">
        <v>1249</v>
      </c>
      <c r="CW95" s="2" t="str">
        <f>HYPERLINK(".\links\pep\AGAP011099-PA-pep.txt","AGAP011099-PA")</f>
        <v>AGAP011099-PA</v>
      </c>
      <c r="CX95" s="2" t="s">
        <v>88</v>
      </c>
      <c r="CY95" s="2">
        <v>1468</v>
      </c>
      <c r="CZ95" s="2" t="s">
        <v>106</v>
      </c>
      <c r="DA95" s="2" t="s">
        <v>1256</v>
      </c>
      <c r="DB95" s="2">
        <v>0</v>
      </c>
      <c r="DC95" s="2">
        <v>1</v>
      </c>
      <c r="DD95" s="2" t="str">
        <f>HYPERLINK("https://www.kegg.jp/kegg-bin/search_pathway_text?map=aga&amp;keyword=AGAP011099&amp;mode=1&amp;viewImage=true","AGAP011099")</f>
        <v>AGAP011099</v>
      </c>
      <c r="DE95" s="2" t="s">
        <v>1245</v>
      </c>
      <c r="DF95" s="2" t="s">
        <v>1246</v>
      </c>
      <c r="DG95" s="2" t="s">
        <v>87</v>
      </c>
      <c r="DH95" s="2" t="str">
        <f>HYPERLINK("https://vectorbase.org/vectorbase/app/record/gene/AGAP011099","AGAP011099-RA")</f>
        <v>AGAP011099-RA</v>
      </c>
      <c r="DI95" s="2" t="s">
        <v>250</v>
      </c>
      <c r="DJ95" s="2">
        <v>9008</v>
      </c>
      <c r="DK95" s="2" t="str">
        <f>HYPERLINK(".\links\netoglyc\AGAP011099-PA-netoglyc.txt","0")</f>
        <v>0</v>
      </c>
      <c r="DL95" s="2">
        <v>10.1</v>
      </c>
      <c r="DM95" s="2">
        <v>5.0999999999999996</v>
      </c>
      <c r="DN95" s="2">
        <v>3.8</v>
      </c>
      <c r="DO95" s="2" t="s">
        <v>97</v>
      </c>
      <c r="DP95" s="2" t="s">
        <v>1257</v>
      </c>
      <c r="DQ95" s="2" t="str">
        <f>HYPERLINK(".\links\Sigp\AGAP011099-PA-SigP.txt","CYT")</f>
        <v>CYT</v>
      </c>
      <c r="DR95" s="2" t="s">
        <v>94</v>
      </c>
      <c r="DS95" s="2">
        <v>168.14099999999999</v>
      </c>
      <c r="DT95" s="2">
        <v>9.2100000000000009</v>
      </c>
      <c r="DU95" s="2" t="s">
        <v>94</v>
      </c>
      <c r="DV95" s="2" t="s">
        <v>94</v>
      </c>
      <c r="DW95" s="2" t="s">
        <v>443</v>
      </c>
      <c r="DX95" s="2">
        <v>1468</v>
      </c>
      <c r="DY95" s="8">
        <v>0</v>
      </c>
      <c r="DZ95" s="2" t="s">
        <v>94</v>
      </c>
      <c r="EA95" s="2" t="s">
        <v>94</v>
      </c>
      <c r="EB95" s="2" t="s">
        <v>94</v>
      </c>
      <c r="EC95" s="2" t="str">
        <f>HYPERLINK(".\links\gpi\AGAP011099-PA-gpi.txt","Y-NoSP")</f>
        <v>Y-NoSP</v>
      </c>
      <c r="ED95" s="2">
        <v>0.17</v>
      </c>
      <c r="EF95" s="2">
        <v>16</v>
      </c>
      <c r="EG95" s="2" t="str">
        <f>HYPERLINK(".\links\pep\AGAP011099-PA-sulf.txt","2")</f>
        <v>2</v>
      </c>
      <c r="EH95" s="2" t="s">
        <v>94</v>
      </c>
      <c r="EI95" s="2">
        <v>10.149863760218</v>
      </c>
      <c r="EJ95" s="2">
        <v>3.81471389645777</v>
      </c>
      <c r="EK95" s="2">
        <v>5.1089918256130797</v>
      </c>
      <c r="EL95" s="2">
        <v>8.9237057220708405</v>
      </c>
      <c r="EM95" s="2">
        <v>1</v>
      </c>
      <c r="EN95" s="2">
        <v>3</v>
      </c>
      <c r="EO95" s="2">
        <v>3</v>
      </c>
      <c r="EP95" s="2" t="s">
        <v>94</v>
      </c>
      <c r="EQ95" s="2" t="s">
        <v>94</v>
      </c>
      <c r="ER95" s="2" t="s">
        <v>94</v>
      </c>
      <c r="ES95" s="2" t="s">
        <v>94</v>
      </c>
      <c r="ET95" s="2" t="str">
        <f>HYPERLINK(".\links\REFSEQ-INVERTEBRATE\AGAP011099-PA-REFSEQ-INVERTEBRATE.txt","myosin-IIIb-like isoform X3")</f>
        <v>myosin-IIIb-like isoform X3</v>
      </c>
      <c r="EU95" s="2" t="str">
        <f>HYPERLINK("http://www.ncbi.nlm.nih.gov/sutils/blink.cgi?pid=XP_035898862.1","0.0")</f>
        <v>0.0</v>
      </c>
      <c r="EV95" s="2" t="str">
        <f>HYPERLINK("http://www.ncbi.nlm.nih.gov/protein/XP_035898862.1","XP_035898862.1")</f>
        <v>XP_035898862.1</v>
      </c>
      <c r="EW95" s="2">
        <v>96</v>
      </c>
      <c r="EX95" s="2">
        <v>98</v>
      </c>
      <c r="EY95" s="2">
        <v>77</v>
      </c>
      <c r="EZ95" s="2" t="s">
        <v>184</v>
      </c>
    </row>
    <row r="96" spans="1:156" x14ac:dyDescent="0.25">
      <c r="A96" s="2" t="s">
        <v>1258</v>
      </c>
      <c r="B96" s="2">
        <v>0.79639367520507198</v>
      </c>
      <c r="C96" s="2">
        <v>1.736754307133731</v>
      </c>
      <c r="D96" s="2">
        <v>6.9176849280779802</v>
      </c>
      <c r="E96" s="2">
        <v>11.1483805629438</v>
      </c>
      <c r="F96" s="2">
        <v>8.4105063139124905E-4</v>
      </c>
      <c r="G96" s="2">
        <v>3.7341858314868803E-2</v>
      </c>
      <c r="H96" s="2" t="s">
        <v>167</v>
      </c>
      <c r="I96" s="2" t="s">
        <v>87</v>
      </c>
      <c r="J96" s="2" t="str">
        <f>HYPERLINK("https://vectorbase.org/vectorbase/app/record/gene/AGAP029897","AGAP029897-RC")</f>
        <v>AGAP029897-RC</v>
      </c>
      <c r="K96" s="2" t="str">
        <f>HYPERLINK(".\links\pep\AGAP029897-PC-pep.txt","AGAP029897-PC")</f>
        <v>AGAP029897-PC</v>
      </c>
      <c r="Q96" s="9"/>
      <c r="V96" s="2" t="s">
        <v>1259</v>
      </c>
      <c r="W96" s="10" t="s">
        <v>773</v>
      </c>
      <c r="X96" s="2" t="s">
        <v>238</v>
      </c>
      <c r="Y96" s="2" t="str">
        <f>HYPERLINK(".\links\CDD\AGAP029897-PC-CDD.txt","CDD")</f>
        <v>CDD</v>
      </c>
      <c r="Z96" s="13">
        <v>1E-54</v>
      </c>
      <c r="AA96" s="2">
        <v>100</v>
      </c>
      <c r="AB96" s="9"/>
      <c r="AC96" s="9"/>
      <c r="AJ96" s="9"/>
      <c r="AN96" s="9"/>
      <c r="AO96" s="15"/>
      <c r="AP96" s="9"/>
      <c r="AT96" s="9"/>
      <c r="BA96" s="9"/>
      <c r="BH96" s="9"/>
      <c r="BO96" s="9"/>
      <c r="BV96" s="9"/>
      <c r="CB96" s="9"/>
      <c r="CG96" s="9"/>
      <c r="CL96" s="9"/>
      <c r="CP96" s="9"/>
      <c r="CW96" s="2" t="str">
        <f>HYPERLINK(".\links\pep\AGAP029897-PC-pep.txt","AGAP029897-PC")</f>
        <v>AGAP029897-PC</v>
      </c>
      <c r="CX96" s="2" t="s">
        <v>88</v>
      </c>
      <c r="CY96" s="2">
        <v>16221</v>
      </c>
      <c r="CZ96" s="2" t="s">
        <v>106</v>
      </c>
      <c r="DA96" s="2" t="s">
        <v>1260</v>
      </c>
      <c r="DB96" s="2">
        <v>0</v>
      </c>
      <c r="DC96" s="2">
        <v>17</v>
      </c>
      <c r="DD96" s="2" t="str">
        <f>HYPERLINK("https://www.kegg.jp/kegg-bin/search_pathway_text?map=aga&amp;keyword=AGAP029897&amp;mode=1&amp;viewImage=true","AGAP029897")</f>
        <v>AGAP029897</v>
      </c>
      <c r="DE96" s="2" t="s">
        <v>1258</v>
      </c>
      <c r="DF96" s="2" t="s">
        <v>167</v>
      </c>
      <c r="DG96" s="2" t="s">
        <v>87</v>
      </c>
      <c r="DH96" s="2" t="str">
        <f>HYPERLINK("https://vectorbase.org/vectorbase/app/record/gene/AGAP029897","AGAP029897-RC")</f>
        <v>AGAP029897-RC</v>
      </c>
      <c r="DI96" s="2" t="s">
        <v>143</v>
      </c>
      <c r="DJ96" s="2">
        <v>49641</v>
      </c>
      <c r="DK96" s="2" t="s">
        <v>94</v>
      </c>
      <c r="DL96" s="2" t="s">
        <v>94</v>
      </c>
      <c r="DM96" s="2" t="s">
        <v>94</v>
      </c>
      <c r="DN96" s="2" t="s">
        <v>94</v>
      </c>
      <c r="DO96" s="2" t="s">
        <v>94</v>
      </c>
      <c r="DP96" s="2" t="s">
        <v>94</v>
      </c>
      <c r="DQ96" s="2" t="s">
        <v>241</v>
      </c>
      <c r="DR96" s="2" t="s">
        <v>94</v>
      </c>
      <c r="DS96" s="2">
        <v>1837.577</v>
      </c>
      <c r="DT96" s="2">
        <v>4.87</v>
      </c>
      <c r="DU96" s="2" t="s">
        <v>94</v>
      </c>
      <c r="DV96" s="2" t="s">
        <v>94</v>
      </c>
      <c r="DW96" s="2" t="s">
        <v>1261</v>
      </c>
      <c r="DX96" s="2">
        <v>16221</v>
      </c>
      <c r="DY96" s="8">
        <v>0</v>
      </c>
      <c r="DZ96" s="2" t="s">
        <v>94</v>
      </c>
      <c r="EA96" s="2" t="s">
        <v>94</v>
      </c>
      <c r="EB96" s="2" t="s">
        <v>94</v>
      </c>
      <c r="EC96" s="2" t="str">
        <f>HYPERLINK(".\links\gpi\AGAP029897-PC-gpi.txt","Y-NoSP")</f>
        <v>Y-NoSP</v>
      </c>
      <c r="ED96" s="2">
        <v>0.23</v>
      </c>
      <c r="EF96" s="2">
        <v>146</v>
      </c>
      <c r="EG96" s="2" t="str">
        <f>HYPERLINK(".\links\pep\AGAP029897-PC-sulf.txt","35")</f>
        <v>35</v>
      </c>
      <c r="EH96" s="2" t="s">
        <v>94</v>
      </c>
      <c r="EI96" s="2">
        <v>14.567535910239799</v>
      </c>
      <c r="EJ96" s="2">
        <v>3.4153258122187302</v>
      </c>
      <c r="EK96" s="2">
        <v>3.3351827877442801</v>
      </c>
      <c r="EL96" s="2">
        <v>6.7505085999630099</v>
      </c>
      <c r="EM96" s="2">
        <v>4</v>
      </c>
      <c r="EN96" s="2">
        <v>29</v>
      </c>
      <c r="EO96" s="2">
        <v>29</v>
      </c>
      <c r="EP96" s="2" t="s">
        <v>94</v>
      </c>
      <c r="EQ96" s="2" t="s">
        <v>94</v>
      </c>
      <c r="ER96" s="2" t="s">
        <v>94</v>
      </c>
      <c r="ES96" s="2" t="s">
        <v>94</v>
      </c>
      <c r="ET96" s="2" t="str">
        <f>HYPERLINK(".\links\REFSEQ-INVERTEBRATE\AGAP029897-PC-REFSEQ-INVERTEBRATE.txt","nesprin-1 isoform X7")</f>
        <v>nesprin-1 isoform X7</v>
      </c>
      <c r="EU96" s="2" t="str">
        <f>HYPERLINK("http://www.ncbi.nlm.nih.gov/sutils/blink.cgi?pid=XP_035908668.1","0.0")</f>
        <v>0.0</v>
      </c>
      <c r="EV96" s="2" t="str">
        <f>HYPERLINK("http://www.ncbi.nlm.nih.gov/protein/XP_035908668.1","XP_035908668.1")</f>
        <v>XP_035908668.1</v>
      </c>
      <c r="EW96" s="2">
        <v>87</v>
      </c>
      <c r="EX96" s="2">
        <v>92</v>
      </c>
      <c r="EY96" s="2">
        <v>56</v>
      </c>
      <c r="EZ96" s="2" t="s">
        <v>184</v>
      </c>
    </row>
    <row r="97" spans="1:156" x14ac:dyDescent="0.25">
      <c r="A97" s="2" t="s">
        <v>1262</v>
      </c>
      <c r="B97" s="2">
        <v>0.79552500320591801</v>
      </c>
      <c r="C97" s="2">
        <v>1.7357088916535863</v>
      </c>
      <c r="D97" s="2">
        <v>2.6706743414666998</v>
      </c>
      <c r="E97" s="2">
        <v>13.782283450706201</v>
      </c>
      <c r="F97" s="2">
        <v>2.0526278912286401E-4</v>
      </c>
      <c r="G97" s="2">
        <v>1.19825320786107E-2</v>
      </c>
      <c r="H97" s="2" t="s">
        <v>167</v>
      </c>
      <c r="I97" s="2" t="s">
        <v>87</v>
      </c>
      <c r="J97" s="2" t="str">
        <f>HYPERLINK("https://vectorbase.org/vectorbase/app/record/gene/AGAP011139","AGAP011139-RA")</f>
        <v>AGAP011139-RA</v>
      </c>
      <c r="K97" s="2" t="str">
        <f>HYPERLINK(".\links\pep\AGAP011139-PA-pep.txt","AGAP011139-PA")</f>
        <v>AGAP011139-PA</v>
      </c>
      <c r="L97" s="8" t="s">
        <v>88</v>
      </c>
      <c r="M97" s="2">
        <v>2145</v>
      </c>
      <c r="N97" s="2">
        <v>0</v>
      </c>
      <c r="O97" s="2">
        <v>7</v>
      </c>
      <c r="P97" s="2" t="s">
        <v>94</v>
      </c>
      <c r="Q97" s="9" t="s">
        <v>1263</v>
      </c>
      <c r="R97" s="2" t="s">
        <v>1019</v>
      </c>
      <c r="S97" s="2" t="str">
        <f>HYPERLINK(".\links\KOG\AGAP011139-PA-KOG.txt","KOG")</f>
        <v>KOG</v>
      </c>
      <c r="T97" s="2">
        <v>0</v>
      </c>
      <c r="U97" s="2">
        <v>84</v>
      </c>
      <c r="V97" s="2" t="s">
        <v>1264</v>
      </c>
      <c r="W97" s="10" t="s">
        <v>1265</v>
      </c>
      <c r="X97" s="2" t="s">
        <v>1019</v>
      </c>
      <c r="Y97" s="2" t="str">
        <f>HYPERLINK(".\links\CDD\AGAP011139-PA-CDD.txt","CDD")</f>
        <v>CDD</v>
      </c>
      <c r="Z97" s="2">
        <v>0</v>
      </c>
      <c r="AA97" s="2">
        <v>61.5</v>
      </c>
      <c r="AB97" s="11" t="str">
        <f>HYPERLINK(".\links\pep\AGAP011139-PA-sulf.txt","4")</f>
        <v>4</v>
      </c>
      <c r="AC97" s="11" t="str">
        <f>HYPERLINK(".\links\Sigp\AGAP011139-PA-SigP.txt","SIG")</f>
        <v>SIG</v>
      </c>
      <c r="AD97" s="2" t="s">
        <v>161</v>
      </c>
      <c r="AE97" s="2">
        <v>237.69200000000001</v>
      </c>
      <c r="AF97" s="2">
        <v>6.45</v>
      </c>
      <c r="AG97" s="2">
        <v>235.78899999999999</v>
      </c>
      <c r="AH97" s="2">
        <v>6.4</v>
      </c>
      <c r="AI97" s="2" t="s">
        <v>1266</v>
      </c>
      <c r="AJ97" s="11" t="str">
        <f>HYPERLINK(".\links\tmhmm\AGAP011139-PA-tmhmm.txt","2")</f>
        <v>2</v>
      </c>
      <c r="AK97" s="2">
        <v>1.8</v>
      </c>
      <c r="AL97" s="2">
        <v>91.4</v>
      </c>
      <c r="AM97" s="2">
        <v>6.8</v>
      </c>
      <c r="AN97" s="11" t="str">
        <f>HYPERLINK(".\links\gpi\AGAP011139-PA-gpi.txt","N")</f>
        <v>N</v>
      </c>
      <c r="AO97" s="12" t="str">
        <f>HYPERLINK(".\links\netoglyc\AGAP011139-PA-netoglyc.txt","4")</f>
        <v>4</v>
      </c>
      <c r="AP97" s="11">
        <v>13.7</v>
      </c>
      <c r="AQ97" s="2">
        <v>6.9</v>
      </c>
      <c r="AR97" s="2">
        <v>5</v>
      </c>
      <c r="AS97" s="2" t="s">
        <v>97</v>
      </c>
      <c r="AT97" s="9" t="str">
        <f>HYPERLINK(".\links\NR-LIGHT\AGAP011139-PA-NR-LIGHT.txt","AGAP011139-PA, partial")</f>
        <v>AGAP011139-PA, partial</v>
      </c>
      <c r="AU97" s="2" t="str">
        <f>HYPERLINK("http://www.ncbi.nlm.nih.gov/sutils/blink.cgi?pid=XP_309509.4","0.0")</f>
        <v>0.0</v>
      </c>
      <c r="AV97" s="2" t="str">
        <f>HYPERLINK("http://www.ncbi.nlm.nih.gov/protein/XP_309509.4","XP_309509.4")</f>
        <v>XP_309509.4</v>
      </c>
      <c r="AW97" s="2">
        <v>94</v>
      </c>
      <c r="AX97" s="2">
        <v>95</v>
      </c>
      <c r="AY97" s="2">
        <v>103</v>
      </c>
      <c r="AZ97" s="2" t="s">
        <v>98</v>
      </c>
      <c r="BA97" s="9" t="str">
        <f>HYPERLINK(".\links\REFSEQ-INVERTEBRATE\AGAP011139-PA-REFSEQ-INVERTEBRATE.txt","AGAP011139-PA, partial")</f>
        <v>AGAP011139-PA, partial</v>
      </c>
      <c r="BB97" s="2" t="str">
        <f>HYPERLINK("http://www.ncbi.nlm.nih.gov/sutils/blink.cgi?pid=XP_309509.4","0.0")</f>
        <v>0.0</v>
      </c>
      <c r="BC97" s="2" t="str">
        <f>HYPERLINK("http://www.ncbi.nlm.nih.gov/protein/XP_309509.4","XP_309509.4")</f>
        <v>XP_309509.4</v>
      </c>
      <c r="BD97" s="2">
        <v>94</v>
      </c>
      <c r="BE97" s="2">
        <v>95</v>
      </c>
      <c r="BF97" s="2">
        <v>103</v>
      </c>
      <c r="BG97" s="2" t="s">
        <v>98</v>
      </c>
      <c r="BH97" s="9" t="str">
        <f>HYPERLINK(".\links\REFSEQ-PROTOZOA\AGAP011139-PA-REFSEQ-PROTOZOA.txt","plexin-A4 protein")</f>
        <v>plexin-A4 protein</v>
      </c>
      <c r="BI97" s="2" t="str">
        <f>HYPERLINK("http://www.ncbi.nlm.nih.gov/sutils/blink.cgi?pid=XP_004998121.1","2E-068")</f>
        <v>2E-068</v>
      </c>
      <c r="BJ97" s="2" t="str">
        <f>HYPERLINK("http://www.ncbi.nlm.nih.gov/protein/XP_004998121.1","XP_004998121.1")</f>
        <v>XP_004998121.1</v>
      </c>
      <c r="BK97" s="2">
        <v>24</v>
      </c>
      <c r="BL97" s="2">
        <v>40</v>
      </c>
      <c r="BM97" s="2">
        <v>57</v>
      </c>
      <c r="BN97" s="2" t="s">
        <v>117</v>
      </c>
      <c r="BO97" s="9" t="str">
        <f>HYPERLINK(".\links\SWISSP\AGAP011139-PA-SWISSP.txt","Plexin-B")</f>
        <v>Plexin-B</v>
      </c>
      <c r="BP97" s="2" t="str">
        <f>HYPERLINK("http://www.uniprot.org/uniprot/Q9V4A7","0.0")</f>
        <v>0.0</v>
      </c>
      <c r="BQ97" s="2" t="str">
        <f>HYPERLINK("http://www.uniprot.org/uniprot/Q9V4A7#expression","Q9V4A7")</f>
        <v>Q9V4A7</v>
      </c>
      <c r="BR97" s="2">
        <v>60</v>
      </c>
      <c r="BS97" s="2">
        <v>75</v>
      </c>
      <c r="BT97" s="2">
        <v>87</v>
      </c>
      <c r="BU97" s="2" t="s">
        <v>100</v>
      </c>
      <c r="BV97" s="9" t="str">
        <f>HYPERLINK(".\links\FLYBASE\AGAP011139-PA-FLYBASE.txt","FBpp0300616")</f>
        <v>FBpp0300616</v>
      </c>
      <c r="BW97" s="2" t="str">
        <f>HYPERLINK("http://flybase.org/reports/FBgn0025740#alliance_summary_container","0.0")</f>
        <v>0.0</v>
      </c>
      <c r="BX97" s="2">
        <v>2051</v>
      </c>
      <c r="BY97" s="2">
        <v>60</v>
      </c>
      <c r="BZ97" s="2">
        <v>75</v>
      </c>
      <c r="CA97" s="2">
        <v>87</v>
      </c>
      <c r="CB97" s="9" t="str">
        <f>HYPERLINK(".\links\CDD\AGAP011139-PA-CDD.txt","Plexin_cytopl, Plexin cytoplasmic RasGAP domain")</f>
        <v>Plexin_cytopl, Plexin cytoplasmic RasGAP domain</v>
      </c>
      <c r="CC97" s="13">
        <v>9.9999999999999995E-144</v>
      </c>
      <c r="CD97" s="2">
        <v>59.2</v>
      </c>
      <c r="CE97" s="2" t="s">
        <v>1267</v>
      </c>
      <c r="CF97" s="2" t="s">
        <v>1268</v>
      </c>
      <c r="CG97" s="9" t="str">
        <f>HYPERLINK(".\links\KOG\AGAP011139-PA-KOG.txt","Plexins (functional semaphorin receptors)")</f>
        <v>Plexins (functional semaphorin receptors)</v>
      </c>
      <c r="CH97" s="13">
        <v>1.0000000000000001E-110</v>
      </c>
      <c r="CI97" s="2">
        <v>84.2</v>
      </c>
      <c r="CJ97" s="2" t="s">
        <v>1269</v>
      </c>
      <c r="CK97" s="2" t="s">
        <v>326</v>
      </c>
      <c r="CL97" s="9" t="str">
        <f>HYPERLINK(".\links\PFAM\AGAP011139-PA-PFAM.txt","Plexin_cytopl, Plexin cytoplasmic RasGAP domain")</f>
        <v>Plexin_cytopl, Plexin cytoplasmic RasGAP domain</v>
      </c>
      <c r="CM97" s="13">
        <v>9.9999999999999995E-144</v>
      </c>
      <c r="CN97" s="2">
        <v>59.2</v>
      </c>
      <c r="CO97" s="2" t="s">
        <v>1267</v>
      </c>
      <c r="CP97" s="9" t="str">
        <f>HYPERLINK(".\links\SMART\AGAP011139-PA-SMART.txt","Sema, semaphorin domain")</f>
        <v>Sema, semaphorin domain</v>
      </c>
      <c r="CQ97" s="13">
        <v>3.0000000000000001E-62</v>
      </c>
      <c r="CR97" s="2">
        <v>115.6</v>
      </c>
      <c r="CS97" s="2" t="s">
        <v>1270</v>
      </c>
      <c r="CT97" s="2" t="s">
        <v>1264</v>
      </c>
      <c r="CU97" s="2" t="s">
        <v>1264</v>
      </c>
      <c r="CV97" s="2" t="s">
        <v>1264</v>
      </c>
      <c r="CW97" s="2" t="str">
        <f>HYPERLINK(".\links\pep\AGAP011139-PA-pep.txt","AGAP011139-PA")</f>
        <v>AGAP011139-PA</v>
      </c>
      <c r="CX97" s="2" t="s">
        <v>88</v>
      </c>
      <c r="CY97" s="2">
        <v>2145</v>
      </c>
      <c r="CZ97" s="2" t="s">
        <v>106</v>
      </c>
      <c r="DA97" s="2" t="s">
        <v>1271</v>
      </c>
      <c r="DB97" s="2">
        <v>0</v>
      </c>
      <c r="DC97" s="2">
        <v>7</v>
      </c>
      <c r="DD97" s="2" t="str">
        <f>HYPERLINK("https://www.kegg.jp/kegg-bin/search_pathway_text?map=aga&amp;keyword=AGAP011139&amp;mode=1&amp;viewImage=true","AGAP011139")</f>
        <v>AGAP011139</v>
      </c>
      <c r="DE97" s="2" t="s">
        <v>1262</v>
      </c>
      <c r="DF97" s="2" t="s">
        <v>167</v>
      </c>
      <c r="DG97" s="2" t="s">
        <v>87</v>
      </c>
      <c r="DH97" s="2" t="str">
        <f>HYPERLINK("https://vectorbase.org/vectorbase/app/record/gene/AGAP011139","AGAP011139-RA")</f>
        <v>AGAP011139-RA</v>
      </c>
      <c r="DI97" s="2" t="s">
        <v>250</v>
      </c>
      <c r="DJ97" s="2">
        <v>10167</v>
      </c>
      <c r="DK97" s="2" t="str">
        <f>HYPERLINK(".\links\netoglyc\AGAP011139-PA-netoglyc.txt","4")</f>
        <v>4</v>
      </c>
      <c r="DL97" s="2">
        <v>13.7</v>
      </c>
      <c r="DM97" s="2">
        <v>6.9</v>
      </c>
      <c r="DN97" s="2">
        <v>5</v>
      </c>
      <c r="DO97" s="2" t="s">
        <v>97</v>
      </c>
      <c r="DP97" s="2" t="s">
        <v>1272</v>
      </c>
      <c r="DQ97" s="2" t="str">
        <f>HYPERLINK(".\links\Sigp\AGAP011139-PA-SigP.txt","SIG")</f>
        <v>SIG</v>
      </c>
      <c r="DR97" s="2" t="s">
        <v>161</v>
      </c>
      <c r="DS97" s="2">
        <v>237.69200000000001</v>
      </c>
      <c r="DT97" s="2">
        <v>6.45</v>
      </c>
      <c r="DU97" s="2">
        <v>235.78899999999999</v>
      </c>
      <c r="DV97" s="2">
        <v>6.4</v>
      </c>
      <c r="DW97" s="2" t="s">
        <v>1266</v>
      </c>
      <c r="DX97" s="2">
        <v>2145</v>
      </c>
      <c r="DY97" s="8" t="str">
        <f>HYPERLINK(".\links\tmhmm\AGAP011139-PA-tmhmm.txt","2")</f>
        <v>2</v>
      </c>
      <c r="DZ97" s="2">
        <v>1.8</v>
      </c>
      <c r="EA97" s="2">
        <v>91.4</v>
      </c>
      <c r="EB97" s="2">
        <v>6.8</v>
      </c>
      <c r="EC97" s="2" t="str">
        <f>HYPERLINK(".\links\gpi\AGAP011139-PA-gpi.txt","N")</f>
        <v>N</v>
      </c>
      <c r="ED97" s="2">
        <v>0.12</v>
      </c>
      <c r="EF97" s="2">
        <v>57</v>
      </c>
      <c r="EG97" s="2" t="str">
        <f>HYPERLINK(".\links\pep\AGAP011139-PA-sulf.txt","4")</f>
        <v>4</v>
      </c>
      <c r="EH97" s="2" t="s">
        <v>94</v>
      </c>
      <c r="EI97" s="2">
        <v>13.7062937062937</v>
      </c>
      <c r="EJ97" s="2">
        <v>4.9883449883449904</v>
      </c>
      <c r="EK97" s="2">
        <v>6.9463869463869496</v>
      </c>
      <c r="EL97" s="2">
        <v>11.9347319347319</v>
      </c>
      <c r="EM97" s="2">
        <v>2</v>
      </c>
      <c r="EN97" s="2">
        <v>4</v>
      </c>
      <c r="EO97" s="2">
        <v>4</v>
      </c>
      <c r="EP97" s="2" t="s">
        <v>94</v>
      </c>
      <c r="EQ97" s="2" t="s">
        <v>94</v>
      </c>
      <c r="ER97" s="2" t="s">
        <v>94</v>
      </c>
      <c r="ES97" s="2" t="s">
        <v>94</v>
      </c>
      <c r="ET97" s="2" t="str">
        <f>HYPERLINK(".\links\REFSEQ-INVERTEBRATE\AGAP011139-PA-REFSEQ-INVERTEBRATE.txt","AGAP011139-PA, partial")</f>
        <v>AGAP011139-PA, partial</v>
      </c>
      <c r="EU97" s="2" t="str">
        <f>HYPERLINK("http://www.ncbi.nlm.nih.gov/sutils/blink.cgi?pid=XP_309509.4","0.0")</f>
        <v>0.0</v>
      </c>
      <c r="EV97" s="2" t="str">
        <f>HYPERLINK("http://www.ncbi.nlm.nih.gov/protein/XP_309509.4","XP_309509.4")</f>
        <v>XP_309509.4</v>
      </c>
      <c r="EW97" s="2">
        <v>96</v>
      </c>
      <c r="EX97" s="2">
        <v>96</v>
      </c>
      <c r="EY97" s="2">
        <v>103</v>
      </c>
      <c r="EZ97" s="2" t="s">
        <v>98</v>
      </c>
    </row>
    <row r="98" spans="1:156" x14ac:dyDescent="0.25">
      <c r="A98" s="2" t="s">
        <v>1273</v>
      </c>
      <c r="B98" s="2">
        <v>0.79334876632710905</v>
      </c>
      <c r="C98" s="2">
        <v>1.7330926310601744</v>
      </c>
      <c r="D98" s="2">
        <v>4.5099276263334103</v>
      </c>
      <c r="E98" s="2">
        <v>20.270385904965199</v>
      </c>
      <c r="F98" s="2">
        <v>6.7233225622327104E-6</v>
      </c>
      <c r="G98" s="2">
        <v>8.9552762635260197E-4</v>
      </c>
      <c r="H98" s="2" t="s">
        <v>167</v>
      </c>
      <c r="I98" s="2" t="s">
        <v>87</v>
      </c>
      <c r="J98" s="2" t="str">
        <f>HYPERLINK("https://vectorbase.org/vectorbase/app/record/gene/AGAP029504","AGAP029504-RA")</f>
        <v>AGAP029504-RA</v>
      </c>
      <c r="K98" s="2" t="str">
        <f>HYPERLINK(".\links\pep\AGAP029504-PA-pep.txt","AGAP029504-PA")</f>
        <v>AGAP029504-PA</v>
      </c>
      <c r="L98" s="8" t="s">
        <v>88</v>
      </c>
      <c r="M98" s="2">
        <v>611</v>
      </c>
      <c r="N98" s="2">
        <v>0</v>
      </c>
      <c r="O98" s="2">
        <v>2</v>
      </c>
      <c r="P98" s="2" t="s">
        <v>94</v>
      </c>
      <c r="Q98" s="9" t="s">
        <v>1274</v>
      </c>
      <c r="R98" s="2" t="s">
        <v>253</v>
      </c>
      <c r="S98" s="2" t="str">
        <f>HYPERLINK(".\links\REFSEQ-INVERTEBRATE\AGAP029504-PA-REFSEQ-INVERTEBRATE.txt","REFSEQ-INVERTEBRATE")</f>
        <v>REFSEQ-INVERTEBRATE</v>
      </c>
      <c r="T98" s="2">
        <v>0</v>
      </c>
      <c r="U98" s="2">
        <v>97.1</v>
      </c>
      <c r="V98" s="2" t="s">
        <v>1275</v>
      </c>
      <c r="W98" s="10" t="s">
        <v>1276</v>
      </c>
      <c r="X98" s="2" t="s">
        <v>253</v>
      </c>
      <c r="Y98" s="2" t="str">
        <f>HYPERLINK(".\links\ARTHORPODA\AGAP029504-PA-ARTHORPODA.txt","ARTHORPODA")</f>
        <v>ARTHORPODA</v>
      </c>
      <c r="Z98" s="13">
        <v>0</v>
      </c>
      <c r="AA98" s="2">
        <v>25.8</v>
      </c>
      <c r="AB98" s="11" t="str">
        <f>HYPERLINK(".\links\pep\AGAP029504-PA-sulf.txt","1")</f>
        <v>1</v>
      </c>
      <c r="AC98" s="11" t="str">
        <f>HYPERLINK(".\links\Sigp\AGAP029504-PA-SigP.txt","CYT")</f>
        <v>CYT</v>
      </c>
      <c r="AD98" s="2" t="s">
        <v>94</v>
      </c>
      <c r="AE98" s="2">
        <v>65.343000000000004</v>
      </c>
      <c r="AF98" s="2">
        <v>9.18</v>
      </c>
      <c r="AG98" s="2" t="s">
        <v>94</v>
      </c>
      <c r="AH98" s="2" t="s">
        <v>94</v>
      </c>
      <c r="AI98" s="2" t="s">
        <v>463</v>
      </c>
      <c r="AJ98" s="11">
        <v>0</v>
      </c>
      <c r="AK98" s="2" t="s">
        <v>94</v>
      </c>
      <c r="AL98" s="2" t="s">
        <v>94</v>
      </c>
      <c r="AM98" s="2" t="s">
        <v>94</v>
      </c>
      <c r="AN98" s="9" t="str">
        <f>HYPERLINK(".\links\gpi\AGAP029504-PA-gpi.txt","N")</f>
        <v>N</v>
      </c>
      <c r="AO98" s="12" t="str">
        <f>HYPERLINK(".\links\netoglyc\AGAP029504-PA-netoglyc.txt","4")</f>
        <v>4</v>
      </c>
      <c r="AP98" s="11">
        <v>20.3</v>
      </c>
      <c r="AQ98" s="2">
        <v>10.3</v>
      </c>
      <c r="AR98" s="2">
        <v>5.4</v>
      </c>
      <c r="AS98" s="2" t="s">
        <v>97</v>
      </c>
      <c r="AT98" s="9" t="str">
        <f>HYPERLINK(".\links\NR-LIGHT\AGAP029504-PA-NR-LIGHT.txt","AGAP007185-PA, partial")</f>
        <v>AGAP007185-PA, partial</v>
      </c>
      <c r="AU98" s="2" t="str">
        <f>HYPERLINK("http://www.ncbi.nlm.nih.gov/sutils/blink.cgi?pid=XP_001688021.1","0.0")</f>
        <v>0.0</v>
      </c>
      <c r="AV98" s="2" t="str">
        <f>HYPERLINK("http://www.ncbi.nlm.nih.gov/protein/XP_001688021.1","XP_001688021.1")</f>
        <v>XP_001688021.1</v>
      </c>
      <c r="AW98" s="2">
        <v>99</v>
      </c>
      <c r="AX98" s="2">
        <v>99</v>
      </c>
      <c r="AY98" s="2">
        <v>97</v>
      </c>
      <c r="AZ98" s="2" t="s">
        <v>98</v>
      </c>
      <c r="BA98" s="9" t="str">
        <f>HYPERLINK(".\links\REFSEQ-INVERTEBRATE\AGAP029504-PA-REFSEQ-INVERTEBRATE.txt","AGAP007185-PA, partial")</f>
        <v>AGAP007185-PA, partial</v>
      </c>
      <c r="BB98" s="2" t="str">
        <f>HYPERLINK("http://www.ncbi.nlm.nih.gov/sutils/blink.cgi?pid=XP_001688021.1","0.0")</f>
        <v>0.0</v>
      </c>
      <c r="BC98" s="2" t="str">
        <f>HYPERLINK("http://www.ncbi.nlm.nih.gov/protein/XP_001688021.1","XP_001688021.1")</f>
        <v>XP_001688021.1</v>
      </c>
      <c r="BD98" s="2">
        <v>99</v>
      </c>
      <c r="BE98" s="2">
        <v>99</v>
      </c>
      <c r="BF98" s="2">
        <v>97</v>
      </c>
      <c r="BG98" s="2" t="s">
        <v>98</v>
      </c>
      <c r="BH98" s="9" t="str">
        <f>HYPERLINK(".\links\REFSEQ-PROTOZOA\AGAP029504-PA-REFSEQ-PROTOZOA.txt","hypothetical protein DDB_G0288123")</f>
        <v>hypothetical protein DDB_G0288123</v>
      </c>
      <c r="BI98" s="2" t="str">
        <f>HYPERLINK("http://www.ncbi.nlm.nih.gov/sutils/blink.cgi?pid=XP_636894.1","2E-009")</f>
        <v>2E-009</v>
      </c>
      <c r="BJ98" s="2" t="str">
        <f>HYPERLINK("http://www.ncbi.nlm.nih.gov/protein/XP_636894.1","XP_636894.1")</f>
        <v>XP_636894.1</v>
      </c>
      <c r="BK98" s="2">
        <v>20</v>
      </c>
      <c r="BL98" s="2">
        <v>38</v>
      </c>
      <c r="BM98" s="2">
        <v>55</v>
      </c>
      <c r="BN98" s="2" t="s">
        <v>292</v>
      </c>
      <c r="BO98" s="9" t="str">
        <f>HYPERLINK(".\links\SWISSP\AGAP029504-PA-SWISSP.txt","Putative uncharacterized protein DDB_G0285119")</f>
        <v>Putative uncharacterized protein DDB_G0285119</v>
      </c>
      <c r="BP98" s="2" t="str">
        <f>HYPERLINK("http://www.uniprot.org/uniprot/Q54NP0","1E-006")</f>
        <v>1E-006</v>
      </c>
      <c r="BQ98" s="2" t="str">
        <f>HYPERLINK("http://www.uniprot.org/uniprot/Q54NP0#expression","Q54NP0")</f>
        <v>Q54NP0</v>
      </c>
      <c r="BR98" s="2">
        <v>20</v>
      </c>
      <c r="BS98" s="2">
        <v>36</v>
      </c>
      <c r="BT98" s="2">
        <v>74</v>
      </c>
      <c r="BU98" s="2" t="s">
        <v>308</v>
      </c>
      <c r="BV98" s="9"/>
      <c r="CB98" s="9" t="str">
        <f>HYPERLINK(".\links\CDD\AGAP029504-PA-CDD.txt","retinal_rod, K+-dependent Na+/Ca+ exchanger")</f>
        <v>retinal_rod, K+-dependent Na+/Ca+ exchanger</v>
      </c>
      <c r="CC98" s="13">
        <v>2.9000000000000001E-2</v>
      </c>
      <c r="CD98" s="2">
        <v>12.8</v>
      </c>
      <c r="CE98" s="2" t="s">
        <v>1277</v>
      </c>
      <c r="CF98" s="2" t="s">
        <v>1278</v>
      </c>
      <c r="CG98" s="9" t="str">
        <f>HYPERLINK(".\links\KOG\AGAP029504-PA-KOG.txt","Uncharacterized conserved protein H4")</f>
        <v>Uncharacterized conserved protein H4</v>
      </c>
      <c r="CH98" s="13">
        <v>0.33</v>
      </c>
      <c r="CI98" s="2">
        <v>32.799999999999997</v>
      </c>
      <c r="CJ98" s="2" t="s">
        <v>1279</v>
      </c>
      <c r="CK98" s="2" t="s">
        <v>447</v>
      </c>
      <c r="CL98" s="9" t="str">
        <f>HYPERLINK(".\links\PFAM\AGAP029504-PA-PFAM.txt","NCU-G1, Lysosomal transcription factor, NCU-G1")</f>
        <v>NCU-G1, Lysosomal transcription factor, NCU-G1</v>
      </c>
      <c r="CM98" s="13">
        <v>0.34</v>
      </c>
      <c r="CN98" s="2">
        <v>29.1</v>
      </c>
      <c r="CO98" s="2" t="s">
        <v>1280</v>
      </c>
      <c r="CP98" s="9" t="str">
        <f>HYPERLINK(".\links\SMART\AGAP029504-PA-SMART.txt","Tubulin, Tubulin/FtsZ family, GTPase domain")</f>
        <v>Tubulin, Tubulin/FtsZ family, GTPase domain</v>
      </c>
      <c r="CQ98" s="13">
        <v>3.1</v>
      </c>
      <c r="CR98" s="2">
        <v>19.8</v>
      </c>
      <c r="CS98" s="2" t="s">
        <v>1281</v>
      </c>
      <c r="CT98" s="2" t="s">
        <v>1275</v>
      </c>
      <c r="CU98" s="2" t="s">
        <v>1275</v>
      </c>
      <c r="CV98" s="2" t="s">
        <v>1275</v>
      </c>
      <c r="CW98" s="2" t="str">
        <f>HYPERLINK(".\links\pep\AGAP029504-PA-pep.txt","AGAP029504-PA")</f>
        <v>AGAP029504-PA</v>
      </c>
      <c r="CX98" s="2" t="s">
        <v>88</v>
      </c>
      <c r="CY98" s="2">
        <v>611</v>
      </c>
      <c r="CZ98" s="2" t="s">
        <v>106</v>
      </c>
      <c r="DA98" s="2" t="s">
        <v>1282</v>
      </c>
      <c r="DB98" s="2">
        <v>0</v>
      </c>
      <c r="DC98" s="2">
        <v>2</v>
      </c>
      <c r="DD98" s="2" t="str">
        <f>HYPERLINK("https://www.kegg.jp/kegg-bin/search_pathway_text?map=aga&amp;keyword=AGAP029504&amp;mode=1&amp;viewImage=true","AGAP029504")</f>
        <v>AGAP029504</v>
      </c>
      <c r="DE98" s="2" t="s">
        <v>1273</v>
      </c>
      <c r="DF98" s="2" t="s">
        <v>167</v>
      </c>
      <c r="DG98" s="2" t="s">
        <v>87</v>
      </c>
      <c r="DH98" s="2" t="str">
        <f>HYPERLINK("https://vectorbase.org/vectorbase/app/record/gene/AGAP029504","AGAP029504-RA")</f>
        <v>AGAP029504-RA</v>
      </c>
      <c r="DI98" s="2" t="s">
        <v>143</v>
      </c>
      <c r="DJ98" s="2">
        <v>4397</v>
      </c>
      <c r="DK98" s="2" t="str">
        <f>HYPERLINK(".\links\netoglyc\AGAP029504-PA-netoglyc.txt","4")</f>
        <v>4</v>
      </c>
      <c r="DL98" s="2">
        <v>20.3</v>
      </c>
      <c r="DM98" s="2">
        <v>10.3</v>
      </c>
      <c r="DN98" s="2">
        <v>5.4</v>
      </c>
      <c r="DO98" s="2" t="s">
        <v>97</v>
      </c>
      <c r="DP98" s="2" t="s">
        <v>1283</v>
      </c>
      <c r="DQ98" s="2" t="str">
        <f>HYPERLINK(".\links\Sigp\AGAP029504-PA-SigP.txt","CYT")</f>
        <v>CYT</v>
      </c>
      <c r="DR98" s="2" t="s">
        <v>94</v>
      </c>
      <c r="DS98" s="2">
        <v>65.343000000000004</v>
      </c>
      <c r="DT98" s="2">
        <v>9.18</v>
      </c>
      <c r="DU98" s="2" t="s">
        <v>94</v>
      </c>
      <c r="DV98" s="2" t="s">
        <v>94</v>
      </c>
      <c r="DW98" s="2" t="s">
        <v>463</v>
      </c>
      <c r="DX98" s="2">
        <v>611</v>
      </c>
      <c r="DY98" s="8">
        <v>0</v>
      </c>
      <c r="DZ98" s="2" t="s">
        <v>94</v>
      </c>
      <c r="EA98" s="2" t="s">
        <v>94</v>
      </c>
      <c r="EB98" s="2" t="s">
        <v>94</v>
      </c>
      <c r="EC98" s="2" t="str">
        <f>HYPERLINK(".\links\gpi\AGAP029504-PA-gpi.txt","N")</f>
        <v>N</v>
      </c>
      <c r="ED98" s="2">
        <v>0.28999999999999998</v>
      </c>
      <c r="EF98" s="2">
        <v>9</v>
      </c>
      <c r="EG98" s="2" t="str">
        <f>HYPERLINK(".\links\pep\AGAP029504-PA-sulf.txt","1")</f>
        <v>1</v>
      </c>
      <c r="EH98" s="2" t="s">
        <v>94</v>
      </c>
      <c r="EI98" s="2">
        <v>20.2945990180033</v>
      </c>
      <c r="EJ98" s="2">
        <v>5.4009819967266797</v>
      </c>
      <c r="EK98" s="2">
        <v>10.3109656301146</v>
      </c>
      <c r="EL98" s="2">
        <v>15.7119476268412</v>
      </c>
      <c r="EM98" s="2">
        <v>1</v>
      </c>
      <c r="EN98" s="2">
        <v>3</v>
      </c>
      <c r="EO98" s="2">
        <v>4</v>
      </c>
      <c r="EP98" s="2" t="s">
        <v>94</v>
      </c>
      <c r="EQ98" s="2" t="s">
        <v>94</v>
      </c>
      <c r="ER98" s="2" t="s">
        <v>94</v>
      </c>
      <c r="ES98" s="2" t="s">
        <v>94</v>
      </c>
      <c r="ET98" s="2" t="str">
        <f>HYPERLINK(".\links\REFSEQ-INVERTEBRATE\AGAP029504-PA-REFSEQ-INVERTEBRATE.txt","AGAP007185-PA, partial")</f>
        <v>AGAP007185-PA, partial</v>
      </c>
      <c r="EU98" s="2" t="str">
        <f>HYPERLINK("http://www.ncbi.nlm.nih.gov/sutils/blink.cgi?pid=XP_001688021.1","0.0")</f>
        <v>0.0</v>
      </c>
      <c r="EV98" s="2" t="str">
        <f>HYPERLINK("http://www.ncbi.nlm.nih.gov/protein/XP_001688021.1","XP_001688021.1")</f>
        <v>XP_001688021.1</v>
      </c>
      <c r="EW98" s="2">
        <v>99</v>
      </c>
      <c r="EX98" s="2">
        <v>99</v>
      </c>
      <c r="EY98" s="2">
        <v>97</v>
      </c>
      <c r="EZ98" s="2" t="s">
        <v>98</v>
      </c>
    </row>
    <row r="99" spans="1:156" x14ac:dyDescent="0.25">
      <c r="A99" s="2" t="s">
        <v>1284</v>
      </c>
      <c r="B99" s="2">
        <v>0.79066973249647199</v>
      </c>
      <c r="C99" s="2">
        <v>1.7298773254207302</v>
      </c>
      <c r="D99" s="2">
        <v>4.6088937797392697</v>
      </c>
      <c r="E99" s="2">
        <v>16.051932515546</v>
      </c>
      <c r="F99" s="2">
        <v>6.1628696749250499E-5</v>
      </c>
      <c r="G99" s="2">
        <v>4.8976687828374997E-3</v>
      </c>
      <c r="H99" s="2" t="s">
        <v>1285</v>
      </c>
      <c r="I99" s="2" t="s">
        <v>87</v>
      </c>
      <c r="J99" s="2" t="str">
        <f>HYPERLINK("https://vectorbase.org/vectorbase/app/record/gene/AGAP010042","AGAP010042-RA")</f>
        <v>AGAP010042-RA</v>
      </c>
      <c r="K99" s="2" t="str">
        <f>HYPERLINK(".\links\pep\AGAP010042-PA-pep.txt","AGAP010042-PA")</f>
        <v>AGAP010042-PA</v>
      </c>
      <c r="L99" s="8" t="s">
        <v>88</v>
      </c>
      <c r="M99" s="2">
        <v>864</v>
      </c>
      <c r="N99" s="2">
        <v>0</v>
      </c>
      <c r="O99" s="2">
        <v>2</v>
      </c>
      <c r="P99" s="2" t="s">
        <v>1286</v>
      </c>
      <c r="Q99" s="9" t="s">
        <v>1287</v>
      </c>
      <c r="R99" s="2" t="s">
        <v>113</v>
      </c>
      <c r="S99" s="2" t="str">
        <f>HYPERLINK(".\links\KOG\AGAP010042-PA-KOG.txt","KOG")</f>
        <v>KOG</v>
      </c>
      <c r="T99" s="2">
        <v>0</v>
      </c>
      <c r="U99" s="2">
        <v>73</v>
      </c>
      <c r="V99" s="2" t="s">
        <v>1288</v>
      </c>
      <c r="W99" s="10" t="s">
        <v>1289</v>
      </c>
      <c r="X99" s="2" t="s">
        <v>113</v>
      </c>
      <c r="Y99" s="2" t="str">
        <f>HYPERLINK(".\links\KOG\AGAP010042-PA-KOG.txt","KOG")</f>
        <v>KOG</v>
      </c>
      <c r="Z99" s="13">
        <v>9.9999999999999996E-83</v>
      </c>
      <c r="AA99" s="2">
        <v>71</v>
      </c>
      <c r="AB99" s="11" t="s">
        <v>94</v>
      </c>
      <c r="AC99" s="11" t="str">
        <f>HYPERLINK(".\links\Sigp\AGAP010042-PA-SigP.txt","BL")</f>
        <v>BL</v>
      </c>
      <c r="AD99" s="2" t="s">
        <v>1290</v>
      </c>
      <c r="AE99" s="2">
        <v>96.533000000000001</v>
      </c>
      <c r="AF99" s="2">
        <v>6.8</v>
      </c>
      <c r="AG99" s="2">
        <v>84.373999999999995</v>
      </c>
      <c r="AH99" s="2">
        <v>6.02</v>
      </c>
      <c r="AI99" s="2" t="s">
        <v>1291</v>
      </c>
      <c r="AJ99" s="11" t="str">
        <f>HYPERLINK(".\links\tmhmm\AGAP010042-PA-tmhmm.txt","12")</f>
        <v>12</v>
      </c>
      <c r="AK99" s="2">
        <v>30.6</v>
      </c>
      <c r="AL99" s="2">
        <v>44.9</v>
      </c>
      <c r="AM99" s="2">
        <v>24.5</v>
      </c>
      <c r="AN99" s="11" t="str">
        <f>HYPERLINK(".\links\gpi\AGAP010042-PA-gpi.txt","N")</f>
        <v>N</v>
      </c>
      <c r="AO99" s="12" t="str">
        <f>HYPERLINK(".\links\netoglyc\AGAP010042-PA-netoglyc.txt","7")</f>
        <v>7</v>
      </c>
      <c r="AP99" s="11">
        <v>16.2</v>
      </c>
      <c r="AQ99" s="2">
        <v>6.8</v>
      </c>
      <c r="AR99" s="2">
        <v>5.4</v>
      </c>
      <c r="AS99" s="2" t="s">
        <v>97</v>
      </c>
      <c r="AT99" s="9" t="str">
        <f>HYPERLINK(".\links\NR-LIGHT\AGAP010042-PA-NR-LIGHT.txt","AGAP010042-PA, partial")</f>
        <v>AGAP010042-PA, partial</v>
      </c>
      <c r="AU99" s="2" t="str">
        <f>HYPERLINK("http://www.ncbi.nlm.nih.gov/sutils/blink.cgi?pid=XP_319187.4","0.0")</f>
        <v>0.0</v>
      </c>
      <c r="AV99" s="2" t="str">
        <f>HYPERLINK("http://www.ncbi.nlm.nih.gov/protein/XP_319187.4","XP_319187.4")</f>
        <v>XP_319187.4</v>
      </c>
      <c r="AW99" s="2">
        <v>96</v>
      </c>
      <c r="AX99" s="2">
        <v>96</v>
      </c>
      <c r="AY99" s="2">
        <v>104</v>
      </c>
      <c r="AZ99" s="2" t="s">
        <v>98</v>
      </c>
      <c r="BA99" s="9" t="str">
        <f>HYPERLINK(".\links\REFSEQ-INVERTEBRATE\AGAP010042-PA-REFSEQ-INVERTEBRATE.txt","AGAP010042-PA, partial")</f>
        <v>AGAP010042-PA, partial</v>
      </c>
      <c r="BB99" s="2" t="str">
        <f>HYPERLINK("http://www.ncbi.nlm.nih.gov/sutils/blink.cgi?pid=XP_319187.4","0.0")</f>
        <v>0.0</v>
      </c>
      <c r="BC99" s="2" t="str">
        <f>HYPERLINK("http://www.ncbi.nlm.nih.gov/protein/XP_319187.4","XP_319187.4")</f>
        <v>XP_319187.4</v>
      </c>
      <c r="BD99" s="2">
        <v>96</v>
      </c>
      <c r="BE99" s="2">
        <v>96</v>
      </c>
      <c r="BF99" s="2">
        <v>104</v>
      </c>
      <c r="BG99" s="2" t="s">
        <v>98</v>
      </c>
      <c r="BH99" s="9" t="str">
        <f>HYPERLINK(".\links\REFSEQ-PROTOZOA\AGAP010042-PA-REFSEQ-PROTOZOA.txt","hypothetical protein, partial")</f>
        <v>hypothetical protein, partial</v>
      </c>
      <c r="BI99" s="2" t="str">
        <f>HYPERLINK("http://www.ncbi.nlm.nih.gov/sutils/blink.cgi?pid=XP_001744127.1","8E-028")</f>
        <v>8E-028</v>
      </c>
      <c r="BJ99" s="2" t="str">
        <f>HYPERLINK("http://www.ncbi.nlm.nih.gov/protein/XP_001744127.1","XP_001744127.1")</f>
        <v>XP_001744127.1</v>
      </c>
      <c r="BK99" s="2">
        <v>22</v>
      </c>
      <c r="BL99" s="2">
        <v>38</v>
      </c>
      <c r="BM99" s="2">
        <v>117</v>
      </c>
      <c r="BN99" s="2" t="s">
        <v>704</v>
      </c>
      <c r="BO99" s="9" t="str">
        <f>HYPERLINK(".\links\SWISSP\AGAP010042-PA-SWISSP.txt","Solute carrier organic anion transporter family member 5A1")</f>
        <v>Solute carrier organic anion transporter family member 5A1</v>
      </c>
      <c r="BP99" s="2" t="str">
        <f>HYPERLINK("http://www.uniprot.org/uniprot/Q9H2Y9","5E-056")</f>
        <v>5E-056</v>
      </c>
      <c r="BQ99" s="2" t="str">
        <f>HYPERLINK("http://www.uniprot.org/uniprot/Q9H2Y9#expression","Q9H2Y9")</f>
        <v>Q9H2Y9</v>
      </c>
      <c r="BR99" s="2">
        <v>30</v>
      </c>
      <c r="BS99" s="2">
        <v>48</v>
      </c>
      <c r="BT99" s="2">
        <v>60</v>
      </c>
      <c r="BU99" s="2" t="s">
        <v>196</v>
      </c>
      <c r="BV99" s="9" t="str">
        <f>HYPERLINK(".\links\FLYBASE\AGAP010042-PA-FLYBASE.txt","FBpp0305305")</f>
        <v>FBpp0305305</v>
      </c>
      <c r="BW99" s="2" t="str">
        <f>HYPERLINK("http://flybase.org/reports/FBgn0032433#alliance_summary_container","0.0")</f>
        <v>0.0</v>
      </c>
      <c r="BX99" s="2">
        <v>745</v>
      </c>
      <c r="BY99" s="2">
        <v>59</v>
      </c>
      <c r="BZ99" s="2">
        <v>73</v>
      </c>
      <c r="CA99" s="2">
        <v>70</v>
      </c>
      <c r="CB99" s="9" t="str">
        <f>HYPERLINK(".\links\CDD\AGAP010042-PA-CDD.txt","OATP, Organic Anion Transporter Polypeptide (OATP) family")</f>
        <v>OATP, Organic Anion Transporter Polypeptide (OATP) family</v>
      </c>
      <c r="CC99" s="13">
        <v>1E-100</v>
      </c>
      <c r="CD99" s="2">
        <v>66.5</v>
      </c>
      <c r="CE99" s="2" t="s">
        <v>1292</v>
      </c>
      <c r="CF99" s="2" t="s">
        <v>1293</v>
      </c>
      <c r="CG99" s="9" t="str">
        <f>HYPERLINK(".\links\KOG\AGAP010042-PA-KOG.txt","Organic anion transporter")</f>
        <v>Organic anion transporter</v>
      </c>
      <c r="CH99" s="13">
        <v>9.9999999999999995E-127</v>
      </c>
      <c r="CI99" s="2">
        <v>73.2</v>
      </c>
      <c r="CJ99" s="2" t="s">
        <v>1294</v>
      </c>
      <c r="CK99" s="2" t="s">
        <v>104</v>
      </c>
      <c r="CL99" s="9" t="str">
        <f>HYPERLINK(".\links\PFAM\AGAP010042-PA-PFAM.txt","OATP, Organic Anion Transporter Polypeptide (OATP) family")</f>
        <v>OATP, Organic Anion Transporter Polypeptide (OATP) family</v>
      </c>
      <c r="CM99" s="13">
        <v>1.0000000000000001E-101</v>
      </c>
      <c r="CN99" s="2">
        <v>66.5</v>
      </c>
      <c r="CO99" s="2" t="s">
        <v>1292</v>
      </c>
      <c r="CP99" s="9" t="str">
        <f>HYPERLINK(".\links\SMART\AGAP010042-PA-SMART.txt","GEL, Gelsolin homology domain")</f>
        <v>GEL, Gelsolin homology domain</v>
      </c>
      <c r="CQ99" s="13">
        <v>0.43</v>
      </c>
      <c r="CR99" s="2">
        <v>50</v>
      </c>
      <c r="CS99" s="2" t="s">
        <v>1295</v>
      </c>
      <c r="CT99" s="2" t="s">
        <v>1288</v>
      </c>
      <c r="CU99" s="2" t="s">
        <v>1288</v>
      </c>
      <c r="CV99" s="2" t="s">
        <v>1288</v>
      </c>
      <c r="CW99" s="2" t="str">
        <f>HYPERLINK(".\links\pep\AGAP010042-PA-pep.txt","AGAP010042-PA")</f>
        <v>AGAP010042-PA</v>
      </c>
      <c r="CX99" s="2" t="s">
        <v>88</v>
      </c>
      <c r="CY99" s="2">
        <v>864</v>
      </c>
      <c r="CZ99" s="2" t="s">
        <v>106</v>
      </c>
      <c r="DA99" s="2" t="s">
        <v>1296</v>
      </c>
      <c r="DB99" s="2">
        <v>0</v>
      </c>
      <c r="DC99" s="2">
        <v>2</v>
      </c>
      <c r="DD99" s="2" t="str">
        <f>HYPERLINK("https://www.kegg.jp/kegg-bin/search_pathway_text?map=aga&amp;keyword=AGAP010042&amp;mode=1&amp;viewImage=true","AGAP010042")</f>
        <v>AGAP010042</v>
      </c>
      <c r="DE99" s="2" t="s">
        <v>1284</v>
      </c>
      <c r="DF99" s="2" t="s">
        <v>1285</v>
      </c>
      <c r="DG99" s="2" t="s">
        <v>87</v>
      </c>
      <c r="DH99" s="2" t="str">
        <f>HYPERLINK("https://vectorbase.org/vectorbase/app/record/gene/AGAP010042","AGAP010042-RA")</f>
        <v>AGAP010042-RA</v>
      </c>
      <c r="DI99" s="2" t="s">
        <v>250</v>
      </c>
      <c r="DJ99" s="2">
        <v>3141</v>
      </c>
      <c r="DK99" s="2" t="str">
        <f>HYPERLINK(".\links\netoglyc\AGAP010042-PA-netoglyc.txt","7")</f>
        <v>7</v>
      </c>
      <c r="DL99" s="2">
        <v>16.2</v>
      </c>
      <c r="DM99" s="2">
        <v>6.8</v>
      </c>
      <c r="DN99" s="2">
        <v>5.4</v>
      </c>
      <c r="DO99" s="2" t="s">
        <v>97</v>
      </c>
      <c r="DP99" s="2" t="s">
        <v>1297</v>
      </c>
      <c r="DQ99" s="2" t="str">
        <f>HYPERLINK(".\links\Sigp\AGAP010042-PA-SigP.txt","BL")</f>
        <v>BL</v>
      </c>
      <c r="DR99" s="2" t="s">
        <v>1290</v>
      </c>
      <c r="DS99" s="2">
        <v>96.533000000000001</v>
      </c>
      <c r="DT99" s="2">
        <v>6.8</v>
      </c>
      <c r="DU99" s="2">
        <v>84.373999999999995</v>
      </c>
      <c r="DV99" s="2">
        <v>6.02</v>
      </c>
      <c r="DW99" s="2" t="s">
        <v>1291</v>
      </c>
      <c r="DX99" s="2">
        <v>864</v>
      </c>
      <c r="DY99" s="8" t="str">
        <f>HYPERLINK(".\links\tmhmm\AGAP010042-PA-tmhmm.txt","12")</f>
        <v>12</v>
      </c>
      <c r="DZ99" s="2">
        <v>30.6</v>
      </c>
      <c r="EA99" s="2">
        <v>44.9</v>
      </c>
      <c r="EB99" s="2">
        <v>24.5</v>
      </c>
      <c r="EC99" s="2" t="str">
        <f>HYPERLINK(".\links\gpi\AGAP010042-PA-gpi.txt","N")</f>
        <v>N</v>
      </c>
      <c r="ED99" s="2">
        <v>0.2</v>
      </c>
      <c r="EF99" s="2">
        <v>23</v>
      </c>
      <c r="EG99" s="2" t="s">
        <v>94</v>
      </c>
      <c r="EH99" s="2" t="s">
        <v>94</v>
      </c>
      <c r="EI99" s="2">
        <v>16.203703703703699</v>
      </c>
      <c r="EJ99" s="2">
        <v>5.4398148148148104</v>
      </c>
      <c r="EK99" s="2">
        <v>6.8287037037036997</v>
      </c>
      <c r="EL99" s="2">
        <v>12.2685185185185</v>
      </c>
      <c r="EM99" s="2" t="s">
        <v>94</v>
      </c>
      <c r="EN99" s="2">
        <v>1</v>
      </c>
      <c r="EO99" s="2">
        <v>2</v>
      </c>
      <c r="EP99" s="2" t="s">
        <v>94</v>
      </c>
      <c r="EQ99" s="2" t="s">
        <v>94</v>
      </c>
      <c r="ER99" s="2" t="s">
        <v>94</v>
      </c>
      <c r="ES99" s="2" t="s">
        <v>486</v>
      </c>
      <c r="ET99" s="2" t="str">
        <f>HYPERLINK(".\links\REFSEQ-INVERTEBRATE\AGAP010042-PA-REFSEQ-INVERTEBRATE.txt","AGAP010042-PA, partial")</f>
        <v>AGAP010042-PA, partial</v>
      </c>
      <c r="EU99" s="2" t="str">
        <f>HYPERLINK("http://www.ncbi.nlm.nih.gov/sutils/blink.cgi?pid=XP_319187.4","0.0")</f>
        <v>0.0</v>
      </c>
      <c r="EV99" s="2" t="str">
        <f>HYPERLINK("http://www.ncbi.nlm.nih.gov/protein/XP_319187.4","XP_319187.4")</f>
        <v>XP_319187.4</v>
      </c>
      <c r="EW99" s="2">
        <v>96</v>
      </c>
      <c r="EX99" s="2">
        <v>96</v>
      </c>
      <c r="EY99" s="2">
        <v>104</v>
      </c>
      <c r="EZ99" s="2" t="s">
        <v>98</v>
      </c>
    </row>
    <row r="100" spans="1:156" x14ac:dyDescent="0.25">
      <c r="A100" s="2" t="s">
        <v>1298</v>
      </c>
      <c r="B100" s="2">
        <v>0.78540874000949201</v>
      </c>
      <c r="C100" s="2">
        <v>1.7235805699066897</v>
      </c>
      <c r="D100" s="2">
        <v>2.9262627152161098</v>
      </c>
      <c r="E100" s="2">
        <v>12.709309299282101</v>
      </c>
      <c r="F100" s="2">
        <v>3.6383978672961301E-4</v>
      </c>
      <c r="G100" s="2">
        <v>1.8802365372141801E-2</v>
      </c>
      <c r="H100" s="2" t="s">
        <v>1299</v>
      </c>
      <c r="I100" s="2" t="s">
        <v>87</v>
      </c>
      <c r="J100" s="2" t="str">
        <f>HYPERLINK("https://vectorbase.org/vectorbase/app/record/gene/AGAP005011","AGAP005011-RA")</f>
        <v>AGAP005011-RA</v>
      </c>
      <c r="K100" s="2" t="str">
        <f>HYPERLINK(".\links\pep\AGAP005011-PA-pep.txt","AGAP005011-PA")</f>
        <v>AGAP005011-PA</v>
      </c>
      <c r="L100" s="8" t="s">
        <v>88</v>
      </c>
      <c r="M100" s="2">
        <v>575</v>
      </c>
      <c r="N100" s="2">
        <v>0</v>
      </c>
      <c r="O100" s="2">
        <v>1</v>
      </c>
      <c r="P100" s="2" t="s">
        <v>1300</v>
      </c>
      <c r="Q100" s="9" t="s">
        <v>1301</v>
      </c>
      <c r="R100" s="2" t="s">
        <v>380</v>
      </c>
      <c r="S100" s="2" t="str">
        <f>HYPERLINK(".\links\KOG\AGAP005011-PA-KOG.txt","KOG")</f>
        <v>KOG</v>
      </c>
      <c r="T100" s="2">
        <v>3.0000000000000003E-29</v>
      </c>
      <c r="U100" s="2">
        <v>74.2</v>
      </c>
      <c r="V100" s="2" t="s">
        <v>1302</v>
      </c>
      <c r="W100" s="10" t="s">
        <v>1303</v>
      </c>
      <c r="X100" s="2" t="s">
        <v>289</v>
      </c>
      <c r="Y100" s="2" t="str">
        <f>HYPERLINK(".\links\UNIPROTKB\AGAP005011-PA-UNIPROTKB.txt","UNIPROTKB")</f>
        <v>UNIPROTKB</v>
      </c>
      <c r="Z100" s="13">
        <v>2.0000000000000001E-59</v>
      </c>
      <c r="AA100" s="2">
        <v>49.6</v>
      </c>
      <c r="AB100" s="11" t="s">
        <v>94</v>
      </c>
      <c r="AC100" s="11" t="str">
        <f>HYPERLINK(".\links\Sigp\AGAP005011-PA-SigP.txt","CYT")</f>
        <v>CYT</v>
      </c>
      <c r="AD100" s="2" t="s">
        <v>94</v>
      </c>
      <c r="AE100" s="2">
        <v>60.725999999999999</v>
      </c>
      <c r="AF100" s="2">
        <v>6.87</v>
      </c>
      <c r="AG100" s="2" t="s">
        <v>94</v>
      </c>
      <c r="AH100" s="2" t="s">
        <v>94</v>
      </c>
      <c r="AI100" s="2" t="s">
        <v>1304</v>
      </c>
      <c r="AJ100" s="11">
        <v>0</v>
      </c>
      <c r="AK100" s="2" t="s">
        <v>94</v>
      </c>
      <c r="AL100" s="2" t="s">
        <v>94</v>
      </c>
      <c r="AM100" s="2" t="s">
        <v>94</v>
      </c>
      <c r="AN100" s="11" t="str">
        <f>HYPERLINK(".\links\gpi\AGAP005011-PA-gpi.txt","N")</f>
        <v>N</v>
      </c>
      <c r="AO100" s="12" t="str">
        <f>HYPERLINK(".\links\netoglyc\AGAP005011-PA-netoglyc.txt","34")</f>
        <v>34</v>
      </c>
      <c r="AP100" s="11">
        <v>19.100000000000001</v>
      </c>
      <c r="AQ100" s="2">
        <v>9.4</v>
      </c>
      <c r="AR100" s="2">
        <v>12.3</v>
      </c>
      <c r="AS100" s="2">
        <v>0.5</v>
      </c>
      <c r="AT100" s="9" t="str">
        <f>HYPERLINK(".\links\NR-LIGHT\AGAP005011-PA-NR-LIGHT.txt","AGAP005011-PA")</f>
        <v>AGAP005011-PA</v>
      </c>
      <c r="AU100" s="2" t="str">
        <f>HYPERLINK("http://www.ncbi.nlm.nih.gov/sutils/blink.cgi?pid=XP_315118.4","0.0")</f>
        <v>0.0</v>
      </c>
      <c r="AV100" s="2" t="str">
        <f>HYPERLINK("http://www.ncbi.nlm.nih.gov/protein/XP_315118.4","XP_315118.4")</f>
        <v>XP_315118.4</v>
      </c>
      <c r="AW100" s="2">
        <v>100</v>
      </c>
      <c r="AX100" s="2">
        <v>100</v>
      </c>
      <c r="AY100" s="2">
        <v>100</v>
      </c>
      <c r="AZ100" s="2" t="s">
        <v>98</v>
      </c>
      <c r="BA100" s="9" t="str">
        <f>HYPERLINK(".\links\REFSEQ-INVERTEBRATE\AGAP005011-PA-REFSEQ-INVERTEBRATE.txt","AGAP005011-PA")</f>
        <v>AGAP005011-PA</v>
      </c>
      <c r="BB100" s="2" t="str">
        <f>HYPERLINK("http://www.ncbi.nlm.nih.gov/sutils/blink.cgi?pid=XP_315118.4","0.0")</f>
        <v>0.0</v>
      </c>
      <c r="BC100" s="2" t="str">
        <f>HYPERLINK("http://www.ncbi.nlm.nih.gov/protein/XP_315118.4","XP_315118.4")</f>
        <v>XP_315118.4</v>
      </c>
      <c r="BD100" s="2">
        <v>100</v>
      </c>
      <c r="BE100" s="2">
        <v>100</v>
      </c>
      <c r="BF100" s="2">
        <v>100</v>
      </c>
      <c r="BG100" s="2" t="s">
        <v>98</v>
      </c>
      <c r="BH100" s="9" t="str">
        <f>HYPERLINK(".\links\REFSEQ-PROTOZOA\AGAP005011-PA-REFSEQ-PROTOZOA.txt","Homeobox domain containing protein")</f>
        <v>Homeobox domain containing protein</v>
      </c>
      <c r="BI100" s="2" t="str">
        <f>HYPERLINK("http://www.ncbi.nlm.nih.gov/sutils/blink.cgi?pid=XP_004353311.1","7E-011")</f>
        <v>7E-011</v>
      </c>
      <c r="BJ100" s="2" t="str">
        <f>HYPERLINK("http://www.ncbi.nlm.nih.gov/protein/XP_004353311.1","XP_004353311.1")</f>
        <v>XP_004353311.1</v>
      </c>
      <c r="BK100" s="2">
        <v>52</v>
      </c>
      <c r="BL100" s="2">
        <v>67</v>
      </c>
      <c r="BM100" s="2">
        <v>65</v>
      </c>
      <c r="BN100" s="2" t="s">
        <v>527</v>
      </c>
      <c r="BO100" s="9" t="str">
        <f>HYPERLINK(".\links\SWISSP\AGAP005011-PA-SWISSP.txt","Homeobox protein araucan")</f>
        <v>Homeobox protein araucan</v>
      </c>
      <c r="BP100" s="2" t="str">
        <f>HYPERLINK("http://www.uniprot.org/uniprot/Q24248","9E-066")</f>
        <v>9E-066</v>
      </c>
      <c r="BQ100" s="2" t="str">
        <f>HYPERLINK("http://www.uniprot.org/uniprot/Q24248#expression","Q24248")</f>
        <v>Q24248</v>
      </c>
      <c r="BR100" s="2">
        <v>34</v>
      </c>
      <c r="BS100" s="2">
        <v>43</v>
      </c>
      <c r="BT100" s="2">
        <v>86</v>
      </c>
      <c r="BU100" s="2" t="s">
        <v>100</v>
      </c>
      <c r="BV100" s="9" t="str">
        <f>HYPERLINK(".\links\FLYBASE\AGAP005011-PA-FLYBASE.txt","FBpp0075644")</f>
        <v>FBpp0075644</v>
      </c>
      <c r="BW100" s="2" t="str">
        <f>HYPERLINK("http://flybase.org/reports/FBgn0014343#alliance_summary_container","1E-158")</f>
        <v>1E-158</v>
      </c>
      <c r="BX100" s="2">
        <v>641</v>
      </c>
      <c r="BY100" s="2">
        <v>54</v>
      </c>
      <c r="BZ100" s="2">
        <v>63</v>
      </c>
      <c r="CA100" s="2">
        <v>87</v>
      </c>
      <c r="CB100" s="9" t="str">
        <f>HYPERLINK(".\links\CDD\AGAP005011-PA-CDD.txt","Homeobox_KN, Homeobox KN domain")</f>
        <v>Homeobox_KN, Homeobox KN domain</v>
      </c>
      <c r="CC100" s="13">
        <v>2.9999999999999998E-15</v>
      </c>
      <c r="CD100" s="2">
        <v>100</v>
      </c>
      <c r="CE100" s="2" t="s">
        <v>1305</v>
      </c>
      <c r="CF100" s="2" t="s">
        <v>1306</v>
      </c>
      <c r="CG100" s="9" t="str">
        <f>HYPERLINK(".\links\KOG\AGAP005011-PA-KOG.txt","Transcription factor MEIS1 and related HOX domain proteins")</f>
        <v>Transcription factor MEIS1 and related HOX domain proteins</v>
      </c>
      <c r="CH100" s="13">
        <v>3.0000000000000003E-29</v>
      </c>
      <c r="CI100" s="2">
        <v>74.3</v>
      </c>
      <c r="CJ100" s="2" t="s">
        <v>1307</v>
      </c>
      <c r="CK100" s="2" t="s">
        <v>296</v>
      </c>
      <c r="CL100" s="9" t="str">
        <f>HYPERLINK(".\links\PFAM\AGAP005011-PA-PFAM.txt","Homeobox_KN, Homeobox KN domain")</f>
        <v>Homeobox_KN, Homeobox KN domain</v>
      </c>
      <c r="CM100" s="13">
        <v>5.9999999999999999E-16</v>
      </c>
      <c r="CN100" s="2">
        <v>100</v>
      </c>
      <c r="CO100" s="2" t="s">
        <v>1305</v>
      </c>
      <c r="CP100" s="9" t="str">
        <f>HYPERLINK(".\links\SMART\AGAP005011-PA-SMART.txt","HOX, Homeodomain")</f>
        <v>HOX, Homeodomain</v>
      </c>
      <c r="CQ100" s="13">
        <v>8.0000000000000002E-13</v>
      </c>
      <c r="CR100" s="2">
        <v>100</v>
      </c>
      <c r="CS100" s="2" t="s">
        <v>921</v>
      </c>
      <c r="CT100" s="2" t="s">
        <v>1302</v>
      </c>
      <c r="CU100" s="2" t="s">
        <v>1302</v>
      </c>
      <c r="CV100" s="2" t="s">
        <v>1302</v>
      </c>
      <c r="CW100" s="2" t="str">
        <f>HYPERLINK(".\links\pep\AGAP005011-PA-pep.txt","AGAP005011-PA")</f>
        <v>AGAP005011-PA</v>
      </c>
      <c r="CX100" s="2" t="s">
        <v>88</v>
      </c>
      <c r="CY100" s="2">
        <v>575</v>
      </c>
      <c r="CZ100" s="2" t="s">
        <v>106</v>
      </c>
      <c r="DA100" s="2" t="s">
        <v>1308</v>
      </c>
      <c r="DB100" s="2">
        <v>0</v>
      </c>
      <c r="DC100" s="2">
        <v>1</v>
      </c>
      <c r="DD100" s="2" t="str">
        <f>HYPERLINK("https://www.kegg.jp/kegg-bin/search_pathway_text?map=aga&amp;keyword=AGAP005011&amp;mode=1&amp;viewImage=true","AGAP005011")</f>
        <v>AGAP005011</v>
      </c>
      <c r="DE100" s="2" t="s">
        <v>1298</v>
      </c>
      <c r="DF100" s="2" t="s">
        <v>1299</v>
      </c>
      <c r="DG100" s="2" t="s">
        <v>87</v>
      </c>
      <c r="DH100" s="2" t="str">
        <f>HYPERLINK("https://vectorbase.org/vectorbase/app/record/gene/AGAP005011","AGAP005011-RA")</f>
        <v>AGAP005011-RA</v>
      </c>
      <c r="DI100" s="2" t="s">
        <v>143</v>
      </c>
      <c r="DJ100" s="2">
        <v>5132</v>
      </c>
      <c r="DK100" s="2" t="str">
        <f>HYPERLINK(".\links\netoglyc\AGAP005011-PA-netoglyc.txt","34")</f>
        <v>34</v>
      </c>
      <c r="DL100" s="2">
        <v>19.100000000000001</v>
      </c>
      <c r="DM100" s="2">
        <v>9.4</v>
      </c>
      <c r="DN100" s="2">
        <v>12.3</v>
      </c>
      <c r="DO100" s="2">
        <v>0.5</v>
      </c>
      <c r="DP100" s="2" t="s">
        <v>94</v>
      </c>
      <c r="DQ100" s="2" t="str">
        <f>HYPERLINK(".\links\Sigp\AGAP005011-PA-SigP.txt","CYT")</f>
        <v>CYT</v>
      </c>
      <c r="DR100" s="2" t="s">
        <v>94</v>
      </c>
      <c r="DS100" s="2">
        <v>60.725999999999999</v>
      </c>
      <c r="DT100" s="2">
        <v>6.87</v>
      </c>
      <c r="DU100" s="2" t="s">
        <v>94</v>
      </c>
      <c r="DV100" s="2" t="s">
        <v>94</v>
      </c>
      <c r="DW100" s="2" t="s">
        <v>1304</v>
      </c>
      <c r="DX100" s="2">
        <v>575</v>
      </c>
      <c r="DY100" s="8">
        <v>0</v>
      </c>
      <c r="DZ100" s="2" t="s">
        <v>94</v>
      </c>
      <c r="EA100" s="2" t="s">
        <v>94</v>
      </c>
      <c r="EB100" s="2" t="s">
        <v>94</v>
      </c>
      <c r="EC100" s="2" t="str">
        <f>HYPERLINK(".\links\gpi\AGAP005011-PA-gpi.txt","Y-NoSP")</f>
        <v>Y-NoSP</v>
      </c>
      <c r="ED100" s="2">
        <v>0.35</v>
      </c>
      <c r="EF100" s="2">
        <v>5</v>
      </c>
      <c r="EG100" s="2" t="s">
        <v>94</v>
      </c>
      <c r="EH100" s="2" t="s">
        <v>94</v>
      </c>
      <c r="EI100" s="2">
        <v>19.130434782608699</v>
      </c>
      <c r="EJ100" s="2">
        <v>12.3478260869565</v>
      </c>
      <c r="EK100" s="2">
        <v>9.3913043478260896</v>
      </c>
      <c r="EL100" s="2">
        <v>21.739130434782599</v>
      </c>
      <c r="EM100" s="2">
        <v>4</v>
      </c>
      <c r="EN100" s="2">
        <v>1</v>
      </c>
      <c r="EO100" s="2">
        <v>6</v>
      </c>
      <c r="EP100" s="2" t="s">
        <v>94</v>
      </c>
      <c r="EQ100" s="2" t="s">
        <v>94</v>
      </c>
      <c r="ER100" s="2" t="s">
        <v>94</v>
      </c>
      <c r="ES100" s="2" t="s">
        <v>94</v>
      </c>
      <c r="ET100" s="2" t="str">
        <f>HYPERLINK(".\links\REFSEQ-INVERTEBRATE\AGAP005011-PA-REFSEQ-INVERTEBRATE.txt","AGAP005011-PA")</f>
        <v>AGAP005011-PA</v>
      </c>
      <c r="EU100" s="2" t="str">
        <f>HYPERLINK("http://www.ncbi.nlm.nih.gov/sutils/blink.cgi?pid=XP_315118.4","0.0")</f>
        <v>0.0</v>
      </c>
      <c r="EV100" s="2" t="str">
        <f>HYPERLINK("http://www.ncbi.nlm.nih.gov/protein/XP_315118.4","XP_315118.4")</f>
        <v>XP_315118.4</v>
      </c>
      <c r="EW100" s="2">
        <v>100</v>
      </c>
      <c r="EX100" s="2">
        <v>100</v>
      </c>
      <c r="EY100" s="2">
        <v>100</v>
      </c>
      <c r="EZ100" s="2" t="s">
        <v>98</v>
      </c>
    </row>
    <row r="101" spans="1:156" x14ac:dyDescent="0.25">
      <c r="A101" s="2" t="s">
        <v>1309</v>
      </c>
      <c r="B101" s="2">
        <v>0.78507210103442204</v>
      </c>
      <c r="C101" s="2">
        <v>1.7231784359210294</v>
      </c>
      <c r="D101" s="2">
        <v>4.8616184450650701</v>
      </c>
      <c r="E101" s="2">
        <v>14.037351198184099</v>
      </c>
      <c r="F101" s="2">
        <v>1.79215195920088E-4</v>
      </c>
      <c r="G101" s="2">
        <v>1.1005442258547301E-2</v>
      </c>
      <c r="H101" s="2" t="s">
        <v>1310</v>
      </c>
      <c r="I101" s="2" t="s">
        <v>87</v>
      </c>
      <c r="J101" s="2" t="str">
        <f>HYPERLINK("https://vectorbase.org/vectorbase/app/record/gene/AGAP009889","AGAP009889-RA")</f>
        <v>AGAP009889-RA</v>
      </c>
      <c r="K101" s="2" t="str">
        <f>HYPERLINK(".\links\pep\AGAP009889-PA-pep.txt","AGAP009889-PA")</f>
        <v>AGAP009889-PA</v>
      </c>
      <c r="L101" s="8" t="s">
        <v>88</v>
      </c>
      <c r="M101" s="2">
        <v>556</v>
      </c>
      <c r="N101" s="2">
        <v>0</v>
      </c>
      <c r="O101" s="2">
        <v>0</v>
      </c>
      <c r="P101" s="2" t="s">
        <v>1311</v>
      </c>
      <c r="Q101" s="9" t="s">
        <v>1312</v>
      </c>
      <c r="R101" s="2" t="s">
        <v>380</v>
      </c>
      <c r="S101" s="2" t="str">
        <f>HYPERLINK(".\links\SWISSP\AGAP009889-PA-SWISSP.txt","SWISSP")</f>
        <v>SWISSP</v>
      </c>
      <c r="T101" s="2">
        <v>4.9999999999999997E-37</v>
      </c>
      <c r="U101" s="2">
        <v>48.9</v>
      </c>
      <c r="V101" s="2" t="s">
        <v>1313</v>
      </c>
      <c r="W101" s="10" t="s">
        <v>1314</v>
      </c>
      <c r="X101" s="2" t="s">
        <v>289</v>
      </c>
      <c r="Y101" s="2" t="str">
        <f>HYPERLINK(".\links\CDD\AGAP009889-PA-CDD.txt","CDD")</f>
        <v>CDD</v>
      </c>
      <c r="Z101" s="13">
        <v>2E-19</v>
      </c>
      <c r="AA101" s="2">
        <v>100</v>
      </c>
      <c r="AB101" s="11" t="s">
        <v>94</v>
      </c>
      <c r="AC101" s="11" t="str">
        <f>HYPERLINK(".\links\Sigp\AGAP009889-PA-SigP.txt","CYT")</f>
        <v>CYT</v>
      </c>
      <c r="AD101" s="2" t="s">
        <v>94</v>
      </c>
      <c r="AE101" s="2">
        <v>60.238</v>
      </c>
      <c r="AF101" s="2">
        <v>9.51</v>
      </c>
      <c r="AG101" s="2" t="s">
        <v>94</v>
      </c>
      <c r="AH101" s="2" t="s">
        <v>94</v>
      </c>
      <c r="AI101" s="2" t="s">
        <v>463</v>
      </c>
      <c r="AJ101" s="11">
        <v>0</v>
      </c>
      <c r="AK101" s="2" t="s">
        <v>94</v>
      </c>
      <c r="AL101" s="2" t="s">
        <v>94</v>
      </c>
      <c r="AM101" s="2" t="s">
        <v>94</v>
      </c>
      <c r="AN101" s="11" t="str">
        <f>HYPERLINK(".\links\gpi\AGAP009889-PA-gpi.txt","N")</f>
        <v>N</v>
      </c>
      <c r="AO101" s="12" t="str">
        <f>HYPERLINK(".\links\netoglyc\AGAP009889-PA-netoglyc.txt","42")</f>
        <v>42</v>
      </c>
      <c r="AP101" s="11">
        <v>18.7</v>
      </c>
      <c r="AQ101" s="2">
        <v>5.4</v>
      </c>
      <c r="AR101" s="2">
        <v>9.4</v>
      </c>
      <c r="AS101" s="2" t="s">
        <v>97</v>
      </c>
      <c r="AT101" s="9" t="str">
        <f>HYPERLINK(".\links\NR-LIGHT\AGAP009889-PA-NR-LIGHT.txt","AGAP009889-PA, partial")</f>
        <v>AGAP009889-PA, partial</v>
      </c>
      <c r="AU101" s="2" t="str">
        <f>HYPERLINK("http://www.ncbi.nlm.nih.gov/sutils/blink.cgi?pid=XP_319008.4","0.0")</f>
        <v>0.0</v>
      </c>
      <c r="AV101" s="2" t="str">
        <f>HYPERLINK("http://www.ncbi.nlm.nih.gov/protein/XP_319008.4","XP_319008.4")</f>
        <v>XP_319008.4</v>
      </c>
      <c r="AW101" s="2">
        <v>90</v>
      </c>
      <c r="AX101" s="2">
        <v>90</v>
      </c>
      <c r="AY101" s="2">
        <v>110</v>
      </c>
      <c r="AZ101" s="2" t="s">
        <v>98</v>
      </c>
      <c r="BA101" s="9" t="str">
        <f>HYPERLINK(".\links\REFSEQ-INVERTEBRATE\AGAP009889-PA-REFSEQ-INVERTEBRATE.txt","AGAP009889-PA, partial")</f>
        <v>AGAP009889-PA, partial</v>
      </c>
      <c r="BB101" s="2" t="str">
        <f>HYPERLINK("http://www.ncbi.nlm.nih.gov/sutils/blink.cgi?pid=XP_319008.4","0.0")</f>
        <v>0.0</v>
      </c>
      <c r="BC101" s="2" t="str">
        <f>HYPERLINK("http://www.ncbi.nlm.nih.gov/protein/XP_319008.4","XP_319008.4")</f>
        <v>XP_319008.4</v>
      </c>
      <c r="BD101" s="2">
        <v>90</v>
      </c>
      <c r="BE101" s="2">
        <v>90</v>
      </c>
      <c r="BF101" s="2">
        <v>110</v>
      </c>
      <c r="BG101" s="2" t="s">
        <v>98</v>
      </c>
      <c r="BH101" s="9" t="str">
        <f>HYPERLINK(".\links\REFSEQ-PROTOZOA\AGAP009889-PA-REFSEQ-PROTOZOA.txt","hypothetical protein CAOG_06749")</f>
        <v>hypothetical protein CAOG_06749</v>
      </c>
      <c r="BI101" s="2" t="str">
        <f>HYPERLINK("http://www.ncbi.nlm.nih.gov/sutils/blink.cgi?pid=XP_004344370.1","4E-031")</f>
        <v>4E-031</v>
      </c>
      <c r="BJ101" s="2" t="str">
        <f>HYPERLINK("http://www.ncbi.nlm.nih.gov/protein/XP_004344370.1","XP_004344370.1")</f>
        <v>XP_004344370.1</v>
      </c>
      <c r="BK101" s="2">
        <v>30</v>
      </c>
      <c r="BL101" s="2">
        <v>45</v>
      </c>
      <c r="BM101" s="2">
        <v>44</v>
      </c>
      <c r="BN101" s="2" t="s">
        <v>227</v>
      </c>
      <c r="BO101" s="9" t="str">
        <f>HYPERLINK(".\links\SWISSP\AGAP009889-PA-SWISSP.txt","Transcription factor Sp9")</f>
        <v>Transcription factor Sp9</v>
      </c>
      <c r="BP101" s="2" t="str">
        <f>HYPERLINK("http://www.uniprot.org/uniprot/Q64HY3","5E-037")</f>
        <v>5E-037</v>
      </c>
      <c r="BQ101" s="2" t="str">
        <f>HYPERLINK("http://www.uniprot.org/uniprot/Q64HY3#expression","Q64HY3")</f>
        <v>Q64HY3</v>
      </c>
      <c r="BR101" s="2">
        <v>38</v>
      </c>
      <c r="BS101" s="2">
        <v>48</v>
      </c>
      <c r="BT101" s="2">
        <v>49</v>
      </c>
      <c r="BU101" s="2" t="s">
        <v>339</v>
      </c>
      <c r="BV101" s="9" t="str">
        <f>HYPERLINK(".\links\FLYBASE\AGAP009889-PA-FLYBASE.txt","FBpp0301733")</f>
        <v>FBpp0301733</v>
      </c>
      <c r="BW101" s="2" t="str">
        <f>HYPERLINK("http://flybase.org/reports/FBgn0043364#alliance_summary_container","5E-54")</f>
        <v>5E-54</v>
      </c>
      <c r="BX101" s="2">
        <v>347</v>
      </c>
      <c r="BY101" s="2">
        <v>51</v>
      </c>
      <c r="BZ101" s="2">
        <v>62</v>
      </c>
      <c r="CA101" s="2">
        <v>54</v>
      </c>
      <c r="CB101" s="9" t="str">
        <f>HYPERLINK(".\links\CDD\AGAP009889-PA-CDD.txt","ZF_C2H2, Zinc finger, C2H2 type")</f>
        <v>ZF_C2H2, Zinc finger, C2H2 type</v>
      </c>
      <c r="CC101" s="13">
        <v>2.0000000000000002E-31</v>
      </c>
      <c r="CD101" s="2">
        <v>100</v>
      </c>
      <c r="CE101" s="2" t="s">
        <v>1315</v>
      </c>
      <c r="CF101" s="2" t="s">
        <v>1316</v>
      </c>
      <c r="CG101" s="9" t="str">
        <f>HYPERLINK(".\links\KOG\AGAP009889-PA-KOG.txt","C2H2-type Zn-finger protein")</f>
        <v>C2H2-type Zn-finger protein</v>
      </c>
      <c r="CH101" s="13">
        <v>9.9999999999999998E-13</v>
      </c>
      <c r="CI101" s="2">
        <v>95</v>
      </c>
      <c r="CJ101" s="2" t="s">
        <v>1317</v>
      </c>
      <c r="CK101" s="2" t="s">
        <v>296</v>
      </c>
      <c r="CL101" s="9" t="str">
        <f>HYPERLINK(".\links\PFAM\AGAP009889-PA-PFAM.txt","zf-H2C2_2, Zinc-finger double domain")</f>
        <v>zf-H2C2_2, Zinc-finger double domain</v>
      </c>
      <c r="CM101" s="13">
        <v>5.0000000000000002E-5</v>
      </c>
      <c r="CN101" s="2">
        <v>92.3</v>
      </c>
      <c r="CO101" s="2" t="s">
        <v>1318</v>
      </c>
      <c r="CP101" s="9" t="str">
        <f>HYPERLINK(".\links\SMART\AGAP009889-PA-SMART.txt","ZnF_C2H2, zinc finger")</f>
        <v>ZnF_C2H2, zinc finger</v>
      </c>
      <c r="CQ101" s="13">
        <v>1E-3</v>
      </c>
      <c r="CR101" s="2">
        <v>100</v>
      </c>
      <c r="CS101" s="2" t="s">
        <v>1319</v>
      </c>
      <c r="CT101" s="2" t="s">
        <v>1313</v>
      </c>
      <c r="CU101" s="2" t="s">
        <v>1313</v>
      </c>
      <c r="CV101" s="2" t="s">
        <v>1313</v>
      </c>
      <c r="CW101" s="2" t="str">
        <f>HYPERLINK(".\links\pep\AGAP009889-PA-pep.txt","AGAP009889-PA")</f>
        <v>AGAP009889-PA</v>
      </c>
      <c r="CX101" s="2" t="s">
        <v>88</v>
      </c>
      <c r="CY101" s="2">
        <v>556</v>
      </c>
      <c r="CZ101" s="2" t="s">
        <v>106</v>
      </c>
      <c r="DA101" s="2" t="s">
        <v>1320</v>
      </c>
      <c r="DB101" s="2">
        <v>0</v>
      </c>
      <c r="DC101" s="2">
        <v>0</v>
      </c>
      <c r="DD101" s="2" t="str">
        <f>HYPERLINK("https://www.kegg.jp/kegg-bin/search_pathway_text?map=aga&amp;keyword=AGAP009889&amp;mode=1&amp;viewImage=true","AGAP009889")</f>
        <v>AGAP009889</v>
      </c>
      <c r="DE101" s="2" t="s">
        <v>1309</v>
      </c>
      <c r="DF101" s="2" t="s">
        <v>1310</v>
      </c>
      <c r="DG101" s="2" t="s">
        <v>87</v>
      </c>
      <c r="DH101" s="2" t="str">
        <f>HYPERLINK("https://vectorbase.org/vectorbase/app/record/gene/AGAP009889","AGAP009889-RA")</f>
        <v>AGAP009889-RA</v>
      </c>
      <c r="DI101" s="2" t="s">
        <v>108</v>
      </c>
      <c r="DJ101" s="2">
        <v>3660</v>
      </c>
      <c r="DK101" s="2" t="str">
        <f>HYPERLINK(".\links\netoglyc\AGAP009889-PA-netoglyc.txt","42")</f>
        <v>42</v>
      </c>
      <c r="DL101" s="2">
        <v>18.7</v>
      </c>
      <c r="DM101" s="2">
        <v>5.4</v>
      </c>
      <c r="DN101" s="2">
        <v>9.4</v>
      </c>
      <c r="DO101" s="2" t="s">
        <v>97</v>
      </c>
      <c r="DP101" s="2" t="s">
        <v>1321</v>
      </c>
      <c r="DQ101" s="2" t="str">
        <f>HYPERLINK(".\links\Sigp\AGAP009889-PA-SigP.txt","CYT")</f>
        <v>CYT</v>
      </c>
      <c r="DR101" s="2" t="s">
        <v>94</v>
      </c>
      <c r="DS101" s="2">
        <v>60.238</v>
      </c>
      <c r="DT101" s="2">
        <v>9.51</v>
      </c>
      <c r="DU101" s="2" t="s">
        <v>94</v>
      </c>
      <c r="DV101" s="2" t="s">
        <v>94</v>
      </c>
      <c r="DW101" s="2" t="s">
        <v>463</v>
      </c>
      <c r="DX101" s="2">
        <v>556</v>
      </c>
      <c r="DY101" s="8">
        <v>0</v>
      </c>
      <c r="DZ101" s="2" t="s">
        <v>94</v>
      </c>
      <c r="EA101" s="2" t="s">
        <v>94</v>
      </c>
      <c r="EB101" s="2" t="s">
        <v>94</v>
      </c>
      <c r="EC101" s="2" t="str">
        <f>HYPERLINK(".\links\gpi\AGAP009889-PA-gpi.txt","Y-NoSP")</f>
        <v>Y-NoSP</v>
      </c>
      <c r="ED101" s="2">
        <v>0.38</v>
      </c>
      <c r="EF101" s="2">
        <v>9</v>
      </c>
      <c r="EG101" s="2" t="s">
        <v>94</v>
      </c>
      <c r="EH101" s="2" t="s">
        <v>94</v>
      </c>
      <c r="EI101" s="2">
        <v>18.705035971223001</v>
      </c>
      <c r="EJ101" s="2">
        <v>9.3525179856115095</v>
      </c>
      <c r="EK101" s="2">
        <v>5.3956834532374103</v>
      </c>
      <c r="EL101" s="2">
        <v>14.7482014388489</v>
      </c>
      <c r="EM101" s="2" t="s">
        <v>94</v>
      </c>
      <c r="EN101" s="2" t="s">
        <v>94</v>
      </c>
      <c r="EO101" s="2" t="s">
        <v>94</v>
      </c>
      <c r="EP101" s="2" t="s">
        <v>94</v>
      </c>
      <c r="EQ101" s="2" t="s">
        <v>94</v>
      </c>
      <c r="ER101" s="2" t="s">
        <v>94</v>
      </c>
      <c r="ES101" s="2" t="s">
        <v>94</v>
      </c>
      <c r="ET101" s="2" t="str">
        <f>HYPERLINK(".\links\REFSEQ-INVERTEBRATE\AGAP009889-PA-REFSEQ-INVERTEBRATE.txt","AGAP009889-PA, partial")</f>
        <v>AGAP009889-PA, partial</v>
      </c>
      <c r="EU101" s="2" t="str">
        <f>HYPERLINK("http://www.ncbi.nlm.nih.gov/sutils/blink.cgi?pid=XP_319008.4","0.0")</f>
        <v>0.0</v>
      </c>
      <c r="EV101" s="2" t="str">
        <f>HYPERLINK("http://www.ncbi.nlm.nih.gov/protein/XP_319008.4","XP_319008.4")</f>
        <v>XP_319008.4</v>
      </c>
      <c r="EW101" s="2">
        <v>90</v>
      </c>
      <c r="EX101" s="2">
        <v>90</v>
      </c>
      <c r="EY101" s="2">
        <v>110</v>
      </c>
      <c r="EZ101" s="2" t="s">
        <v>98</v>
      </c>
    </row>
    <row r="102" spans="1:156" x14ac:dyDescent="0.25">
      <c r="A102" s="2" t="s">
        <v>1322</v>
      </c>
      <c r="B102" s="2">
        <v>0.77974210601827798</v>
      </c>
      <c r="C102" s="2">
        <v>1.7168239485933465</v>
      </c>
      <c r="D102" s="2">
        <v>3.3357355097409802</v>
      </c>
      <c r="E102" s="2">
        <v>11.033076864483499</v>
      </c>
      <c r="F102" s="2">
        <v>8.95004746973348E-4</v>
      </c>
      <c r="G102" s="2">
        <v>3.9367720428497503E-2</v>
      </c>
      <c r="H102" s="2" t="s">
        <v>1323</v>
      </c>
      <c r="I102" s="2" t="s">
        <v>87</v>
      </c>
      <c r="J102" s="2" t="str">
        <f>HYPERLINK("https://vectorbase.org/vectorbase/app/record/gene/AGAP010017","AGAP010017-RA")</f>
        <v>AGAP010017-RA</v>
      </c>
      <c r="K102" s="2" t="str">
        <f>HYPERLINK(".\links\pep\AGAP010017-PA-pep.txt","AGAP010017-PA")</f>
        <v>AGAP010017-PA</v>
      </c>
      <c r="L102" s="8" t="s">
        <v>88</v>
      </c>
      <c r="M102" s="2">
        <v>483</v>
      </c>
      <c r="N102" s="2">
        <v>0</v>
      </c>
      <c r="O102" s="2">
        <v>3</v>
      </c>
      <c r="P102" s="2" t="s">
        <v>1324</v>
      </c>
      <c r="Q102" s="9" t="s">
        <v>1325</v>
      </c>
      <c r="R102" s="2" t="s">
        <v>318</v>
      </c>
      <c r="S102" s="2" t="str">
        <f>HYPERLINK(".\links\KOG\AGAP010017-PA-KOG.txt","KOG")</f>
        <v>KOG</v>
      </c>
      <c r="T102" s="2">
        <v>3.0000000000000002E-77</v>
      </c>
      <c r="U102" s="2">
        <v>98.4</v>
      </c>
      <c r="V102" s="2" t="s">
        <v>1326</v>
      </c>
      <c r="W102" s="10" t="s">
        <v>1327</v>
      </c>
      <c r="X102" s="2" t="s">
        <v>318</v>
      </c>
      <c r="Y102" s="2" t="str">
        <f>HYPERLINK(".\links\REFSEQVERTEBRATE95\AGAP010017-PA-REFSEQVERTEBRATE95.txt","REFSEQVERTEBRATE95")</f>
        <v>REFSEQVERTEBRATE95</v>
      </c>
      <c r="Z102" s="13">
        <v>0</v>
      </c>
      <c r="AA102" s="2">
        <v>92</v>
      </c>
      <c r="AB102" s="11" t="s">
        <v>94</v>
      </c>
      <c r="AC102" s="11" t="str">
        <f>HYPERLINK(".\links\Sigp\AGAP010017-PA-SigP.txt","CYT")</f>
        <v>CYT</v>
      </c>
      <c r="AD102" s="2" t="s">
        <v>94</v>
      </c>
      <c r="AE102" s="2">
        <v>53.070999999999998</v>
      </c>
      <c r="AF102" s="2">
        <v>8.8800000000000008</v>
      </c>
      <c r="AG102" s="2" t="s">
        <v>94</v>
      </c>
      <c r="AH102" s="2" t="s">
        <v>94</v>
      </c>
      <c r="AI102" s="2" t="s">
        <v>463</v>
      </c>
      <c r="AJ102" s="11">
        <v>0</v>
      </c>
      <c r="AK102" s="2" t="s">
        <v>94</v>
      </c>
      <c r="AL102" s="2" t="s">
        <v>94</v>
      </c>
      <c r="AM102" s="2" t="s">
        <v>94</v>
      </c>
      <c r="AN102" s="11" t="str">
        <f>HYPERLINK(".\links\gpi\AGAP010017-PA-gpi.txt","N")</f>
        <v>N</v>
      </c>
      <c r="AO102" s="12" t="str">
        <f>HYPERLINK(".\links\netoglyc\AGAP010017-PA-netoglyc.txt","22")</f>
        <v>22</v>
      </c>
      <c r="AP102" s="11">
        <v>16.600000000000001</v>
      </c>
      <c r="AQ102" s="2">
        <v>6.8</v>
      </c>
      <c r="AR102" s="2">
        <v>8.1</v>
      </c>
      <c r="AS102" s="2" t="s">
        <v>97</v>
      </c>
      <c r="AT102" s="9" t="str">
        <f>HYPERLINK(".\links\NR-LIGHT\AGAP010017-PA-NR-LIGHT.txt","AGAP010017-PA")</f>
        <v>AGAP010017-PA</v>
      </c>
      <c r="AU102" s="2" t="str">
        <f>HYPERLINK("http://www.ncbi.nlm.nih.gov/sutils/blink.cgi?pid=XP_319165.3","0.0")</f>
        <v>0.0</v>
      </c>
      <c r="AV102" s="2" t="str">
        <f>HYPERLINK("http://www.ncbi.nlm.nih.gov/protein/XP_319165.3","XP_319165.3")</f>
        <v>XP_319165.3</v>
      </c>
      <c r="AW102" s="2">
        <v>100</v>
      </c>
      <c r="AX102" s="2">
        <v>100</v>
      </c>
      <c r="AY102" s="2">
        <v>100</v>
      </c>
      <c r="AZ102" s="2" t="s">
        <v>98</v>
      </c>
      <c r="BA102" s="9" t="str">
        <f>HYPERLINK(".\links\REFSEQ-INVERTEBRATE\AGAP010017-PA-REFSEQ-INVERTEBRATE.txt","AGAP010017-PA")</f>
        <v>AGAP010017-PA</v>
      </c>
      <c r="BB102" s="2" t="str">
        <f>HYPERLINK("http://www.ncbi.nlm.nih.gov/sutils/blink.cgi?pid=XP_319165.3","0.0")</f>
        <v>0.0</v>
      </c>
      <c r="BC102" s="2" t="str">
        <f>HYPERLINK("http://www.ncbi.nlm.nih.gov/protein/XP_319165.3","XP_319165.3")</f>
        <v>XP_319165.3</v>
      </c>
      <c r="BD102" s="2">
        <v>100</v>
      </c>
      <c r="BE102" s="2">
        <v>100</v>
      </c>
      <c r="BF102" s="2">
        <v>100</v>
      </c>
      <c r="BG102" s="2" t="s">
        <v>98</v>
      </c>
      <c r="BH102" s="9" t="str">
        <f>HYPERLINK(".\links\REFSEQ-PROTOZOA\AGAP010017-PA-REFSEQ-PROTOZOA.txt","hypothetical protein DDB_G0272340")</f>
        <v>hypothetical protein DDB_G0272340</v>
      </c>
      <c r="BI102" s="2" t="str">
        <f>HYPERLINK("http://www.ncbi.nlm.nih.gov/sutils/blink.cgi?pid=XP_645155.1","1E-014")</f>
        <v>1E-014</v>
      </c>
      <c r="BJ102" s="2" t="str">
        <f>HYPERLINK("http://www.ncbi.nlm.nih.gov/protein/XP_645155.1","XP_645155.1")</f>
        <v>XP_645155.1</v>
      </c>
      <c r="BK102" s="2">
        <v>26</v>
      </c>
      <c r="BL102" s="2">
        <v>41</v>
      </c>
      <c r="BM102" s="2">
        <v>55</v>
      </c>
      <c r="BN102" s="2" t="s">
        <v>292</v>
      </c>
      <c r="BO102" s="9" t="str">
        <f>HYPERLINK(".\links\SWISSP\AGAP010017-PA-SWISSP.txt","TNF receptor-associated factor 4")</f>
        <v>TNF receptor-associated factor 4</v>
      </c>
      <c r="BP102" s="2" t="str">
        <f>HYPERLINK("http://www.uniprot.org/uniprot/Q61382","1E-114")</f>
        <v>1E-114</v>
      </c>
      <c r="BQ102" s="2" t="str">
        <f>HYPERLINK("http://www.uniprot.org/uniprot/Q61382#expression","Q61382")</f>
        <v>Q61382</v>
      </c>
      <c r="BR102" s="2">
        <v>45</v>
      </c>
      <c r="BS102" s="2">
        <v>64</v>
      </c>
      <c r="BT102" s="2">
        <v>87</v>
      </c>
      <c r="BU102" s="2" t="s">
        <v>339</v>
      </c>
      <c r="BV102" s="9" t="str">
        <f>HYPERLINK(".\links\FLYBASE\AGAP010017-PA-FLYBASE.txt","FBpp0077119")</f>
        <v>FBpp0077119</v>
      </c>
      <c r="BW102" s="2" t="str">
        <f>HYPERLINK("http://flybase.org/reports/FBgn0026319#alliance_summary_container","0.0")</f>
        <v>0.0</v>
      </c>
      <c r="BX102" s="2">
        <v>486</v>
      </c>
      <c r="BY102" s="2">
        <v>75</v>
      </c>
      <c r="BZ102" s="2">
        <v>84</v>
      </c>
      <c r="CA102" s="2">
        <v>101</v>
      </c>
      <c r="CB102" s="9" t="str">
        <f>HYPERLINK(".\links\CDD\AGAP010017-PA-CDD.txt","MATH_TRAF4, Tumor Necrosis Factor Receptor (TNFR)-Associated Factor (TRAF) family, TRAF4 subfamily, TRAF domain, C-terminal MATH subdomain")</f>
        <v>MATH_TRAF4, Tumor Necrosis Factor Receptor (TNFR)-Associated Factor (TRAF) family, TRAF4 subfamily, TRAF domain, C-terminal MATH subdomain</v>
      </c>
      <c r="CC102" s="13">
        <v>2E-73</v>
      </c>
      <c r="CD102" s="2">
        <v>101.3</v>
      </c>
      <c r="CE102" s="2" t="s">
        <v>1328</v>
      </c>
      <c r="CF102" s="2" t="s">
        <v>1329</v>
      </c>
      <c r="CG102" s="9" t="str">
        <f>HYPERLINK(".\links\KOG\AGAP010017-PA-KOG.txt","TNF receptor-associated factor")</f>
        <v>TNF receptor-associated factor</v>
      </c>
      <c r="CH102" s="13">
        <v>3.0000000000000002E-77</v>
      </c>
      <c r="CI102" s="2">
        <v>98.5</v>
      </c>
      <c r="CJ102" s="2" t="s">
        <v>1330</v>
      </c>
      <c r="CK102" s="2" t="s">
        <v>326</v>
      </c>
      <c r="CL102" s="9" t="str">
        <f>HYPERLINK(".\links\PFAM\AGAP010017-PA-PFAM.txt","zf-TRAF, TRAF-type zinc finger")</f>
        <v>zf-TRAF, TRAF-type zinc finger</v>
      </c>
      <c r="CM102" s="13">
        <v>2.0000000000000001E-9</v>
      </c>
      <c r="CN102" s="2">
        <v>100</v>
      </c>
      <c r="CO102" s="2" t="s">
        <v>1331</v>
      </c>
      <c r="CP102" s="9" t="str">
        <f>HYPERLINK(".\links\SMART\AGAP010017-PA-SMART.txt","MATH, meprin and TRAF homology")</f>
        <v>MATH, meprin and TRAF homology</v>
      </c>
      <c r="CQ102" s="13">
        <v>6.9999999999999999E-6</v>
      </c>
      <c r="CR102" s="2">
        <v>134.69999999999999</v>
      </c>
      <c r="CS102" s="2" t="s">
        <v>1332</v>
      </c>
      <c r="CT102" s="2" t="s">
        <v>1326</v>
      </c>
      <c r="CU102" s="2" t="s">
        <v>1326</v>
      </c>
      <c r="CV102" s="2" t="s">
        <v>1326</v>
      </c>
      <c r="CW102" s="2" t="str">
        <f>HYPERLINK(".\links\pep\AGAP010017-PA-pep.txt","AGAP010017-PA")</f>
        <v>AGAP010017-PA</v>
      </c>
      <c r="CX102" s="2" t="s">
        <v>88</v>
      </c>
      <c r="CY102" s="2">
        <v>483</v>
      </c>
      <c r="CZ102" s="2" t="s">
        <v>106</v>
      </c>
      <c r="DA102" s="2" t="s">
        <v>1333</v>
      </c>
      <c r="DB102" s="2">
        <v>0</v>
      </c>
      <c r="DC102" s="2">
        <v>3</v>
      </c>
      <c r="DD102" s="2" t="str">
        <f>HYPERLINK("https://www.kegg.jp/kegg-bin/search_pathway_text?map=aga&amp;keyword=AGAP010017&amp;mode=1&amp;viewImage=true","AGAP010017")</f>
        <v>AGAP010017</v>
      </c>
      <c r="DE102" s="2" t="s">
        <v>1322</v>
      </c>
      <c r="DF102" s="2" t="s">
        <v>1323</v>
      </c>
      <c r="DG102" s="2" t="s">
        <v>87</v>
      </c>
      <c r="DH102" s="2" t="str">
        <f>HYPERLINK("https://vectorbase.org/vectorbase/app/record/gene/AGAP010017","AGAP010017-RA")</f>
        <v>AGAP010017-RA</v>
      </c>
      <c r="DI102" s="2" t="s">
        <v>250</v>
      </c>
      <c r="DJ102" s="2">
        <v>3352</v>
      </c>
      <c r="DK102" s="2" t="str">
        <f>HYPERLINK(".\links\netoglyc\AGAP010017-PA-netoglyc.txt","22")</f>
        <v>22</v>
      </c>
      <c r="DL102" s="2">
        <v>16.600000000000001</v>
      </c>
      <c r="DM102" s="2">
        <v>6.8</v>
      </c>
      <c r="DN102" s="2">
        <v>8.1</v>
      </c>
      <c r="DO102" s="2" t="s">
        <v>97</v>
      </c>
      <c r="DP102" s="2" t="s">
        <v>94</v>
      </c>
      <c r="DQ102" s="2" t="str">
        <f>HYPERLINK(".\links\Sigp\AGAP010017-PA-SigP.txt","CYT")</f>
        <v>CYT</v>
      </c>
      <c r="DR102" s="2" t="s">
        <v>94</v>
      </c>
      <c r="DS102" s="2">
        <v>53.070999999999998</v>
      </c>
      <c r="DT102" s="2">
        <v>8.8800000000000008</v>
      </c>
      <c r="DU102" s="2" t="s">
        <v>94</v>
      </c>
      <c r="DV102" s="2" t="s">
        <v>94</v>
      </c>
      <c r="DW102" s="2" t="s">
        <v>463</v>
      </c>
      <c r="DX102" s="2">
        <v>483</v>
      </c>
      <c r="DY102" s="8">
        <v>0</v>
      </c>
      <c r="DZ102" s="2" t="s">
        <v>94</v>
      </c>
      <c r="EA102" s="2" t="s">
        <v>94</v>
      </c>
      <c r="EB102" s="2" t="s">
        <v>94</v>
      </c>
      <c r="EC102" s="2" t="str">
        <f>HYPERLINK(".\links\gpi\AGAP010017-PA-gpi.txt","N")</f>
        <v>N</v>
      </c>
      <c r="ED102" s="2">
        <v>0.21</v>
      </c>
      <c r="EF102" s="2">
        <v>22</v>
      </c>
      <c r="EG102" s="2" t="s">
        <v>94</v>
      </c>
      <c r="EH102" s="2" t="s">
        <v>94</v>
      </c>
      <c r="EI102" s="2">
        <v>16.5631469979296</v>
      </c>
      <c r="EJ102" s="2">
        <v>8.0745341614906803</v>
      </c>
      <c r="EK102" s="2">
        <v>6.8322981366459601</v>
      </c>
      <c r="EL102" s="2">
        <v>14.906832298136599</v>
      </c>
      <c r="EM102" s="2">
        <v>2</v>
      </c>
      <c r="EN102" s="2" t="s">
        <v>94</v>
      </c>
      <c r="EO102" s="2">
        <v>2</v>
      </c>
      <c r="EP102" s="2" t="s">
        <v>94</v>
      </c>
      <c r="EQ102" s="2" t="s">
        <v>94</v>
      </c>
      <c r="ER102" s="2" t="s">
        <v>94</v>
      </c>
      <c r="ES102" s="2" t="s">
        <v>94</v>
      </c>
      <c r="ET102" s="2" t="str">
        <f>HYPERLINK(".\links\REFSEQ-INVERTEBRATE\AGAP010017-PA-REFSEQ-INVERTEBRATE.txt","AGAP010017-PA")</f>
        <v>AGAP010017-PA</v>
      </c>
      <c r="EU102" s="2" t="str">
        <f>HYPERLINK("http://www.ncbi.nlm.nih.gov/sutils/blink.cgi?pid=XP_319165.3","0.0")</f>
        <v>0.0</v>
      </c>
      <c r="EV102" s="2" t="str">
        <f>HYPERLINK("http://www.ncbi.nlm.nih.gov/protein/XP_319165.3","XP_319165.3")</f>
        <v>XP_319165.3</v>
      </c>
      <c r="EW102" s="2">
        <v>100</v>
      </c>
      <c r="EX102" s="2">
        <v>100</v>
      </c>
      <c r="EY102" s="2">
        <v>100</v>
      </c>
      <c r="EZ102" s="2" t="s">
        <v>98</v>
      </c>
    </row>
    <row r="103" spans="1:156" x14ac:dyDescent="0.25">
      <c r="A103" s="2" t="s">
        <v>1334</v>
      </c>
      <c r="B103" s="2">
        <v>0.76076382069183401</v>
      </c>
      <c r="C103" s="2">
        <v>1.6943874640611016</v>
      </c>
      <c r="D103" s="2">
        <v>5.46991237937248</v>
      </c>
      <c r="E103" s="2">
        <v>27.279063464200501</v>
      </c>
      <c r="F103" s="2">
        <v>1.76107996591918E-7</v>
      </c>
      <c r="G103" s="2">
        <v>5.94804758489204E-5</v>
      </c>
      <c r="H103" s="2" t="s">
        <v>167</v>
      </c>
      <c r="I103" s="2" t="s">
        <v>87</v>
      </c>
      <c r="J103" s="2" t="str">
        <f>HYPERLINK("https://vectorbase.org/vectorbase/app/record/gene/AGAP004159","AGAP004159-RA")</f>
        <v>AGAP004159-RA</v>
      </c>
      <c r="K103" s="2" t="str">
        <f>HYPERLINK(".\links\pep\AGAP004159-PA-pep.txt","AGAP004159-PA")</f>
        <v>AGAP004159-PA</v>
      </c>
      <c r="L103" s="8" t="s">
        <v>88</v>
      </c>
      <c r="M103" s="2">
        <v>571</v>
      </c>
      <c r="N103" s="2">
        <v>0</v>
      </c>
      <c r="O103" s="2">
        <v>2</v>
      </c>
      <c r="P103" s="2" t="s">
        <v>1335</v>
      </c>
      <c r="Q103" s="9" t="s">
        <v>1336</v>
      </c>
      <c r="R103" s="2" t="s">
        <v>577</v>
      </c>
      <c r="S103" s="2" t="str">
        <f>HYPERLINK(".\links\KOG\AGAP004159-PA-KOG.txt","KOG")</f>
        <v>KOG</v>
      </c>
      <c r="T103" s="2">
        <v>0</v>
      </c>
      <c r="U103" s="2">
        <v>95</v>
      </c>
      <c r="V103" s="2" t="s">
        <v>1337</v>
      </c>
      <c r="W103" s="10" t="s">
        <v>1338</v>
      </c>
      <c r="X103" s="2" t="s">
        <v>577</v>
      </c>
      <c r="Y103" s="2" t="str">
        <f>HYPERLINK(".\links\PRK\AGAP004159-PA-PRK.txt","PRK")</f>
        <v>PRK</v>
      </c>
      <c r="Z103" s="13">
        <v>0</v>
      </c>
      <c r="AA103" s="2">
        <v>97.1</v>
      </c>
      <c r="AB103" s="11" t="str">
        <f>HYPERLINK(".\links\pep\AGAP004159-PA-sulf.txt","2")</f>
        <v>2</v>
      </c>
      <c r="AC103" s="11" t="str">
        <f>HYPERLINK(".\links\Sigp\AGAP004159-PA-SigP.txt","CYT")</f>
        <v>CYT</v>
      </c>
      <c r="AD103" s="2" t="s">
        <v>94</v>
      </c>
      <c r="AE103" s="2">
        <v>63.496000000000002</v>
      </c>
      <c r="AF103" s="2">
        <v>6.05</v>
      </c>
      <c r="AG103" s="2" t="s">
        <v>94</v>
      </c>
      <c r="AH103" s="2" t="s">
        <v>94</v>
      </c>
      <c r="AI103" s="2" t="s">
        <v>849</v>
      </c>
      <c r="AJ103" s="11">
        <v>0</v>
      </c>
      <c r="AK103" s="2" t="s">
        <v>94</v>
      </c>
      <c r="AL103" s="2" t="s">
        <v>94</v>
      </c>
      <c r="AM103" s="2" t="s">
        <v>94</v>
      </c>
      <c r="AN103" s="11" t="str">
        <f>HYPERLINK(".\links\gpi\AGAP004159-PA-gpi.txt","N")</f>
        <v>N</v>
      </c>
      <c r="AO103" s="12" t="str">
        <f>HYPERLINK(".\links\netoglyc\AGAP004159-PA-netoglyc.txt","0")</f>
        <v>0</v>
      </c>
      <c r="AP103" s="11">
        <v>8.6</v>
      </c>
      <c r="AQ103" s="2">
        <v>8.8000000000000007</v>
      </c>
      <c r="AR103" s="2">
        <v>5.3</v>
      </c>
      <c r="AS103" s="2" t="s">
        <v>97</v>
      </c>
      <c r="AT103" s="9" t="str">
        <f>HYPERLINK(".\links\NR-LIGHT\AGAP004159-PA-NR-LIGHT.txt","AGAP004159-PB")</f>
        <v>AGAP004159-PB</v>
      </c>
      <c r="AU103" s="2" t="str">
        <f>HYPERLINK("http://www.ncbi.nlm.nih.gov/sutils/blink.cgi?pid=XP_003436731.1","0.0")</f>
        <v>0.0</v>
      </c>
      <c r="AV103" s="2" t="str">
        <f>HYPERLINK("http://www.ncbi.nlm.nih.gov/protein/XP_003436731.1","XP_003436731.1")</f>
        <v>XP_003436731.1</v>
      </c>
      <c r="AW103" s="2">
        <v>100</v>
      </c>
      <c r="AX103" s="2">
        <v>100</v>
      </c>
      <c r="AY103" s="2">
        <v>91</v>
      </c>
      <c r="AZ103" s="2" t="s">
        <v>98</v>
      </c>
      <c r="BA103" s="9" t="str">
        <f>HYPERLINK(".\links\REFSEQ-INVERTEBRATE\AGAP004159-PA-REFSEQ-INVERTEBRATE.txt","AGAP004159-PA")</f>
        <v>AGAP004159-PA</v>
      </c>
      <c r="BB103" s="2" t="str">
        <f>HYPERLINK("http://www.ncbi.nlm.nih.gov/sutils/blink.cgi?pid=XP_313043.5","0.0")</f>
        <v>0.0</v>
      </c>
      <c r="BC103" s="2" t="str">
        <f>HYPERLINK("http://www.ncbi.nlm.nih.gov/protein/XP_313043.5","XP_313043.5")</f>
        <v>XP_313043.5</v>
      </c>
      <c r="BD103" s="2">
        <v>100</v>
      </c>
      <c r="BE103" s="2">
        <v>100</v>
      </c>
      <c r="BF103" s="2">
        <v>100</v>
      </c>
      <c r="BG103" s="2" t="s">
        <v>98</v>
      </c>
      <c r="BH103" s="9" t="str">
        <f>HYPERLINK(".\links\REFSEQ-PROTOZOA\AGAP004159-PA-REFSEQ-PROTOZOA.txt","hypothetical protein PPTG_19366")</f>
        <v>hypothetical protein PPTG_19366</v>
      </c>
      <c r="BI103" s="2" t="str">
        <f>HYPERLINK("http://www.ncbi.nlm.nih.gov/sutils/blink.cgi?pid=XP_008916014.1","1E-160")</f>
        <v>1E-160</v>
      </c>
      <c r="BJ103" s="2" t="str">
        <f>HYPERLINK("http://www.ncbi.nlm.nih.gov/protein/XP_008916014.1","XP_008916014.1")</f>
        <v>XP_008916014.1</v>
      </c>
      <c r="BK103" s="2">
        <v>51</v>
      </c>
      <c r="BL103" s="2">
        <v>69</v>
      </c>
      <c r="BM103" s="2">
        <v>100</v>
      </c>
      <c r="BN103" s="2" t="s">
        <v>1339</v>
      </c>
      <c r="BO103" s="9" t="str">
        <f>HYPERLINK(".\links\SWISSP\AGAP004159-PA-SWISSP.txt","NADP-dependent malic enzyme")</f>
        <v>NADP-dependent malic enzyme</v>
      </c>
      <c r="BP103" s="2" t="str">
        <f>HYPERLINK("http://www.uniprot.org/uniprot/P28227","0.0")</f>
        <v>0.0</v>
      </c>
      <c r="BQ103" s="2" t="str">
        <f>HYPERLINK("http://www.uniprot.org/uniprot/P28227#expression","P28227")</f>
        <v>P28227</v>
      </c>
      <c r="BR103" s="2">
        <v>60</v>
      </c>
      <c r="BS103" s="2">
        <v>76</v>
      </c>
      <c r="BT103" s="2">
        <v>100</v>
      </c>
      <c r="BU103" s="2" t="s">
        <v>1340</v>
      </c>
      <c r="BV103" s="9" t="str">
        <f>HYPERLINK(".\links\FLYBASE\AGAP004159-PA-FLYBASE.txt","FBpp0290922")</f>
        <v>FBpp0290922</v>
      </c>
      <c r="BW103" s="2" t="str">
        <f>HYPERLINK("http://flybase.org/reports/FBgn0029155#alliance_summary_container","0.0")</f>
        <v>0.0</v>
      </c>
      <c r="BX103" s="2">
        <v>624</v>
      </c>
      <c r="BY103" s="2">
        <v>73</v>
      </c>
      <c r="BZ103" s="2">
        <v>86</v>
      </c>
      <c r="CA103" s="2">
        <v>91</v>
      </c>
      <c r="CB103" s="9" t="str">
        <f>HYPERLINK(".\links\CDD\AGAP004159-PA-CDD.txt","PLN03129, NADP-dependent malic enzyme")</f>
        <v>PLN03129, NADP-dependent malic enzyme</v>
      </c>
      <c r="CC103" s="13">
        <v>0</v>
      </c>
      <c r="CD103" s="2">
        <v>94</v>
      </c>
      <c r="CE103" s="2" t="s">
        <v>1341</v>
      </c>
      <c r="CF103" s="2" t="s">
        <v>1342</v>
      </c>
      <c r="CG103" s="9" t="str">
        <f>HYPERLINK(".\links\KOG\AGAP004159-PA-KOG.txt","NADP+-dependent malic enzyme")</f>
        <v>NADP+-dependent malic enzyme</v>
      </c>
      <c r="CH103" s="13">
        <v>0</v>
      </c>
      <c r="CI103" s="2">
        <v>95</v>
      </c>
      <c r="CJ103" s="2" t="s">
        <v>1343</v>
      </c>
      <c r="CK103" s="2" t="s">
        <v>531</v>
      </c>
      <c r="CL103" s="9" t="str">
        <f>HYPERLINK(".\links\PFAM\AGAP004159-PA-PFAM.txt","Malic_M, Malic enzyme, NAD binding domain")</f>
        <v>Malic_M, Malic enzyme, NAD binding domain</v>
      </c>
      <c r="CM103" s="13">
        <v>9.9999999999999994E-107</v>
      </c>
      <c r="CN103" s="2">
        <v>102</v>
      </c>
      <c r="CO103" s="2" t="s">
        <v>1344</v>
      </c>
      <c r="CP103" s="9" t="str">
        <f>HYPERLINK(".\links\SMART\AGAP004159-PA-SMART.txt","Malic_M, Malic enzyme, NAD binding domain")</f>
        <v>Malic_M, Malic enzyme, NAD binding domain</v>
      </c>
      <c r="CQ103" s="13">
        <v>1.9999999999999999E-77</v>
      </c>
      <c r="CR103" s="2">
        <v>113</v>
      </c>
      <c r="CS103" s="2" t="s">
        <v>1345</v>
      </c>
      <c r="CT103" s="2" t="s">
        <v>1337</v>
      </c>
      <c r="CU103" s="2" t="s">
        <v>1337</v>
      </c>
      <c r="CV103" s="2" t="s">
        <v>1337</v>
      </c>
      <c r="CW103" s="2" t="str">
        <f>HYPERLINK(".\links\pep\AGAP004159-PA-pep.txt","AGAP004159-PA")</f>
        <v>AGAP004159-PA</v>
      </c>
      <c r="CX103" s="2" t="s">
        <v>88</v>
      </c>
      <c r="CY103" s="2">
        <v>626</v>
      </c>
      <c r="CZ103" s="2" t="s">
        <v>106</v>
      </c>
      <c r="DA103" s="2" t="s">
        <v>1346</v>
      </c>
      <c r="DB103" s="2">
        <v>0</v>
      </c>
      <c r="DC103" s="2">
        <v>2</v>
      </c>
      <c r="DD103" s="2" t="str">
        <f>HYPERLINK("https://www.kegg.jp/kegg-bin/search_pathway_text?map=aga&amp;keyword=AGAP004159&amp;mode=1&amp;viewImage=true","AGAP004159")</f>
        <v>AGAP004159</v>
      </c>
      <c r="DE103" s="2" t="s">
        <v>1334</v>
      </c>
      <c r="DF103" s="2" t="s">
        <v>167</v>
      </c>
      <c r="DG103" s="2" t="s">
        <v>87</v>
      </c>
      <c r="DH103" s="2" t="str">
        <f>HYPERLINK("https://vectorbase.org/vectorbase/app/record/gene/AGAP004159","AGAP004159-RA")</f>
        <v>AGAP004159-RA</v>
      </c>
      <c r="DI103" s="2" t="s">
        <v>143</v>
      </c>
      <c r="DJ103" s="2">
        <v>3048</v>
      </c>
      <c r="DK103" s="2" t="str">
        <f>HYPERLINK(".\links\netoglyc\AGAP004159-PA-netoglyc.txt","0")</f>
        <v>0</v>
      </c>
      <c r="DL103" s="2">
        <v>9.6</v>
      </c>
      <c r="DM103" s="2">
        <v>8.3000000000000007</v>
      </c>
      <c r="DN103" s="2">
        <v>5.0999999999999996</v>
      </c>
      <c r="DO103" s="2" t="s">
        <v>97</v>
      </c>
      <c r="DP103" s="2" t="s">
        <v>94</v>
      </c>
      <c r="DQ103" s="2" t="str">
        <f>HYPERLINK(".\links\Sigp\AGAP004159-PA-SigP.txt","CYT")</f>
        <v>CYT</v>
      </c>
      <c r="DR103" s="2" t="s">
        <v>94</v>
      </c>
      <c r="DS103" s="2">
        <v>69.231999999999999</v>
      </c>
      <c r="DT103" s="2">
        <v>6.3</v>
      </c>
      <c r="DU103" s="2" t="s">
        <v>94</v>
      </c>
      <c r="DV103" s="2" t="s">
        <v>94</v>
      </c>
      <c r="DW103" s="2" t="s">
        <v>1347</v>
      </c>
      <c r="DX103" s="2">
        <v>626</v>
      </c>
      <c r="DY103" s="8">
        <v>0</v>
      </c>
      <c r="DZ103" s="2" t="s">
        <v>94</v>
      </c>
      <c r="EA103" s="2" t="s">
        <v>94</v>
      </c>
      <c r="EB103" s="2" t="s">
        <v>94</v>
      </c>
      <c r="EC103" s="2" t="str">
        <f>HYPERLINK(".\links\gpi\AGAP004159-PA-gpi.txt","Y-NoSP")</f>
        <v>Y-NoSP</v>
      </c>
      <c r="ED103" s="2">
        <v>0.16</v>
      </c>
      <c r="EF103" s="2">
        <v>8</v>
      </c>
      <c r="EG103" s="2" t="str">
        <f>HYPERLINK(".\links\pep\AGAP004159-PA-sulf.txt","2")</f>
        <v>2</v>
      </c>
      <c r="EH103" s="2" t="s">
        <v>94</v>
      </c>
      <c r="EI103" s="2">
        <v>9.5846645367412098</v>
      </c>
      <c r="EJ103" s="2">
        <v>5.1118210862619797</v>
      </c>
      <c r="EK103" s="2">
        <v>8.3067092651757193</v>
      </c>
      <c r="EL103" s="2">
        <v>13.418530351437701</v>
      </c>
      <c r="EM103" s="2" t="s">
        <v>94</v>
      </c>
      <c r="EN103" s="2">
        <v>4</v>
      </c>
      <c r="EO103" s="2">
        <v>4</v>
      </c>
      <c r="EP103" s="2" t="s">
        <v>94</v>
      </c>
      <c r="EQ103" s="2" t="s">
        <v>94</v>
      </c>
      <c r="ER103" s="2" t="s">
        <v>94</v>
      </c>
      <c r="ES103" s="2" t="s">
        <v>94</v>
      </c>
      <c r="ET103" s="2" t="str">
        <f>HYPERLINK(".\links\REFSEQ-INVERTEBRATE\AGAP004159-PA-REFSEQ-INVERTEBRATE.txt","AGAP004159-PB")</f>
        <v>AGAP004159-PB</v>
      </c>
      <c r="EU103" s="2" t="str">
        <f>HYPERLINK("http://www.ncbi.nlm.nih.gov/sutils/blink.cgi?pid=XP_003436731.1","0.0")</f>
        <v>0.0</v>
      </c>
      <c r="EV103" s="2" t="str">
        <f>HYPERLINK("http://www.ncbi.nlm.nih.gov/protein/XP_003436731.1","XP_003436731.1")</f>
        <v>XP_003436731.1</v>
      </c>
      <c r="EW103" s="2">
        <v>99</v>
      </c>
      <c r="EX103" s="2">
        <v>99</v>
      </c>
      <c r="EY103" s="2">
        <v>100</v>
      </c>
      <c r="EZ103" s="2" t="s">
        <v>98</v>
      </c>
    </row>
    <row r="104" spans="1:156" x14ac:dyDescent="0.25">
      <c r="A104" s="2" t="s">
        <v>1348</v>
      </c>
      <c r="B104" s="2">
        <v>0.755611048318237</v>
      </c>
      <c r="C104" s="2">
        <v>1.6883465339722945</v>
      </c>
      <c r="D104" s="2">
        <v>3.3299076858049999</v>
      </c>
      <c r="E104" s="2">
        <v>10.811830366584701</v>
      </c>
      <c r="F104" s="2">
        <v>1.0085354251781E-3</v>
      </c>
      <c r="G104" s="2">
        <v>4.2579104981737802E-2</v>
      </c>
      <c r="H104" s="2" t="s">
        <v>1349</v>
      </c>
      <c r="I104" s="2" t="s">
        <v>94</v>
      </c>
      <c r="J104" s="2" t="str">
        <f>HYPERLINK("https://vectorbase.org/vectorbase/app/record/gene/AGAP007308","AGAP007308-RA")</f>
        <v>AGAP007308-RA</v>
      </c>
      <c r="K104" s="2" t="str">
        <f>HYPERLINK(".\links\pep\AGAP007308-PA-pep.txt","AGAP007308-PA")</f>
        <v>AGAP007308-PA</v>
      </c>
      <c r="L104" s="8" t="s">
        <v>88</v>
      </c>
      <c r="M104" s="2">
        <v>593</v>
      </c>
      <c r="N104" s="2">
        <v>0</v>
      </c>
      <c r="O104" s="2">
        <v>2</v>
      </c>
      <c r="P104" s="2" t="s">
        <v>94</v>
      </c>
      <c r="Q104" s="9" t="s">
        <v>1350</v>
      </c>
      <c r="R104" s="2" t="s">
        <v>253</v>
      </c>
      <c r="S104" s="2" t="str">
        <f>HYPERLINK(".\links\REFSEQ-INVERTEBRATE\AGAP007308-PA-REFSEQ-INVERTEBRATE.txt","REFSEQ-INVERTEBRATE")</f>
        <v>REFSEQ-INVERTEBRATE</v>
      </c>
      <c r="T104" s="2">
        <v>0</v>
      </c>
      <c r="U104" s="2">
        <v>102.7</v>
      </c>
      <c r="V104" s="2" t="s">
        <v>1350</v>
      </c>
      <c r="W104" s="10" t="s">
        <v>1351</v>
      </c>
      <c r="X104" s="2" t="s">
        <v>1352</v>
      </c>
      <c r="Y104" s="2" t="str">
        <f>HYPERLINK(".\links\UNIPROTKB\AGAP007308-PA-UNIPROTKB.txt","UNIPROTKB")</f>
        <v>UNIPROTKB</v>
      </c>
      <c r="Z104" s="2">
        <v>1.9999999999999999E-7</v>
      </c>
      <c r="AA104" s="2">
        <v>39</v>
      </c>
      <c r="AB104" s="11" t="str">
        <f>HYPERLINK(".\links\pep\AGAP007308-PA-sulf.txt","1")</f>
        <v>1</v>
      </c>
      <c r="AC104" s="11" t="str">
        <f>HYPERLINK(".\links\Sigp\AGAP007308-PA-SigP.txt","CYT")</f>
        <v>CYT</v>
      </c>
      <c r="AD104" s="2" t="s">
        <v>94</v>
      </c>
      <c r="AE104" s="2">
        <v>66.009</v>
      </c>
      <c r="AF104" s="2">
        <v>8.5399999999999991</v>
      </c>
      <c r="AG104" s="2" t="s">
        <v>94</v>
      </c>
      <c r="AH104" s="2" t="s">
        <v>94</v>
      </c>
      <c r="AI104" s="2" t="s">
        <v>463</v>
      </c>
      <c r="AJ104" s="11">
        <v>0</v>
      </c>
      <c r="AK104" s="2" t="s">
        <v>94</v>
      </c>
      <c r="AL104" s="2" t="s">
        <v>94</v>
      </c>
      <c r="AM104" s="2" t="s">
        <v>94</v>
      </c>
      <c r="AN104" s="11" t="str">
        <f>HYPERLINK(".\links\gpi\AGAP007308-PA-gpi.txt","N")</f>
        <v>N</v>
      </c>
      <c r="AO104" s="12" t="str">
        <f>HYPERLINK(".\links\netoglyc\AGAP007308-PA-netoglyc.txt","6")</f>
        <v>6</v>
      </c>
      <c r="AP104" s="11">
        <v>16</v>
      </c>
      <c r="AQ104" s="2">
        <v>6.1</v>
      </c>
      <c r="AR104" s="2">
        <v>6.1</v>
      </c>
      <c r="AS104" s="2" t="s">
        <v>97</v>
      </c>
      <c r="AT104" s="9" t="str">
        <f>HYPERLINK(".\links\NR-LIGHT\AGAP007308-PA-NR-LIGHT.txt","AGAP007308-PA")</f>
        <v>AGAP007308-PA</v>
      </c>
      <c r="AU104" s="2" t="str">
        <f>HYPERLINK("http://www.ncbi.nlm.nih.gov/sutils/blink.cgi?pid=XP_308515.4","0.0")</f>
        <v>0.0</v>
      </c>
      <c r="AV104" s="2" t="str">
        <f>HYPERLINK("http://www.ncbi.nlm.nih.gov/protein/XP_308515.4","XP_308515.4")</f>
        <v>XP_308515.4</v>
      </c>
      <c r="AW104" s="2">
        <v>95</v>
      </c>
      <c r="AX104" s="2">
        <v>95</v>
      </c>
      <c r="AY104" s="2">
        <v>103</v>
      </c>
      <c r="AZ104" s="2" t="s">
        <v>98</v>
      </c>
      <c r="BA104" s="9" t="str">
        <f>HYPERLINK(".\links\REFSEQ-INVERTEBRATE\AGAP007308-PA-REFSEQ-INVERTEBRATE.txt","AGAP007308-PA")</f>
        <v>AGAP007308-PA</v>
      </c>
      <c r="BB104" s="2" t="str">
        <f>HYPERLINK("http://www.ncbi.nlm.nih.gov/sutils/blink.cgi?pid=XP_308515.4","0.0")</f>
        <v>0.0</v>
      </c>
      <c r="BC104" s="2" t="str">
        <f>HYPERLINK("http://www.ncbi.nlm.nih.gov/protein/XP_308515.4","XP_308515.4")</f>
        <v>XP_308515.4</v>
      </c>
      <c r="BD104" s="2">
        <v>95</v>
      </c>
      <c r="BE104" s="2">
        <v>95</v>
      </c>
      <c r="BF104" s="2">
        <v>103</v>
      </c>
      <c r="BG104" s="2" t="s">
        <v>98</v>
      </c>
      <c r="BH104" s="9" t="str">
        <f>HYPERLINK(".\links\REFSEQ-PROTOZOA\AGAP007308-PA-REFSEQ-PROTOZOA.txt","hypothetical protein PTSG_13191, partial")</f>
        <v>hypothetical protein PTSG_13191, partial</v>
      </c>
      <c r="BI104" s="2" t="str">
        <f>HYPERLINK("http://www.ncbi.nlm.nih.gov/sutils/blink.cgi?pid=XP_004987594.1","2E-004")</f>
        <v>2E-004</v>
      </c>
      <c r="BJ104" s="2" t="str">
        <f>HYPERLINK("http://www.ncbi.nlm.nih.gov/protein/XP_004987594.1","XP_004987594.1")</f>
        <v>XP_004987594.1</v>
      </c>
      <c r="BK104" s="2">
        <v>34</v>
      </c>
      <c r="BL104" s="2">
        <v>60</v>
      </c>
      <c r="BM104" s="2">
        <v>10</v>
      </c>
      <c r="BN104" s="2" t="s">
        <v>117</v>
      </c>
      <c r="BO104" s="9" t="str">
        <f>HYPERLINK(".\links\SWISSP\AGAP007308-PA-SWISSP.txt","Zinc finger protein Helios")</f>
        <v>Zinc finger protein Helios</v>
      </c>
      <c r="BP104" s="2" t="str">
        <f>HYPERLINK("http://www.uniprot.org/uniprot/Q9UKS7","2E-007")</f>
        <v>2E-007</v>
      </c>
      <c r="BQ104" s="2" t="str">
        <f>HYPERLINK("http://www.uniprot.org/uniprot/Q9UKS7#expression","Q9UKS7")</f>
        <v>Q9UKS7</v>
      </c>
      <c r="BR104" s="2">
        <v>21</v>
      </c>
      <c r="BS104" s="2">
        <v>35</v>
      </c>
      <c r="BT104" s="2">
        <v>96</v>
      </c>
      <c r="BU104" s="2" t="s">
        <v>196</v>
      </c>
      <c r="BV104" s="9" t="str">
        <f>HYPERLINK(".\links\FLYBASE\AGAP007308-PA-FLYBASE.txt","FBpp0301960")</f>
        <v>FBpp0301960</v>
      </c>
      <c r="BW104" s="2" t="str">
        <f>HYPERLINK("http://flybase.org/reports/FBgn0262160#alliance_summary_container","3E-60")</f>
        <v>3E-60</v>
      </c>
      <c r="BX104" s="2">
        <v>1899</v>
      </c>
      <c r="BY104" s="2">
        <v>70</v>
      </c>
      <c r="BZ104" s="2">
        <v>81</v>
      </c>
      <c r="CA104" s="2">
        <v>7</v>
      </c>
      <c r="CB104" s="9" t="str">
        <f>HYPERLINK(".\links\CDD\AGAP007308-PA-CDD.txt","ZF_C2H2, Zinc finger, C2H2 type")</f>
        <v>ZF_C2H2, Zinc finger, C2H2 type</v>
      </c>
      <c r="CC104" s="13">
        <v>4.0000000000000001E-3</v>
      </c>
      <c r="CD104" s="2">
        <v>100</v>
      </c>
      <c r="CE104" s="2" t="s">
        <v>1353</v>
      </c>
      <c r="CF104" s="2" t="s">
        <v>1354</v>
      </c>
      <c r="CG104" s="9" t="str">
        <f>HYPERLINK(".\links\KOG\AGAP007308-PA-KOG.txt","Zn finger proteins")</f>
        <v>Zn finger proteins</v>
      </c>
      <c r="CH104" s="13">
        <v>5.0000000000000001E-4</v>
      </c>
      <c r="CI104" s="2">
        <v>10.5</v>
      </c>
      <c r="CJ104" s="2" t="s">
        <v>1355</v>
      </c>
      <c r="CK104" s="2" t="s">
        <v>122</v>
      </c>
      <c r="CL104" s="9" t="str">
        <f>HYPERLINK(".\links\PFAM\AGAP007308-PA-PFAM.txt","AKAP95, A-kinase anchoring protein 95 (AKAP95)")</f>
        <v>AKAP95, A-kinase anchoring protein 95 (AKAP95)</v>
      </c>
      <c r="CM104" s="13">
        <v>2.1000000000000001E-2</v>
      </c>
      <c r="CN104" s="2">
        <v>18.899999999999999</v>
      </c>
      <c r="CO104" s="2" t="s">
        <v>1356</v>
      </c>
      <c r="CP104" s="9" t="str">
        <f>HYPERLINK(".\links\SMART\AGAP007308-PA-SMART.txt","ZnF_C2H2, zinc finger")</f>
        <v>ZnF_C2H2, zinc finger</v>
      </c>
      <c r="CQ104" s="13">
        <v>5.8000000000000003E-2</v>
      </c>
      <c r="CR104" s="2">
        <v>100</v>
      </c>
      <c r="CS104" s="2" t="s">
        <v>1319</v>
      </c>
      <c r="CT104" s="2" t="s">
        <v>1350</v>
      </c>
      <c r="CU104" s="2" t="s">
        <v>1350</v>
      </c>
      <c r="CV104" s="2" t="s">
        <v>1350</v>
      </c>
      <c r="CW104" s="2" t="str">
        <f>HYPERLINK(".\links\pep\AGAP007308-PA-pep.txt","AGAP007308-PA")</f>
        <v>AGAP007308-PA</v>
      </c>
      <c r="CX104" s="2" t="s">
        <v>88</v>
      </c>
      <c r="CY104" s="2">
        <v>593</v>
      </c>
      <c r="CZ104" s="2" t="s">
        <v>106</v>
      </c>
      <c r="DA104" s="2">
        <v>0</v>
      </c>
      <c r="DB104" s="2">
        <v>2</v>
      </c>
      <c r="DD104" s="2" t="str">
        <f>HYPERLINK("https://www.kegg.jp/kegg-bin/search_pathway_text?map=aga&amp;keyword=AGAP007308&amp;mode=1&amp;viewImage=true","AGAP007308")</f>
        <v>AGAP007308</v>
      </c>
      <c r="DE104" s="2" t="s">
        <v>1348</v>
      </c>
      <c r="DF104" s="2" t="s">
        <v>1349</v>
      </c>
      <c r="DG104" s="2" t="s">
        <v>94</v>
      </c>
      <c r="DH104" s="2" t="str">
        <f>HYPERLINK("https://vectorbase.org/vectorbase/app/record/gene/AGAP007308","AGAP007308-RA")</f>
        <v>AGAP007308-RA</v>
      </c>
      <c r="DI104" s="2" t="s">
        <v>125</v>
      </c>
      <c r="DJ104" s="2">
        <v>3510</v>
      </c>
      <c r="DK104" s="2" t="str">
        <f>HYPERLINK(".\links\netoglyc\AGAP007308-PA-netoglyc.txt","6")</f>
        <v>6</v>
      </c>
      <c r="DL104" s="2">
        <v>16</v>
      </c>
      <c r="DM104" s="2">
        <v>6.1</v>
      </c>
      <c r="DN104" s="2">
        <v>6.1</v>
      </c>
      <c r="DO104" s="2" t="s">
        <v>97</v>
      </c>
      <c r="DP104" s="2" t="s">
        <v>1357</v>
      </c>
      <c r="DQ104" s="2" t="str">
        <f>HYPERLINK(".\links\Sigp\AGAP007308-PA-SigP.txt","CYT")</f>
        <v>CYT</v>
      </c>
      <c r="DR104" s="2" t="s">
        <v>94</v>
      </c>
      <c r="DS104" s="2">
        <v>66.009</v>
      </c>
      <c r="DT104" s="2">
        <v>8.5399999999999991</v>
      </c>
      <c r="DU104" s="2" t="s">
        <v>94</v>
      </c>
      <c r="DV104" s="2" t="s">
        <v>94</v>
      </c>
      <c r="DW104" s="2" t="s">
        <v>463</v>
      </c>
      <c r="DX104" s="2">
        <v>593</v>
      </c>
      <c r="DY104" s="8">
        <v>0</v>
      </c>
      <c r="DZ104" s="2" t="s">
        <v>94</v>
      </c>
      <c r="EA104" s="2" t="s">
        <v>94</v>
      </c>
      <c r="EB104" s="2" t="s">
        <v>94</v>
      </c>
      <c r="EC104" s="2" t="str">
        <f>HYPERLINK(".\links\gpi\AGAP007308-PA-gpi.txt","Y-NoSP")</f>
        <v>Y-NoSP</v>
      </c>
      <c r="ED104" s="2">
        <v>0.15</v>
      </c>
      <c r="EF104" s="2">
        <v>12</v>
      </c>
      <c r="EG104" s="2" t="str">
        <f>HYPERLINK(".\links\pep\AGAP007308-PA-sulf.txt","1")</f>
        <v>1</v>
      </c>
      <c r="EH104" s="2" t="s">
        <v>94</v>
      </c>
      <c r="EI104" s="2">
        <v>16.0202360876897</v>
      </c>
      <c r="EJ104" s="2">
        <v>6.0708263069140003</v>
      </c>
      <c r="EK104" s="2">
        <v>6.0708263069140003</v>
      </c>
      <c r="EL104" s="2">
        <v>12.141652613828001</v>
      </c>
      <c r="EM104" s="2">
        <v>1</v>
      </c>
      <c r="EN104" s="2" t="s">
        <v>94</v>
      </c>
      <c r="EO104" s="2">
        <v>2</v>
      </c>
      <c r="EP104" s="2" t="s">
        <v>94</v>
      </c>
      <c r="EQ104" s="2" t="s">
        <v>94</v>
      </c>
      <c r="ER104" s="2" t="s">
        <v>94</v>
      </c>
      <c r="ES104" s="2" t="s">
        <v>94</v>
      </c>
      <c r="ET104" s="2" t="str">
        <f>HYPERLINK(".\links\REFSEQ-INVERTEBRATE\AGAP007308-PA-REFSEQ-INVERTEBRATE.txt","AGAP007308-PA")</f>
        <v>AGAP007308-PA</v>
      </c>
      <c r="EU104" s="2" t="str">
        <f>HYPERLINK("http://www.ncbi.nlm.nih.gov/sutils/blink.cgi?pid=XP_308515.4","0.0")</f>
        <v>0.0</v>
      </c>
      <c r="EV104" s="2" t="str">
        <f>HYPERLINK("http://www.ncbi.nlm.nih.gov/protein/XP_308515.4","XP_308515.4")</f>
        <v>XP_308515.4</v>
      </c>
      <c r="EW104" s="2">
        <v>95</v>
      </c>
      <c r="EX104" s="2">
        <v>95</v>
      </c>
      <c r="EY104" s="2">
        <v>103</v>
      </c>
      <c r="EZ104" s="2" t="s">
        <v>98</v>
      </c>
    </row>
    <row r="105" spans="1:156" x14ac:dyDescent="0.25">
      <c r="A105" s="2" t="s">
        <v>1358</v>
      </c>
      <c r="B105" s="2">
        <v>0.75512225654652398</v>
      </c>
      <c r="C105" s="2">
        <v>1.6877746112257945</v>
      </c>
      <c r="D105" s="2">
        <v>6.57461562181562</v>
      </c>
      <c r="E105" s="2">
        <v>15.0566105520516</v>
      </c>
      <c r="F105" s="2">
        <v>1.04334199920448E-4</v>
      </c>
      <c r="G105" s="2">
        <v>7.5015380845643003E-3</v>
      </c>
      <c r="H105" s="2" t="s">
        <v>1359</v>
      </c>
      <c r="I105" s="2" t="s">
        <v>87</v>
      </c>
      <c r="J105" s="2" t="str">
        <f>HYPERLINK("https://vectorbase.org/vectorbase/app/record/gene/AGAP006360","AGAP006360-RB")</f>
        <v>AGAP006360-RB</v>
      </c>
      <c r="K105" s="2" t="str">
        <f>HYPERLINK(".\links\pep\AGAP006360-PB-pep.txt","AGAP006360-PB")</f>
        <v>AGAP006360-PB</v>
      </c>
      <c r="L105" s="8" t="s">
        <v>88</v>
      </c>
      <c r="M105" s="2">
        <v>2090</v>
      </c>
      <c r="N105" s="2">
        <v>0</v>
      </c>
      <c r="O105" s="2">
        <v>8</v>
      </c>
      <c r="P105" s="2" t="s">
        <v>1360</v>
      </c>
      <c r="Q105" s="9" t="s">
        <v>1361</v>
      </c>
      <c r="R105" s="2" t="s">
        <v>591</v>
      </c>
      <c r="S105" s="2" t="str">
        <f>HYPERLINK(".\links\KOG\AGAP006360-PB-KOG.txt","KOG")</f>
        <v>KOG</v>
      </c>
      <c r="T105" s="2">
        <v>0</v>
      </c>
      <c r="U105" s="2">
        <v>97.5</v>
      </c>
      <c r="V105" s="2" t="s">
        <v>1362</v>
      </c>
      <c r="W105" s="10" t="s">
        <v>133</v>
      </c>
      <c r="X105" s="2" t="s">
        <v>591</v>
      </c>
      <c r="Y105" s="2" t="str">
        <f>HYPERLINK(".\links\COG\AGAP006360-PB-COG.txt","COG")</f>
        <v>COG</v>
      </c>
      <c r="Z105" s="13">
        <v>6.0000000000000003E-96</v>
      </c>
      <c r="AA105" s="2">
        <v>97.5</v>
      </c>
      <c r="AB105" s="11" t="str">
        <f>HYPERLINK(".\links\pep\AGAP006360-PB-sulf.txt","3")</f>
        <v>3</v>
      </c>
      <c r="AC105" s="11" t="str">
        <f>HYPERLINK(".\links\Sigp\AGAP006360-PB-SigP.txt","CYT")</f>
        <v>CYT</v>
      </c>
      <c r="AD105" s="2" t="s">
        <v>94</v>
      </c>
      <c r="AE105" s="2">
        <v>229.60599999999999</v>
      </c>
      <c r="AF105" s="2">
        <v>6.28</v>
      </c>
      <c r="AG105" s="2" t="s">
        <v>94</v>
      </c>
      <c r="AH105" s="2" t="s">
        <v>94</v>
      </c>
      <c r="AI105" s="2" t="s">
        <v>764</v>
      </c>
      <c r="AJ105" s="11">
        <v>0</v>
      </c>
      <c r="AK105" s="2" t="s">
        <v>94</v>
      </c>
      <c r="AL105" s="2" t="s">
        <v>94</v>
      </c>
      <c r="AM105" s="2" t="s">
        <v>94</v>
      </c>
      <c r="AN105" s="11" t="str">
        <f>HYPERLINK(".\links\gpi\AGAP006360-PB-gpi.txt","N")</f>
        <v>N</v>
      </c>
      <c r="AO105" s="12" t="str">
        <f>HYPERLINK(".\links\netoglyc\AGAP006360-PB-netoglyc.txt","1")</f>
        <v>1</v>
      </c>
      <c r="AP105" s="11">
        <v>10.9</v>
      </c>
      <c r="AQ105" s="2">
        <v>9</v>
      </c>
      <c r="AR105" s="2">
        <v>4.9000000000000004</v>
      </c>
      <c r="AS105" s="2">
        <v>0.1</v>
      </c>
      <c r="AT105" s="9" t="str">
        <f>HYPERLINK(".\links\NR-LIGHT\AGAP006360-PB-NR-LIGHT.txt","AGAP006360-PA")</f>
        <v>AGAP006360-PA</v>
      </c>
      <c r="AU105" s="2" t="str">
        <f>HYPERLINK("http://www.ncbi.nlm.nih.gov/sutils/blink.cgi?pid=XP_316385.4","0.0")</f>
        <v>0.0</v>
      </c>
      <c r="AV105" s="2" t="str">
        <f>HYPERLINK("http://www.ncbi.nlm.nih.gov/protein/XP_316385.4","XP_316385.4")</f>
        <v>XP_316385.4</v>
      </c>
      <c r="AW105" s="2">
        <v>99</v>
      </c>
      <c r="AX105" s="2">
        <v>99</v>
      </c>
      <c r="AY105" s="2">
        <v>101</v>
      </c>
      <c r="AZ105" s="2" t="s">
        <v>98</v>
      </c>
      <c r="BA105" s="9" t="str">
        <f>HYPERLINK(".\links\REFSEQ-INVERTEBRATE\AGAP006360-PB-REFSEQ-INVERTEBRATE.txt","AGAP006360-PA")</f>
        <v>AGAP006360-PA</v>
      </c>
      <c r="BB105" s="2" t="str">
        <f>HYPERLINK("http://www.ncbi.nlm.nih.gov/sutils/blink.cgi?pid=XP_316385.4","0.0")</f>
        <v>0.0</v>
      </c>
      <c r="BC105" s="2" t="str">
        <f>HYPERLINK("http://www.ncbi.nlm.nih.gov/protein/XP_316385.4","XP_316385.4")</f>
        <v>XP_316385.4</v>
      </c>
      <c r="BD105" s="2">
        <v>99</v>
      </c>
      <c r="BE105" s="2">
        <v>99</v>
      </c>
      <c r="BF105" s="2">
        <v>101</v>
      </c>
      <c r="BG105" s="2" t="s">
        <v>98</v>
      </c>
      <c r="BH105" s="9" t="str">
        <f>HYPERLINK(".\links\REFSEQ-PROTOZOA\AGAP006360-PB-REFSEQ-PROTOZOA.txt","glutamate synthase")</f>
        <v>glutamate synthase</v>
      </c>
      <c r="BI105" s="2" t="str">
        <f>HYPERLINK("http://www.ncbi.nlm.nih.gov/sutils/blink.cgi?pid=XP_014155645.1","0.0")</f>
        <v>0.0</v>
      </c>
      <c r="BJ105" s="2" t="str">
        <f>HYPERLINK("http://www.ncbi.nlm.nih.gov/protein/XP_014155645.1","XP_014155645.1")</f>
        <v>XP_014155645.1</v>
      </c>
      <c r="BK105" s="2">
        <v>55</v>
      </c>
      <c r="BL105" s="2">
        <v>70</v>
      </c>
      <c r="BM105" s="2">
        <v>99</v>
      </c>
      <c r="BN105" s="2" t="s">
        <v>368</v>
      </c>
      <c r="BO105" s="9" t="str">
        <f>HYPERLINK(".\links\SWISSP\AGAP006360-PB-SWISSP.txt","Glutamate synthase 1 [NADH], chloroplastic")</f>
        <v>Glutamate synthase 1 [NADH], chloroplastic</v>
      </c>
      <c r="BP105" s="2" t="str">
        <f>HYPERLINK("http://www.uniprot.org/uniprot/Q9LV03","0.0")</f>
        <v>0.0</v>
      </c>
      <c r="BQ105" s="2" t="str">
        <f>HYPERLINK("http://www.uniprot.org/uniprot/Q9LV03#expression","Q9LV03")</f>
        <v>Q9LV03</v>
      </c>
      <c r="BR105" s="2">
        <v>55</v>
      </c>
      <c r="BS105" s="2">
        <v>69</v>
      </c>
      <c r="BT105" s="2">
        <v>94</v>
      </c>
      <c r="BU105" s="2" t="s">
        <v>823</v>
      </c>
      <c r="BV105" s="9" t="str">
        <f>HYPERLINK(".\links\FLYBASE\AGAP006360-PB-FLYBASE.txt","FBpp0075103")</f>
        <v>FBpp0075103</v>
      </c>
      <c r="BW105" s="2" t="str">
        <f>HYPERLINK("http://flybase.org/reports/FBgn0036663#alliance_summary_container","0.0")</f>
        <v>0.0</v>
      </c>
      <c r="BX105" s="2">
        <v>2114</v>
      </c>
      <c r="BY105" s="2">
        <v>76</v>
      </c>
      <c r="BZ105" s="2">
        <v>87</v>
      </c>
      <c r="CA105" s="2">
        <v>97</v>
      </c>
      <c r="CB105" s="9" t="str">
        <f>HYPERLINK(".\links\CDD\AGAP006360-PB-CDD.txt","gltB, glutamate synthase subunit alpha")</f>
        <v>gltB, glutamate synthase subunit alpha</v>
      </c>
      <c r="CC105" s="13">
        <v>0</v>
      </c>
      <c r="CD105" s="2">
        <v>101.3</v>
      </c>
      <c r="CE105" s="2" t="s">
        <v>1363</v>
      </c>
      <c r="CF105" s="2" t="s">
        <v>1364</v>
      </c>
      <c r="CG105" s="9" t="str">
        <f>HYPERLINK(".\links\KOG\AGAP006360-PB-KOG.txt","Glutamate synthase")</f>
        <v>Glutamate synthase</v>
      </c>
      <c r="CH105" s="13">
        <v>0</v>
      </c>
      <c r="CI105" s="2">
        <v>97.5</v>
      </c>
      <c r="CJ105" s="2" t="s">
        <v>1365</v>
      </c>
      <c r="CK105" s="2" t="s">
        <v>278</v>
      </c>
      <c r="CL105" s="9" t="str">
        <f>HYPERLINK(".\links\PFAM\AGAP006360-PB-PFAM.txt","GATase_2, Glutamine amidotransferases class-II")</f>
        <v>GATase_2, Glutamine amidotransferases class-II</v>
      </c>
      <c r="CM105" s="13">
        <v>0</v>
      </c>
      <c r="CN105" s="2">
        <v>100.2</v>
      </c>
      <c r="CO105" s="2" t="s">
        <v>1366</v>
      </c>
      <c r="CP105" s="9" t="str">
        <f>HYPERLINK(".\links\SMART\AGAP006360-PB-SMART.txt","AlaDh_PNT_C, Alanine dehydrogenase/PNT, C-terminal domain")</f>
        <v>AlaDh_PNT_C, Alanine dehydrogenase/PNT, C-terminal domain</v>
      </c>
      <c r="CQ105" s="13">
        <v>1E-3</v>
      </c>
      <c r="CR105" s="2">
        <v>26.2</v>
      </c>
      <c r="CS105" s="2" t="s">
        <v>1367</v>
      </c>
      <c r="CT105" s="2" t="s">
        <v>1362</v>
      </c>
      <c r="CU105" s="2" t="s">
        <v>1362</v>
      </c>
      <c r="CV105" s="2" t="s">
        <v>1362</v>
      </c>
      <c r="CW105" s="2" t="str">
        <f>HYPERLINK(".\links\pep\AGAP006360-PB-pep.txt","AGAP006360-PB")</f>
        <v>AGAP006360-PB</v>
      </c>
      <c r="CX105" s="2" t="s">
        <v>88</v>
      </c>
      <c r="CY105" s="2">
        <v>2090</v>
      </c>
      <c r="CZ105" s="2" t="s">
        <v>106</v>
      </c>
      <c r="DA105" s="2" t="s">
        <v>1368</v>
      </c>
      <c r="DB105" s="2">
        <v>0</v>
      </c>
      <c r="DC105" s="2">
        <v>8</v>
      </c>
      <c r="DD105" s="2" t="str">
        <f>HYPERLINK("https://www.kegg.jp/kegg-bin/search_pathway_text?map=aga&amp;keyword=AGAP006360&amp;mode=1&amp;viewImage=true","AGAP006360")</f>
        <v>AGAP006360</v>
      </c>
      <c r="DE105" s="2" t="s">
        <v>1358</v>
      </c>
      <c r="DF105" s="2" t="s">
        <v>1359</v>
      </c>
      <c r="DG105" s="2" t="s">
        <v>87</v>
      </c>
      <c r="DH105" s="2" t="str">
        <f>HYPERLINK("https://vectorbase.org/vectorbase/app/record/gene/AGAP006360","AGAP006360-RB")</f>
        <v>AGAP006360-RB</v>
      </c>
      <c r="DI105" s="2" t="s">
        <v>143</v>
      </c>
      <c r="DJ105" s="2">
        <v>10840</v>
      </c>
      <c r="DK105" s="2" t="str">
        <f>HYPERLINK(".\links\netoglyc\AGAP006360-PB-netoglyc.txt","1")</f>
        <v>1</v>
      </c>
      <c r="DL105" s="2">
        <v>10.9</v>
      </c>
      <c r="DM105" s="2">
        <v>9</v>
      </c>
      <c r="DN105" s="2">
        <v>4.9000000000000004</v>
      </c>
      <c r="DO105" s="2">
        <v>0.1</v>
      </c>
      <c r="DP105" s="2" t="s">
        <v>1369</v>
      </c>
      <c r="DQ105" s="2" t="str">
        <f>HYPERLINK(".\links\Sigp\AGAP006360-PB-SigP.txt","CYT")</f>
        <v>CYT</v>
      </c>
      <c r="DR105" s="2" t="s">
        <v>94</v>
      </c>
      <c r="DS105" s="2">
        <v>229.60599999999999</v>
      </c>
      <c r="DT105" s="2">
        <v>6.28</v>
      </c>
      <c r="DU105" s="2" t="s">
        <v>94</v>
      </c>
      <c r="DV105" s="2" t="s">
        <v>94</v>
      </c>
      <c r="DW105" s="2" t="s">
        <v>764</v>
      </c>
      <c r="DX105" s="2">
        <v>2090</v>
      </c>
      <c r="DY105" s="8">
        <v>0</v>
      </c>
      <c r="DZ105" s="2" t="s">
        <v>94</v>
      </c>
      <c r="EA105" s="2" t="s">
        <v>94</v>
      </c>
      <c r="EB105" s="2" t="s">
        <v>94</v>
      </c>
      <c r="EC105" s="2" t="str">
        <f>HYPERLINK(".\links\gpi\AGAP006360-PB-gpi.txt","Y-NoSP")</f>
        <v>Y-NoSP</v>
      </c>
      <c r="ED105" s="2">
        <v>0.13</v>
      </c>
      <c r="EF105" s="2">
        <v>37</v>
      </c>
      <c r="EG105" s="2" t="str">
        <f>HYPERLINK(".\links\pep\AGAP006360-PB-sulf.txt","3")</f>
        <v>3</v>
      </c>
      <c r="EH105" s="2" t="s">
        <v>94</v>
      </c>
      <c r="EI105" s="2">
        <v>10.909090909090899</v>
      </c>
      <c r="EJ105" s="2">
        <v>4.88038277511962</v>
      </c>
      <c r="EK105" s="2">
        <v>9.0430622009569408</v>
      </c>
      <c r="EL105" s="2">
        <v>13.923444976076601</v>
      </c>
      <c r="EM105" s="2">
        <v>4</v>
      </c>
      <c r="EN105" s="2">
        <v>9</v>
      </c>
      <c r="EO105" s="2">
        <v>12</v>
      </c>
      <c r="EP105" s="2" t="s">
        <v>94</v>
      </c>
      <c r="EQ105" s="2" t="s">
        <v>94</v>
      </c>
      <c r="ER105" s="2" t="s">
        <v>94</v>
      </c>
      <c r="ES105" s="2" t="s">
        <v>94</v>
      </c>
      <c r="ET105" s="2" t="str">
        <f>HYPERLINK(".\links\REFSEQ-INVERTEBRATE\AGAP006360-PB-REFSEQ-INVERTEBRATE.txt","AGAP006360-PA")</f>
        <v>AGAP006360-PA</v>
      </c>
      <c r="EU105" s="2" t="str">
        <f>HYPERLINK("http://www.ncbi.nlm.nih.gov/sutils/blink.cgi?pid=XP_316385.4","0.0")</f>
        <v>0.0</v>
      </c>
      <c r="EV105" s="2" t="str">
        <f>HYPERLINK("http://www.ncbi.nlm.nih.gov/protein/XP_316385.4","XP_316385.4")</f>
        <v>XP_316385.4</v>
      </c>
      <c r="EW105" s="2">
        <v>99</v>
      </c>
      <c r="EX105" s="2">
        <v>99</v>
      </c>
      <c r="EY105" s="2">
        <v>101</v>
      </c>
      <c r="EZ105" s="2" t="s">
        <v>98</v>
      </c>
    </row>
    <row r="106" spans="1:156" x14ac:dyDescent="0.25">
      <c r="A106" s="2" t="s">
        <v>1370</v>
      </c>
      <c r="B106" s="2">
        <v>0.75403705970884605</v>
      </c>
      <c r="C106" s="2">
        <v>1.6865055426160216</v>
      </c>
      <c r="D106" s="2">
        <v>4.5676786472606903</v>
      </c>
      <c r="E106" s="2">
        <v>24.518196975973702</v>
      </c>
      <c r="F106" s="2">
        <v>7.3611340898973097E-7</v>
      </c>
      <c r="G106" s="2">
        <v>1.69790841678436E-4</v>
      </c>
      <c r="H106" s="2" t="s">
        <v>1371</v>
      </c>
      <c r="I106" s="2" t="s">
        <v>87</v>
      </c>
      <c r="J106" s="2" t="str">
        <f>HYPERLINK("https://vectorbase.org/vectorbase/app/record/gene/AGAP012389","AGAP012389-RA")</f>
        <v>AGAP012389-RA</v>
      </c>
      <c r="K106" s="2" t="str">
        <f>HYPERLINK(".\links\pep\AGAP012389-PA-pep.txt","AGAP012389-PA")</f>
        <v>AGAP012389-PA</v>
      </c>
      <c r="L106" s="8" t="s">
        <v>88</v>
      </c>
      <c r="M106" s="2">
        <v>940</v>
      </c>
      <c r="N106" s="2">
        <v>0</v>
      </c>
      <c r="O106" s="2">
        <v>2</v>
      </c>
      <c r="P106" s="2" t="s">
        <v>1372</v>
      </c>
      <c r="Q106" s="9" t="s">
        <v>1373</v>
      </c>
      <c r="R106" s="2" t="s">
        <v>380</v>
      </c>
      <c r="S106" s="2" t="str">
        <f>HYPERLINK(".\links\KOG\AGAP012389-PA-KOG.txt","KOG")</f>
        <v>KOG</v>
      </c>
      <c r="T106" s="2">
        <v>4.0000000000000002E-42</v>
      </c>
      <c r="U106" s="2">
        <v>51.5</v>
      </c>
      <c r="V106" s="2" t="s">
        <v>1374</v>
      </c>
      <c r="W106" s="10" t="s">
        <v>1375</v>
      </c>
      <c r="X106" s="2" t="s">
        <v>380</v>
      </c>
      <c r="Y106" s="2" t="str">
        <f>HYPERLINK(".\links\KOG\AGAP012389-PA-KOG.txt","KOG")</f>
        <v>KOG</v>
      </c>
      <c r="Z106" s="13">
        <v>2E-51</v>
      </c>
      <c r="AA106" s="2">
        <v>36.299999999999997</v>
      </c>
      <c r="AB106" s="11" t="s">
        <v>94</v>
      </c>
      <c r="AC106" s="11" t="str">
        <f>HYPERLINK(".\links\Sigp\AGAP012389-PA-SigP.txt","CYT")</f>
        <v>CYT</v>
      </c>
      <c r="AD106" s="2" t="s">
        <v>94</v>
      </c>
      <c r="AE106" s="2">
        <v>98.897999999999996</v>
      </c>
      <c r="AF106" s="2">
        <v>8.23</v>
      </c>
      <c r="AG106" s="2" t="s">
        <v>94</v>
      </c>
      <c r="AH106" s="2" t="s">
        <v>94</v>
      </c>
      <c r="AI106" s="2" t="s">
        <v>348</v>
      </c>
      <c r="AJ106" s="11">
        <v>0</v>
      </c>
      <c r="AK106" s="2" t="s">
        <v>94</v>
      </c>
      <c r="AL106" s="2" t="s">
        <v>94</v>
      </c>
      <c r="AM106" s="2" t="s">
        <v>94</v>
      </c>
      <c r="AN106" s="11" t="str">
        <f>HYPERLINK(".\links\gpi\AGAP012389-PA-gpi.txt","N")</f>
        <v>N</v>
      </c>
      <c r="AO106" s="12" t="str">
        <f>HYPERLINK(".\links\netoglyc\AGAP012389-PA-netoglyc.txt","51")</f>
        <v>51</v>
      </c>
      <c r="AP106" s="11">
        <v>22.8</v>
      </c>
      <c r="AQ106" s="2">
        <v>11.3</v>
      </c>
      <c r="AR106" s="2">
        <v>7.8</v>
      </c>
      <c r="AS106" s="2" t="s">
        <v>97</v>
      </c>
      <c r="AT106" s="9" t="str">
        <f>HYPERLINK(".\links\NR-LIGHT\AGAP012389-PA-NR-LIGHT.txt","pangolin")</f>
        <v>pangolin</v>
      </c>
      <c r="AU106" s="2" t="str">
        <f>HYPERLINK("http://www.ncbi.nlm.nih.gov/sutils/blink.cgi?pid=ETN67759.1","0.0")</f>
        <v>0.0</v>
      </c>
      <c r="AV106" s="2" t="str">
        <f>HYPERLINK("http://www.ncbi.nlm.nih.gov/protein/ETN67759.1","ETN67759.1")</f>
        <v>ETN67759.1</v>
      </c>
      <c r="AW106" s="2">
        <v>72</v>
      </c>
      <c r="AX106" s="2">
        <v>77</v>
      </c>
      <c r="AY106" s="2">
        <v>103</v>
      </c>
      <c r="AZ106" s="2" t="s">
        <v>291</v>
      </c>
      <c r="BA106" s="9" t="str">
        <f>HYPERLINK(".\links\REFSEQ-INVERTEBRATE\AGAP012389-PA-REFSEQ-INVERTEBRATE.txt","protein pangolin, isoforms A/H/I/S-like")</f>
        <v>protein pangolin, isoforms A/H/I/S-like</v>
      </c>
      <c r="BB106" s="2" t="str">
        <f>HYPERLINK("http://www.ncbi.nlm.nih.gov/sutils/blink.cgi?pid=XP_019557036.1","0.0")</f>
        <v>0.0</v>
      </c>
      <c r="BC106" s="2" t="str">
        <f>HYPERLINK("http://www.ncbi.nlm.nih.gov/protein/XP_019557036.1","XP_019557036.1")</f>
        <v>XP_019557036.1</v>
      </c>
      <c r="BD106" s="2">
        <v>59</v>
      </c>
      <c r="BE106" s="2">
        <v>66</v>
      </c>
      <c r="BF106" s="2">
        <v>126</v>
      </c>
      <c r="BG106" s="2" t="s">
        <v>495</v>
      </c>
      <c r="BH106" s="9" t="str">
        <f>HYPERLINK(".\links\REFSEQ-PROTOZOA\AGAP012389-PA-REFSEQ-PROTOZOA.txt","PS41 protein")</f>
        <v>PS41 protein</v>
      </c>
      <c r="BI106" s="2" t="str">
        <f>HYPERLINK("http://www.ncbi.nlm.nih.gov/sutils/blink.cgi?pid=XP_004997603.1","4E-025")</f>
        <v>4E-025</v>
      </c>
      <c r="BJ106" s="2" t="str">
        <f>HYPERLINK("http://www.ncbi.nlm.nih.gov/protein/XP_004997603.1","XP_004997603.1")</f>
        <v>XP_004997603.1</v>
      </c>
      <c r="BK106" s="2">
        <v>25</v>
      </c>
      <c r="BL106" s="2">
        <v>37</v>
      </c>
      <c r="BM106" s="2">
        <v>87</v>
      </c>
      <c r="BN106" s="2" t="s">
        <v>117</v>
      </c>
      <c r="BO106" s="9" t="str">
        <f>HYPERLINK(".\links\SWISSP\AGAP012389-PA-SWISSP.txt","Protein pangolin, isoforms A/H/I/S")</f>
        <v>Protein pangolin, isoforms A/H/I/S</v>
      </c>
      <c r="BP106" s="2" t="str">
        <f>HYPERLINK("http://www.uniprot.org/uniprot/P91943","1E-144")</f>
        <v>1E-144</v>
      </c>
      <c r="BQ106" s="2" t="str">
        <f>HYPERLINK("http://www.uniprot.org/uniprot/P91943#expression","P91943")</f>
        <v>P91943</v>
      </c>
      <c r="BR106" s="2">
        <v>51</v>
      </c>
      <c r="BS106" s="2">
        <v>59</v>
      </c>
      <c r="BT106" s="2">
        <v>82</v>
      </c>
      <c r="BU106" s="2" t="s">
        <v>100</v>
      </c>
      <c r="BV106" s="9" t="str">
        <f>HYPERLINK(".\links\FLYBASE\AGAP012389-PA-FLYBASE.txt","FBpp0306416")</f>
        <v>FBpp0306416</v>
      </c>
      <c r="BW106" s="2" t="str">
        <f>HYPERLINK("http://flybase.org/reports/FBgn0085432#alliance_summary_container","1E-91")</f>
        <v>1E-91</v>
      </c>
      <c r="BX106" s="2">
        <v>733</v>
      </c>
      <c r="BY106" s="2">
        <v>64</v>
      </c>
      <c r="BZ106" s="2">
        <v>73</v>
      </c>
      <c r="CA106" s="2">
        <v>36</v>
      </c>
      <c r="CB106" s="9" t="str">
        <f>HYPERLINK(".\links\CDD\AGAP012389-PA-CDD.txt","SOX-TCF_HMG-box, SOX-TCF_HMG-box, class I member of the HMG-box superfamily of DNA-binding proteins")</f>
        <v>SOX-TCF_HMG-box, SOX-TCF_HMG-box, class I member of the HMG-box superfamily of DNA-binding proteins</v>
      </c>
      <c r="CC106" s="13">
        <v>8.0000000000000007E-30</v>
      </c>
      <c r="CD106" s="2">
        <v>100</v>
      </c>
      <c r="CE106" s="2" t="s">
        <v>1376</v>
      </c>
      <c r="CF106" s="2" t="s">
        <v>1377</v>
      </c>
      <c r="CG106" s="9" t="str">
        <f>HYPERLINK(".\links\KOG\AGAP012389-PA-KOG.txt","Transcription factor TCF-4")</f>
        <v>Transcription factor TCF-4</v>
      </c>
      <c r="CH106" s="13">
        <v>4.0000000000000002E-42</v>
      </c>
      <c r="CI106" s="2">
        <v>51.5</v>
      </c>
      <c r="CJ106" s="2" t="s">
        <v>1378</v>
      </c>
      <c r="CK106" s="2" t="s">
        <v>296</v>
      </c>
      <c r="CL106" s="9" t="str">
        <f>HYPERLINK(".\links\PFAM\AGAP012389-PA-PFAM.txt","HMG_box, HMG (high mobility group) box")</f>
        <v>HMG_box, HMG (high mobility group) box</v>
      </c>
      <c r="CM106" s="13">
        <v>9.9999999999999998E-20</v>
      </c>
      <c r="CN106" s="2">
        <v>100</v>
      </c>
      <c r="CO106" s="2" t="s">
        <v>1379</v>
      </c>
      <c r="CP106" s="9" t="str">
        <f>HYPERLINK(".\links\SMART\AGAP012389-PA-SMART.txt","HMG, high mobility group")</f>
        <v>HMG, high mobility group</v>
      </c>
      <c r="CQ106" s="13">
        <v>2.0000000000000001E-18</v>
      </c>
      <c r="CR106" s="2">
        <v>98.6</v>
      </c>
      <c r="CS106" s="2" t="s">
        <v>1380</v>
      </c>
      <c r="CT106" s="2" t="s">
        <v>1374</v>
      </c>
      <c r="CU106" s="2" t="s">
        <v>1374</v>
      </c>
      <c r="CV106" s="2" t="s">
        <v>1374</v>
      </c>
      <c r="CW106" s="2" t="str">
        <f>HYPERLINK(".\links\pep\AGAP012389-PA-pep.txt","AGAP012389-PA")</f>
        <v>AGAP012389-PA</v>
      </c>
      <c r="CX106" s="2" t="s">
        <v>88</v>
      </c>
      <c r="CY106" s="2">
        <v>940</v>
      </c>
      <c r="CZ106" s="2" t="s">
        <v>106</v>
      </c>
      <c r="DA106" s="2" t="s">
        <v>1381</v>
      </c>
      <c r="DB106" s="2">
        <v>0</v>
      </c>
      <c r="DC106" s="2">
        <v>2</v>
      </c>
      <c r="DD106" s="2" t="str">
        <f>HYPERLINK("https://www.kegg.jp/kegg-bin/search_pathway_text?map=aga&amp;keyword=AGAP012389&amp;mode=1&amp;viewImage=true","AGAP012389")</f>
        <v>AGAP012389</v>
      </c>
      <c r="DE106" s="2" t="s">
        <v>1370</v>
      </c>
      <c r="DF106" s="2" t="s">
        <v>1371</v>
      </c>
      <c r="DG106" s="2" t="s">
        <v>87</v>
      </c>
      <c r="DH106" s="2" t="str">
        <f>HYPERLINK("https://vectorbase.org/vectorbase/app/record/gene/AGAP012389","AGAP012389-RA")</f>
        <v>AGAP012389-RA</v>
      </c>
      <c r="DI106" s="2" t="s">
        <v>250</v>
      </c>
      <c r="DJ106" s="2">
        <v>6053</v>
      </c>
      <c r="DK106" s="2" t="str">
        <f>HYPERLINK(".\links\netoglyc\AGAP012389-PA-netoglyc.txt","51")</f>
        <v>51</v>
      </c>
      <c r="DL106" s="2">
        <v>22.8</v>
      </c>
      <c r="DM106" s="2">
        <v>11.3</v>
      </c>
      <c r="DN106" s="2">
        <v>7.8</v>
      </c>
      <c r="DO106" s="2" t="s">
        <v>97</v>
      </c>
      <c r="DP106" s="2" t="s">
        <v>1382</v>
      </c>
      <c r="DQ106" s="2" t="str">
        <f>HYPERLINK(".\links\Sigp\AGAP012389-PA-SigP.txt","CYT")</f>
        <v>CYT</v>
      </c>
      <c r="DR106" s="2" t="s">
        <v>94</v>
      </c>
      <c r="DS106" s="2">
        <v>98.897999999999996</v>
      </c>
      <c r="DT106" s="2">
        <v>8.23</v>
      </c>
      <c r="DU106" s="2" t="s">
        <v>94</v>
      </c>
      <c r="DV106" s="2" t="s">
        <v>94</v>
      </c>
      <c r="DW106" s="2" t="s">
        <v>348</v>
      </c>
      <c r="DX106" s="2">
        <v>940</v>
      </c>
      <c r="DY106" s="8">
        <v>0</v>
      </c>
      <c r="DZ106" s="2" t="s">
        <v>94</v>
      </c>
      <c r="EA106" s="2" t="s">
        <v>94</v>
      </c>
      <c r="EB106" s="2" t="s">
        <v>94</v>
      </c>
      <c r="EC106" s="2" t="str">
        <f>HYPERLINK(".\links\gpi\AGAP012389-PA-gpi.txt","Y-NoSP")</f>
        <v>Y-NoSP</v>
      </c>
      <c r="ED106" s="2">
        <v>0.44</v>
      </c>
      <c r="EF106" s="2">
        <v>9</v>
      </c>
      <c r="EG106" s="2" t="s">
        <v>94</v>
      </c>
      <c r="EH106" s="2" t="s">
        <v>94</v>
      </c>
      <c r="EI106" s="2">
        <v>22.7659574468085</v>
      </c>
      <c r="EJ106" s="2">
        <v>7.7659574468085104</v>
      </c>
      <c r="EK106" s="2">
        <v>11.2765957446809</v>
      </c>
      <c r="EL106" s="2">
        <v>19.0425531914894</v>
      </c>
      <c r="EM106" s="2">
        <v>2</v>
      </c>
      <c r="EN106" s="2" t="s">
        <v>94</v>
      </c>
      <c r="EO106" s="2">
        <v>7</v>
      </c>
      <c r="EP106" s="2" t="s">
        <v>94</v>
      </c>
      <c r="EQ106" s="2" t="s">
        <v>94</v>
      </c>
      <c r="ER106" s="2" t="s">
        <v>94</v>
      </c>
      <c r="ES106" s="2" t="s">
        <v>94</v>
      </c>
      <c r="ET106" s="2" t="str">
        <f>HYPERLINK(".\links\REFSEQ-INVERTEBRATE\AGAP012389-PA-REFSEQ-INVERTEBRATE.txt","protein pangolin, isoforms A/H/I/S-like")</f>
        <v>protein pangolin, isoforms A/H/I/S-like</v>
      </c>
      <c r="EU106" s="2" t="str">
        <f>HYPERLINK("http://www.ncbi.nlm.nih.gov/sutils/blink.cgi?pid=XP_035892396.1","0.0")</f>
        <v>0.0</v>
      </c>
      <c r="EV106" s="2" t="str">
        <f>HYPERLINK("http://www.ncbi.nlm.nih.gov/protein/XP_035892396.1","XP_035892396.1")</f>
        <v>XP_035892396.1</v>
      </c>
      <c r="EW106" s="2">
        <v>87</v>
      </c>
      <c r="EX106" s="2">
        <v>89</v>
      </c>
      <c r="EY106" s="2">
        <v>99</v>
      </c>
      <c r="EZ106" s="2" t="s">
        <v>184</v>
      </c>
    </row>
    <row r="107" spans="1:156" x14ac:dyDescent="0.25">
      <c r="A107" s="2" t="s">
        <v>1383</v>
      </c>
      <c r="B107" s="2">
        <v>0.75240454896328102</v>
      </c>
      <c r="C107" s="2">
        <v>1.6845982225040905</v>
      </c>
      <c r="D107" s="2">
        <v>3.87557938623645</v>
      </c>
      <c r="E107" s="2">
        <v>19.774926003582198</v>
      </c>
      <c r="F107" s="2">
        <v>8.7118076205051707E-6</v>
      </c>
      <c r="G107" s="2">
        <v>1.0840469035147001E-3</v>
      </c>
      <c r="H107" s="2" t="s">
        <v>167</v>
      </c>
      <c r="I107" s="2" t="s">
        <v>87</v>
      </c>
      <c r="J107" s="2" t="str">
        <f>HYPERLINK("https://vectorbase.org/vectorbase/app/record/gene/AGAP009285","AGAP009285-RA")</f>
        <v>AGAP009285-RA</v>
      </c>
      <c r="K107" s="2" t="str">
        <f>HYPERLINK(".\links\pep\AGAP009285-PA-pep.txt","AGAP009285-PA")</f>
        <v>AGAP009285-PA</v>
      </c>
      <c r="L107" s="8" t="s">
        <v>88</v>
      </c>
      <c r="M107" s="2">
        <v>1535</v>
      </c>
      <c r="N107" s="2">
        <v>0</v>
      </c>
      <c r="O107" s="2">
        <v>1</v>
      </c>
      <c r="P107" s="2" t="s">
        <v>94</v>
      </c>
      <c r="Q107" s="9" t="s">
        <v>1384</v>
      </c>
      <c r="R107" s="2" t="s">
        <v>318</v>
      </c>
      <c r="S107" s="2" t="str">
        <f>HYPERLINK(".\links\REFSEQ-INVERTEBRATE\AGAP009285-PA-REFSEQ-INVERTEBRATE.txt","REFSEQ-INVERTEBRATE")</f>
        <v>REFSEQ-INVERTEBRATE</v>
      </c>
      <c r="T107" s="2">
        <v>0</v>
      </c>
      <c r="U107" s="2">
        <v>106.4</v>
      </c>
      <c r="V107" s="2" t="s">
        <v>1385</v>
      </c>
      <c r="W107" s="10" t="s">
        <v>1386</v>
      </c>
      <c r="X107" s="2" t="s">
        <v>318</v>
      </c>
      <c r="Y107" s="2" t="str">
        <f>HYPERLINK(".\links\REFSEQVERTEBRATE95\AGAP009285-PA-REFSEQVERTEBRATE95.txt","REFSEQVERTEBRATE95")</f>
        <v>REFSEQVERTEBRATE95</v>
      </c>
      <c r="Z107" s="13">
        <v>0</v>
      </c>
      <c r="AA107" s="2">
        <v>59.1</v>
      </c>
      <c r="AB107" s="11" t="str">
        <f>HYPERLINK(".\links\pep\AGAP009285-PA-sulf.txt","1")</f>
        <v>1</v>
      </c>
      <c r="AC107" s="11" t="str">
        <f>HYPERLINK(".\links\Sigp\AGAP009285-PA-SigP.txt","CYT")</f>
        <v>CYT</v>
      </c>
      <c r="AD107" s="2" t="s">
        <v>94</v>
      </c>
      <c r="AE107" s="2">
        <v>166.11199999999999</v>
      </c>
      <c r="AF107" s="2">
        <v>8.36</v>
      </c>
      <c r="AG107" s="2" t="s">
        <v>94</v>
      </c>
      <c r="AH107" s="2" t="s">
        <v>94</v>
      </c>
      <c r="AI107" s="2" t="s">
        <v>1387</v>
      </c>
      <c r="AJ107" s="11">
        <v>0</v>
      </c>
      <c r="AK107" s="2" t="s">
        <v>94</v>
      </c>
      <c r="AL107" s="2" t="s">
        <v>94</v>
      </c>
      <c r="AM107" s="2" t="s">
        <v>94</v>
      </c>
      <c r="AN107" s="11" t="str">
        <f>HYPERLINK(".\links\gpi\AGAP009285-PA-gpi.txt","N")</f>
        <v>N</v>
      </c>
      <c r="AO107" s="12" t="str">
        <f>HYPERLINK(".\links\netoglyc\AGAP009285-PA-netoglyc.txt","11")</f>
        <v>11</v>
      </c>
      <c r="AP107" s="11">
        <v>18.899999999999999</v>
      </c>
      <c r="AQ107" s="2">
        <v>7.9</v>
      </c>
      <c r="AR107" s="2">
        <v>4.5999999999999996</v>
      </c>
      <c r="AS107" s="2" t="s">
        <v>97</v>
      </c>
      <c r="AT107" s="9" t="str">
        <f>HYPERLINK(".\links\NR-LIGHT\AGAP009285-PA-NR-LIGHT.txt","AGAP009285-PA, partial")</f>
        <v>AGAP009285-PA, partial</v>
      </c>
      <c r="AU107" s="2" t="str">
        <f>HYPERLINK("http://www.ncbi.nlm.nih.gov/sutils/blink.cgi?pid=XP_320082.4","0.0")</f>
        <v>0.0</v>
      </c>
      <c r="AV107" s="2" t="str">
        <f>HYPERLINK("http://www.ncbi.nlm.nih.gov/protein/XP_320082.4","XP_320082.4")</f>
        <v>XP_320082.4</v>
      </c>
      <c r="AW107" s="2">
        <v>96</v>
      </c>
      <c r="AX107" s="2">
        <v>96</v>
      </c>
      <c r="AY107" s="2">
        <v>103</v>
      </c>
      <c r="AZ107" s="2" t="s">
        <v>98</v>
      </c>
      <c r="BA107" s="9" t="str">
        <f>HYPERLINK(".\links\REFSEQ-INVERTEBRATE\AGAP009285-PA-REFSEQ-INVERTEBRATE.txt","AGAP009285-PA, partial")</f>
        <v>AGAP009285-PA, partial</v>
      </c>
      <c r="BB107" s="2" t="str">
        <f>HYPERLINK("http://www.ncbi.nlm.nih.gov/sutils/blink.cgi?pid=XP_320082.4","0.0")</f>
        <v>0.0</v>
      </c>
      <c r="BC107" s="2" t="str">
        <f>HYPERLINK("http://www.ncbi.nlm.nih.gov/protein/XP_320082.4","XP_320082.4")</f>
        <v>XP_320082.4</v>
      </c>
      <c r="BD107" s="2">
        <v>96</v>
      </c>
      <c r="BE107" s="2">
        <v>96</v>
      </c>
      <c r="BF107" s="2">
        <v>103</v>
      </c>
      <c r="BG107" s="2" t="s">
        <v>98</v>
      </c>
      <c r="BH107" s="9" t="str">
        <f>HYPERLINK(".\links\REFSEQ-PROTOZOA\AGAP009285-PA-REFSEQ-PROTOZOA.txt","hypothetical protein GUITHDRAFT_162765")</f>
        <v>hypothetical protein GUITHDRAFT_162765</v>
      </c>
      <c r="BI107" s="2" t="str">
        <f>HYPERLINK("http://www.ncbi.nlm.nih.gov/sutils/blink.cgi?pid=XP_005834059.1","1E-110")</f>
        <v>1E-110</v>
      </c>
      <c r="BJ107" s="2" t="str">
        <f>HYPERLINK("http://www.ncbi.nlm.nih.gov/protein/XP_005834059.1","XP_005834059.1")</f>
        <v>XP_005834059.1</v>
      </c>
      <c r="BK107" s="2">
        <v>32</v>
      </c>
      <c r="BL107" s="2">
        <v>54</v>
      </c>
      <c r="BM107" s="2">
        <v>40</v>
      </c>
      <c r="BN107" s="2" t="s">
        <v>690</v>
      </c>
      <c r="BO107" s="9" t="str">
        <f>HYPERLINK(".\links\SWISSP\AGAP009285-PA-SWISSP.txt","Mitogen-activated protein kinase-binding protein 1")</f>
        <v>Mitogen-activated protein kinase-binding protein 1</v>
      </c>
      <c r="BP107" s="2" t="str">
        <f>HYPERLINK("http://www.uniprot.org/uniprot/Q6NS57","0.0")</f>
        <v>0.0</v>
      </c>
      <c r="BQ107" s="2" t="str">
        <f>HYPERLINK("http://www.uniprot.org/uniprot/Q6NS57#expression","Q6NS57")</f>
        <v>Q6NS57</v>
      </c>
      <c r="BR107" s="2">
        <v>44</v>
      </c>
      <c r="BS107" s="2">
        <v>62</v>
      </c>
      <c r="BT107" s="2">
        <v>59</v>
      </c>
      <c r="BU107" s="2" t="s">
        <v>339</v>
      </c>
      <c r="BV107" s="9" t="str">
        <f>HYPERLINK(".\links\FLYBASE\AGAP009285-PA-FLYBASE.txt","FBpp0110182")</f>
        <v>FBpp0110182</v>
      </c>
      <c r="BW107" s="2" t="str">
        <f>HYPERLINK("http://flybase.org/reports/FBgn0031374#alliance_summary_container","0.0")</f>
        <v>0.0</v>
      </c>
      <c r="BX107" s="2">
        <v>1504</v>
      </c>
      <c r="BY107" s="2">
        <v>55</v>
      </c>
      <c r="BZ107" s="2">
        <v>68</v>
      </c>
      <c r="CA107" s="2">
        <v>108</v>
      </c>
      <c r="CB107" s="9" t="str">
        <f>HYPERLINK(".\links\CDD\AGAP009285-PA-CDD.txt","WD40,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107" s="13">
        <v>2.0000000000000001E-32</v>
      </c>
      <c r="CD107" s="2">
        <v>108.3</v>
      </c>
      <c r="CE107" s="2" t="s">
        <v>1388</v>
      </c>
      <c r="CF107" s="2" t="s">
        <v>1389</v>
      </c>
      <c r="CG107" s="9" t="str">
        <f>HYPERLINK(".\links\KOG\AGAP009285-PA-KOG.txt","WD40 repeat protein")</f>
        <v>WD40 repeat protein</v>
      </c>
      <c r="CH107" s="13">
        <v>0</v>
      </c>
      <c r="CI107" s="2">
        <v>82.2</v>
      </c>
      <c r="CJ107" s="2" t="s">
        <v>1390</v>
      </c>
      <c r="CK107" s="2" t="s">
        <v>447</v>
      </c>
      <c r="CL107" s="9" t="str">
        <f>HYPERLINK(".\links\PFAM\AGAP009285-PA-PFAM.txt","WD40, WD domain, G-beta repeat")</f>
        <v>WD40, WD domain, G-beta repeat</v>
      </c>
      <c r="CM107" s="13">
        <v>2.0000000000000001E-4</v>
      </c>
      <c r="CN107" s="2">
        <v>105.1</v>
      </c>
      <c r="CO107" s="2" t="s">
        <v>1391</v>
      </c>
      <c r="CP107" s="9" t="str">
        <f>HYPERLINK(".\links\SMART\AGAP009285-PA-SMART.txt","WD40, WD40 repeats")</f>
        <v>WD40, WD40 repeats</v>
      </c>
      <c r="CQ107" s="13">
        <v>1.9999999999999999E-6</v>
      </c>
      <c r="CR107" s="2">
        <v>102.5</v>
      </c>
      <c r="CS107" s="2" t="s">
        <v>1039</v>
      </c>
      <c r="CT107" s="2" t="s">
        <v>1385</v>
      </c>
      <c r="CU107" s="2" t="s">
        <v>1385</v>
      </c>
      <c r="CV107" s="2" t="s">
        <v>1385</v>
      </c>
      <c r="CW107" s="2" t="str">
        <f>HYPERLINK(".\links\pep\AGAP009285-PA-pep.txt","AGAP009285-PA")</f>
        <v>AGAP009285-PA</v>
      </c>
      <c r="CX107" s="2" t="s">
        <v>88</v>
      </c>
      <c r="CY107" s="2">
        <v>2562</v>
      </c>
      <c r="CZ107" s="2" t="s">
        <v>106</v>
      </c>
      <c r="DA107" s="2" t="s">
        <v>1392</v>
      </c>
      <c r="DB107" s="2">
        <v>0</v>
      </c>
      <c r="DC107" s="2">
        <v>2</v>
      </c>
      <c r="DD107" s="2" t="str">
        <f>HYPERLINK("https://www.kegg.jp/kegg-bin/search_pathway_text?map=aga&amp;keyword=AGAP009285&amp;mode=1&amp;viewImage=true","AGAP009285")</f>
        <v>AGAP009285</v>
      </c>
      <c r="DE107" s="2" t="s">
        <v>1393</v>
      </c>
      <c r="DF107" s="2" t="s">
        <v>167</v>
      </c>
      <c r="DG107" s="2" t="s">
        <v>87</v>
      </c>
      <c r="DH107" s="2" t="str">
        <f>HYPERLINK("https://vectorbase.org/vectorbase/app/record/gene/AGAP009285","AGAP009285-RA")</f>
        <v>AGAP009285-RA</v>
      </c>
      <c r="DI107" s="2" t="s">
        <v>108</v>
      </c>
      <c r="DJ107" s="2">
        <v>12640</v>
      </c>
      <c r="DK107" s="2" t="str">
        <f>HYPERLINK(".\links\netoglyc\AGAP009285-PA-netoglyc.txt","11")</f>
        <v>11</v>
      </c>
      <c r="DL107" s="2">
        <v>16.5</v>
      </c>
      <c r="DM107" s="2">
        <v>7.8</v>
      </c>
      <c r="DN107" s="2">
        <v>5.2</v>
      </c>
      <c r="DO107" s="2" t="s">
        <v>97</v>
      </c>
      <c r="DP107" s="2" t="s">
        <v>1394</v>
      </c>
      <c r="DQ107" s="2" t="str">
        <f>HYPERLINK(".\links\Sigp\AGAP009285-PA-SigP.txt","CYT")</f>
        <v>CYT</v>
      </c>
      <c r="DR107" s="2" t="s">
        <v>94</v>
      </c>
      <c r="DS107" s="2">
        <v>279.137</v>
      </c>
      <c r="DT107" s="2">
        <v>6.15</v>
      </c>
      <c r="DU107" s="2" t="s">
        <v>94</v>
      </c>
      <c r="DV107" s="2" t="s">
        <v>94</v>
      </c>
      <c r="DW107" s="2" t="s">
        <v>1387</v>
      </c>
      <c r="DX107" s="2">
        <v>2562</v>
      </c>
      <c r="DY107" s="8">
        <v>0</v>
      </c>
      <c r="DZ107" s="2" t="s">
        <v>94</v>
      </c>
      <c r="EA107" s="2" t="s">
        <v>94</v>
      </c>
      <c r="EB107" s="2" t="s">
        <v>94</v>
      </c>
      <c r="EC107" s="2" t="str">
        <f>HYPERLINK(".\links\gpi\AGAP009285-PA-gpi.txt","Y-NoSP")</f>
        <v>Y-NoSP</v>
      </c>
      <c r="ED107" s="2">
        <v>0.13</v>
      </c>
      <c r="EF107" s="2">
        <v>51</v>
      </c>
      <c r="EG107" s="2" t="str">
        <f>HYPERLINK(".\links\pep\AGAP009285-PA-sulf.txt","3")</f>
        <v>3</v>
      </c>
      <c r="EH107" s="2" t="s">
        <v>94</v>
      </c>
      <c r="EI107" s="2">
        <v>16.549570647931301</v>
      </c>
      <c r="EJ107" s="2">
        <v>5.1522248243559696</v>
      </c>
      <c r="EK107" s="2">
        <v>7.8454332552693202</v>
      </c>
      <c r="EL107" s="2">
        <v>12.9976580796253</v>
      </c>
      <c r="EM107" s="2">
        <v>8</v>
      </c>
      <c r="EN107" s="2">
        <v>9</v>
      </c>
      <c r="EO107" s="2">
        <v>9</v>
      </c>
      <c r="EP107" s="2" t="s">
        <v>94</v>
      </c>
      <c r="EQ107" s="2" t="s">
        <v>94</v>
      </c>
      <c r="ER107" s="2" t="s">
        <v>94</v>
      </c>
      <c r="ES107" s="2" t="s">
        <v>94</v>
      </c>
      <c r="ET107" s="2" t="str">
        <f>HYPERLINK(".\links\REFSEQ-INVERTEBRATE\AGAP009285-PA-REFSEQ-INVERTEBRATE.txt","uncharacterized protein LOC118510883 isoform X5")</f>
        <v>uncharacterized protein LOC118510883 isoform X5</v>
      </c>
      <c r="EU107" s="2" t="str">
        <f>HYPERLINK("http://www.ncbi.nlm.nih.gov/sutils/blink.cgi?pid=XP_035909155.1","0.0")</f>
        <v>0.0</v>
      </c>
      <c r="EV107" s="2" t="str">
        <f>HYPERLINK("http://www.ncbi.nlm.nih.gov/protein/XP_035909155.1","XP_035909155.1")</f>
        <v>XP_035909155.1</v>
      </c>
      <c r="EW107" s="2">
        <v>90</v>
      </c>
      <c r="EX107" s="2">
        <v>93</v>
      </c>
      <c r="EY107" s="2">
        <v>102</v>
      </c>
      <c r="EZ107" s="2" t="s">
        <v>184</v>
      </c>
    </row>
    <row r="108" spans="1:156" x14ac:dyDescent="0.25">
      <c r="A108" s="2" t="s">
        <v>1395</v>
      </c>
      <c r="B108" s="2">
        <v>0.74810126065802895</v>
      </c>
      <c r="C108" s="2">
        <v>1.6795808690795728</v>
      </c>
      <c r="D108" s="2">
        <v>3.5174969906865501</v>
      </c>
      <c r="E108" s="2">
        <v>17.242488225189</v>
      </c>
      <c r="F108" s="2">
        <v>3.2899571952412601E-5</v>
      </c>
      <c r="G108" s="2">
        <v>3.0805074450887698E-3</v>
      </c>
      <c r="H108" s="2" t="s">
        <v>167</v>
      </c>
      <c r="I108" s="2" t="s">
        <v>87</v>
      </c>
      <c r="J108" s="2" t="str">
        <f>HYPERLINK("https://vectorbase.org/vectorbase/app/record/gene/AGAP008098","AGAP008098-RA")</f>
        <v>AGAP008098-RA</v>
      </c>
      <c r="K108" s="2" t="str">
        <f>HYPERLINK(".\links\pep\AGAP008098-PA-pep.txt","AGAP008098-PA")</f>
        <v>AGAP008098-PA</v>
      </c>
      <c r="L108" s="8" t="s">
        <v>88</v>
      </c>
      <c r="M108" s="2">
        <v>2633</v>
      </c>
      <c r="N108" s="2">
        <v>0</v>
      </c>
      <c r="O108" s="2">
        <v>4</v>
      </c>
      <c r="P108" s="2" t="s">
        <v>94</v>
      </c>
      <c r="Q108" s="9" t="s">
        <v>1396</v>
      </c>
      <c r="R108" s="2" t="s">
        <v>253</v>
      </c>
      <c r="S108" s="2" t="str">
        <f>HYPERLINK(".\links\REFSEQ-INVERTEBRATE\AGAP008098-PA-REFSEQ-INVERTEBRATE.txt","REFSEQ-INVERTEBRATE")</f>
        <v>REFSEQ-INVERTEBRATE</v>
      </c>
      <c r="T108" s="2">
        <v>0</v>
      </c>
      <c r="U108" s="2">
        <v>82</v>
      </c>
      <c r="V108" s="2" t="s">
        <v>1397</v>
      </c>
      <c r="W108" s="10" t="s">
        <v>1398</v>
      </c>
      <c r="X108" s="2" t="s">
        <v>1399</v>
      </c>
      <c r="Y108" s="2" t="str">
        <f>HYPERLINK(".\links\UNIPROTKB\AGAP008098-PA-UNIPROTKB.txt","UNIPROTKB")</f>
        <v>UNIPROTKB</v>
      </c>
      <c r="Z108" s="13">
        <v>2.0000000000000001E-54</v>
      </c>
      <c r="AA108" s="2">
        <v>46.6</v>
      </c>
      <c r="AB108" s="11" t="str">
        <f>HYPERLINK(".\links\pep\AGAP008098-PA-sulf.txt","2")</f>
        <v>2</v>
      </c>
      <c r="AC108" s="11" t="str">
        <f>HYPERLINK(".\links\Sigp\AGAP008098-PA-SigP.txt","CYT")</f>
        <v>CYT</v>
      </c>
      <c r="AD108" s="2" t="s">
        <v>94</v>
      </c>
      <c r="AE108" s="2">
        <v>279.80399999999997</v>
      </c>
      <c r="AF108" s="2">
        <v>6.8</v>
      </c>
      <c r="AG108" s="2" t="s">
        <v>94</v>
      </c>
      <c r="AH108" s="2" t="s">
        <v>94</v>
      </c>
      <c r="AI108" s="2" t="s">
        <v>1400</v>
      </c>
      <c r="AJ108" s="11">
        <v>0</v>
      </c>
      <c r="AK108" s="2" t="s">
        <v>94</v>
      </c>
      <c r="AL108" s="2" t="s">
        <v>94</v>
      </c>
      <c r="AM108" s="2" t="s">
        <v>94</v>
      </c>
      <c r="AN108" s="11" t="str">
        <f>HYPERLINK(".\links\gpi\AGAP008098-PA-gpi.txt","N")</f>
        <v>N</v>
      </c>
      <c r="AO108" s="12" t="str">
        <f>HYPERLINK(".\links\netoglyc\AGAP008098-PA-netoglyc.txt","42")</f>
        <v>42</v>
      </c>
      <c r="AP108" s="11">
        <v>21.2</v>
      </c>
      <c r="AQ108" s="2">
        <v>8.8000000000000007</v>
      </c>
      <c r="AR108" s="2">
        <v>5.6</v>
      </c>
      <c r="AS108" s="2" t="s">
        <v>97</v>
      </c>
      <c r="AT108" s="9" t="str">
        <f>HYPERLINK(".\links\NR-LIGHT\AGAP008098-PA-NR-LIGHT.txt","hypothetical protein ZHAS_00017667")</f>
        <v>hypothetical protein ZHAS_00017667</v>
      </c>
      <c r="AU108" s="2" t="str">
        <f>HYPERLINK("http://www.ncbi.nlm.nih.gov/sutils/blink.cgi?pid=KFB49472.1","0.0")</f>
        <v>0.0</v>
      </c>
      <c r="AV108" s="2" t="str">
        <f>HYPERLINK("http://www.ncbi.nlm.nih.gov/protein/KFB49472.1","KFB49472.1")</f>
        <v>KFB49472.1</v>
      </c>
      <c r="AW108" s="2">
        <v>59</v>
      </c>
      <c r="AX108" s="2">
        <v>68</v>
      </c>
      <c r="AY108" s="2">
        <v>110</v>
      </c>
      <c r="AZ108" s="2" t="s">
        <v>174</v>
      </c>
      <c r="BA108" s="9" t="str">
        <f>HYPERLINK(".\links\REFSEQ-INVERTEBRATE\AGAP008098-PA-REFSEQ-INVERTEBRATE.txt","AGAP008098-PA, partial")</f>
        <v>AGAP008098-PA, partial</v>
      </c>
      <c r="BB108" s="2" t="str">
        <f>HYPERLINK("http://www.ncbi.nlm.nih.gov/sutils/blink.cgi?pid=XP_317358.4","0.0")</f>
        <v>0.0</v>
      </c>
      <c r="BC108" s="2" t="str">
        <f>HYPERLINK("http://www.ncbi.nlm.nih.gov/protein/XP_317358.4","XP_317358.4")</f>
        <v>XP_317358.4</v>
      </c>
      <c r="BD108" s="2">
        <v>74</v>
      </c>
      <c r="BE108" s="2">
        <v>77</v>
      </c>
      <c r="BF108" s="2">
        <v>82</v>
      </c>
      <c r="BG108" s="2" t="s">
        <v>98</v>
      </c>
      <c r="BH108" s="9" t="str">
        <f>HYPERLINK(".\links\REFSEQ-PROTOZOA\AGAP008098-PA-REFSEQ-PROTOZOA.txt","proteophosphoglycan ppg4")</f>
        <v>proteophosphoglycan ppg4</v>
      </c>
      <c r="BI108" s="2" t="str">
        <f>HYPERLINK("http://www.ncbi.nlm.nih.gov/sutils/blink.cgi?pid=XP_001568166.1","1E-055")</f>
        <v>1E-055</v>
      </c>
      <c r="BJ108" s="2" t="str">
        <f>HYPERLINK("http://www.ncbi.nlm.nih.gov/protein/XP_001568166.1","XP_001568166.1")</f>
        <v>XP_001568166.1</v>
      </c>
      <c r="BK108" s="2">
        <v>21</v>
      </c>
      <c r="BL108" s="2">
        <v>39</v>
      </c>
      <c r="BM108" s="2">
        <v>29</v>
      </c>
      <c r="BN108" s="2" t="s">
        <v>653</v>
      </c>
      <c r="BO108" s="9" t="str">
        <f>HYPERLINK(".\links\SWISSP\AGAP008098-PA-SWISSP.txt","Transmembrane protein 131 homolog")</f>
        <v>Transmembrane protein 131 homolog</v>
      </c>
      <c r="BP108" s="2" t="str">
        <f>HYPERLINK("http://www.uniprot.org/uniprot/Q9V7H4","3E-084")</f>
        <v>3E-084</v>
      </c>
      <c r="BQ108" s="2" t="str">
        <f>HYPERLINK("http://www.uniprot.org/uniprot/Q9V7H4#expression","Q9V7H4")</f>
        <v>Q9V7H4</v>
      </c>
      <c r="BR108" s="2">
        <v>27</v>
      </c>
      <c r="BS108" s="2">
        <v>44</v>
      </c>
      <c r="BT108" s="2">
        <v>69</v>
      </c>
      <c r="BU108" s="2" t="s">
        <v>100</v>
      </c>
      <c r="BV108" s="9" t="str">
        <f>HYPERLINK(".\links\FLYBASE\AGAP008098-PA-FLYBASE.txt","FBpp0309029")</f>
        <v>FBpp0309029</v>
      </c>
      <c r="BW108" s="2" t="str">
        <f>HYPERLINK("http://flybase.org/reports/FBgn0034060#alliance_summary_container","2E-87")</f>
        <v>2E-87</v>
      </c>
      <c r="BX108" s="2">
        <v>1567</v>
      </c>
      <c r="BY108" s="2">
        <v>29</v>
      </c>
      <c r="BZ108" s="2">
        <v>47</v>
      </c>
      <c r="CA108" s="2">
        <v>55</v>
      </c>
      <c r="CB108" s="9" t="str">
        <f>HYPERLINK(".\links\CDD\AGAP008098-PA-CDD.txt","TMEM131_like, Transmembrane protein 131-like")</f>
        <v>TMEM131_like, Transmembrane protein 131-like</v>
      </c>
      <c r="CC108" s="13">
        <v>3.9999999999999999E-19</v>
      </c>
      <c r="CD108" s="2">
        <v>100</v>
      </c>
      <c r="CE108" s="2" t="s">
        <v>1401</v>
      </c>
      <c r="CF108" s="2" t="s">
        <v>1402</v>
      </c>
      <c r="CG108" s="9" t="str">
        <f>HYPERLINK(".\links\KOG\AGAP008098-PA-KOG.txt","Uncharacterized conserved protein")</f>
        <v>Uncharacterized conserved protein</v>
      </c>
      <c r="CH108" s="13">
        <v>1.9999999999999999E-74</v>
      </c>
      <c r="CI108" s="2">
        <v>75.2</v>
      </c>
      <c r="CJ108" s="2" t="s">
        <v>1403</v>
      </c>
      <c r="CK108" s="2" t="s">
        <v>447</v>
      </c>
      <c r="CL108" s="9" t="str">
        <f>HYPERLINK(".\links\PFAM\AGAP008098-PA-PFAM.txt","TMEM131_like, Transmembrane protein 131-like")</f>
        <v>TMEM131_like, Transmembrane protein 131-like</v>
      </c>
      <c r="CM108" s="13">
        <v>7.0000000000000001E-20</v>
      </c>
      <c r="CN108" s="2">
        <v>100</v>
      </c>
      <c r="CO108" s="2" t="s">
        <v>1401</v>
      </c>
      <c r="CP108" s="9" t="str">
        <f>HYPERLINK(".\links\SMART\AGAP008098-PA-SMART.txt","Amelogenin, Amelogenins, cell adhesion proteins, play a role in the biomineralisation of teeth")</f>
        <v>Amelogenin, Amelogenins, cell adhesion proteins, play a role in the biomineralisation of teeth</v>
      </c>
      <c r="CQ108" s="13">
        <v>6.5000000000000002E-2</v>
      </c>
      <c r="CR108" s="2">
        <v>57</v>
      </c>
      <c r="CS108" s="2" t="s">
        <v>421</v>
      </c>
      <c r="CT108" s="2" t="s">
        <v>1397</v>
      </c>
      <c r="CU108" s="2" t="s">
        <v>1397</v>
      </c>
      <c r="CV108" s="2" t="s">
        <v>1397</v>
      </c>
      <c r="CW108" s="2" t="str">
        <f>HYPERLINK(".\links\pep\AGAP008098-PA-pep.txt","AGAP008098-PA")</f>
        <v>AGAP008098-PA</v>
      </c>
      <c r="CX108" s="2" t="s">
        <v>88</v>
      </c>
      <c r="CY108" s="2">
        <v>2633</v>
      </c>
      <c r="CZ108" s="2" t="s">
        <v>106</v>
      </c>
      <c r="DA108" s="2" t="s">
        <v>1404</v>
      </c>
      <c r="DB108" s="2">
        <v>0</v>
      </c>
      <c r="DC108" s="2">
        <v>4</v>
      </c>
      <c r="DD108" s="2" t="str">
        <f>HYPERLINK("https://www.kegg.jp/kegg-bin/search_pathway_text?map=aga&amp;keyword=AGAP008098&amp;mode=1&amp;viewImage=true","AGAP008098")</f>
        <v>AGAP008098</v>
      </c>
      <c r="DE108" s="2" t="s">
        <v>1395</v>
      </c>
      <c r="DF108" s="2" t="s">
        <v>167</v>
      </c>
      <c r="DG108" s="2" t="s">
        <v>87</v>
      </c>
      <c r="DH108" s="2" t="str">
        <f>HYPERLINK("https://vectorbase.org/vectorbase/app/record/gene/AGAP008098","AGAP008098-RA")</f>
        <v>AGAP008098-RA</v>
      </c>
      <c r="DI108" s="2" t="s">
        <v>108</v>
      </c>
      <c r="DJ108" s="2">
        <v>9347</v>
      </c>
      <c r="DK108" s="2" t="str">
        <f>HYPERLINK(".\links\netoglyc\AGAP008098-PA-netoglyc.txt","42")</f>
        <v>42</v>
      </c>
      <c r="DL108" s="2">
        <v>21.2</v>
      </c>
      <c r="DM108" s="2">
        <v>8.8000000000000007</v>
      </c>
      <c r="DN108" s="2">
        <v>5.6</v>
      </c>
      <c r="DO108" s="2" t="s">
        <v>97</v>
      </c>
      <c r="DP108" s="2" t="s">
        <v>1405</v>
      </c>
      <c r="DQ108" s="2" t="str">
        <f>HYPERLINK(".\links\Sigp\AGAP008098-PA-SigP.txt","CYT")</f>
        <v>CYT</v>
      </c>
      <c r="DR108" s="2" t="s">
        <v>94</v>
      </c>
      <c r="DS108" s="2">
        <v>279.80399999999997</v>
      </c>
      <c r="DT108" s="2">
        <v>6.8</v>
      </c>
      <c r="DU108" s="2" t="s">
        <v>94</v>
      </c>
      <c r="DV108" s="2" t="s">
        <v>94</v>
      </c>
      <c r="DW108" s="2" t="s">
        <v>1400</v>
      </c>
      <c r="DX108" s="2">
        <v>2633</v>
      </c>
      <c r="DY108" s="8">
        <v>0</v>
      </c>
      <c r="DZ108" s="2" t="s">
        <v>94</v>
      </c>
      <c r="EA108" s="2" t="s">
        <v>94</v>
      </c>
      <c r="EB108" s="2" t="s">
        <v>94</v>
      </c>
      <c r="EC108" s="2" t="str">
        <f>HYPERLINK(".\links\gpi\AGAP008098-PA-gpi.txt","Y-NoSP")</f>
        <v>Y-NoSP</v>
      </c>
      <c r="ED108" s="2">
        <v>0.27</v>
      </c>
      <c r="EF108" s="2">
        <v>22</v>
      </c>
      <c r="EG108" s="2" t="str">
        <f>HYPERLINK(".\links\pep\AGAP008098-PA-sulf.txt","2")</f>
        <v>2</v>
      </c>
      <c r="EH108" s="2" t="s">
        <v>94</v>
      </c>
      <c r="EI108" s="2">
        <v>21.192556019749301</v>
      </c>
      <c r="EJ108" s="2">
        <v>5.5829851879984798</v>
      </c>
      <c r="EK108" s="2">
        <v>8.7732624382833304</v>
      </c>
      <c r="EL108" s="2">
        <v>14.3562476262818</v>
      </c>
      <c r="EM108" s="2">
        <v>3</v>
      </c>
      <c r="EN108" s="2">
        <v>10</v>
      </c>
      <c r="EO108" s="2">
        <v>10</v>
      </c>
      <c r="EP108" s="2" t="s">
        <v>94</v>
      </c>
      <c r="EQ108" s="2" t="s">
        <v>94</v>
      </c>
      <c r="ER108" s="2" t="s">
        <v>94</v>
      </c>
      <c r="ES108" s="2" t="s">
        <v>94</v>
      </c>
      <c r="ET108" s="2" t="str">
        <f>HYPERLINK(".\links\REFSEQ-INVERTEBRATE\AGAP008098-PA-REFSEQ-INVERTEBRATE.txt","transmembrane protein 131")</f>
        <v>transmembrane protein 131</v>
      </c>
      <c r="EU108" s="2" t="str">
        <f>HYPERLINK("http://www.ncbi.nlm.nih.gov/sutils/blink.cgi?pid=XP_035915825.1","0.0")</f>
        <v>0.0</v>
      </c>
      <c r="EV108" s="2" t="str">
        <f>HYPERLINK("http://www.ncbi.nlm.nih.gov/protein/XP_035915825.1","XP_035915825.1")</f>
        <v>XP_035915825.1</v>
      </c>
      <c r="EW108" s="2">
        <v>63</v>
      </c>
      <c r="EX108" s="2">
        <v>72</v>
      </c>
      <c r="EY108" s="2">
        <v>108</v>
      </c>
      <c r="EZ108" s="2" t="s">
        <v>184</v>
      </c>
    </row>
    <row r="109" spans="1:156" x14ac:dyDescent="0.25">
      <c r="A109" s="2" t="s">
        <v>1406</v>
      </c>
      <c r="B109" s="2">
        <v>0.74748430715990699</v>
      </c>
      <c r="C109" s="2">
        <v>1.6788627673812031</v>
      </c>
      <c r="D109" s="2">
        <v>3.2234557352241602</v>
      </c>
      <c r="E109" s="2">
        <v>15.0929117941415</v>
      </c>
      <c r="F109" s="2">
        <v>1.0234686819697E-4</v>
      </c>
      <c r="G109" s="2">
        <v>7.4453410195287799E-3</v>
      </c>
      <c r="H109" s="2" t="s">
        <v>1407</v>
      </c>
      <c r="I109" s="2" t="s">
        <v>94</v>
      </c>
      <c r="J109" s="2" t="str">
        <f>HYPERLINK("https://vectorbase.org/vectorbase/app/record/gene/AGAP002484","AGAP002484-RA")</f>
        <v>AGAP002484-RA</v>
      </c>
      <c r="K109" s="2" t="str">
        <f>HYPERLINK(".\links\pep\AGAP002484-PA-pep.txt","AGAP002484-PA")</f>
        <v>AGAP002484-PA</v>
      </c>
      <c r="L109" s="8" t="s">
        <v>88</v>
      </c>
      <c r="M109" s="2">
        <v>304</v>
      </c>
      <c r="N109" s="2">
        <v>0</v>
      </c>
      <c r="O109" s="2">
        <v>0</v>
      </c>
      <c r="P109" s="2" t="s">
        <v>1408</v>
      </c>
      <c r="Q109" s="9" t="s">
        <v>1409</v>
      </c>
      <c r="R109" s="2" t="s">
        <v>395</v>
      </c>
      <c r="S109" s="2" t="str">
        <f>HYPERLINK(".\links\KOG\AGAP002484-PA-KOG.txt","KOG")</f>
        <v>KOG</v>
      </c>
      <c r="T109" s="2">
        <v>7.9999999999999996E-44</v>
      </c>
      <c r="U109" s="2">
        <v>99</v>
      </c>
      <c r="V109" s="2" t="s">
        <v>1410</v>
      </c>
      <c r="W109" s="10" t="s">
        <v>1411</v>
      </c>
      <c r="X109" s="2" t="s">
        <v>131</v>
      </c>
      <c r="Y109" s="2" t="str">
        <f>HYPERLINK(".\links\REFSEQVERTEBRATE95\AGAP002484-PA-REFSEQVERTEBRATE95.txt","REFSEQVERTEBRATE95")</f>
        <v>REFSEQVERTEBRATE95</v>
      </c>
      <c r="Z109" s="13">
        <v>3.9999999999999998E-38</v>
      </c>
      <c r="AA109" s="2">
        <v>98</v>
      </c>
      <c r="AB109" s="11" t="s">
        <v>94</v>
      </c>
      <c r="AC109" s="11" t="str">
        <f>HYPERLINK(".\links\Sigp\AGAP002484-PA-SigP.txt","BL")</f>
        <v>BL</v>
      </c>
      <c r="AD109" s="2" t="s">
        <v>1233</v>
      </c>
      <c r="AE109" s="2">
        <v>33.369999999999997</v>
      </c>
      <c r="AF109" s="2">
        <v>8.74</v>
      </c>
      <c r="AG109" s="2">
        <v>29.898</v>
      </c>
      <c r="AH109" s="2">
        <v>8.83</v>
      </c>
      <c r="AI109" s="2" t="s">
        <v>1412</v>
      </c>
      <c r="AJ109" s="11" t="str">
        <f>HYPERLINK(".\links\tmhmm\AGAP002484-PA-tmhmm.txt","1")</f>
        <v>1</v>
      </c>
      <c r="AK109" s="2">
        <v>7.2</v>
      </c>
      <c r="AL109" s="2">
        <v>91.1</v>
      </c>
      <c r="AM109" s="2">
        <v>1.6</v>
      </c>
      <c r="AN109" s="11" t="str">
        <f>HYPERLINK(".\links\gpi\AGAP002484-PA-gpi.txt","N")</f>
        <v>N</v>
      </c>
      <c r="AO109" s="12" t="str">
        <f>HYPERLINK(".\links\netoglyc\AGAP002484-PA-netoglyc.txt","1")</f>
        <v>1</v>
      </c>
      <c r="AP109" s="11">
        <v>12.5</v>
      </c>
      <c r="AQ109" s="2">
        <v>6.3</v>
      </c>
      <c r="AR109" s="2">
        <v>3.3</v>
      </c>
      <c r="AS109" s="2" t="s">
        <v>97</v>
      </c>
      <c r="AT109" s="9" t="str">
        <f>HYPERLINK(".\links\NR-LIGHT\AGAP002484-PA-NR-LIGHT.txt","AGAP002484-PA, partial")</f>
        <v>AGAP002484-PA, partial</v>
      </c>
      <c r="AU109" s="2" t="str">
        <f>HYPERLINK("http://www.ncbi.nlm.nih.gov/sutils/blink.cgi?pid=XP_312454.4","1E-166")</f>
        <v>1E-166</v>
      </c>
      <c r="AV109" s="2" t="str">
        <f>HYPERLINK("http://www.ncbi.nlm.nih.gov/protein/XP_312454.4","XP_312454.4")</f>
        <v>XP_312454.4</v>
      </c>
      <c r="AW109" s="2">
        <v>100</v>
      </c>
      <c r="AX109" s="2">
        <v>100</v>
      </c>
      <c r="AY109" s="2">
        <v>97</v>
      </c>
      <c r="AZ109" s="2" t="s">
        <v>98</v>
      </c>
      <c r="BA109" s="9" t="str">
        <f>HYPERLINK(".\links\REFSEQ-INVERTEBRATE\AGAP002484-PA-REFSEQ-INVERTEBRATE.txt","AGAP002484-PA, partial")</f>
        <v>AGAP002484-PA, partial</v>
      </c>
      <c r="BB109" s="2" t="str">
        <f>HYPERLINK("http://www.ncbi.nlm.nih.gov/sutils/blink.cgi?pid=XP_312454.4","1E-166")</f>
        <v>1E-166</v>
      </c>
      <c r="BC109" s="2" t="str">
        <f>HYPERLINK("http://www.ncbi.nlm.nih.gov/protein/XP_312454.4","XP_312454.4")</f>
        <v>XP_312454.4</v>
      </c>
      <c r="BD109" s="2">
        <v>100</v>
      </c>
      <c r="BE109" s="2">
        <v>100</v>
      </c>
      <c r="BF109" s="2">
        <v>97</v>
      </c>
      <c r="BG109" s="2" t="s">
        <v>98</v>
      </c>
      <c r="BH109" s="9" t="str">
        <f>HYPERLINK(".\links\REFSEQ-PROTOZOA\AGAP002484-PA-REFSEQ-PROTOZOA.txt","hypothetical protein")</f>
        <v>hypothetical protein</v>
      </c>
      <c r="BI109" s="2" t="str">
        <f>HYPERLINK("http://www.ncbi.nlm.nih.gov/sutils/blink.cgi?pid=XP_001747034.1","5E-024")</f>
        <v>5E-024</v>
      </c>
      <c r="BJ109" s="2" t="str">
        <f>HYPERLINK("http://www.ncbi.nlm.nih.gov/protein/XP_001747034.1","XP_001747034.1")</f>
        <v>XP_001747034.1</v>
      </c>
      <c r="BK109" s="2">
        <v>26</v>
      </c>
      <c r="BL109" s="2">
        <v>48</v>
      </c>
      <c r="BM109" s="2">
        <v>92</v>
      </c>
      <c r="BN109" s="2" t="s">
        <v>704</v>
      </c>
      <c r="BO109" s="9" t="str">
        <f>HYPERLINK(".\links\SWISSP\AGAP002484-PA-SWISSP.txt","Epidermal retinol dehydrogenase 2")</f>
        <v>Epidermal retinol dehydrogenase 2</v>
      </c>
      <c r="BP109" s="2" t="str">
        <f>HYPERLINK("http://www.uniprot.org/uniprot/Q7TQA3","2E-026")</f>
        <v>2E-026</v>
      </c>
      <c r="BQ109" s="2" t="str">
        <f>HYPERLINK("http://www.uniprot.org/uniprot/Q7TQA3#expression","Q7TQA3")</f>
        <v>Q7TQA3</v>
      </c>
      <c r="BR109" s="2">
        <v>28</v>
      </c>
      <c r="BS109" s="2">
        <v>51</v>
      </c>
      <c r="BT109" s="2">
        <v>94</v>
      </c>
      <c r="BU109" s="2" t="s">
        <v>339</v>
      </c>
      <c r="BV109" s="9" t="str">
        <f>HYPERLINK(".\links\FLYBASE\AGAP002484-PA-FLYBASE.txt","FBpp0071071")</f>
        <v>FBpp0071071</v>
      </c>
      <c r="BW109" s="2" t="str">
        <f>HYPERLINK("http://flybase.org/reports/FBgn0029994#alliance_summary_container","3E-50")</f>
        <v>3E-50</v>
      </c>
      <c r="BX109" s="2">
        <v>320</v>
      </c>
      <c r="BY109" s="2">
        <v>31</v>
      </c>
      <c r="BZ109" s="2">
        <v>55</v>
      </c>
      <c r="CA109" s="2">
        <v>94</v>
      </c>
      <c r="CB109" s="9" t="str">
        <f>HYPERLINK(".\links\CDD\AGAP002484-PA-CDD.txt","17beta-HSDXI-like_SDR_c, human 17-beta-hydroxysteroid dehydrogenase XI-like, classical (c) SDRs")</f>
        <v>17beta-HSDXI-like_SDR_c, human 17-beta-hydroxysteroid dehydrogenase XI-like, classical (c) SDRs</v>
      </c>
      <c r="CC109" s="13">
        <v>2.0000000000000001E-32</v>
      </c>
      <c r="CD109" s="2">
        <v>100.8</v>
      </c>
      <c r="CE109" s="2" t="s">
        <v>1413</v>
      </c>
      <c r="CF109" s="2" t="s">
        <v>1414</v>
      </c>
      <c r="CG109" s="9" t="str">
        <f>HYPERLINK(".\links\KOG\AGAP002484-PA-KOG.txt","Hydroxysteroid 17-beta dehydrogenase 11")</f>
        <v>Hydroxysteroid 17-beta dehydrogenase 11</v>
      </c>
      <c r="CH109" s="13">
        <v>7.9999999999999996E-44</v>
      </c>
      <c r="CI109" s="2">
        <v>99</v>
      </c>
      <c r="CJ109" s="2" t="s">
        <v>1415</v>
      </c>
      <c r="CK109" s="2" t="s">
        <v>104</v>
      </c>
      <c r="CL109" s="9" t="str">
        <f>HYPERLINK(".\links\PFAM\AGAP002484-PA-PFAM.txt","adh_short, short chain dehydrogenase")</f>
        <v>adh_short, short chain dehydrogenase</v>
      </c>
      <c r="CM109" s="13">
        <v>5.9999999999999998E-22</v>
      </c>
      <c r="CN109" s="2">
        <v>87.7</v>
      </c>
      <c r="CO109" s="2" t="s">
        <v>403</v>
      </c>
      <c r="CP109" s="9" t="str">
        <f>HYPERLINK(".\links\SMART\AGAP002484-PA-SMART.txt","PKS_KR, This enzymatic domain is part of bacterial polyketide synthases")</f>
        <v>PKS_KR, This enzymatic domain is part of bacterial polyketide synthases</v>
      </c>
      <c r="CQ109" s="13">
        <v>6.9999999999999994E-5</v>
      </c>
      <c r="CR109" s="2">
        <v>46.7</v>
      </c>
      <c r="CS109" s="2" t="s">
        <v>404</v>
      </c>
      <c r="CT109" s="2" t="s">
        <v>1410</v>
      </c>
      <c r="CU109" s="2" t="s">
        <v>1410</v>
      </c>
      <c r="CV109" s="2" t="s">
        <v>1410</v>
      </c>
      <c r="CW109" s="2" t="str">
        <f>HYPERLINK(".\links\pep\AGAP002484-PA-pep.txt","AGAP002484-PA")</f>
        <v>AGAP002484-PA</v>
      </c>
      <c r="CX109" s="2" t="s">
        <v>88</v>
      </c>
      <c r="CY109" s="2">
        <v>304</v>
      </c>
      <c r="CZ109" s="2" t="s">
        <v>106</v>
      </c>
      <c r="DA109" s="2">
        <v>0</v>
      </c>
      <c r="DB109" s="2">
        <v>0</v>
      </c>
      <c r="DD109" s="2" t="str">
        <f>HYPERLINK("https://www.kegg.jp/kegg-bin/search_pathway_text?map=aga&amp;keyword=AGAP002484&amp;mode=1&amp;viewImage=true","AGAP002484")</f>
        <v>AGAP002484</v>
      </c>
      <c r="DE109" s="2" t="s">
        <v>1406</v>
      </c>
      <c r="DF109" s="2" t="s">
        <v>1407</v>
      </c>
      <c r="DG109" s="2" t="s">
        <v>94</v>
      </c>
      <c r="DH109" s="2" t="str">
        <f>HYPERLINK("https://vectorbase.org/vectorbase/app/record/gene/AGAP002484","AGAP002484-RA")</f>
        <v>AGAP002484-RA</v>
      </c>
      <c r="DI109" s="2" t="s">
        <v>250</v>
      </c>
      <c r="DJ109" s="2">
        <v>1604</v>
      </c>
      <c r="DK109" s="2" t="str">
        <f>HYPERLINK(".\links\netoglyc\AGAP002484-PA-netoglyc.txt","1")</f>
        <v>1</v>
      </c>
      <c r="DL109" s="2">
        <v>12.5</v>
      </c>
      <c r="DM109" s="2">
        <v>6.3</v>
      </c>
      <c r="DN109" s="2">
        <v>3.3</v>
      </c>
      <c r="DO109" s="2" t="s">
        <v>97</v>
      </c>
      <c r="DP109" s="2" t="s">
        <v>94</v>
      </c>
      <c r="DQ109" s="2" t="str">
        <f>HYPERLINK(".\links\Sigp\AGAP002484-PA-SigP.txt","BL")</f>
        <v>BL</v>
      </c>
      <c r="DR109" s="2" t="s">
        <v>1233</v>
      </c>
      <c r="DS109" s="2">
        <v>33.369999999999997</v>
      </c>
      <c r="DT109" s="2">
        <v>8.74</v>
      </c>
      <c r="DU109" s="2">
        <v>29.898</v>
      </c>
      <c r="DV109" s="2">
        <v>8.83</v>
      </c>
      <c r="DW109" s="2" t="s">
        <v>1412</v>
      </c>
      <c r="DX109" s="2">
        <v>304</v>
      </c>
      <c r="DY109" s="8" t="str">
        <f>HYPERLINK(".\links\tmhmm\AGAP002484-PA-tmhmm.txt","1")</f>
        <v>1</v>
      </c>
      <c r="DZ109" s="2">
        <v>7.2</v>
      </c>
      <c r="EA109" s="2">
        <v>91.1</v>
      </c>
      <c r="EB109" s="2">
        <v>1.6</v>
      </c>
      <c r="EC109" s="2" t="str">
        <f>HYPERLINK(".\links\gpi\AGAP002484-PA-gpi.txt","N")</f>
        <v>N</v>
      </c>
      <c r="ED109" s="2">
        <v>0.31</v>
      </c>
      <c r="EF109" s="2">
        <v>6</v>
      </c>
      <c r="EG109" s="2" t="s">
        <v>94</v>
      </c>
      <c r="EH109" s="2" t="s">
        <v>94</v>
      </c>
      <c r="EI109" s="2">
        <v>12.5</v>
      </c>
      <c r="EJ109" s="2">
        <v>3.2894736842105301</v>
      </c>
      <c r="EK109" s="2">
        <v>6.25</v>
      </c>
      <c r="EL109" s="2">
        <v>9.5394736842105292</v>
      </c>
      <c r="EM109" s="2" t="s">
        <v>94</v>
      </c>
      <c r="EN109" s="2" t="s">
        <v>94</v>
      </c>
      <c r="EO109" s="2" t="s">
        <v>94</v>
      </c>
      <c r="EP109" s="2" t="s">
        <v>94</v>
      </c>
      <c r="EQ109" s="2" t="s">
        <v>94</v>
      </c>
      <c r="ER109" s="2" t="s">
        <v>94</v>
      </c>
      <c r="ES109" s="2" t="s">
        <v>94</v>
      </c>
      <c r="ET109" s="2" t="str">
        <f>HYPERLINK(".\links\REFSEQ-INVERTEBRATE\AGAP002484-PA-REFSEQ-INVERTEBRATE.txt","AGAP002484-PA, partial")</f>
        <v>AGAP002484-PA, partial</v>
      </c>
      <c r="EU109" s="2" t="str">
        <f>HYPERLINK("http://www.ncbi.nlm.nih.gov/sutils/blink.cgi?pid=XP_312454.4","0.0")</f>
        <v>0.0</v>
      </c>
      <c r="EV109" s="2" t="str">
        <f>HYPERLINK("http://www.ncbi.nlm.nih.gov/protein/XP_312454.4","XP_312454.4")</f>
        <v>XP_312454.4</v>
      </c>
      <c r="EW109" s="2">
        <v>100</v>
      </c>
      <c r="EX109" s="2">
        <v>100</v>
      </c>
      <c r="EY109" s="2">
        <v>97</v>
      </c>
      <c r="EZ109" s="2" t="s">
        <v>98</v>
      </c>
    </row>
    <row r="110" spans="1:156" x14ac:dyDescent="0.25">
      <c r="A110" s="2" t="s">
        <v>1416</v>
      </c>
      <c r="B110" s="2">
        <v>0.744519085909088</v>
      </c>
      <c r="C110" s="2">
        <v>1.6754156860618554</v>
      </c>
      <c r="D110" s="2">
        <v>4.2433064131336504</v>
      </c>
      <c r="E110" s="2">
        <v>22.082294158746802</v>
      </c>
      <c r="F110" s="2">
        <v>2.6120795537218201E-6</v>
      </c>
      <c r="G110" s="2">
        <v>4.6608370451976003E-4</v>
      </c>
      <c r="H110" s="2" t="s">
        <v>1417</v>
      </c>
      <c r="I110" s="2" t="s">
        <v>87</v>
      </c>
      <c r="J110" s="2" t="str">
        <f>HYPERLINK("https://vectorbase.org/vectorbase/app/record/gene/AGAP001446","AGAP001446-RB")</f>
        <v>AGAP001446-RB</v>
      </c>
      <c r="K110" s="2" t="str">
        <f>HYPERLINK(".\links\pep\AGAP001446-PB-pep.txt","AGAP001446-PB")</f>
        <v>AGAP001446-PB</v>
      </c>
      <c r="L110" s="8" t="s">
        <v>88</v>
      </c>
      <c r="M110" s="2">
        <v>1334</v>
      </c>
      <c r="N110" s="2">
        <v>0</v>
      </c>
      <c r="O110" s="2">
        <v>6</v>
      </c>
      <c r="P110" s="2" t="s">
        <v>1418</v>
      </c>
      <c r="Q110" s="9" t="s">
        <v>1419</v>
      </c>
      <c r="R110" s="2" t="s">
        <v>577</v>
      </c>
      <c r="S110" s="2" t="str">
        <f>HYPERLINK(".\links\KOG\AGAP001446-PB-KOG.txt","KOG")</f>
        <v>KOG</v>
      </c>
      <c r="T110" s="2">
        <v>0</v>
      </c>
      <c r="U110" s="2">
        <v>93.1</v>
      </c>
      <c r="V110" s="2" t="s">
        <v>1420</v>
      </c>
      <c r="W110" s="10" t="s">
        <v>1421</v>
      </c>
      <c r="X110" s="2" t="s">
        <v>318</v>
      </c>
      <c r="Y110" s="2" t="str">
        <f>HYPERLINK(".\links\REFSEQ-PROTOZOA\AGAP001446-PB-REFSEQ-PROTOZOA.txt","REFSEQ-PROTOZOA")</f>
        <v>REFSEQ-PROTOZOA</v>
      </c>
      <c r="Z110" s="13">
        <v>0</v>
      </c>
      <c r="AA110" s="2">
        <v>59.1</v>
      </c>
      <c r="AB110" s="11" t="str">
        <f>HYPERLINK(".\links\pep\AGAP001446-PB-sulf.txt","1")</f>
        <v>1</v>
      </c>
      <c r="AC110" s="11" t="str">
        <f>HYPERLINK(".\links\Sigp\AGAP001446-PB-SigP.txt","CYT")</f>
        <v>CYT</v>
      </c>
      <c r="AD110" s="2" t="s">
        <v>94</v>
      </c>
      <c r="AE110" s="2">
        <v>145.89099999999999</v>
      </c>
      <c r="AF110" s="2">
        <v>6.03</v>
      </c>
      <c r="AG110" s="2" t="s">
        <v>94</v>
      </c>
      <c r="AH110" s="2" t="s">
        <v>94</v>
      </c>
      <c r="AI110" s="2" t="s">
        <v>348</v>
      </c>
      <c r="AJ110" s="11">
        <v>0</v>
      </c>
      <c r="AK110" s="2" t="s">
        <v>94</v>
      </c>
      <c r="AL110" s="2" t="s">
        <v>94</v>
      </c>
      <c r="AM110" s="2" t="s">
        <v>94</v>
      </c>
      <c r="AN110" s="11" t="str">
        <f>HYPERLINK(".\links\gpi\AGAP001446-PB-gpi.txt","N")</f>
        <v>N</v>
      </c>
      <c r="AO110" s="12" t="str">
        <f>HYPERLINK(".\links\netoglyc\AGAP001446-PB-netoglyc.txt","2")</f>
        <v>2</v>
      </c>
      <c r="AP110" s="11">
        <v>15.6</v>
      </c>
      <c r="AQ110" s="2">
        <v>6.4</v>
      </c>
      <c r="AR110" s="2">
        <v>6.5</v>
      </c>
      <c r="AS110" s="2" t="s">
        <v>97</v>
      </c>
      <c r="AT110" s="9" t="str">
        <f>HYPERLINK(".\links\NR-LIGHT\AGAP001446-PB-NR-LIGHT.txt","AGAP001446-PB")</f>
        <v>AGAP001446-PB</v>
      </c>
      <c r="AU110" s="2" t="str">
        <f>HYPERLINK("http://www.ncbi.nlm.nih.gov/sutils/blink.cgi?pid=XP_003435836.1","0.0")</f>
        <v>0.0</v>
      </c>
      <c r="AV110" s="2" t="str">
        <f>HYPERLINK("http://www.ncbi.nlm.nih.gov/protein/XP_003435836.1","XP_003435836.1")</f>
        <v>XP_003435836.1</v>
      </c>
      <c r="AW110" s="2">
        <v>100</v>
      </c>
      <c r="AX110" s="2">
        <v>100</v>
      </c>
      <c r="AY110" s="2">
        <v>100</v>
      </c>
      <c r="AZ110" s="2" t="s">
        <v>98</v>
      </c>
      <c r="BA110" s="9" t="str">
        <f>HYPERLINK(".\links\REFSEQ-INVERTEBRATE\AGAP001446-PB-REFSEQ-INVERTEBRATE.txt","AGAP001446-PB")</f>
        <v>AGAP001446-PB</v>
      </c>
      <c r="BB110" s="2" t="str">
        <f>HYPERLINK("http://www.ncbi.nlm.nih.gov/sutils/blink.cgi?pid=XP_003435836.1","0.0")</f>
        <v>0.0</v>
      </c>
      <c r="BC110" s="2" t="str">
        <f>HYPERLINK("http://www.ncbi.nlm.nih.gov/protein/XP_003435836.1","XP_003435836.1")</f>
        <v>XP_003435836.1</v>
      </c>
      <c r="BD110" s="2">
        <v>100</v>
      </c>
      <c r="BE110" s="2">
        <v>100</v>
      </c>
      <c r="BF110" s="2">
        <v>100</v>
      </c>
      <c r="BG110" s="2" t="s">
        <v>98</v>
      </c>
      <c r="BH110" s="9" t="str">
        <f>HYPERLINK(".\links\REFSEQ-PROTOZOA\AGAP001446-PB-REFSEQ-PROTOZOA.txt","protein kinase")</f>
        <v>protein kinase</v>
      </c>
      <c r="BI110" s="2" t="str">
        <f>HYPERLINK("http://www.ncbi.nlm.nih.gov/sutils/blink.cgi?pid=XP_004349861.2","6E-086")</f>
        <v>6E-086</v>
      </c>
      <c r="BJ110" s="2" t="str">
        <f>HYPERLINK("http://www.ncbi.nlm.nih.gov/protein/XP_004349861.2","XP_004349861.2")</f>
        <v>XP_004349861.2</v>
      </c>
      <c r="BK110" s="2">
        <v>51</v>
      </c>
      <c r="BL110" s="2">
        <v>74</v>
      </c>
      <c r="BM110" s="2">
        <v>59</v>
      </c>
      <c r="BN110" s="2" t="s">
        <v>227</v>
      </c>
      <c r="BO110" s="9" t="str">
        <f>HYPERLINK(".\links\SWISSP\AGAP001446-PB-SWISSP.txt","5'-AMP-activated protein kinase subunit gamma-2")</f>
        <v>5'-AMP-activated protein kinase subunit gamma-2</v>
      </c>
      <c r="BP110" s="2" t="str">
        <f>HYPERLINK("http://www.uniprot.org/uniprot/Q91WG5","1E-111")</f>
        <v>1E-111</v>
      </c>
      <c r="BQ110" s="2" t="str">
        <f>HYPERLINK("http://www.uniprot.org/uniprot/Q91WG5#expression","Q91WG5")</f>
        <v>Q91WG5</v>
      </c>
      <c r="BR110" s="2">
        <v>52</v>
      </c>
      <c r="BS110" s="2">
        <v>70</v>
      </c>
      <c r="BT110" s="2">
        <v>72</v>
      </c>
      <c r="BU110" s="2" t="s">
        <v>339</v>
      </c>
      <c r="BV110" s="9" t="str">
        <f>HYPERLINK(".\links\FLYBASE\AGAP001446-PB-FLYBASE.txt","FBpp0083423")</f>
        <v>FBpp0083423</v>
      </c>
      <c r="BW110" s="2" t="str">
        <f>HYPERLINK("http://flybase.org/reports/FBgn0264357#alliance_summary_container","0.0")</f>
        <v>0.0</v>
      </c>
      <c r="BX110" s="2">
        <v>1400</v>
      </c>
      <c r="BY110" s="2">
        <v>56</v>
      </c>
      <c r="BZ110" s="2">
        <v>68</v>
      </c>
      <c r="CA110" s="2">
        <v>70</v>
      </c>
      <c r="CB110" s="9" t="str">
        <f>HYPERLINK(".\links\CDD\AGAP001446-PB-CDD.txt","CBS_pair_28, The CBS domain, named after human CBS, is a small domain originally identified in cystathionine beta-synthase and is subsequently found in a wide range of different proteins")</f>
        <v>CBS_pair_28, The CBS domain, named after human CBS, is a small domain originally identified in cystathionine beta-synthase and is subsequently found in a wide range of different proteins</v>
      </c>
      <c r="CC110" s="13">
        <v>9.9999999999999997E-48</v>
      </c>
      <c r="CD110" s="2">
        <v>99.2</v>
      </c>
      <c r="CE110" s="2" t="s">
        <v>1422</v>
      </c>
      <c r="CF110" s="2" t="s">
        <v>1423</v>
      </c>
      <c r="CG110" s="9" t="str">
        <f>HYPERLINK(".\links\KOG\AGAP001446-PB-KOG.txt","gamma subunit")</f>
        <v>gamma subunit</v>
      </c>
      <c r="CH110" s="13">
        <v>9.9999999999999996E-104</v>
      </c>
      <c r="CI110" s="2">
        <v>93.2</v>
      </c>
      <c r="CJ110" s="2" t="s">
        <v>1424</v>
      </c>
      <c r="CK110" s="2" t="s">
        <v>531</v>
      </c>
      <c r="CL110" s="9" t="str">
        <f>HYPERLINK(".\links\PFAM\AGAP001446-PB-PFAM.txt","CBS, CBS domain")</f>
        <v>CBS, CBS domain</v>
      </c>
      <c r="CM110" s="13">
        <v>6.9999999999999997E-7</v>
      </c>
      <c r="CN110" s="2">
        <v>87.7</v>
      </c>
      <c r="CO110" s="2" t="s">
        <v>1425</v>
      </c>
      <c r="CP110" s="9" t="str">
        <f>HYPERLINK(".\links\SMART\AGAP001446-PB-SMART.txt","CBS, Domain in cystathionine beta-synthase and other proteins")</f>
        <v>CBS, Domain in cystathionine beta-synthase and other proteins</v>
      </c>
      <c r="CQ110" s="13">
        <v>9.9999999999999995E-8</v>
      </c>
      <c r="CR110" s="2">
        <v>98</v>
      </c>
      <c r="CS110" s="2" t="s">
        <v>1426</v>
      </c>
      <c r="CT110" s="2" t="s">
        <v>1420</v>
      </c>
      <c r="CU110" s="2" t="s">
        <v>1420</v>
      </c>
      <c r="CV110" s="2" t="s">
        <v>1420</v>
      </c>
      <c r="CW110" s="2" t="str">
        <f>HYPERLINK(".\links\pep\AGAP001446-PB-pep.txt","AGAP001446-PB")</f>
        <v>AGAP001446-PB</v>
      </c>
      <c r="CX110" s="2" t="s">
        <v>88</v>
      </c>
      <c r="CY110" s="2">
        <v>1334</v>
      </c>
      <c r="CZ110" s="2" t="s">
        <v>106</v>
      </c>
      <c r="DA110" s="2" t="s">
        <v>1427</v>
      </c>
      <c r="DB110" s="2">
        <v>0</v>
      </c>
      <c r="DC110" s="2">
        <v>6</v>
      </c>
      <c r="DD110" s="2" t="str">
        <f>HYPERLINK("https://www.kegg.jp/kegg-bin/search_pathway_text?map=aga&amp;keyword=AGAP001446&amp;mode=1&amp;viewImage=true","AGAP001446")</f>
        <v>AGAP001446</v>
      </c>
      <c r="DE110" s="2" t="s">
        <v>1416</v>
      </c>
      <c r="DF110" s="2" t="s">
        <v>1417</v>
      </c>
      <c r="DG110" s="2" t="s">
        <v>87</v>
      </c>
      <c r="DH110" s="2" t="str">
        <f>HYPERLINK("https://vectorbase.org/vectorbase/app/record/gene/AGAP001446","AGAP001446-RB")</f>
        <v>AGAP001446-RB</v>
      </c>
      <c r="DI110" s="2" t="s">
        <v>250</v>
      </c>
      <c r="DJ110" s="2">
        <v>4005</v>
      </c>
      <c r="DK110" s="2" t="str">
        <f>HYPERLINK(".\links\netoglyc\AGAP001446-PB-netoglyc.txt","2")</f>
        <v>2</v>
      </c>
      <c r="DL110" s="2">
        <v>15.6</v>
      </c>
      <c r="DM110" s="2">
        <v>6.4</v>
      </c>
      <c r="DN110" s="2">
        <v>6.5</v>
      </c>
      <c r="DO110" s="2" t="s">
        <v>97</v>
      </c>
      <c r="DP110" s="2" t="s">
        <v>1428</v>
      </c>
      <c r="DQ110" s="2" t="str">
        <f>HYPERLINK(".\links\Sigp\AGAP001446-PB-SigP.txt","CYT")</f>
        <v>CYT</v>
      </c>
      <c r="DR110" s="2" t="s">
        <v>94</v>
      </c>
      <c r="DS110" s="2">
        <v>145.89099999999999</v>
      </c>
      <c r="DT110" s="2">
        <v>6.03</v>
      </c>
      <c r="DU110" s="2" t="s">
        <v>94</v>
      </c>
      <c r="DV110" s="2" t="s">
        <v>94</v>
      </c>
      <c r="DW110" s="2" t="s">
        <v>348</v>
      </c>
      <c r="DX110" s="2">
        <v>1334</v>
      </c>
      <c r="DY110" s="8">
        <v>0</v>
      </c>
      <c r="DZ110" s="2" t="s">
        <v>94</v>
      </c>
      <c r="EA110" s="2" t="s">
        <v>94</v>
      </c>
      <c r="EB110" s="2" t="s">
        <v>94</v>
      </c>
      <c r="EC110" s="2" t="str">
        <f>HYPERLINK(".\links\gpi\AGAP001446-PB-gpi.txt","Y-NoSP")</f>
        <v>Y-NoSP</v>
      </c>
      <c r="ED110" s="2">
        <v>0.2</v>
      </c>
      <c r="EF110" s="2">
        <v>6</v>
      </c>
      <c r="EG110" s="2" t="str">
        <f>HYPERLINK(".\links\pep\AGAP001446-PB-sulf.txt","1")</f>
        <v>1</v>
      </c>
      <c r="EH110" s="2" t="s">
        <v>94</v>
      </c>
      <c r="EI110" s="2">
        <v>15.592203898051</v>
      </c>
      <c r="EJ110" s="2">
        <v>6.5217391304347796</v>
      </c>
      <c r="EK110" s="2">
        <v>6.4467766116941503</v>
      </c>
      <c r="EL110" s="2">
        <v>12.968515742128901</v>
      </c>
      <c r="EM110" s="2">
        <v>2</v>
      </c>
      <c r="EN110" s="2">
        <v>1</v>
      </c>
      <c r="EO110" s="2">
        <v>1</v>
      </c>
      <c r="EP110" s="2" t="s">
        <v>94</v>
      </c>
      <c r="EQ110" s="2" t="s">
        <v>94</v>
      </c>
      <c r="ER110" s="2" t="s">
        <v>94</v>
      </c>
      <c r="ES110" s="2" t="s">
        <v>94</v>
      </c>
      <c r="ET110" s="2" t="str">
        <f>HYPERLINK(".\links\REFSEQ-INVERTEBRATE\AGAP001446-PB-REFSEQ-INVERTEBRATE.txt","AGAP001446-PB")</f>
        <v>AGAP001446-PB</v>
      </c>
      <c r="EU110" s="2" t="str">
        <f>HYPERLINK("http://www.ncbi.nlm.nih.gov/sutils/blink.cgi?pid=XP_003435836.1","0.0")</f>
        <v>0.0</v>
      </c>
      <c r="EV110" s="2" t="str">
        <f>HYPERLINK("http://www.ncbi.nlm.nih.gov/protein/XP_003435836.1","XP_003435836.1")</f>
        <v>XP_003435836.1</v>
      </c>
      <c r="EW110" s="2">
        <v>100</v>
      </c>
      <c r="EX110" s="2">
        <v>100</v>
      </c>
      <c r="EY110" s="2">
        <v>100</v>
      </c>
      <c r="EZ110" s="2" t="s">
        <v>98</v>
      </c>
    </row>
    <row r="111" spans="1:156" x14ac:dyDescent="0.25">
      <c r="A111" s="2" t="s">
        <v>1429</v>
      </c>
      <c r="B111" s="2">
        <v>0.74439055960360001</v>
      </c>
      <c r="C111" s="2">
        <v>1.6752664338702108</v>
      </c>
      <c r="D111" s="2">
        <v>3.2169764924958302</v>
      </c>
      <c r="E111" s="2">
        <v>10.5073332185471</v>
      </c>
      <c r="F111" s="2">
        <v>1.18901728337757E-3</v>
      </c>
      <c r="G111" s="2">
        <v>4.7622059092064101E-2</v>
      </c>
      <c r="H111" s="2" t="s">
        <v>167</v>
      </c>
      <c r="I111" s="2" t="s">
        <v>87</v>
      </c>
      <c r="J111" s="2" t="str">
        <f>HYPERLINK("https://vectorbase.org/vectorbase/app/record/gene/AGAP004689","AGAP004689-RA")</f>
        <v>AGAP004689-RA</v>
      </c>
      <c r="K111" s="2" t="str">
        <f>HYPERLINK(".\links\pep\AGAP004689-PA-pep.txt","AGAP004689-PA")</f>
        <v>AGAP004689-PA</v>
      </c>
      <c r="L111" s="8" t="s">
        <v>88</v>
      </c>
      <c r="M111" s="2">
        <v>611</v>
      </c>
      <c r="N111" s="2">
        <v>0</v>
      </c>
      <c r="O111" s="2">
        <v>2</v>
      </c>
      <c r="P111" s="2" t="s">
        <v>94</v>
      </c>
      <c r="Q111" s="9" t="s">
        <v>1430</v>
      </c>
      <c r="R111" s="2" t="s">
        <v>1220</v>
      </c>
      <c r="S111" s="2" t="str">
        <f>HYPERLINK(".\links\KOG\AGAP004689-PA-KOG.txt","KOG")</f>
        <v>KOG</v>
      </c>
      <c r="T111" s="2">
        <v>0</v>
      </c>
      <c r="U111" s="2">
        <v>104</v>
      </c>
      <c r="V111" s="2" t="s">
        <v>1431</v>
      </c>
      <c r="W111" s="10" t="s">
        <v>1432</v>
      </c>
      <c r="X111" s="2" t="s">
        <v>1220</v>
      </c>
      <c r="Y111" s="2" t="str">
        <f>HYPERLINK(".\links\KOG\AGAP004689-PA-KOG.txt","KOG")</f>
        <v>KOG</v>
      </c>
      <c r="Z111" s="13">
        <v>2.0000000000000001E-89</v>
      </c>
      <c r="AA111" s="2">
        <v>56</v>
      </c>
      <c r="AB111" s="11" t="s">
        <v>94</v>
      </c>
      <c r="AC111" s="11" t="str">
        <f>HYPERLINK(".\links\Sigp\AGAP004689-PA-SigP.txt","SIG")</f>
        <v>SIG</v>
      </c>
      <c r="AD111" s="2" t="s">
        <v>1065</v>
      </c>
      <c r="AE111" s="2">
        <v>68.983000000000004</v>
      </c>
      <c r="AF111" s="2">
        <v>8.5</v>
      </c>
      <c r="AG111" s="2">
        <v>66.034999999999997</v>
      </c>
      <c r="AH111" s="2">
        <v>8.34</v>
      </c>
      <c r="AI111" s="2" t="s">
        <v>1433</v>
      </c>
      <c r="AJ111" s="11" t="str">
        <f>HYPERLINK(".\links\tmhmm\AGAP004689-PA-tmhmm.txt","1")</f>
        <v>1</v>
      </c>
      <c r="AK111" s="2">
        <v>3.6</v>
      </c>
      <c r="AL111" s="2">
        <v>89.7</v>
      </c>
      <c r="AM111" s="2">
        <v>6.7</v>
      </c>
      <c r="AN111" s="11" t="str">
        <f>HYPERLINK(".\links\gpi\AGAP004689-PA-gpi.txt","N")</f>
        <v>N</v>
      </c>
      <c r="AO111" s="12" t="str">
        <f>HYPERLINK(".\links\netoglyc\AGAP004689-PA-netoglyc.txt","0")</f>
        <v>0</v>
      </c>
      <c r="AP111" s="11">
        <v>18</v>
      </c>
      <c r="AQ111" s="2">
        <v>6.1</v>
      </c>
      <c r="AR111" s="2">
        <v>3.6</v>
      </c>
      <c r="AS111" s="2" t="s">
        <v>97</v>
      </c>
      <c r="AT111" s="9" t="str">
        <f>HYPERLINK(".\links\NR-LIGHT\AGAP004689-PA-NR-LIGHT.txt","AGAP004689-PA")</f>
        <v>AGAP004689-PA</v>
      </c>
      <c r="AU111" s="2" t="str">
        <f>HYPERLINK("http://www.ncbi.nlm.nih.gov/sutils/blink.cgi?pid=XP_001689106.1","0.0")</f>
        <v>0.0</v>
      </c>
      <c r="AV111" s="2" t="str">
        <f>HYPERLINK("http://www.ncbi.nlm.nih.gov/protein/XP_001689106.1","XP_001689106.1")</f>
        <v>XP_001689106.1</v>
      </c>
      <c r="AW111" s="2">
        <v>100</v>
      </c>
      <c r="AX111" s="2">
        <v>100</v>
      </c>
      <c r="AY111" s="2">
        <v>100</v>
      </c>
      <c r="AZ111" s="2" t="s">
        <v>98</v>
      </c>
      <c r="BA111" s="9" t="str">
        <f>HYPERLINK(".\links\REFSEQ-INVERTEBRATE\AGAP004689-PA-REFSEQ-INVERTEBRATE.txt","AGAP004689-PA")</f>
        <v>AGAP004689-PA</v>
      </c>
      <c r="BB111" s="2" t="str">
        <f>HYPERLINK("http://www.ncbi.nlm.nih.gov/sutils/blink.cgi?pid=XP_001689106.1","0.0")</f>
        <v>0.0</v>
      </c>
      <c r="BC111" s="2" t="str">
        <f>HYPERLINK("http://www.ncbi.nlm.nih.gov/protein/XP_001689106.1","XP_001689106.1")</f>
        <v>XP_001689106.1</v>
      </c>
      <c r="BD111" s="2">
        <v>100</v>
      </c>
      <c r="BE111" s="2">
        <v>100</v>
      </c>
      <c r="BF111" s="2">
        <v>100</v>
      </c>
      <c r="BG111" s="2" t="s">
        <v>98</v>
      </c>
      <c r="BH111" s="9" t="str">
        <f>HYPERLINK(".\links\REFSEQ-PROTOZOA\AGAP004689-PA-REFSEQ-PROTOZOA.txt","hypothetical protein PTSG_07674")</f>
        <v>hypothetical protein PTSG_07674</v>
      </c>
      <c r="BI111" s="2" t="str">
        <f>HYPERLINK("http://www.ncbi.nlm.nih.gov/sutils/blink.cgi?pid=XP_004991473.1","1E-038")</f>
        <v>1E-038</v>
      </c>
      <c r="BJ111" s="2" t="str">
        <f>HYPERLINK("http://www.ncbi.nlm.nih.gov/protein/XP_004991473.1","XP_004991473.1")</f>
        <v>XP_004991473.1</v>
      </c>
      <c r="BK111" s="2">
        <v>30</v>
      </c>
      <c r="BL111" s="2">
        <v>47</v>
      </c>
      <c r="BM111" s="2">
        <v>30</v>
      </c>
      <c r="BN111" s="2" t="s">
        <v>117</v>
      </c>
      <c r="BO111" s="9" t="str">
        <f>HYPERLINK(".\links\SWISSP\AGAP004689-PA-SWISSP.txt","Plexin domain-containing protein 2")</f>
        <v>Plexin domain-containing protein 2</v>
      </c>
      <c r="BP111" s="2" t="str">
        <f>HYPERLINK("http://www.uniprot.org/uniprot/Q6DE92","4E-067")</f>
        <v>4E-067</v>
      </c>
      <c r="BQ111" s="2" t="str">
        <f>HYPERLINK("http://www.uniprot.org/uniprot/Q6DE92#expression","Q6DE92")</f>
        <v>Q6DE92</v>
      </c>
      <c r="BR111" s="2">
        <v>35</v>
      </c>
      <c r="BS111" s="2">
        <v>52</v>
      </c>
      <c r="BT111" s="2">
        <v>86</v>
      </c>
      <c r="BU111" s="2" t="s">
        <v>1434</v>
      </c>
      <c r="BV111" s="9" t="str">
        <f>HYPERLINK(".\links\FLYBASE\AGAP004689-PA-FLYBASE.txt","FBpp0312441")</f>
        <v>FBpp0312441</v>
      </c>
      <c r="BW111" s="2" t="str">
        <f>HYPERLINK("http://flybase.org/reports/FBgn0028331#alliance_summary_container","1E-141")</f>
        <v>1E-141</v>
      </c>
      <c r="BX111" s="2">
        <v>625</v>
      </c>
      <c r="BY111" s="2">
        <v>43</v>
      </c>
      <c r="BZ111" s="2">
        <v>60</v>
      </c>
      <c r="CA111" s="2">
        <v>85</v>
      </c>
      <c r="CB111" s="9" t="str">
        <f>HYPERLINK(".\links\CDD\AGAP004689-PA-CDD.txt","PSI, domain found in Plexins, Semaphorins and Integrins")</f>
        <v>PSI, domain found in Plexins, Semaphorins and Integrins</v>
      </c>
      <c r="CC111" s="13">
        <v>6.9999999999999999E-6</v>
      </c>
      <c r="CD111" s="2">
        <v>100</v>
      </c>
      <c r="CE111" s="2" t="s">
        <v>1435</v>
      </c>
      <c r="CF111" s="2" t="s">
        <v>1436</v>
      </c>
      <c r="CG111" s="9" t="str">
        <f>HYPERLINK(".\links\KOG\AGAP004689-PA-KOG.txt","contains PSI domain (tumor endothelial marker in humans)")</f>
        <v>contains PSI domain (tumor endothelial marker in humans)</v>
      </c>
      <c r="CH111" s="13">
        <v>9.9999999999999998E-114</v>
      </c>
      <c r="CI111" s="2">
        <v>104.1</v>
      </c>
      <c r="CJ111" s="2" t="s">
        <v>1437</v>
      </c>
      <c r="CK111" s="2" t="s">
        <v>1438</v>
      </c>
      <c r="CL111" s="9" t="str">
        <f>HYPERLINK(".\links\PFAM\AGAP004689-PA-PFAM.txt","PSI, Plexin repeat")</f>
        <v>PSI, Plexin repeat</v>
      </c>
      <c r="CM111" s="13">
        <v>2.0000000000000001E-4</v>
      </c>
      <c r="CN111" s="2">
        <v>101.9</v>
      </c>
      <c r="CO111" s="2" t="s">
        <v>1439</v>
      </c>
      <c r="CP111" s="9" t="str">
        <f>HYPERLINK(".\links\SMART\AGAP004689-PA-SMART.txt","PSI, domain found in Plexins, Semaphorins and Integrins")</f>
        <v>PSI, domain found in Plexins, Semaphorins and Integrins</v>
      </c>
      <c r="CQ111" s="13">
        <v>5.9999999999999995E-8</v>
      </c>
      <c r="CR111" s="2">
        <v>100</v>
      </c>
      <c r="CS111" s="2" t="s">
        <v>1435</v>
      </c>
      <c r="CT111" s="2" t="s">
        <v>1431</v>
      </c>
      <c r="CU111" s="2" t="s">
        <v>1431</v>
      </c>
      <c r="CV111" s="2" t="s">
        <v>1431</v>
      </c>
      <c r="CW111" s="2" t="str">
        <f>HYPERLINK(".\links\pep\AGAP004689-PA-pep.txt","AGAP004689-PA")</f>
        <v>AGAP004689-PA</v>
      </c>
      <c r="CX111" s="2" t="s">
        <v>88</v>
      </c>
      <c r="CY111" s="2">
        <v>611</v>
      </c>
      <c r="CZ111" s="2" t="s">
        <v>106</v>
      </c>
      <c r="DA111" s="2" t="s">
        <v>1440</v>
      </c>
      <c r="DB111" s="2">
        <v>0</v>
      </c>
      <c r="DC111" s="2">
        <v>2</v>
      </c>
      <c r="DD111" s="2" t="str">
        <f>HYPERLINK("https://www.kegg.jp/kegg-bin/search_pathway_text?map=aga&amp;keyword=AGAP004689&amp;mode=1&amp;viewImage=true","AGAP004689")</f>
        <v>AGAP004689</v>
      </c>
      <c r="DE111" s="2" t="s">
        <v>1441</v>
      </c>
      <c r="DF111" s="2" t="s">
        <v>167</v>
      </c>
      <c r="DG111" s="2" t="s">
        <v>87</v>
      </c>
      <c r="DH111" s="2" t="str">
        <f>HYPERLINK("https://vectorbase.org/vectorbase/app/record/gene/AGAP004689","AGAP004689-RA")</f>
        <v>AGAP004689-RA</v>
      </c>
      <c r="DI111" s="2" t="s">
        <v>250</v>
      </c>
      <c r="DJ111" s="2">
        <v>2660</v>
      </c>
      <c r="DK111" s="2" t="str">
        <f>HYPERLINK(".\links\netoglyc\AGAP004689-PA-netoglyc.txt","0")</f>
        <v>0</v>
      </c>
      <c r="DL111" s="2">
        <v>18</v>
      </c>
      <c r="DM111" s="2">
        <v>6.1</v>
      </c>
      <c r="DN111" s="2">
        <v>3.6</v>
      </c>
      <c r="DO111" s="2" t="s">
        <v>97</v>
      </c>
      <c r="DP111" s="2" t="s">
        <v>94</v>
      </c>
      <c r="DQ111" s="2" t="str">
        <f>HYPERLINK(".\links\Sigp\AGAP004689-PA-SigP.txt","SIG")</f>
        <v>SIG</v>
      </c>
      <c r="DR111" s="2" t="s">
        <v>1065</v>
      </c>
      <c r="DS111" s="2">
        <v>68.983000000000004</v>
      </c>
      <c r="DT111" s="2">
        <v>8.5</v>
      </c>
      <c r="DU111" s="2">
        <v>66.034999999999997</v>
      </c>
      <c r="DV111" s="2">
        <v>8.34</v>
      </c>
      <c r="DW111" s="2" t="s">
        <v>1433</v>
      </c>
      <c r="DX111" s="2">
        <v>611</v>
      </c>
      <c r="DY111" s="8" t="str">
        <f>HYPERLINK(".\links\tmhmm\AGAP004689-PA-tmhmm.txt","1")</f>
        <v>1</v>
      </c>
      <c r="DZ111" s="2">
        <v>3.6</v>
      </c>
      <c r="EA111" s="2">
        <v>89.7</v>
      </c>
      <c r="EB111" s="2">
        <v>6.7</v>
      </c>
      <c r="EC111" s="2" t="str">
        <f>HYPERLINK(".\links\gpi\AGAP004689-PA-gpi.txt","N")</f>
        <v>N</v>
      </c>
      <c r="ED111" s="2">
        <v>0.28000000000000003</v>
      </c>
      <c r="EF111" s="2">
        <v>13</v>
      </c>
      <c r="EG111" s="2" t="s">
        <v>94</v>
      </c>
      <c r="EH111" s="2" t="s">
        <v>94</v>
      </c>
      <c r="EI111" s="2">
        <v>18.003273322422299</v>
      </c>
      <c r="EJ111" s="2">
        <v>3.6006546644844502</v>
      </c>
      <c r="EK111" s="2">
        <v>6.0556464811783997</v>
      </c>
      <c r="EL111" s="2">
        <v>9.6563011456628498</v>
      </c>
      <c r="EM111" s="2" t="s">
        <v>94</v>
      </c>
      <c r="EN111" s="2">
        <v>3</v>
      </c>
      <c r="EO111" s="2">
        <v>3</v>
      </c>
      <c r="EP111" s="2" t="s">
        <v>94</v>
      </c>
      <c r="EQ111" s="2" t="s">
        <v>94</v>
      </c>
      <c r="ER111" s="2" t="s">
        <v>94</v>
      </c>
      <c r="ES111" s="2" t="s">
        <v>94</v>
      </c>
      <c r="ET111" s="2" t="str">
        <f>HYPERLINK(".\links\REFSEQ-INVERTEBRATE\AGAP004689-PA-REFSEQ-INVERTEBRATE.txt","AGAP004689-PA")</f>
        <v>AGAP004689-PA</v>
      </c>
      <c r="EU111" s="2" t="str">
        <f>HYPERLINK("http://www.ncbi.nlm.nih.gov/sutils/blink.cgi?pid=XP_001689106.1","0.0")</f>
        <v>0.0</v>
      </c>
      <c r="EV111" s="2" t="str">
        <f>HYPERLINK("http://www.ncbi.nlm.nih.gov/protein/XP_001689106.1","XP_001689106.1")</f>
        <v>XP_001689106.1</v>
      </c>
      <c r="EW111" s="2">
        <v>100</v>
      </c>
      <c r="EX111" s="2">
        <v>100</v>
      </c>
      <c r="EY111" s="2">
        <v>100</v>
      </c>
      <c r="EZ111" s="2" t="s">
        <v>98</v>
      </c>
    </row>
    <row r="112" spans="1:156" x14ac:dyDescent="0.25">
      <c r="A112" s="2" t="s">
        <v>1442</v>
      </c>
      <c r="B112" s="2">
        <v>0.74212776405870495</v>
      </c>
      <c r="C112" s="2">
        <v>1.6726409211734945</v>
      </c>
      <c r="D112" s="2">
        <v>3.0022565394207099</v>
      </c>
      <c r="E112" s="2">
        <v>13.2663759367654</v>
      </c>
      <c r="F112" s="2">
        <v>2.70209060465623E-4</v>
      </c>
      <c r="G112" s="2">
        <v>1.49436671627099E-2</v>
      </c>
      <c r="H112" s="2" t="s">
        <v>1443</v>
      </c>
      <c r="I112" s="2" t="s">
        <v>87</v>
      </c>
      <c r="J112" s="2" t="str">
        <f>HYPERLINK("https://vectorbase.org/vectorbase/app/record/gene/AGAP002741","AGAP002741-RA")</f>
        <v>AGAP002741-RA</v>
      </c>
      <c r="K112" s="2" t="str">
        <f>HYPERLINK(".\links\pep\AGAP002741-PA-pep.txt","AGAP002741-PA")</f>
        <v>AGAP002741-PA</v>
      </c>
      <c r="L112" s="8" t="s">
        <v>88</v>
      </c>
      <c r="M112" s="2">
        <v>4901</v>
      </c>
      <c r="N112" s="2">
        <v>0</v>
      </c>
      <c r="O112" s="2">
        <v>7</v>
      </c>
      <c r="P112" s="2" t="s">
        <v>1444</v>
      </c>
      <c r="Q112" s="9" t="s">
        <v>1445</v>
      </c>
      <c r="R112" s="2" t="s">
        <v>286</v>
      </c>
      <c r="S112" s="2" t="str">
        <f>HYPERLINK(".\links\KOG\AGAP002741-PA-KOG.txt","KOG")</f>
        <v>KOG</v>
      </c>
      <c r="T112" s="2">
        <v>8.0000000000000002E-54</v>
      </c>
      <c r="U112" s="2">
        <v>35.9</v>
      </c>
      <c r="V112" s="2" t="s">
        <v>1446</v>
      </c>
      <c r="W112" s="10" t="s">
        <v>1447</v>
      </c>
      <c r="X112" s="2" t="s">
        <v>286</v>
      </c>
      <c r="Y112" s="2" t="str">
        <f>HYPERLINK(".\links\REFSEQVERTEBRATE95\AGAP002741-PA-REFSEQVERTEBRATE95.txt","REFSEQVERTEBRATE95")</f>
        <v>REFSEQVERTEBRATE95</v>
      </c>
      <c r="Z112" s="2">
        <v>0</v>
      </c>
      <c r="AA112" s="2">
        <v>100.5</v>
      </c>
      <c r="AB112" s="11" t="str">
        <f>HYPERLINK(".\links\pep\AGAP002741-PA-sulf.txt","7")</f>
        <v>7</v>
      </c>
      <c r="AC112" s="11" t="str">
        <f>HYPERLINK(".\links\Sigp\AGAP002741-PA-SigP.txt","CYT")</f>
        <v>CYT</v>
      </c>
      <c r="AD112" s="2" t="s">
        <v>94</v>
      </c>
      <c r="AE112" s="2">
        <v>516.74199999999996</v>
      </c>
      <c r="AF112" s="2">
        <v>6.08</v>
      </c>
      <c r="AG112" s="2" t="s">
        <v>94</v>
      </c>
      <c r="AH112" s="2" t="s">
        <v>94</v>
      </c>
      <c r="AI112" s="2" t="s">
        <v>1448</v>
      </c>
      <c r="AJ112" s="11">
        <v>0</v>
      </c>
      <c r="AK112" s="2" t="s">
        <v>94</v>
      </c>
      <c r="AL112" s="2" t="s">
        <v>94</v>
      </c>
      <c r="AM112" s="2" t="s">
        <v>94</v>
      </c>
      <c r="AN112" s="11" t="str">
        <f>HYPERLINK(".\links\gpi\AGAP002741-PA-gpi.txt","N")</f>
        <v>N</v>
      </c>
      <c r="AO112" s="12" t="str">
        <f>HYPERLINK(".\links\netoglyc\AGAP002741-PA-netoglyc.txt","29")</f>
        <v>29</v>
      </c>
      <c r="AP112" s="11">
        <v>18.600000000000001</v>
      </c>
      <c r="AQ112" s="2">
        <v>8.5</v>
      </c>
      <c r="AR112" s="2">
        <v>6.3</v>
      </c>
      <c r="AS112" s="2">
        <v>0.1</v>
      </c>
      <c r="AT112" s="9" t="str">
        <f>HYPERLINK(".\links\NR-LIGHT\AGAP002741-PA-NR-LIGHT.txt","AGAP002741-PA")</f>
        <v>AGAP002741-PA</v>
      </c>
      <c r="AU112" s="2" t="str">
        <f>HYPERLINK("http://www.ncbi.nlm.nih.gov/sutils/blink.cgi?pid=XP_563394.4","0.0")</f>
        <v>0.0</v>
      </c>
      <c r="AV112" s="2" t="str">
        <f>HYPERLINK("http://www.ncbi.nlm.nih.gov/protein/XP_563394.4","XP_563394.4")</f>
        <v>XP_563394.4</v>
      </c>
      <c r="AW112" s="2">
        <v>99</v>
      </c>
      <c r="AX112" s="2">
        <v>99</v>
      </c>
      <c r="AY112" s="2">
        <v>100</v>
      </c>
      <c r="AZ112" s="2" t="s">
        <v>98</v>
      </c>
      <c r="BA112" s="9" t="str">
        <f>HYPERLINK(".\links\REFSEQ-INVERTEBRATE\AGAP002741-PA-REFSEQ-INVERTEBRATE.txt","AGAP002741-PA")</f>
        <v>AGAP002741-PA</v>
      </c>
      <c r="BB112" s="2" t="str">
        <f>HYPERLINK("http://www.ncbi.nlm.nih.gov/sutils/blink.cgi?pid=XP_563394.4","0.0")</f>
        <v>0.0</v>
      </c>
      <c r="BC112" s="2" t="str">
        <f>HYPERLINK("http://www.ncbi.nlm.nih.gov/protein/XP_563394.4","XP_563394.4")</f>
        <v>XP_563394.4</v>
      </c>
      <c r="BD112" s="2">
        <v>99</v>
      </c>
      <c r="BE112" s="2">
        <v>99</v>
      </c>
      <c r="BF112" s="2">
        <v>100</v>
      </c>
      <c r="BG112" s="2" t="s">
        <v>98</v>
      </c>
      <c r="BH112" s="9" t="str">
        <f>HYPERLINK(".\links\REFSEQ-PROTOZOA\AGAP002741-PA-REFSEQ-PROTOZOA.txt","proteophosphoglycan 5")</f>
        <v>proteophosphoglycan 5</v>
      </c>
      <c r="BI112" s="2" t="str">
        <f>HYPERLINK("http://www.ncbi.nlm.nih.gov/sutils/blink.cgi?pid=XP_003722449.1","7E-056")</f>
        <v>7E-056</v>
      </c>
      <c r="BJ112" s="2" t="str">
        <f>HYPERLINK("http://www.ncbi.nlm.nih.gov/protein/XP_003722449.1","XP_003722449.1")</f>
        <v>XP_003722449.1</v>
      </c>
      <c r="BK112" s="2">
        <v>18</v>
      </c>
      <c r="BL112" s="2">
        <v>36</v>
      </c>
      <c r="BM112" s="2">
        <v>9</v>
      </c>
      <c r="BN112" s="2" t="s">
        <v>1171</v>
      </c>
      <c r="BO112" s="9" t="str">
        <f>HYPERLINK(".\links\SWISSP\AGAP002741-PA-SWISSP.txt","Histone-lysine N-methyltransferase trithorax")</f>
        <v>Histone-lysine N-methyltransferase trithorax</v>
      </c>
      <c r="BP112" s="2" t="str">
        <f>HYPERLINK("http://www.uniprot.org/uniprot/P20659","0.0")</f>
        <v>0.0</v>
      </c>
      <c r="BQ112" s="2" t="str">
        <f>HYPERLINK("http://www.uniprot.org/uniprot/P20659#expression","P20659")</f>
        <v>P20659</v>
      </c>
      <c r="BR112" s="2">
        <v>32</v>
      </c>
      <c r="BS112" s="2">
        <v>45</v>
      </c>
      <c r="BT112" s="2">
        <v>74</v>
      </c>
      <c r="BU112" s="2" t="s">
        <v>100</v>
      </c>
      <c r="BV112" s="9" t="str">
        <f>HYPERLINK(".\links\FLYBASE\AGAP002741-PA-FLYBASE.txt","FBpp0099668")</f>
        <v>FBpp0099668</v>
      </c>
      <c r="BW112" s="2" t="str">
        <f>HYPERLINK("http://flybase.org/reports/FBgn0003862#alliance_summary_container","0.0")</f>
        <v>0.0</v>
      </c>
      <c r="BX112" s="2">
        <v>3358</v>
      </c>
      <c r="BY112" s="2">
        <v>50</v>
      </c>
      <c r="BZ112" s="2">
        <v>64</v>
      </c>
      <c r="CA112" s="2">
        <v>28</v>
      </c>
      <c r="CB112" s="9" t="str">
        <f>HYPERLINK(".\links\CDD\AGAP002741-PA-CDD.txt","ePHD_KMT2A_like, Extended PHD finger found in histone-lysine N-methyltransferase 2A (KMT2A) and 2B (KMT2B)")</f>
        <v>ePHD_KMT2A_like, Extended PHD finger found in histone-lysine N-methyltransferase 2A (KMT2A) and 2B (KMT2B)</v>
      </c>
      <c r="CC112" s="13">
        <v>6E-51</v>
      </c>
      <c r="CD112" s="2">
        <v>100</v>
      </c>
      <c r="CE112" s="2" t="s">
        <v>1449</v>
      </c>
      <c r="CF112" s="2" t="s">
        <v>1450</v>
      </c>
      <c r="CG112" s="9" t="str">
        <f>HYPERLINK(".\links\KOG\AGAP002741-PA-KOG.txt","subunit SET1 and related methyltransferases")</f>
        <v>subunit SET1 and related methyltransferases</v>
      </c>
      <c r="CH112" s="13">
        <v>8.0000000000000002E-54</v>
      </c>
      <c r="CI112" s="2">
        <v>35.9</v>
      </c>
      <c r="CJ112" s="2" t="s">
        <v>1451</v>
      </c>
      <c r="CK112" s="2" t="s">
        <v>1452</v>
      </c>
      <c r="CL112" s="9" t="str">
        <f>HYPERLINK(".\links\PFAM\AGAP002741-PA-PFAM.txt","SET, SET domain")</f>
        <v>SET, SET domain</v>
      </c>
      <c r="CM112" s="13">
        <v>3E-32</v>
      </c>
      <c r="CN112" s="2">
        <v>99.1</v>
      </c>
      <c r="CO112" s="2" t="s">
        <v>1175</v>
      </c>
      <c r="CP112" s="9" t="str">
        <f>HYPERLINK(".\links\SMART\AGAP002741-PA-SMART.txt","SET, SET (Su(var)3-9, Enhancer-of-zeste, Trithorax) domain")</f>
        <v>SET, SET (Su(var)3-9, Enhancer-of-zeste, Trithorax) domain</v>
      </c>
      <c r="CQ112" s="13">
        <v>9.9999999999999995E-45</v>
      </c>
      <c r="CR112" s="2">
        <v>99.2</v>
      </c>
      <c r="CS112" s="2" t="s">
        <v>1176</v>
      </c>
      <c r="CT112" s="2" t="s">
        <v>1446</v>
      </c>
      <c r="CU112" s="2" t="s">
        <v>1446</v>
      </c>
      <c r="CV112" s="2" t="s">
        <v>1446</v>
      </c>
      <c r="CW112" s="2" t="str">
        <f>HYPERLINK(".\links\pep\AGAP002741-PA-pep.txt","AGAP002741-PA")</f>
        <v>AGAP002741-PA</v>
      </c>
      <c r="CX112" s="2" t="s">
        <v>88</v>
      </c>
      <c r="CY112" s="2">
        <v>4901</v>
      </c>
      <c r="CZ112" s="2" t="s">
        <v>106</v>
      </c>
      <c r="DA112" s="2" t="s">
        <v>1453</v>
      </c>
      <c r="DB112" s="2">
        <v>0</v>
      </c>
      <c r="DC112" s="2">
        <v>7</v>
      </c>
      <c r="DD112" s="2" t="str">
        <f>HYPERLINK("https://www.kegg.jp/kegg-bin/search_pathway_text?map=aga&amp;keyword=AGAP002741&amp;mode=1&amp;viewImage=true","AGAP002741")</f>
        <v>AGAP002741</v>
      </c>
      <c r="DE112" s="2" t="s">
        <v>1442</v>
      </c>
      <c r="DF112" s="2" t="s">
        <v>1443</v>
      </c>
      <c r="DG112" s="2" t="s">
        <v>87</v>
      </c>
      <c r="DH112" s="2" t="str">
        <f>HYPERLINK("https://vectorbase.org/vectorbase/app/record/gene/AGAP002741","AGAP002741-RA")</f>
        <v>AGAP002741-RA</v>
      </c>
      <c r="DI112" s="2" t="s">
        <v>125</v>
      </c>
      <c r="DJ112" s="2">
        <v>19891</v>
      </c>
      <c r="DK112" s="2" t="str">
        <f>HYPERLINK(".\links\netoglyc\AGAP002741-PA-netoglyc.txt","29")</f>
        <v>29</v>
      </c>
      <c r="DL112" s="2">
        <v>18.600000000000001</v>
      </c>
      <c r="DM112" s="2">
        <v>8.5</v>
      </c>
      <c r="DN112" s="2">
        <v>6.3</v>
      </c>
      <c r="DO112" s="2">
        <v>0.1</v>
      </c>
      <c r="DP112" s="2" t="s">
        <v>94</v>
      </c>
      <c r="DQ112" s="2" t="str">
        <f>HYPERLINK(".\links\Sigp\AGAP002741-PA-SigP.txt","CYT")</f>
        <v>CYT</v>
      </c>
      <c r="DR112" s="2" t="s">
        <v>94</v>
      </c>
      <c r="DS112" s="2">
        <v>516.74199999999996</v>
      </c>
      <c r="DT112" s="2">
        <v>6.08</v>
      </c>
      <c r="DU112" s="2" t="s">
        <v>94</v>
      </c>
      <c r="DV112" s="2" t="s">
        <v>94</v>
      </c>
      <c r="DW112" s="2" t="s">
        <v>1448</v>
      </c>
      <c r="DX112" s="2">
        <v>4901</v>
      </c>
      <c r="DY112" s="8">
        <v>0</v>
      </c>
      <c r="DZ112" s="2" t="s">
        <v>94</v>
      </c>
      <c r="EA112" s="2" t="s">
        <v>94</v>
      </c>
      <c r="EB112" s="2" t="s">
        <v>94</v>
      </c>
      <c r="EC112" s="2" t="str">
        <f>HYPERLINK(".\links\gpi\AGAP002741-PA-gpi.txt","N")</f>
        <v>N</v>
      </c>
      <c r="ED112" s="2">
        <v>0.28000000000000003</v>
      </c>
      <c r="EF112" s="2">
        <v>96</v>
      </c>
      <c r="EG112" s="2" t="str">
        <f>HYPERLINK(".\links\pep\AGAP002741-PA-sulf.txt","7")</f>
        <v>7</v>
      </c>
      <c r="EH112" s="2" t="s">
        <v>94</v>
      </c>
      <c r="EI112" s="2">
        <v>18.628851254846001</v>
      </c>
      <c r="EJ112" s="2">
        <v>6.3456437461742503</v>
      </c>
      <c r="EK112" s="2">
        <v>8.5084676596612905</v>
      </c>
      <c r="EL112" s="2">
        <v>14.8541114058355</v>
      </c>
      <c r="EM112" s="2">
        <v>8</v>
      </c>
      <c r="EN112" s="2">
        <v>7</v>
      </c>
      <c r="EO112" s="2">
        <v>8</v>
      </c>
      <c r="EP112" s="2" t="s">
        <v>94</v>
      </c>
      <c r="EQ112" s="2" t="s">
        <v>94</v>
      </c>
      <c r="ER112" s="2" t="s">
        <v>94</v>
      </c>
      <c r="ES112" s="2" t="s">
        <v>94</v>
      </c>
      <c r="ET112" s="2" t="str">
        <f>HYPERLINK(".\links\REFSEQ-INVERTEBRATE\AGAP002741-PA-REFSEQ-INVERTEBRATE.txt","AGAP002741-PA")</f>
        <v>AGAP002741-PA</v>
      </c>
      <c r="EU112" s="2" t="str">
        <f>HYPERLINK("http://www.ncbi.nlm.nih.gov/sutils/blink.cgi?pid=XP_563394.4","0.0")</f>
        <v>0.0</v>
      </c>
      <c r="EV112" s="2" t="str">
        <f>HYPERLINK("http://www.ncbi.nlm.nih.gov/protein/XP_563394.4","XP_563394.4")</f>
        <v>XP_563394.4</v>
      </c>
      <c r="EW112" s="2">
        <v>99</v>
      </c>
      <c r="EX112" s="2">
        <v>99</v>
      </c>
      <c r="EY112" s="2">
        <v>100</v>
      </c>
      <c r="EZ112" s="2" t="s">
        <v>98</v>
      </c>
    </row>
    <row r="113" spans="1:156" x14ac:dyDescent="0.25">
      <c r="A113" s="2" t="s">
        <v>1454</v>
      </c>
      <c r="B113" s="2">
        <v>0.74125088531874395</v>
      </c>
      <c r="C113" s="2">
        <v>1.6716245888395214</v>
      </c>
      <c r="D113" s="2">
        <v>13.3773014400891</v>
      </c>
      <c r="E113" s="2">
        <v>14.6964841842928</v>
      </c>
      <c r="F113" s="2">
        <v>1.2628174951926301E-4</v>
      </c>
      <c r="G113" s="2">
        <v>8.6539601826353101E-3</v>
      </c>
      <c r="H113" s="2" t="s">
        <v>167</v>
      </c>
      <c r="I113" s="2" t="s">
        <v>87</v>
      </c>
      <c r="J113" s="2" t="str">
        <f>HYPERLINK("https://vectorbase.org/vectorbase/app/record/gene/AGAP006434","AGAP006434-RA")</f>
        <v>AGAP006434-RA</v>
      </c>
      <c r="K113" s="2" t="str">
        <f>HYPERLINK(".\links\pep\AGAP006434-PA-pep.txt","AGAP006434-PA")</f>
        <v>AGAP006434-PA</v>
      </c>
      <c r="L113" s="8" t="s">
        <v>88</v>
      </c>
      <c r="M113" s="2">
        <v>519</v>
      </c>
      <c r="N113" s="2">
        <v>0</v>
      </c>
      <c r="O113" s="2">
        <v>1</v>
      </c>
      <c r="P113" s="2" t="s">
        <v>94</v>
      </c>
      <c r="Q113" s="9" t="s">
        <v>1455</v>
      </c>
      <c r="R113" s="2" t="s">
        <v>1220</v>
      </c>
      <c r="S113" s="2" t="str">
        <f>HYPERLINK(".\links\REFSEQ-INVERTEBRATE\AGAP006434-PA-REFSEQ-INVERTEBRATE.txt","REFSEQ-INVERTEBRATE")</f>
        <v>REFSEQ-INVERTEBRATE</v>
      </c>
      <c r="T113" s="2">
        <v>2E-41</v>
      </c>
      <c r="U113" s="2">
        <v>68.8</v>
      </c>
      <c r="V113" s="2" t="s">
        <v>1456</v>
      </c>
      <c r="W113" s="10" t="s">
        <v>1457</v>
      </c>
      <c r="X113" s="2" t="s">
        <v>1220</v>
      </c>
      <c r="Y113" s="2" t="str">
        <f>HYPERLINK(".\links\UNIPROTKB\AGAP006434-PA-UNIPROTKB.txt","UNIPROTKB")</f>
        <v>UNIPROTKB</v>
      </c>
      <c r="Z113" s="13">
        <v>5.0000000000000004E-19</v>
      </c>
      <c r="AA113" s="2">
        <v>92.8</v>
      </c>
      <c r="AB113" s="11" t="str">
        <f>HYPERLINK(".\links\pep\AGAP006434-PA-sulf.txt","1")</f>
        <v>1</v>
      </c>
      <c r="AC113" s="11" t="str">
        <f>HYPERLINK(".\links\Sigp\AGAP006434-PA-SigP.txt","SIG")</f>
        <v>SIG</v>
      </c>
      <c r="AD113" s="2" t="s">
        <v>193</v>
      </c>
      <c r="AE113" s="2">
        <v>57.244999999999997</v>
      </c>
      <c r="AF113" s="2">
        <v>6.67</v>
      </c>
      <c r="AG113" s="2">
        <v>55.097000000000001</v>
      </c>
      <c r="AH113" s="2">
        <v>6.69</v>
      </c>
      <c r="AI113" s="2" t="s">
        <v>1458</v>
      </c>
      <c r="AJ113" s="11">
        <v>0</v>
      </c>
      <c r="AK113" s="2" t="s">
        <v>94</v>
      </c>
      <c r="AL113" s="2" t="s">
        <v>94</v>
      </c>
      <c r="AM113" s="2" t="s">
        <v>94</v>
      </c>
      <c r="AN113" s="11" t="str">
        <f>HYPERLINK(".\links\gpi\AGAP006434-PA-gpi.txt","N")</f>
        <v>N</v>
      </c>
      <c r="AO113" s="12" t="str">
        <f>HYPERLINK(".\links\netoglyc\AGAP006434-PA-netoglyc.txt","1")</f>
        <v>1</v>
      </c>
      <c r="AP113" s="11">
        <v>14.8</v>
      </c>
      <c r="AQ113" s="2">
        <v>9.1</v>
      </c>
      <c r="AR113" s="2">
        <v>4.8</v>
      </c>
      <c r="AS113" s="2" t="s">
        <v>97</v>
      </c>
      <c r="AT113" s="9" t="str">
        <f>HYPERLINK(".\links\NR-LIGHT\AGAP006434-PA-NR-LIGHT.txt","AGAP006434-PA")</f>
        <v>AGAP006434-PA</v>
      </c>
      <c r="AU113" s="2" t="str">
        <f>HYPERLINK("http://www.ncbi.nlm.nih.gov/sutils/blink.cgi?pid=XP_316470.3","0.0")</f>
        <v>0.0</v>
      </c>
      <c r="AV113" s="2" t="str">
        <f>HYPERLINK("http://www.ncbi.nlm.nih.gov/protein/XP_316470.3","XP_316470.3")</f>
        <v>XP_316470.3</v>
      </c>
      <c r="AW113" s="2">
        <v>100</v>
      </c>
      <c r="AX113" s="2">
        <v>100</v>
      </c>
      <c r="AY113" s="2">
        <v>100</v>
      </c>
      <c r="AZ113" s="2" t="s">
        <v>98</v>
      </c>
      <c r="BA113" s="9" t="str">
        <f>HYPERLINK(".\links\REFSEQ-INVERTEBRATE\AGAP006434-PA-REFSEQ-INVERTEBRATE.txt","AGAP006434-PA")</f>
        <v>AGAP006434-PA</v>
      </c>
      <c r="BB113" s="2" t="str">
        <f>HYPERLINK("http://www.ncbi.nlm.nih.gov/sutils/blink.cgi?pid=XP_316470.3","0.0")</f>
        <v>0.0</v>
      </c>
      <c r="BC113" s="2" t="str">
        <f>HYPERLINK("http://www.ncbi.nlm.nih.gov/protein/XP_316470.3","XP_316470.3")</f>
        <v>XP_316470.3</v>
      </c>
      <c r="BD113" s="2">
        <v>100</v>
      </c>
      <c r="BE113" s="2">
        <v>100</v>
      </c>
      <c r="BF113" s="2">
        <v>100</v>
      </c>
      <c r="BG113" s="2" t="s">
        <v>98</v>
      </c>
      <c r="BH113" s="9" t="str">
        <f>HYPERLINK(".\links\REFSEQ-PROTOZOA\AGAP006434-PA-REFSEQ-PROTOZOA.txt","hypothetical protein H696_05839")</f>
        <v>hypothetical protein H696_05839</v>
      </c>
      <c r="BI113" s="2" t="str">
        <f>HYPERLINK("http://www.ncbi.nlm.nih.gov/sutils/blink.cgi?pid=XP_009497914.1","3E-008")</f>
        <v>3E-008</v>
      </c>
      <c r="BJ113" s="2" t="str">
        <f>HYPERLINK("http://www.ncbi.nlm.nih.gov/protein/XP_009497914.1","XP_009497914.1")</f>
        <v>XP_009497914.1</v>
      </c>
      <c r="BK113" s="2">
        <v>30</v>
      </c>
      <c r="BL113" s="2">
        <v>43</v>
      </c>
      <c r="BM113" s="2">
        <v>15</v>
      </c>
      <c r="BN113" s="2" t="s">
        <v>1459</v>
      </c>
      <c r="BO113" s="9" t="str">
        <f>HYPERLINK(".\links\SWISSP\AGAP006434-PA-SWISSP.txt","Peritrophin-1")</f>
        <v>Peritrophin-1</v>
      </c>
      <c r="BP113" s="2" t="str">
        <f>HYPERLINK("http://www.uniprot.org/uniprot/O76217","3E-019")</f>
        <v>3E-019</v>
      </c>
      <c r="BQ113" s="2" t="str">
        <f>HYPERLINK("http://www.uniprot.org/uniprot/O76217#expression","O76217")</f>
        <v>O76217</v>
      </c>
      <c r="BR113" s="2">
        <v>36</v>
      </c>
      <c r="BS113" s="2">
        <v>47</v>
      </c>
      <c r="BT113" s="2">
        <v>94</v>
      </c>
      <c r="BU113" s="2" t="s">
        <v>274</v>
      </c>
      <c r="BV113" s="9" t="str">
        <f>HYPERLINK(".\links\FLYBASE\AGAP006434-PA-FLYBASE.txt","FBpp0293993")</f>
        <v>FBpp0293993</v>
      </c>
      <c r="BW113" s="2" t="str">
        <f>HYPERLINK("http://flybase.org/reports/FBgn0053986#alliance_summary_container","1E-14")</f>
        <v>1E-14</v>
      </c>
      <c r="BX113" s="2">
        <v>277</v>
      </c>
      <c r="BY113" s="2">
        <v>27</v>
      </c>
      <c r="BZ113" s="2">
        <v>40</v>
      </c>
      <c r="CA113" s="2">
        <v>91</v>
      </c>
      <c r="CB113" s="9" t="str">
        <f>HYPERLINK(".\links\CDD\AGAP006434-PA-CDD.txt","CBM_14, Chitin binding Peritrophin-A domain")</f>
        <v>CBM_14, Chitin binding Peritrophin-A domain</v>
      </c>
      <c r="CC113" s="13">
        <v>1E-8</v>
      </c>
      <c r="CD113" s="2">
        <v>101.9</v>
      </c>
      <c r="CE113" s="2" t="s">
        <v>1460</v>
      </c>
      <c r="CF113" s="2" t="s">
        <v>1461</v>
      </c>
      <c r="CG113" s="9" t="str">
        <f>HYPERLINK(".\links\KOG\AGAP006434-PA-KOG.txt","Large RNA-binding protein (RRM superfamily)")</f>
        <v>Large RNA-binding protein (RRM superfamily)</v>
      </c>
      <c r="CH113" s="13">
        <v>0.1</v>
      </c>
      <c r="CI113" s="2">
        <v>14.9</v>
      </c>
      <c r="CJ113" s="2" t="s">
        <v>1462</v>
      </c>
      <c r="CK113" s="2" t="s">
        <v>122</v>
      </c>
      <c r="CL113" s="9" t="str">
        <f>HYPERLINK(".\links\PFAM\AGAP006434-PA-PFAM.txt","CBM_14, Chitin binding Peritrophin-A domain")</f>
        <v>CBM_14, Chitin binding Peritrophin-A domain</v>
      </c>
      <c r="CM113" s="13">
        <v>2.0000000000000001E-9</v>
      </c>
      <c r="CN113" s="2">
        <v>101.9</v>
      </c>
      <c r="CO113" s="2" t="s">
        <v>1460</v>
      </c>
      <c r="CP113" s="9" t="str">
        <f>HYPERLINK(".\links\SMART\AGAP006434-PA-SMART.txt","ChtBD2, Chitin-binding domain type 2")</f>
        <v>ChtBD2, Chitin-binding domain type 2</v>
      </c>
      <c r="CQ113" s="13">
        <v>4.0000000000000001E-10</v>
      </c>
      <c r="CR113" s="2">
        <v>104.1</v>
      </c>
      <c r="CS113" s="2" t="s">
        <v>1463</v>
      </c>
      <c r="CT113" s="2" t="s">
        <v>1456</v>
      </c>
      <c r="CU113" s="2" t="s">
        <v>1456</v>
      </c>
      <c r="CV113" s="2" t="s">
        <v>1456</v>
      </c>
      <c r="CW113" s="2" t="str">
        <f>HYPERLINK(".\links\pep\AGAP006434-PA-pep.txt","AGAP006434-PA")</f>
        <v>AGAP006434-PA</v>
      </c>
      <c r="CX113" s="2" t="s">
        <v>88</v>
      </c>
      <c r="CY113" s="2">
        <v>519</v>
      </c>
      <c r="CZ113" s="2" t="s">
        <v>106</v>
      </c>
      <c r="DA113" s="2" t="s">
        <v>1464</v>
      </c>
      <c r="DB113" s="2">
        <v>0</v>
      </c>
      <c r="DC113" s="2">
        <v>1</v>
      </c>
      <c r="DD113" s="2" t="str">
        <f>HYPERLINK("https://www.kegg.jp/kegg-bin/search_pathway_text?map=aga&amp;keyword=AGAP006434&amp;mode=1&amp;viewImage=true","AGAP006434")</f>
        <v>AGAP006434</v>
      </c>
      <c r="DE113" s="2" t="s">
        <v>1454</v>
      </c>
      <c r="DF113" s="2" t="s">
        <v>167</v>
      </c>
      <c r="DG113" s="2" t="s">
        <v>87</v>
      </c>
      <c r="DH113" s="2" t="str">
        <f>HYPERLINK("https://vectorbase.org/vectorbase/app/record/gene/AGAP006434","AGAP006434-RA")</f>
        <v>AGAP006434-RA</v>
      </c>
      <c r="DI113" s="2" t="s">
        <v>108</v>
      </c>
      <c r="DJ113" s="2">
        <v>1680</v>
      </c>
      <c r="DK113" s="2" t="str">
        <f>HYPERLINK(".\links\netoglyc\AGAP006434-PA-netoglyc.txt","1")</f>
        <v>1</v>
      </c>
      <c r="DL113" s="2">
        <v>14.8</v>
      </c>
      <c r="DM113" s="2">
        <v>9.1</v>
      </c>
      <c r="DN113" s="2">
        <v>4.8</v>
      </c>
      <c r="DO113" s="2" t="s">
        <v>97</v>
      </c>
      <c r="DP113" s="2" t="s">
        <v>94</v>
      </c>
      <c r="DQ113" s="2" t="str">
        <f>HYPERLINK(".\links\Sigp\AGAP006434-PA-SigP.txt","SIG")</f>
        <v>SIG</v>
      </c>
      <c r="DR113" s="2" t="s">
        <v>193</v>
      </c>
      <c r="DS113" s="2">
        <v>57.244999999999997</v>
      </c>
      <c r="DT113" s="2">
        <v>6.67</v>
      </c>
      <c r="DU113" s="2">
        <v>55.097000000000001</v>
      </c>
      <c r="DV113" s="2">
        <v>6.69</v>
      </c>
      <c r="DW113" s="2" t="s">
        <v>1458</v>
      </c>
      <c r="DX113" s="2">
        <v>519</v>
      </c>
      <c r="DY113" s="8">
        <v>0</v>
      </c>
      <c r="DZ113" s="2" t="s">
        <v>94</v>
      </c>
      <c r="EA113" s="2" t="s">
        <v>94</v>
      </c>
      <c r="EB113" s="2" t="s">
        <v>94</v>
      </c>
      <c r="EC113" s="2" t="str">
        <f>HYPERLINK(".\links\gpi\AGAP006434-PA-gpi.txt","N")</f>
        <v>N</v>
      </c>
      <c r="ED113" s="2">
        <v>0.32</v>
      </c>
      <c r="EE113" s="2" t="s">
        <v>1465</v>
      </c>
      <c r="EF113" s="2">
        <v>31</v>
      </c>
      <c r="EG113" s="2" t="str">
        <f>HYPERLINK(".\links\pep\AGAP006434-PA-sulf.txt","1")</f>
        <v>1</v>
      </c>
      <c r="EH113" s="2" t="s">
        <v>94</v>
      </c>
      <c r="EI113" s="2">
        <v>14.8362235067437</v>
      </c>
      <c r="EJ113" s="2">
        <v>4.8169556840077101</v>
      </c>
      <c r="EK113" s="2">
        <v>9.0558766859344892</v>
      </c>
      <c r="EL113" s="2">
        <v>13.8728323699422</v>
      </c>
      <c r="EM113" s="2" t="s">
        <v>94</v>
      </c>
      <c r="EN113" s="2" t="s">
        <v>94</v>
      </c>
      <c r="EO113" s="2" t="s">
        <v>94</v>
      </c>
      <c r="EP113" s="2" t="s">
        <v>94</v>
      </c>
      <c r="EQ113" s="2" t="s">
        <v>94</v>
      </c>
      <c r="ER113" s="2" t="s">
        <v>94</v>
      </c>
      <c r="ES113" s="2" t="s">
        <v>94</v>
      </c>
      <c r="ET113" s="2" t="str">
        <f>HYPERLINK(".\links\REFSEQ-INVERTEBRATE\AGAP006434-PA-REFSEQ-INVERTEBRATE.txt","AGAP006434-PA")</f>
        <v>AGAP006434-PA</v>
      </c>
      <c r="EU113" s="2" t="str">
        <f>HYPERLINK("http://www.ncbi.nlm.nih.gov/sutils/blink.cgi?pid=XP_316470.3","0.0")</f>
        <v>0.0</v>
      </c>
      <c r="EV113" s="2" t="str">
        <f>HYPERLINK("http://www.ncbi.nlm.nih.gov/protein/XP_316470.3","XP_316470.3")</f>
        <v>XP_316470.3</v>
      </c>
      <c r="EW113" s="2">
        <v>100</v>
      </c>
      <c r="EX113" s="2">
        <v>100</v>
      </c>
      <c r="EY113" s="2">
        <v>100</v>
      </c>
      <c r="EZ113" s="2" t="s">
        <v>98</v>
      </c>
    </row>
    <row r="114" spans="1:156" x14ac:dyDescent="0.25">
      <c r="A114" s="2" t="s">
        <v>1466</v>
      </c>
      <c r="B114" s="2">
        <v>0.73538858871208301</v>
      </c>
      <c r="C114" s="2">
        <v>1.6648458338808707</v>
      </c>
      <c r="D114" s="2">
        <v>5.8150551177441301</v>
      </c>
      <c r="E114" s="2">
        <v>19.895997792346002</v>
      </c>
      <c r="F114" s="2">
        <v>8.1771330316960105E-6</v>
      </c>
      <c r="G114" s="2">
        <v>1.04501550109121E-3</v>
      </c>
      <c r="H114" s="2" t="s">
        <v>1467</v>
      </c>
      <c r="I114" s="2" t="s">
        <v>87</v>
      </c>
      <c r="J114" s="2" t="str">
        <f>HYPERLINK("https://vectorbase.org/vectorbase/app/record/gene/AGAP000926","AGAP000926-RA")</f>
        <v>AGAP000926-RA</v>
      </c>
      <c r="K114" s="2" t="str">
        <f>HYPERLINK(".\links\pep\AGAP000926-PA-pep.txt","AGAP000926-PA")</f>
        <v>AGAP000926-PA</v>
      </c>
      <c r="L114" s="8" t="s">
        <v>88</v>
      </c>
      <c r="M114" s="2">
        <v>2137</v>
      </c>
      <c r="N114" s="2">
        <v>0</v>
      </c>
      <c r="O114" s="2">
        <v>10</v>
      </c>
      <c r="P114" s="2" t="s">
        <v>1468</v>
      </c>
      <c r="Q114" s="9" t="s">
        <v>1469</v>
      </c>
      <c r="R114" s="2" t="s">
        <v>238</v>
      </c>
      <c r="S114" s="2" t="str">
        <f>HYPERLINK(".\links\KOG\AGAP000926-PA-KOG.txt","KOG")</f>
        <v>KOG</v>
      </c>
      <c r="T114" s="2">
        <v>0</v>
      </c>
      <c r="U114" s="2">
        <v>94.9</v>
      </c>
      <c r="V114" s="2" t="s">
        <v>1470</v>
      </c>
      <c r="W114" s="10" t="s">
        <v>1471</v>
      </c>
      <c r="X114" s="2" t="s">
        <v>238</v>
      </c>
      <c r="Y114" s="2" t="str">
        <f>HYPERLINK(".\links\KOG\AGAP000926-PA-KOG.txt","KOG")</f>
        <v>KOG</v>
      </c>
      <c r="Z114" s="13">
        <v>0</v>
      </c>
      <c r="AA114" s="2">
        <v>89.1</v>
      </c>
      <c r="AB114" s="11" t="str">
        <f>HYPERLINK(".\links\pep\AGAP000926-PA-sulf.txt","2")</f>
        <v>2</v>
      </c>
      <c r="AC114" s="11" t="str">
        <f>HYPERLINK(".\links\Sigp\AGAP000926-PA-SigP.txt","CYT")</f>
        <v>CYT</v>
      </c>
      <c r="AD114" s="2" t="s">
        <v>94</v>
      </c>
      <c r="AE114" s="2">
        <v>232.41800000000001</v>
      </c>
      <c r="AF114" s="2">
        <v>6.18</v>
      </c>
      <c r="AG114" s="2" t="s">
        <v>94</v>
      </c>
      <c r="AH114" s="2" t="s">
        <v>94</v>
      </c>
      <c r="AI114" s="2" t="s">
        <v>1472</v>
      </c>
      <c r="AJ114" s="11">
        <v>0</v>
      </c>
      <c r="AK114" s="2" t="s">
        <v>94</v>
      </c>
      <c r="AL114" s="2" t="s">
        <v>94</v>
      </c>
      <c r="AM114" s="2" t="s">
        <v>94</v>
      </c>
      <c r="AN114" s="11" t="str">
        <f>HYPERLINK(".\links\gpi\AGAP000926-PA-gpi.txt","N")</f>
        <v>N</v>
      </c>
      <c r="AO114" s="12" t="str">
        <f>HYPERLINK(".\links\netoglyc\AGAP000926-PA-netoglyc.txt","10")</f>
        <v>10</v>
      </c>
      <c r="AP114" s="11">
        <v>16.100000000000001</v>
      </c>
      <c r="AQ114" s="2">
        <v>7.9</v>
      </c>
      <c r="AR114" s="2">
        <v>6.4</v>
      </c>
      <c r="AS114" s="2" t="s">
        <v>97</v>
      </c>
      <c r="AT114" s="9" t="str">
        <f>HYPERLINK(".\links\NR-LIGHT\AGAP000926-PA-NR-LIGHT.txt","AGAP000926-PA")</f>
        <v>AGAP000926-PA</v>
      </c>
      <c r="AU114" s="2" t="str">
        <f>HYPERLINK("http://www.ncbi.nlm.nih.gov/sutils/blink.cgi?pid=XP_560130.4","0.0")</f>
        <v>0.0</v>
      </c>
      <c r="AV114" s="2" t="str">
        <f>HYPERLINK("http://www.ncbi.nlm.nih.gov/protein/XP_560130.4","XP_560130.4")</f>
        <v>XP_560130.4</v>
      </c>
      <c r="AW114" s="2">
        <v>100</v>
      </c>
      <c r="AX114" s="2">
        <v>100</v>
      </c>
      <c r="AY114" s="2">
        <v>100</v>
      </c>
      <c r="AZ114" s="2" t="s">
        <v>98</v>
      </c>
      <c r="BA114" s="9" t="str">
        <f>HYPERLINK(".\links\REFSEQ-INVERTEBRATE\AGAP000926-PA-REFSEQ-INVERTEBRATE.txt","AGAP000926-PA")</f>
        <v>AGAP000926-PA</v>
      </c>
      <c r="BB114" s="2" t="str">
        <f>HYPERLINK("http://www.ncbi.nlm.nih.gov/sutils/blink.cgi?pid=XP_560130.4","0.0")</f>
        <v>0.0</v>
      </c>
      <c r="BC114" s="2" t="str">
        <f>HYPERLINK("http://www.ncbi.nlm.nih.gov/protein/XP_560130.4","XP_560130.4")</f>
        <v>XP_560130.4</v>
      </c>
      <c r="BD114" s="2">
        <v>100</v>
      </c>
      <c r="BE114" s="2">
        <v>100</v>
      </c>
      <c r="BF114" s="2">
        <v>100</v>
      </c>
      <c r="BG114" s="2" t="s">
        <v>98</v>
      </c>
      <c r="BH114" s="9" t="str">
        <f>HYPERLINK(".\links\REFSEQ-PROTOZOA\AGAP000926-PA-REFSEQ-PROTOZOA.txt","hypothetical protein PHYSODRAFT_309294")</f>
        <v>hypothetical protein PHYSODRAFT_309294</v>
      </c>
      <c r="BI114" s="2" t="str">
        <f>HYPERLINK("http://www.ncbi.nlm.nih.gov/sutils/blink.cgi?pid=XP_009515711.1","0.0")</f>
        <v>0.0</v>
      </c>
      <c r="BJ114" s="2" t="str">
        <f>HYPERLINK("http://www.ncbi.nlm.nih.gov/protein/XP_009515711.1","XP_009515711.1")</f>
        <v>XP_009515711.1</v>
      </c>
      <c r="BK114" s="2">
        <v>42</v>
      </c>
      <c r="BL114" s="2">
        <v>57</v>
      </c>
      <c r="BM114" s="2">
        <v>97</v>
      </c>
      <c r="BN114" s="2" t="s">
        <v>273</v>
      </c>
      <c r="BO114" s="9" t="str">
        <f>HYPERLINK(".\links\SWISSP\AGAP000926-PA-SWISSP.txt","Inositol hexakisphosphate and diphosphoinositol-pentakisphosphate kinase")</f>
        <v>Inositol hexakisphosphate and diphosphoinositol-pentakisphosphate kinase</v>
      </c>
      <c r="BP114" s="2" t="str">
        <f>HYPERLINK("http://www.uniprot.org/uniprot/Q9VR59","0.0")</f>
        <v>0.0</v>
      </c>
      <c r="BQ114" s="2" t="str">
        <f>HYPERLINK("http://www.uniprot.org/uniprot/Q9VR59#expression","Q9VR59")</f>
        <v>Q9VR59</v>
      </c>
      <c r="BR114" s="2">
        <v>72</v>
      </c>
      <c r="BS114" s="2">
        <v>80</v>
      </c>
      <c r="BT114" s="2">
        <v>68</v>
      </c>
      <c r="BU114" s="2" t="s">
        <v>100</v>
      </c>
      <c r="BV114" s="9" t="str">
        <f>HYPERLINK(".\links\FLYBASE\AGAP000926-PA-FLYBASE.txt","FBpp0288798")</f>
        <v>FBpp0288798</v>
      </c>
      <c r="BW114" s="2" t="str">
        <f>HYPERLINK("http://flybase.org/reports/FBgn0027279#alliance_summary_container","0.0")</f>
        <v>0.0</v>
      </c>
      <c r="BX114" s="2">
        <v>1416</v>
      </c>
      <c r="BY114" s="2">
        <v>70</v>
      </c>
      <c r="BZ114" s="2">
        <v>78</v>
      </c>
      <c r="CA114" s="2">
        <v>86</v>
      </c>
      <c r="CB114" s="9" t="str">
        <f>HYPERLINK(".\links\CDD\AGAP000926-PA-CDD.txt","His_Phos_2, Histidine phosphatase superfamily (branch 2)")</f>
        <v>His_Phos_2, Histidine phosphatase superfamily (branch 2)</v>
      </c>
      <c r="CC114" s="13">
        <v>2E-55</v>
      </c>
      <c r="CD114" s="2">
        <v>121</v>
      </c>
      <c r="CE114" s="2" t="s">
        <v>1473</v>
      </c>
      <c r="CF114" s="2" t="s">
        <v>1474</v>
      </c>
      <c r="CG114" s="9" t="str">
        <f>HYPERLINK(".\links\KOG\AGAP000926-PA-KOG.txt","involved in regulation of actin cytoskeleton")</f>
        <v>involved in regulation of actin cytoskeleton</v>
      </c>
      <c r="CH114" s="13">
        <v>0</v>
      </c>
      <c r="CI114" s="2">
        <v>95</v>
      </c>
      <c r="CJ114" s="2" t="s">
        <v>1475</v>
      </c>
      <c r="CK114" s="2" t="s">
        <v>246</v>
      </c>
      <c r="CL114" s="9" t="str">
        <f>HYPERLINK(".\links\PFAM\AGAP000926-PA-PFAM.txt","His_Phos_2, Histidine phosphatase superfamily (branch 2)")</f>
        <v>His_Phos_2, Histidine phosphatase superfamily (branch 2)</v>
      </c>
      <c r="CM114" s="13">
        <v>4.0000000000000002E-56</v>
      </c>
      <c r="CN114" s="2">
        <v>121</v>
      </c>
      <c r="CO114" s="2" t="s">
        <v>1473</v>
      </c>
      <c r="CP114" s="9" t="str">
        <f>HYPERLINK(".\links\SMART\AGAP000926-PA-SMART.txt","PGAM, Phosphoglycerate mutase family")</f>
        <v>PGAM, Phosphoglycerate mutase family</v>
      </c>
      <c r="CQ114" s="13">
        <v>3.9E-2</v>
      </c>
      <c r="CR114" s="2">
        <v>44.9</v>
      </c>
      <c r="CS114" s="2" t="s">
        <v>1476</v>
      </c>
      <c r="CT114" s="2" t="s">
        <v>1470</v>
      </c>
      <c r="CU114" s="2" t="s">
        <v>1470</v>
      </c>
      <c r="CV114" s="2" t="s">
        <v>1470</v>
      </c>
      <c r="CW114" s="2" t="str">
        <f>HYPERLINK(".\links\pep\AGAP000926-PA-pep.txt","AGAP000926-PA")</f>
        <v>AGAP000926-PA</v>
      </c>
      <c r="CX114" s="2" t="s">
        <v>88</v>
      </c>
      <c r="CY114" s="2">
        <v>2137</v>
      </c>
      <c r="CZ114" s="2" t="s">
        <v>106</v>
      </c>
      <c r="DA114" s="2" t="s">
        <v>1477</v>
      </c>
      <c r="DB114" s="2">
        <v>0</v>
      </c>
      <c r="DC114" s="2">
        <v>10</v>
      </c>
      <c r="DD114" s="2" t="str">
        <f>HYPERLINK("https://www.kegg.jp/kegg-bin/search_pathway_text?map=aga&amp;keyword=AGAP000926&amp;mode=1&amp;viewImage=true","AGAP000926")</f>
        <v>AGAP000926</v>
      </c>
      <c r="DE114" s="2" t="s">
        <v>1478</v>
      </c>
      <c r="DF114" s="2" t="s">
        <v>1467</v>
      </c>
      <c r="DG114" s="2" t="s">
        <v>87</v>
      </c>
      <c r="DH114" s="2" t="str">
        <f>HYPERLINK("https://vectorbase.org/vectorbase/app/record/gene/AGAP000926","AGAP000926-RA")</f>
        <v>AGAP000926-RA</v>
      </c>
      <c r="DI114" s="2" t="s">
        <v>250</v>
      </c>
      <c r="DJ114" s="2">
        <v>6998</v>
      </c>
      <c r="DK114" s="2" t="str">
        <f>HYPERLINK(".\links\netoglyc\AGAP000926-PA-netoglyc.txt","10")</f>
        <v>10</v>
      </c>
      <c r="DL114" s="2">
        <v>16.100000000000001</v>
      </c>
      <c r="DM114" s="2">
        <v>7.9</v>
      </c>
      <c r="DN114" s="2">
        <v>6.4</v>
      </c>
      <c r="DO114" s="2" t="s">
        <v>97</v>
      </c>
      <c r="DP114" s="2" t="s">
        <v>1479</v>
      </c>
      <c r="DQ114" s="2" t="str">
        <f>HYPERLINK(".\links\Sigp\AGAP000926-PA-SigP.txt","CYT")</f>
        <v>CYT</v>
      </c>
      <c r="DR114" s="2" t="s">
        <v>94</v>
      </c>
      <c r="DS114" s="2">
        <v>232.41800000000001</v>
      </c>
      <c r="DT114" s="2">
        <v>6.18</v>
      </c>
      <c r="DU114" s="2" t="s">
        <v>94</v>
      </c>
      <c r="DV114" s="2" t="s">
        <v>94</v>
      </c>
      <c r="DW114" s="2" t="s">
        <v>1472</v>
      </c>
      <c r="DX114" s="2">
        <v>2137</v>
      </c>
      <c r="DY114" s="8">
        <v>0</v>
      </c>
      <c r="DZ114" s="2" t="s">
        <v>94</v>
      </c>
      <c r="EA114" s="2" t="s">
        <v>94</v>
      </c>
      <c r="EB114" s="2" t="s">
        <v>94</v>
      </c>
      <c r="EC114" s="2" t="str">
        <f>HYPERLINK(".\links\gpi\AGAP000926-PA-gpi.txt","Y-NoSP")</f>
        <v>Y-NoSP</v>
      </c>
      <c r="ED114" s="2">
        <v>0.17</v>
      </c>
      <c r="EF114" s="2">
        <v>56</v>
      </c>
      <c r="EG114" s="2" t="str">
        <f>HYPERLINK(".\links\pep\AGAP000926-PA-sulf.txt","2")</f>
        <v>2</v>
      </c>
      <c r="EH114" s="2" t="s">
        <v>94</v>
      </c>
      <c r="EI114" s="2">
        <v>16.050538137576002</v>
      </c>
      <c r="EJ114" s="2">
        <v>6.4108563406644796</v>
      </c>
      <c r="EK114" s="2">
        <v>7.8614880673841796</v>
      </c>
      <c r="EL114" s="2">
        <v>14.272344408048699</v>
      </c>
      <c r="EM114" s="2">
        <v>3</v>
      </c>
      <c r="EN114" s="2">
        <v>6</v>
      </c>
      <c r="EO114" s="2">
        <v>7</v>
      </c>
      <c r="EP114" s="2" t="s">
        <v>94</v>
      </c>
      <c r="EQ114" s="2" t="s">
        <v>94</v>
      </c>
      <c r="ER114" s="2" t="s">
        <v>94</v>
      </c>
      <c r="ES114" s="2" t="s">
        <v>94</v>
      </c>
      <c r="ET114" s="2" t="str">
        <f>HYPERLINK(".\links\REFSEQ-INVERTEBRATE\AGAP000926-PA-REFSEQ-INVERTEBRATE.txt","AGAP000926-PA")</f>
        <v>AGAP000926-PA</v>
      </c>
      <c r="EU114" s="2" t="str">
        <f>HYPERLINK("http://www.ncbi.nlm.nih.gov/sutils/blink.cgi?pid=XP_560130.4","0.0")</f>
        <v>0.0</v>
      </c>
      <c r="EV114" s="2" t="str">
        <f>HYPERLINK("http://www.ncbi.nlm.nih.gov/protein/XP_560130.4","XP_560130.4")</f>
        <v>XP_560130.4</v>
      </c>
      <c r="EW114" s="2">
        <v>100</v>
      </c>
      <c r="EX114" s="2">
        <v>100</v>
      </c>
      <c r="EY114" s="2">
        <v>100</v>
      </c>
      <c r="EZ114" s="2" t="s">
        <v>98</v>
      </c>
    </row>
    <row r="115" spans="1:156" x14ac:dyDescent="0.25">
      <c r="A115" s="2" t="s">
        <v>1480</v>
      </c>
      <c r="B115" s="2">
        <v>0.73345799108821297</v>
      </c>
      <c r="C115" s="2">
        <v>1.6626194466599382</v>
      </c>
      <c r="D115" s="2">
        <v>4.48870418260696</v>
      </c>
      <c r="E115" s="2">
        <v>14.2583268536966</v>
      </c>
      <c r="F115" s="2">
        <v>1.5935421721582099E-4</v>
      </c>
      <c r="G115" s="2">
        <v>1.02216162128033E-2</v>
      </c>
      <c r="H115" s="2" t="s">
        <v>1058</v>
      </c>
      <c r="I115" s="2" t="s">
        <v>87</v>
      </c>
      <c r="J115" s="2" t="str">
        <f>HYPERLINK("https://vectorbase.org/vectorbase/app/record/gene/AGAP001600","AGAP001600-RA")</f>
        <v>AGAP001600-RA</v>
      </c>
      <c r="K115" s="2" t="str">
        <f>HYPERLINK(".\links\pep\AGAP001600-PA-pep.txt","AGAP001600-PA")</f>
        <v>AGAP001600-PA</v>
      </c>
      <c r="L115" s="8" t="s">
        <v>88</v>
      </c>
      <c r="M115" s="2">
        <v>568</v>
      </c>
      <c r="N115" s="2">
        <v>0</v>
      </c>
      <c r="O115" s="2">
        <v>2</v>
      </c>
      <c r="P115" s="2" t="s">
        <v>1059</v>
      </c>
      <c r="Q115" s="9" t="s">
        <v>1060</v>
      </c>
      <c r="R115" s="2" t="s">
        <v>1061</v>
      </c>
      <c r="S115" s="2" t="str">
        <f>HYPERLINK(".\links\CDD\AGAP001600-PA-CDD.txt","CDD")</f>
        <v>CDD</v>
      </c>
      <c r="T115" s="2">
        <v>0</v>
      </c>
      <c r="U115" s="2">
        <v>101.4</v>
      </c>
      <c r="V115" s="2" t="s">
        <v>1481</v>
      </c>
      <c r="W115" s="10" t="s">
        <v>1063</v>
      </c>
      <c r="X115" s="2" t="s">
        <v>1064</v>
      </c>
      <c r="Y115" s="2" t="str">
        <f>HYPERLINK(".\links\COG\AGAP001600-PA-COG.txt","COG")</f>
        <v>COG</v>
      </c>
      <c r="Z115" s="13">
        <v>6E-52</v>
      </c>
      <c r="AA115" s="2">
        <v>96.5</v>
      </c>
      <c r="AB115" s="11" t="str">
        <f>HYPERLINK(".\links\pep\AGAP001600-PA-sulf.txt","3")</f>
        <v>3</v>
      </c>
      <c r="AC115" s="11" t="str">
        <f>HYPERLINK(".\links\Sigp\AGAP001600-PA-SigP.txt","SIG")</f>
        <v>SIG</v>
      </c>
      <c r="AD115" s="2" t="s">
        <v>1482</v>
      </c>
      <c r="AE115" s="2">
        <v>63.151000000000003</v>
      </c>
      <c r="AF115" s="2">
        <v>5.12</v>
      </c>
      <c r="AG115" s="2">
        <v>61.06</v>
      </c>
      <c r="AH115" s="2">
        <v>5.08</v>
      </c>
      <c r="AI115" s="2" t="s">
        <v>1483</v>
      </c>
      <c r="AJ115" s="11">
        <v>0</v>
      </c>
      <c r="AK115" s="2" t="s">
        <v>94</v>
      </c>
      <c r="AL115" s="2" t="s">
        <v>94</v>
      </c>
      <c r="AM115" s="2" t="s">
        <v>94</v>
      </c>
      <c r="AN115" s="11" t="str">
        <f>HYPERLINK(".\links\gpi\AGAP001600-PA-gpi.txt","N")</f>
        <v>N</v>
      </c>
      <c r="AO115" s="12" t="str">
        <f>HYPERLINK(".\links\netoglyc\AGAP001600-PA-netoglyc.txt","0")</f>
        <v>0</v>
      </c>
      <c r="AP115" s="11">
        <v>12</v>
      </c>
      <c r="AQ115" s="2">
        <v>8.5</v>
      </c>
      <c r="AR115" s="2">
        <v>4.9000000000000004</v>
      </c>
      <c r="AS115" s="2">
        <v>0.5</v>
      </c>
      <c r="AT115" s="9" t="str">
        <f>HYPERLINK(".\links\NR-LIGHT\AGAP001600-PA-NR-LIGHT.txt","AGAP001600-PA")</f>
        <v>AGAP001600-PA</v>
      </c>
      <c r="AU115" s="2" t="str">
        <f>HYPERLINK("http://www.ncbi.nlm.nih.gov/sutils/blink.cgi?pid=XP_321503.2","0.0")</f>
        <v>0.0</v>
      </c>
      <c r="AV115" s="2" t="str">
        <f>HYPERLINK("http://www.ncbi.nlm.nih.gov/protein/XP_321503.2","XP_321503.2")</f>
        <v>XP_321503.2</v>
      </c>
      <c r="AW115" s="2">
        <v>100</v>
      </c>
      <c r="AX115" s="2">
        <v>100</v>
      </c>
      <c r="AY115" s="2">
        <v>100</v>
      </c>
      <c r="AZ115" s="2" t="s">
        <v>98</v>
      </c>
      <c r="BA115" s="9" t="str">
        <f>HYPERLINK(".\links\REFSEQ-INVERTEBRATE\AGAP001600-PA-REFSEQ-INVERTEBRATE.txt","AGAP001600-PA")</f>
        <v>AGAP001600-PA</v>
      </c>
      <c r="BB115" s="2" t="str">
        <f>HYPERLINK("http://www.ncbi.nlm.nih.gov/sutils/blink.cgi?pid=XP_321503.2","0.0")</f>
        <v>0.0</v>
      </c>
      <c r="BC115" s="2" t="str">
        <f>HYPERLINK("http://www.ncbi.nlm.nih.gov/protein/XP_321503.2","XP_321503.2")</f>
        <v>XP_321503.2</v>
      </c>
      <c r="BD115" s="2">
        <v>100</v>
      </c>
      <c r="BE115" s="2">
        <v>100</v>
      </c>
      <c r="BF115" s="2">
        <v>100</v>
      </c>
      <c r="BG115" s="2" t="s">
        <v>98</v>
      </c>
      <c r="BH115" s="9" t="str">
        <f>HYPERLINK(".\links\REFSEQ-PROTOZOA\AGAP001600-PA-REFSEQ-PROTOZOA.txt","hypothetical protein SARC_10046")</f>
        <v>hypothetical protein SARC_10046</v>
      </c>
      <c r="BI115" s="2" t="str">
        <f>HYPERLINK("http://www.ncbi.nlm.nih.gov/sutils/blink.cgi?pid=XP_014151397.1","1E-076")</f>
        <v>1E-076</v>
      </c>
      <c r="BJ115" s="2" t="str">
        <f>HYPERLINK("http://www.ncbi.nlm.nih.gov/protein/XP_014151397.1","XP_014151397.1")</f>
        <v>XP_014151397.1</v>
      </c>
      <c r="BK115" s="2">
        <v>34</v>
      </c>
      <c r="BL115" s="2">
        <v>50</v>
      </c>
      <c r="BM115" s="2">
        <v>84</v>
      </c>
      <c r="BN115" s="2" t="s">
        <v>368</v>
      </c>
      <c r="BO115" s="9" t="str">
        <f>HYPERLINK(".\links\SWISSP\AGAP001600-PA-SWISSP.txt","Apyrase")</f>
        <v>Apyrase</v>
      </c>
      <c r="BP115" s="2" t="str">
        <f>HYPERLINK("http://www.uniprot.org/uniprot/B3A0N5","1E-142")</f>
        <v>1E-142</v>
      </c>
      <c r="BQ115" s="2" t="str">
        <f>HYPERLINK("http://www.uniprot.org/uniprot/B3A0N5#expression","B3A0N5")</f>
        <v>B3A0N5</v>
      </c>
      <c r="BR115" s="2">
        <v>46</v>
      </c>
      <c r="BS115" s="2">
        <v>66</v>
      </c>
      <c r="BT115" s="2">
        <v>95</v>
      </c>
      <c r="BU115" s="2" t="s">
        <v>1067</v>
      </c>
      <c r="BV115" s="9" t="str">
        <f>HYPERLINK(".\links\FLYBASE\AGAP001600-PA-FLYBASE.txt","FBpp0288787")</f>
        <v>FBpp0288787</v>
      </c>
      <c r="BW115" s="2" t="str">
        <f>HYPERLINK("http://flybase.org/reports/FBgn0259101#alliance_summary_container","1E-174")</f>
        <v>1E-174</v>
      </c>
      <c r="BX115" s="2">
        <v>557</v>
      </c>
      <c r="BY115" s="2">
        <v>46</v>
      </c>
      <c r="BZ115" s="2">
        <v>65</v>
      </c>
      <c r="CA115" s="2">
        <v>96</v>
      </c>
      <c r="CB115" s="9" t="str">
        <f>HYPERLINK(".\links\CDD\AGAP001600-PA-CDD.txt","MPP_CD73_N, CD73 ecto-5'-nucleotidase and related proteins, N-terminal metallophosphatase domain")</f>
        <v>MPP_CD73_N, CD73 ecto-5'-nucleotidase and related proteins, N-terminal metallophosphatase domain</v>
      </c>
      <c r="CC115" s="13">
        <v>1.0000000000000001E-111</v>
      </c>
      <c r="CD115" s="2">
        <v>101.4</v>
      </c>
      <c r="CE115" s="2" t="s">
        <v>1068</v>
      </c>
      <c r="CF115" s="2" t="s">
        <v>1484</v>
      </c>
      <c r="CG115" s="9" t="str">
        <f>HYPERLINK(".\links\KOG\AGAP001600-PA-KOG.txt","5' nucleotidase")</f>
        <v>5' nucleotidase</v>
      </c>
      <c r="CH115" s="13">
        <v>9.9999999999999996E-70</v>
      </c>
      <c r="CI115" s="2">
        <v>94.2</v>
      </c>
      <c r="CJ115" s="2" t="s">
        <v>1070</v>
      </c>
      <c r="CK115" s="2" t="s">
        <v>1071</v>
      </c>
      <c r="CL115" s="9" t="str">
        <f>HYPERLINK(".\links\PFAM\AGAP001600-PA-PFAM.txt","5_nucleotid_C, 5'-nucleotidase, C-terminal domain")</f>
        <v>5_nucleotid_C, 5'-nucleotidase, C-terminal domain</v>
      </c>
      <c r="CM115" s="13">
        <v>2E-41</v>
      </c>
      <c r="CN115" s="2">
        <v>112.4</v>
      </c>
      <c r="CO115" s="2" t="s">
        <v>1072</v>
      </c>
      <c r="CP115" s="9" t="str">
        <f>HYPERLINK(".\links\SMART\AGAP001600-PA-SMART.txt","PGA_cap, Bacterial capsule synthesis protein PGA_cap")</f>
        <v>PGA_cap, Bacterial capsule synthesis protein PGA_cap</v>
      </c>
      <c r="CQ115" s="13">
        <v>3E-9</v>
      </c>
      <c r="CR115" s="2">
        <v>68.2</v>
      </c>
      <c r="CS115" s="2" t="s">
        <v>1073</v>
      </c>
      <c r="CT115" s="2" t="s">
        <v>1481</v>
      </c>
      <c r="CU115" s="2" t="s">
        <v>1481</v>
      </c>
      <c r="CV115" s="2" t="s">
        <v>1481</v>
      </c>
      <c r="CW115" s="2" t="str">
        <f>HYPERLINK(".\links\pep\AGAP001600-PA-pep.txt","AGAP001600-PA")</f>
        <v>AGAP001600-PA</v>
      </c>
      <c r="CX115" s="2" t="s">
        <v>88</v>
      </c>
      <c r="CY115" s="2">
        <v>568</v>
      </c>
      <c r="CZ115" s="2" t="s">
        <v>106</v>
      </c>
      <c r="DA115" s="2" t="s">
        <v>1485</v>
      </c>
      <c r="DB115" s="2">
        <v>0</v>
      </c>
      <c r="DC115" s="2">
        <v>2</v>
      </c>
      <c r="DD115" s="2" t="str">
        <f>HYPERLINK("https://www.kegg.jp/kegg-bin/search_pathway_text?map=aga&amp;keyword=AGAP001600&amp;mode=1&amp;viewImage=true","AGAP001600")</f>
        <v>AGAP001600</v>
      </c>
      <c r="DE115" s="2" t="s">
        <v>1480</v>
      </c>
      <c r="DF115" s="2" t="s">
        <v>1058</v>
      </c>
      <c r="DG115" s="2" t="s">
        <v>87</v>
      </c>
      <c r="DH115" s="2" t="str">
        <f>HYPERLINK("https://vectorbase.org/vectorbase/app/record/gene/AGAP001600","AGAP001600-RA")</f>
        <v>AGAP001600-RA</v>
      </c>
      <c r="DI115" s="2" t="s">
        <v>250</v>
      </c>
      <c r="DJ115" s="2">
        <v>1892</v>
      </c>
      <c r="DK115" s="2" t="str">
        <f>HYPERLINK(".\links\netoglyc\AGAP001600-PA-netoglyc.txt","0")</f>
        <v>0</v>
      </c>
      <c r="DL115" s="2">
        <v>12</v>
      </c>
      <c r="DM115" s="2">
        <v>8.5</v>
      </c>
      <c r="DN115" s="2">
        <v>4.9000000000000004</v>
      </c>
      <c r="DO115" s="2">
        <v>0.5</v>
      </c>
      <c r="DP115" s="2" t="s">
        <v>94</v>
      </c>
      <c r="DQ115" s="2" t="str">
        <f>HYPERLINK(".\links\Sigp\AGAP001600-PA-SigP.txt","SIG")</f>
        <v>SIG</v>
      </c>
      <c r="DR115" s="2" t="s">
        <v>1482</v>
      </c>
      <c r="DS115" s="2">
        <v>63.151000000000003</v>
      </c>
      <c r="DT115" s="2">
        <v>5.12</v>
      </c>
      <c r="DU115" s="2">
        <v>61.06</v>
      </c>
      <c r="DV115" s="2">
        <v>5.08</v>
      </c>
      <c r="DW115" s="2" t="s">
        <v>1483</v>
      </c>
      <c r="DX115" s="2">
        <v>568</v>
      </c>
      <c r="DY115" s="8">
        <v>0</v>
      </c>
      <c r="DZ115" s="2" t="s">
        <v>94</v>
      </c>
      <c r="EA115" s="2" t="s">
        <v>94</v>
      </c>
      <c r="EB115" s="2" t="s">
        <v>94</v>
      </c>
      <c r="EC115" s="2" t="str">
        <f>HYPERLINK(".\links\gpi\AGAP001600-PA-gpi.txt","N")</f>
        <v>N</v>
      </c>
      <c r="ED115" s="2">
        <v>0.21</v>
      </c>
      <c r="EF115" s="2">
        <v>10</v>
      </c>
      <c r="EG115" s="2" t="str">
        <f>HYPERLINK(".\links\pep\AGAP001600-PA-sulf.txt","3")</f>
        <v>3</v>
      </c>
      <c r="EH115" s="2" t="s">
        <v>94</v>
      </c>
      <c r="EI115" s="2">
        <v>11.971830985915499</v>
      </c>
      <c r="EJ115" s="2">
        <v>4.9295774647887303</v>
      </c>
      <c r="EK115" s="2">
        <v>8.4507042253521103</v>
      </c>
      <c r="EL115" s="2">
        <v>13.3802816901408</v>
      </c>
      <c r="EM115" s="2" t="s">
        <v>94</v>
      </c>
      <c r="EN115" s="2">
        <v>1</v>
      </c>
      <c r="EO115" s="2">
        <v>1</v>
      </c>
      <c r="EP115" s="2" t="s">
        <v>94</v>
      </c>
      <c r="EQ115" s="2" t="s">
        <v>94</v>
      </c>
      <c r="ER115" s="2" t="s">
        <v>94</v>
      </c>
      <c r="ES115" s="2" t="s">
        <v>94</v>
      </c>
      <c r="ET115" s="2" t="str">
        <f>HYPERLINK(".\links\REFSEQ-INVERTEBRATE\AGAP001600-PA-REFSEQ-INVERTEBRATE.txt","AGAP001600-PA")</f>
        <v>AGAP001600-PA</v>
      </c>
      <c r="EU115" s="2" t="str">
        <f>HYPERLINK("http://www.ncbi.nlm.nih.gov/sutils/blink.cgi?pid=XP_321503.2","0.0")</f>
        <v>0.0</v>
      </c>
      <c r="EV115" s="2" t="str">
        <f>HYPERLINK("http://www.ncbi.nlm.nih.gov/protein/XP_321503.2","XP_321503.2")</f>
        <v>XP_321503.2</v>
      </c>
      <c r="EW115" s="2">
        <v>100</v>
      </c>
      <c r="EX115" s="2">
        <v>100</v>
      </c>
      <c r="EY115" s="2">
        <v>100</v>
      </c>
      <c r="EZ115" s="2" t="s">
        <v>98</v>
      </c>
    </row>
    <row r="116" spans="1:156" x14ac:dyDescent="0.25">
      <c r="A116" s="2" t="s">
        <v>1486</v>
      </c>
      <c r="B116" s="2">
        <v>0.73259236201320099</v>
      </c>
      <c r="C116" s="2">
        <v>1.6616221603244741</v>
      </c>
      <c r="D116" s="2">
        <v>3.2666353203456202</v>
      </c>
      <c r="E116" s="2">
        <v>12.6777261467827</v>
      </c>
      <c r="F116" s="2">
        <v>3.7003730052734702E-4</v>
      </c>
      <c r="G116" s="2">
        <v>1.90187106037344E-2</v>
      </c>
      <c r="H116" s="2" t="s">
        <v>167</v>
      </c>
      <c r="I116" s="2" t="s">
        <v>87</v>
      </c>
      <c r="J116" s="2" t="str">
        <f>HYPERLINK("https://vectorbase.org/vectorbase/app/record/gene/AGAP007537","AGAP007537-RA")</f>
        <v>AGAP007537-RA</v>
      </c>
      <c r="K116" s="2" t="str">
        <f>HYPERLINK(".\links\pep\AGAP007537-PA-pep.txt","AGAP007537-PA")</f>
        <v>AGAP007537-PA</v>
      </c>
      <c r="L116" s="8" t="s">
        <v>88</v>
      </c>
      <c r="M116" s="2">
        <v>4039</v>
      </c>
      <c r="N116" s="2">
        <v>0</v>
      </c>
      <c r="O116" s="2">
        <v>17</v>
      </c>
      <c r="P116" s="2" t="s">
        <v>94</v>
      </c>
      <c r="Q116" s="9" t="s">
        <v>1487</v>
      </c>
      <c r="R116" s="2" t="s">
        <v>238</v>
      </c>
      <c r="S116" s="2" t="str">
        <f>HYPERLINK(".\links\REFSEQ-INVERTEBRATE\AGAP007537-PA-REFSEQ-INVERTEBRATE.txt","REFSEQ-INVERTEBRATE")</f>
        <v>REFSEQ-INVERTEBRATE</v>
      </c>
      <c r="T116" s="2">
        <v>0</v>
      </c>
      <c r="U116" s="2">
        <v>116.4</v>
      </c>
      <c r="V116" s="2" t="s">
        <v>1488</v>
      </c>
      <c r="W116" s="10" t="s">
        <v>1489</v>
      </c>
      <c r="X116" s="2" t="s">
        <v>192</v>
      </c>
      <c r="Y116" s="2" t="str">
        <f>HYPERLINK(".\links\REFSEQ-INVERTEBRATE\AGAP007537-PA-REFSEQ-INVERTEBRATE.txt","REFSEQ-INVERTEBRATE")</f>
        <v>REFSEQ-INVERTEBRATE</v>
      </c>
      <c r="Z116" s="13">
        <v>0</v>
      </c>
      <c r="AA116" s="2">
        <v>104</v>
      </c>
      <c r="AB116" s="11" t="str">
        <f>HYPERLINK(".\links\pep\AGAP007537-PA-sulf.txt","1")</f>
        <v>1</v>
      </c>
      <c r="AC116" s="11" t="str">
        <f>HYPERLINK(".\links\Sigp\AGAP007537-PA-SigP.txt","CYT")</f>
        <v>CYT</v>
      </c>
      <c r="AD116" s="2" t="s">
        <v>94</v>
      </c>
      <c r="AE116" s="2">
        <v>424.697</v>
      </c>
      <c r="AF116" s="2">
        <v>8.5399999999999991</v>
      </c>
      <c r="AG116" s="2" t="s">
        <v>94</v>
      </c>
      <c r="AH116" s="2" t="s">
        <v>94</v>
      </c>
      <c r="AI116" s="2" t="s">
        <v>463</v>
      </c>
      <c r="AJ116" s="11">
        <v>0</v>
      </c>
      <c r="AK116" s="2" t="s">
        <v>94</v>
      </c>
      <c r="AL116" s="2" t="s">
        <v>94</v>
      </c>
      <c r="AM116" s="2" t="s">
        <v>94</v>
      </c>
      <c r="AN116" s="11" t="str">
        <f>HYPERLINK(".\links\gpi\AGAP007537-PA-gpi.txt","N")</f>
        <v>N</v>
      </c>
      <c r="AO116" s="12" t="str">
        <f>HYPERLINK(".\links\netoglyc\AGAP007537-PA-netoglyc.txt","51")</f>
        <v>51</v>
      </c>
      <c r="AP116" s="11">
        <v>20.399999999999999</v>
      </c>
      <c r="AQ116" s="2">
        <v>8.5</v>
      </c>
      <c r="AR116" s="2">
        <v>10.6</v>
      </c>
      <c r="AS116" s="2">
        <v>0.1</v>
      </c>
      <c r="AT116" s="9" t="str">
        <f>HYPERLINK(".\links\NR-LIGHT\AGAP007537-PA-NR-LIGHT.txt","hypothetical protein AND_004895")</f>
        <v>hypothetical protein AND_004895</v>
      </c>
      <c r="AU116" s="2" t="str">
        <f>HYPERLINK("http://www.ncbi.nlm.nih.gov/sutils/blink.cgi?pid=ETN63395.1","0.0")</f>
        <v>0.0</v>
      </c>
      <c r="AV116" s="2" t="str">
        <f>HYPERLINK("http://www.ncbi.nlm.nih.gov/protein/ETN63395.1","ETN63395.1")</f>
        <v>ETN63395.1</v>
      </c>
      <c r="AW116" s="2">
        <v>41</v>
      </c>
      <c r="AX116" s="2">
        <v>52</v>
      </c>
      <c r="AY116" s="2">
        <v>110</v>
      </c>
      <c r="AZ116" s="2" t="s">
        <v>291</v>
      </c>
      <c r="BA116" s="9" t="str">
        <f>HYPERLINK(".\links\REFSEQ-INVERTEBRATE\AGAP007537-PA-REFSEQ-INVERTEBRATE.txt","AGAP007537-PA, partial")</f>
        <v>AGAP007537-PA, partial</v>
      </c>
      <c r="BB116" s="2" t="str">
        <f>HYPERLINK("http://www.ncbi.nlm.nih.gov/sutils/blink.cgi?pid=XP_001237064.2","0.0")</f>
        <v>0.0</v>
      </c>
      <c r="BC116" s="2" t="str">
        <f>HYPERLINK("http://www.ncbi.nlm.nih.gov/protein/XP_001237064.2","XP_001237064.2")</f>
        <v>XP_001237064.2</v>
      </c>
      <c r="BD116" s="2">
        <v>77</v>
      </c>
      <c r="BE116" s="2">
        <v>80</v>
      </c>
      <c r="BF116" s="2">
        <v>78</v>
      </c>
      <c r="BG116" s="2" t="s">
        <v>98</v>
      </c>
      <c r="BH116" s="9" t="str">
        <f>HYPERLINK(".\links\REFSEQ-PROTOZOA\AGAP007537-PA-REFSEQ-PROTOZOA.txt","proteophosphoglycan 5")</f>
        <v>proteophosphoglycan 5</v>
      </c>
      <c r="BI116" s="2" t="str">
        <f>HYPERLINK("http://www.ncbi.nlm.nih.gov/sutils/blink.cgi?pid=XP_003722449.1","1E-152")</f>
        <v>1E-152</v>
      </c>
      <c r="BJ116" s="2" t="str">
        <f>HYPERLINK("http://www.ncbi.nlm.nih.gov/protein/XP_003722449.1","XP_003722449.1")</f>
        <v>XP_003722449.1</v>
      </c>
      <c r="BK116" s="2">
        <v>21</v>
      </c>
      <c r="BL116" s="2">
        <v>35</v>
      </c>
      <c r="BM116" s="2">
        <v>20</v>
      </c>
      <c r="BN116" s="2" t="s">
        <v>1171</v>
      </c>
      <c r="BO116" s="9" t="str">
        <f>HYPERLINK(".\links\SWISSP\AGAP007537-PA-SWISSP.txt","Mucin-5AC")</f>
        <v>Mucin-5AC</v>
      </c>
      <c r="BP116" s="2" t="str">
        <f>HYPERLINK("http://www.uniprot.org/uniprot/P98088","1E-041")</f>
        <v>1E-041</v>
      </c>
      <c r="BQ116" s="2" t="str">
        <f>HYPERLINK("http://www.uniprot.org/uniprot/P98088#expression","P98088")</f>
        <v>P98088</v>
      </c>
      <c r="BR116" s="2">
        <v>19</v>
      </c>
      <c r="BS116" s="2">
        <v>32</v>
      </c>
      <c r="BT116" s="2">
        <v>41</v>
      </c>
      <c r="BU116" s="2" t="s">
        <v>196</v>
      </c>
      <c r="BV116" s="9" t="str">
        <f>HYPERLINK(".\links\FLYBASE\AGAP007537-PA-FLYBASE.txt","FBpp0305024")</f>
        <v>FBpp0305024</v>
      </c>
      <c r="BW116" s="2" t="str">
        <f>HYPERLINK("http://flybase.org/reports/FBgn0036814#alliance_summary_container","1E-114")</f>
        <v>1E-114</v>
      </c>
      <c r="BX116" s="2">
        <v>2133</v>
      </c>
      <c r="BY116" s="2">
        <v>40</v>
      </c>
      <c r="BZ116" s="2">
        <v>56</v>
      </c>
      <c r="CA116" s="2">
        <v>26</v>
      </c>
      <c r="CB116" s="9" t="str">
        <f>HYPERLINK(".\links\CDD\AGAP007537-PA-CDD.txt","PUFD_like, PCGF Ub-like fold discriminator and related domains")</f>
        <v>PUFD_like, PCGF Ub-like fold discriminator and related domains</v>
      </c>
      <c r="CC116" s="13">
        <v>1.0000000000000001E-31</v>
      </c>
      <c r="CD116" s="2">
        <v>104.7</v>
      </c>
      <c r="CE116" s="2" t="s">
        <v>1490</v>
      </c>
      <c r="CF116" s="2" t="s">
        <v>1491</v>
      </c>
      <c r="CG116" s="9" t="str">
        <f>HYPERLINK(".\links\KOG\AGAP007537-PA-KOG.txt","Ankyrin repeat and DHHC-type Zn-finger domain containing proteins")</f>
        <v>Ankyrin repeat and DHHC-type Zn-finger domain containing proteins</v>
      </c>
      <c r="CH116" s="13">
        <v>2.0000000000000002E-15</v>
      </c>
      <c r="CI116" s="2">
        <v>22</v>
      </c>
      <c r="CJ116" s="2" t="s">
        <v>1492</v>
      </c>
      <c r="CK116" s="2" t="s">
        <v>122</v>
      </c>
      <c r="CL116" s="9" t="str">
        <f>HYPERLINK(".\links\PFAM\AGAP007537-PA-PFAM.txt","Ank_2, Ankyrin repeats (3 copies)")</f>
        <v>Ank_2, Ankyrin repeats (3 copies)</v>
      </c>
      <c r="CM116" s="13">
        <v>8.0000000000000006E-17</v>
      </c>
      <c r="CN116" s="2">
        <v>100</v>
      </c>
      <c r="CO116" s="2" t="s">
        <v>1493</v>
      </c>
      <c r="CP116" s="9" t="str">
        <f>HYPERLINK(".\links\SMART\AGAP007537-PA-SMART.txt","ANK, ankyrin repeats")</f>
        <v>ANK, ankyrin repeats</v>
      </c>
      <c r="CQ116" s="13">
        <v>6.9999999999999997E-7</v>
      </c>
      <c r="CR116" s="2">
        <v>86.7</v>
      </c>
      <c r="CS116" s="2" t="s">
        <v>500</v>
      </c>
      <c r="CT116" s="2" t="s">
        <v>1488</v>
      </c>
      <c r="CU116" s="2" t="s">
        <v>1488</v>
      </c>
      <c r="CV116" s="2" t="s">
        <v>1488</v>
      </c>
      <c r="CW116" s="2" t="str">
        <f>HYPERLINK(".\links\pep\AGAP007537-PA-pep.txt","AGAP007537-PA")</f>
        <v>AGAP007537-PA</v>
      </c>
      <c r="CX116" s="2" t="s">
        <v>88</v>
      </c>
      <c r="CY116" s="2">
        <v>4039</v>
      </c>
      <c r="CZ116" s="2" t="s">
        <v>106</v>
      </c>
      <c r="DA116" s="2" t="s">
        <v>1494</v>
      </c>
      <c r="DB116" s="2">
        <v>0</v>
      </c>
      <c r="DC116" s="2">
        <v>17</v>
      </c>
      <c r="DD116" s="2" t="str">
        <f>HYPERLINK("https://www.kegg.jp/kegg-bin/search_pathway_text?map=aga&amp;keyword=AGAP007537&amp;mode=1&amp;viewImage=true","AGAP007537")</f>
        <v>AGAP007537</v>
      </c>
      <c r="DE116" s="2" t="s">
        <v>1486</v>
      </c>
      <c r="DF116" s="2" t="s">
        <v>167</v>
      </c>
      <c r="DG116" s="2" t="s">
        <v>87</v>
      </c>
      <c r="DH116" s="2" t="str">
        <f>HYPERLINK("https://vectorbase.org/vectorbase/app/record/gene/AGAP007537","AGAP007537-RA")</f>
        <v>AGAP007537-RA</v>
      </c>
      <c r="DI116" s="2" t="s">
        <v>108</v>
      </c>
      <c r="DJ116" s="2">
        <v>17167</v>
      </c>
      <c r="DK116" s="2" t="str">
        <f>HYPERLINK(".\links\netoglyc\AGAP007537-PA-netoglyc.txt","51")</f>
        <v>51</v>
      </c>
      <c r="DL116" s="2">
        <v>20.399999999999999</v>
      </c>
      <c r="DM116" s="2">
        <v>8.5</v>
      </c>
      <c r="DN116" s="2">
        <v>10.6</v>
      </c>
      <c r="DO116" s="2">
        <v>0.1</v>
      </c>
      <c r="DP116" s="2" t="s">
        <v>94</v>
      </c>
      <c r="DQ116" s="2" t="str">
        <f>HYPERLINK(".\links\Sigp\AGAP007537-PA-SigP.txt","CYT")</f>
        <v>CYT</v>
      </c>
      <c r="DR116" s="2" t="s">
        <v>94</v>
      </c>
      <c r="DS116" s="2">
        <v>424.697</v>
      </c>
      <c r="DT116" s="2">
        <v>8.5399999999999991</v>
      </c>
      <c r="DU116" s="2" t="s">
        <v>94</v>
      </c>
      <c r="DV116" s="2" t="s">
        <v>94</v>
      </c>
      <c r="DW116" s="2" t="s">
        <v>463</v>
      </c>
      <c r="DX116" s="2">
        <v>4039</v>
      </c>
      <c r="DY116" s="8">
        <v>0</v>
      </c>
      <c r="DZ116" s="2" t="s">
        <v>94</v>
      </c>
      <c r="EA116" s="2" t="s">
        <v>94</v>
      </c>
      <c r="EB116" s="2" t="s">
        <v>94</v>
      </c>
      <c r="EC116" s="2" t="str">
        <f>HYPERLINK(".\links\gpi\AGAP007537-PA-gpi.txt","Y-NoSP")</f>
        <v>Y-NoSP</v>
      </c>
      <c r="ED116" s="2">
        <v>0.34</v>
      </c>
      <c r="EF116" s="2">
        <v>24</v>
      </c>
      <c r="EG116" s="2" t="str">
        <f>HYPERLINK(".\links\pep\AGAP007537-PA-sulf.txt","1")</f>
        <v>1</v>
      </c>
      <c r="EH116" s="2" t="s">
        <v>94</v>
      </c>
      <c r="EI116" s="2">
        <v>20.401089378559099</v>
      </c>
      <c r="EJ116" s="2">
        <v>10.621440950730401</v>
      </c>
      <c r="EK116" s="2">
        <v>8.4922010398613494</v>
      </c>
      <c r="EL116" s="2">
        <v>19.113641990591699</v>
      </c>
      <c r="EM116" s="2">
        <v>16</v>
      </c>
      <c r="EN116" s="2">
        <v>19</v>
      </c>
      <c r="EO116" s="2">
        <v>20</v>
      </c>
      <c r="EP116" s="2" t="s">
        <v>94</v>
      </c>
      <c r="EQ116" s="2" t="s">
        <v>94</v>
      </c>
      <c r="ER116" s="2" t="s">
        <v>94</v>
      </c>
      <c r="ES116" s="2" t="s">
        <v>94</v>
      </c>
      <c r="ET116" s="2" t="str">
        <f>HYPERLINK(".\links\REFSEQ-INVERTEBRATE\AGAP007537-PA-REFSEQ-INVERTEBRATE.txt","mucin-12-like")</f>
        <v>mucin-12-like</v>
      </c>
      <c r="EU116" s="2" t="str">
        <f>HYPERLINK("http://www.ncbi.nlm.nih.gov/sutils/blink.cgi?pid=XP_035912088.1","0.0")</f>
        <v>0.0</v>
      </c>
      <c r="EV116" s="2" t="str">
        <f>HYPERLINK("http://www.ncbi.nlm.nih.gov/protein/XP_035912088.1","XP_035912088.1")</f>
        <v>XP_035912088.1</v>
      </c>
      <c r="EW116" s="2">
        <v>66</v>
      </c>
      <c r="EX116" s="2">
        <v>74</v>
      </c>
      <c r="EY116" s="2">
        <v>104</v>
      </c>
      <c r="EZ116" s="2" t="s">
        <v>184</v>
      </c>
    </row>
    <row r="117" spans="1:156" x14ac:dyDescent="0.25">
      <c r="A117" s="2" t="s">
        <v>1495</v>
      </c>
      <c r="B117" s="2">
        <v>0.73095209316426502</v>
      </c>
      <c r="C117" s="2">
        <v>1.6597340563256622</v>
      </c>
      <c r="D117" s="2">
        <v>8.7748003262827794</v>
      </c>
      <c r="E117" s="2">
        <v>14.4887599599653</v>
      </c>
      <c r="F117" s="2">
        <v>1.4099835367249001E-4</v>
      </c>
      <c r="G117" s="2">
        <v>9.3246253893757899E-3</v>
      </c>
      <c r="H117" s="2" t="s">
        <v>167</v>
      </c>
      <c r="I117" s="2" t="s">
        <v>87</v>
      </c>
      <c r="J117" s="2" t="str">
        <f>HYPERLINK("https://vectorbase.org/vectorbase/app/record/gene/AGAP008963","AGAP008963-RA")</f>
        <v>AGAP008963-RA</v>
      </c>
      <c r="K117" s="2" t="str">
        <f>HYPERLINK(".\links\pep\AGAP008963-PA-pep.txt","AGAP008963-PA")</f>
        <v>AGAP008963-PA</v>
      </c>
      <c r="L117" s="8" t="s">
        <v>88</v>
      </c>
      <c r="M117" s="2">
        <v>604</v>
      </c>
      <c r="N117" s="2">
        <v>0</v>
      </c>
      <c r="O117" s="2">
        <v>5</v>
      </c>
      <c r="P117" s="2" t="s">
        <v>94</v>
      </c>
      <c r="Q117" s="9" t="s">
        <v>1496</v>
      </c>
      <c r="R117" s="2" t="s">
        <v>1497</v>
      </c>
      <c r="S117" s="2" t="str">
        <f>HYPERLINK(".\links\KOG\AGAP008963-PA-KOG.txt","KOG")</f>
        <v>KOG</v>
      </c>
      <c r="T117" s="2">
        <v>0</v>
      </c>
      <c r="U117" s="2">
        <v>97.2</v>
      </c>
      <c r="V117" s="2" t="s">
        <v>1498</v>
      </c>
      <c r="W117" s="10" t="s">
        <v>1499</v>
      </c>
      <c r="X117" s="2" t="s">
        <v>550</v>
      </c>
      <c r="Y117" s="2" t="str">
        <f>HYPERLINK(".\links\COG\AGAP008963-PA-COG.txt","COG")</f>
        <v>COG</v>
      </c>
      <c r="Z117" s="13">
        <v>4.9999999999999998E-95</v>
      </c>
      <c r="AA117" s="2">
        <v>103.5</v>
      </c>
      <c r="AB117" s="11" t="str">
        <f>HYPERLINK(".\links\pep\AGAP008963-PA-sulf.txt","2")</f>
        <v>2</v>
      </c>
      <c r="AC117" s="11" t="str">
        <f>HYPERLINK(".\links\Sigp\AGAP008963-PA-SigP.txt","SIG")</f>
        <v>SIG</v>
      </c>
      <c r="AD117" s="2" t="s">
        <v>193</v>
      </c>
      <c r="AE117" s="2">
        <v>68.822000000000003</v>
      </c>
      <c r="AF117" s="2">
        <v>5</v>
      </c>
      <c r="AG117" s="2">
        <v>66.813999999999993</v>
      </c>
      <c r="AH117" s="2">
        <v>4.97</v>
      </c>
      <c r="AI117" s="2" t="s">
        <v>1500</v>
      </c>
      <c r="AJ117" s="11">
        <v>0</v>
      </c>
      <c r="AK117" s="2" t="s">
        <v>94</v>
      </c>
      <c r="AL117" s="2" t="s">
        <v>94</v>
      </c>
      <c r="AM117" s="2" t="s">
        <v>94</v>
      </c>
      <c r="AN117" s="11" t="str">
        <f>HYPERLINK(".\links\gpi\AGAP008963-PA-gpi.txt","N")</f>
        <v>N</v>
      </c>
      <c r="AO117" s="12" t="str">
        <f>HYPERLINK(".\links\netoglyc\AGAP008963-PA-netoglyc.txt","0")</f>
        <v>0</v>
      </c>
      <c r="AP117" s="11">
        <v>9.9</v>
      </c>
      <c r="AQ117" s="2">
        <v>5.8</v>
      </c>
      <c r="AR117" s="2">
        <v>3.8</v>
      </c>
      <c r="AS117" s="2" t="s">
        <v>97</v>
      </c>
      <c r="AT117" s="9" t="str">
        <f>HYPERLINK(".\links\NR-LIGHT\AGAP008963-PA-NR-LIGHT.txt","hypothetical protein ZHAS_00020730")</f>
        <v>hypothetical protein ZHAS_00020730</v>
      </c>
      <c r="AU117" s="2" t="str">
        <f>HYPERLINK("http://www.ncbi.nlm.nih.gov/sutils/blink.cgi?pid=KFB52487.1","0.0")</f>
        <v>0.0</v>
      </c>
      <c r="AV117" s="2" t="str">
        <f>HYPERLINK("http://www.ncbi.nlm.nih.gov/protein/KFB52487.1","KFB52487.1")</f>
        <v>KFB52487.1</v>
      </c>
      <c r="AW117" s="2">
        <v>82</v>
      </c>
      <c r="AX117" s="2">
        <v>91</v>
      </c>
      <c r="AY117" s="2">
        <v>75</v>
      </c>
      <c r="AZ117" s="2" t="s">
        <v>174</v>
      </c>
      <c r="BA117" s="9" t="str">
        <f>HYPERLINK(".\links\REFSEQ-INVERTEBRATE\AGAP008963-PA-REFSEQ-INVERTEBRATE.txt","alpha-glucosidase")</f>
        <v>alpha-glucosidase</v>
      </c>
      <c r="BB117" s="2" t="str">
        <f>HYPERLINK("http://www.ncbi.nlm.nih.gov/sutils/blink.cgi?pid=XP_001863693.1","0.0")</f>
        <v>0.0</v>
      </c>
      <c r="BC117" s="2" t="str">
        <f>HYPERLINK("http://www.ncbi.nlm.nih.gov/protein/XP_001863693.1","XP_001863693.1")</f>
        <v>XP_001863693.1</v>
      </c>
      <c r="BD117" s="2">
        <v>66</v>
      </c>
      <c r="BE117" s="2">
        <v>80</v>
      </c>
      <c r="BF117" s="2">
        <v>98</v>
      </c>
      <c r="BG117" s="2" t="s">
        <v>1195</v>
      </c>
      <c r="BH117" s="9" t="str">
        <f>HYPERLINK(".\links\REFSEQ-PROTOZOA\AGAP008963-PA-REFSEQ-PROTOZOA.txt","alpha amylase")</f>
        <v>alpha amylase</v>
      </c>
      <c r="BI117" s="2" t="str">
        <f>HYPERLINK("http://www.ncbi.nlm.nih.gov/sutils/blink.cgi?pid=XP_004990214.1","1E-101")</f>
        <v>1E-101</v>
      </c>
      <c r="BJ117" s="2" t="str">
        <f>HYPERLINK("http://www.ncbi.nlm.nih.gov/protein/XP_004990214.1","XP_004990214.1")</f>
        <v>XP_004990214.1</v>
      </c>
      <c r="BK117" s="2">
        <v>37</v>
      </c>
      <c r="BL117" s="2">
        <v>53</v>
      </c>
      <c r="BM117" s="2">
        <v>96</v>
      </c>
      <c r="BN117" s="2" t="s">
        <v>117</v>
      </c>
      <c r="BO117" s="9" t="str">
        <f>HYPERLINK(".\links\SWISSP\AGAP008963-PA-SWISSP.txt","Maltase 1")</f>
        <v>Maltase 1</v>
      </c>
      <c r="BP117" s="2" t="str">
        <f>HYPERLINK("http://www.uniprot.org/uniprot/O16098","1E-151")</f>
        <v>1E-151</v>
      </c>
      <c r="BQ117" s="2" t="str">
        <f>HYPERLINK("http://www.uniprot.org/uniprot/O16098#expression","O16098")</f>
        <v>O16098</v>
      </c>
      <c r="BR117" s="2">
        <v>49</v>
      </c>
      <c r="BS117" s="2">
        <v>64</v>
      </c>
      <c r="BT117" s="2">
        <v>85</v>
      </c>
      <c r="BU117" s="2" t="s">
        <v>1501</v>
      </c>
      <c r="BV117" s="9" t="str">
        <f>HYPERLINK(".\links\FLYBASE\AGAP008963-PA-FLYBASE.txt","FBpp0423051")</f>
        <v>FBpp0423051</v>
      </c>
      <c r="BW117" s="2" t="str">
        <f>HYPERLINK("http://flybase.org/reports/FBgn0032382#alliance_summary_container","0.0")</f>
        <v>0.0</v>
      </c>
      <c r="BX117" s="2">
        <v>583</v>
      </c>
      <c r="BY117" s="2">
        <v>48</v>
      </c>
      <c r="BZ117" s="2">
        <v>66</v>
      </c>
      <c r="CA117" s="2">
        <v>96</v>
      </c>
      <c r="CB117" s="9" t="str">
        <f>HYPERLINK(".\links\CDD\AGAP008963-PA-CDD.txt","AmyAc_maltase, Alpha amylase catalytic domain found in maltase (also known as alpha glucosidase) and related proteins")</f>
        <v>AmyAc_maltase, Alpha amylase catalytic domain found in maltase (also known as alpha glucosidase) and related proteins</v>
      </c>
      <c r="CC117" s="13">
        <v>0</v>
      </c>
      <c r="CD117" s="2">
        <v>100.6</v>
      </c>
      <c r="CE117" s="2" t="s">
        <v>1502</v>
      </c>
      <c r="CF117" s="2" t="s">
        <v>1503</v>
      </c>
      <c r="CG117" s="9" t="str">
        <f>HYPERLINK(".\links\KOG\AGAP008963-PA-KOG.txt","Alpha-amylase")</f>
        <v>Alpha-amylase</v>
      </c>
      <c r="CH117" s="13">
        <v>9.9999999999999993E-125</v>
      </c>
      <c r="CI117" s="2">
        <v>97.2</v>
      </c>
      <c r="CJ117" s="2" t="s">
        <v>1504</v>
      </c>
      <c r="CK117" s="2" t="s">
        <v>556</v>
      </c>
      <c r="CL117" s="9" t="str">
        <f>HYPERLINK(".\links\PFAM\AGAP008963-PA-PFAM.txt","Alpha-amylase, Alpha amylase, catalytic domain")</f>
        <v>Alpha-amylase, Alpha amylase, catalytic domain</v>
      </c>
      <c r="CM117" s="13">
        <v>1E-100</v>
      </c>
      <c r="CN117" s="2">
        <v>105.4</v>
      </c>
      <c r="CO117" s="2" t="s">
        <v>1505</v>
      </c>
      <c r="CP117" s="9" t="str">
        <f>HYPERLINK(".\links\SMART\AGAP008963-PA-SMART.txt","Aamy, Alpha-amylase domain")</f>
        <v>Aamy, Alpha-amylase domain</v>
      </c>
      <c r="CQ117" s="13">
        <v>4E-41</v>
      </c>
      <c r="CR117" s="2">
        <v>82.5</v>
      </c>
      <c r="CS117" s="2" t="s">
        <v>672</v>
      </c>
      <c r="CT117" s="2" t="s">
        <v>1498</v>
      </c>
      <c r="CU117" s="2" t="s">
        <v>1498</v>
      </c>
      <c r="CV117" s="2" t="s">
        <v>1498</v>
      </c>
      <c r="CW117" s="2" t="str">
        <f>HYPERLINK(".\links\pep\AGAP008963-PA-pep.txt","AGAP008963-PA")</f>
        <v>AGAP008963-PA</v>
      </c>
      <c r="CX117" s="2" t="s">
        <v>88</v>
      </c>
      <c r="CY117" s="2">
        <v>604</v>
      </c>
      <c r="CZ117" s="2" t="s">
        <v>106</v>
      </c>
      <c r="DA117" s="2" t="s">
        <v>1506</v>
      </c>
      <c r="DB117" s="2">
        <v>0</v>
      </c>
      <c r="DC117" s="2">
        <v>5</v>
      </c>
      <c r="DD117" s="2" t="str">
        <f>HYPERLINK("https://www.kegg.jp/kegg-bin/search_pathway_text?map=aga&amp;keyword=AGAP008963&amp;mode=1&amp;viewImage=true","AGAP008963")</f>
        <v>AGAP008963</v>
      </c>
      <c r="DE117" s="2" t="s">
        <v>1507</v>
      </c>
      <c r="DF117" s="2" t="s">
        <v>167</v>
      </c>
      <c r="DG117" s="2" t="s">
        <v>87</v>
      </c>
      <c r="DH117" s="2" t="str">
        <f>HYPERLINK("https://vectorbase.org/vectorbase/app/record/gene/AGAP008963","AGAP008963-RA")</f>
        <v>AGAP008963-RA</v>
      </c>
      <c r="DI117" s="2" t="s">
        <v>250</v>
      </c>
      <c r="DJ117" s="2">
        <v>1896</v>
      </c>
      <c r="DK117" s="2" t="str">
        <f>HYPERLINK(".\links\netoglyc\AGAP008963-PA-netoglyc.txt","0")</f>
        <v>0</v>
      </c>
      <c r="DL117" s="2">
        <v>9.9</v>
      </c>
      <c r="DM117" s="2">
        <v>5.8</v>
      </c>
      <c r="DN117" s="2">
        <v>3.8</v>
      </c>
      <c r="DO117" s="2" t="s">
        <v>97</v>
      </c>
      <c r="DP117" s="2" t="s">
        <v>1508</v>
      </c>
      <c r="DQ117" s="2" t="str">
        <f>HYPERLINK(".\links\Sigp\AGAP008963-PA-SigP.txt","SIG")</f>
        <v>SIG</v>
      </c>
      <c r="DR117" s="2" t="s">
        <v>193</v>
      </c>
      <c r="DS117" s="2">
        <v>68.822000000000003</v>
      </c>
      <c r="DT117" s="2">
        <v>5</v>
      </c>
      <c r="DU117" s="2">
        <v>66.813999999999993</v>
      </c>
      <c r="DV117" s="2">
        <v>4.97</v>
      </c>
      <c r="DW117" s="2" t="s">
        <v>1500</v>
      </c>
      <c r="DX117" s="2">
        <v>604</v>
      </c>
      <c r="DY117" s="8">
        <v>0</v>
      </c>
      <c r="DZ117" s="2" t="s">
        <v>94</v>
      </c>
      <c r="EA117" s="2" t="s">
        <v>94</v>
      </c>
      <c r="EB117" s="2" t="s">
        <v>94</v>
      </c>
      <c r="EC117" s="2" t="str">
        <f>HYPERLINK(".\links\gpi\AGAP008963-PA-gpi.txt","Y-NoSP")</f>
        <v>Y-NoSP</v>
      </c>
      <c r="ED117" s="2">
        <v>0.26</v>
      </c>
      <c r="EF117" s="2">
        <v>1</v>
      </c>
      <c r="EG117" s="2" t="str">
        <f>HYPERLINK(".\links\pep\AGAP008963-PA-sulf.txt","2")</f>
        <v>2</v>
      </c>
      <c r="EH117" s="2" t="s">
        <v>94</v>
      </c>
      <c r="EI117" s="2">
        <v>9.9337748344370898</v>
      </c>
      <c r="EJ117" s="2">
        <v>3.8079470198675498</v>
      </c>
      <c r="EK117" s="2">
        <v>5.7947019867549701</v>
      </c>
      <c r="EL117" s="2">
        <v>9.6026490066225207</v>
      </c>
      <c r="EM117" s="2">
        <v>1</v>
      </c>
      <c r="EN117" s="2">
        <v>3</v>
      </c>
      <c r="EO117" s="2">
        <v>4</v>
      </c>
      <c r="EP117" s="2" t="s">
        <v>94</v>
      </c>
      <c r="EQ117" s="2" t="s">
        <v>94</v>
      </c>
      <c r="ER117" s="2" t="s">
        <v>94</v>
      </c>
      <c r="ES117" s="2" t="s">
        <v>94</v>
      </c>
      <c r="ET117" s="2" t="str">
        <f>HYPERLINK(".\links\REFSEQ-INVERTEBRATE\AGAP008963-PA-REFSEQ-INVERTEBRATE.txt","maltase A1-like")</f>
        <v>maltase A1-like</v>
      </c>
      <c r="EU117" s="2" t="str">
        <f>HYPERLINK("http://www.ncbi.nlm.nih.gov/sutils/blink.cgi?pid=XP_035904911.1","0.0")</f>
        <v>0.0</v>
      </c>
      <c r="EV117" s="2" t="str">
        <f>HYPERLINK("http://www.ncbi.nlm.nih.gov/protein/XP_035904911.1","XP_035904911.1")</f>
        <v>XP_035904911.1</v>
      </c>
      <c r="EW117" s="2">
        <v>88</v>
      </c>
      <c r="EX117" s="2">
        <v>93</v>
      </c>
      <c r="EY117" s="2">
        <v>100</v>
      </c>
      <c r="EZ117" s="2" t="s">
        <v>184</v>
      </c>
    </row>
    <row r="118" spans="1:156" x14ac:dyDescent="0.25">
      <c r="A118" s="2" t="s">
        <v>1509</v>
      </c>
      <c r="B118" s="2">
        <v>0.73091223977332997</v>
      </c>
      <c r="C118" s="2">
        <v>1.6596882080245932</v>
      </c>
      <c r="D118" s="2">
        <v>3.8637399263819598</v>
      </c>
      <c r="E118" s="2">
        <v>11.176653511202399</v>
      </c>
      <c r="F118" s="2">
        <v>8.2833040996362398E-4</v>
      </c>
      <c r="G118" s="2">
        <v>3.7302479462028498E-2</v>
      </c>
      <c r="H118" s="2" t="s">
        <v>1510</v>
      </c>
      <c r="I118" s="2" t="s">
        <v>87</v>
      </c>
      <c r="J118" s="2" t="str">
        <f>HYPERLINK("https://vectorbase.org/vectorbase/app/record/gene/AGAP006825","AGAP006825-RA")</f>
        <v>AGAP006825-RA</v>
      </c>
      <c r="K118" s="2" t="str">
        <f>HYPERLINK(".\links\pep\AGAP006825-PA-pep.txt","AGAP006825-PA")</f>
        <v>AGAP006825-PA</v>
      </c>
      <c r="L118" s="8" t="s">
        <v>88</v>
      </c>
      <c r="M118" s="2">
        <v>1932</v>
      </c>
      <c r="N118" s="2">
        <v>0</v>
      </c>
      <c r="O118" s="2">
        <v>2</v>
      </c>
      <c r="P118" s="2" t="s">
        <v>1511</v>
      </c>
      <c r="Q118" s="9" t="s">
        <v>1512</v>
      </c>
      <c r="R118" s="2" t="s">
        <v>1019</v>
      </c>
      <c r="S118" s="2" t="str">
        <f>HYPERLINK(".\links\REFSEQ-INVERTEBRATE\AGAP006825-PA-REFSEQ-INVERTEBRATE.txt","REFSEQ-INVERTEBRATE")</f>
        <v>REFSEQ-INVERTEBRATE</v>
      </c>
      <c r="T118" s="2">
        <v>0</v>
      </c>
      <c r="U118" s="2">
        <v>102.6</v>
      </c>
      <c r="V118" s="2" t="s">
        <v>1513</v>
      </c>
      <c r="W118" s="10" t="s">
        <v>1514</v>
      </c>
      <c r="X118" s="2" t="s">
        <v>1019</v>
      </c>
      <c r="Y118" s="2" t="str">
        <f>HYPERLINK(".\links\REFSEQVERTEBRATE95\AGAP006825-PA-REFSEQVERTEBRATE95.txt","REFSEQVERTEBRATE95")</f>
        <v>REFSEQVERTEBRATE95</v>
      </c>
      <c r="Z118" s="2">
        <v>0</v>
      </c>
      <c r="AA118" s="2">
        <v>73.2</v>
      </c>
      <c r="AB118" s="11" t="str">
        <f>HYPERLINK(".\links\pep\AGAP006825-PA-sulf.txt","6")</f>
        <v>6</v>
      </c>
      <c r="AC118" s="11" t="str">
        <f>HYPERLINK(".\links\Sigp\AGAP006825-PA-SigP.txt","CYT")</f>
        <v>CYT</v>
      </c>
      <c r="AD118" s="2" t="s">
        <v>94</v>
      </c>
      <c r="AE118" s="2">
        <v>216.422</v>
      </c>
      <c r="AF118" s="2">
        <v>6.05</v>
      </c>
      <c r="AG118" s="2" t="s">
        <v>94</v>
      </c>
      <c r="AH118" s="2" t="s">
        <v>94</v>
      </c>
      <c r="AI118" s="2" t="s">
        <v>1515</v>
      </c>
      <c r="AJ118" s="11" t="str">
        <f>HYPERLINK(".\links\tmhmm\AGAP006825-PA-tmhmm.txt","4")</f>
        <v>4</v>
      </c>
      <c r="AK118" s="2">
        <v>4.4000000000000004</v>
      </c>
      <c r="AL118" s="2">
        <v>91.5</v>
      </c>
      <c r="AM118" s="2">
        <v>4.0999999999999996</v>
      </c>
      <c r="AN118" s="11" t="str">
        <f>HYPERLINK(".\links\gpi\AGAP006825-PA-gpi.txt","N")</f>
        <v>N</v>
      </c>
      <c r="AO118" s="12" t="str">
        <f>HYPERLINK(".\links\netoglyc\AGAP006825-PA-netoglyc.txt","2")</f>
        <v>2</v>
      </c>
      <c r="AP118" s="11">
        <v>14.3</v>
      </c>
      <c r="AQ118" s="2">
        <v>6.2</v>
      </c>
      <c r="AR118" s="2">
        <v>5.2</v>
      </c>
      <c r="AS118" s="2" t="s">
        <v>97</v>
      </c>
      <c r="AT118" s="9" t="str">
        <f>HYPERLINK(".\links\NR-LIGHT\AGAP006825-PA-NR-LIGHT.txt","AGAP006825-PA")</f>
        <v>AGAP006825-PA</v>
      </c>
      <c r="AU118" s="2" t="str">
        <f>HYPERLINK("http://www.ncbi.nlm.nih.gov/sutils/blink.cgi?pid=XP_308919.3","0.0")</f>
        <v>0.0</v>
      </c>
      <c r="AV118" s="2" t="str">
        <f>HYPERLINK("http://www.ncbi.nlm.nih.gov/protein/XP_308919.3","XP_308919.3")</f>
        <v>XP_308919.3</v>
      </c>
      <c r="AW118" s="2">
        <v>99</v>
      </c>
      <c r="AX118" s="2">
        <v>99</v>
      </c>
      <c r="AY118" s="2">
        <v>100</v>
      </c>
      <c r="AZ118" s="2" t="s">
        <v>98</v>
      </c>
      <c r="BA118" s="9" t="str">
        <f>HYPERLINK(".\links\REFSEQ-INVERTEBRATE\AGAP006825-PA-REFSEQ-INVERTEBRATE.txt","AGAP006825-PA")</f>
        <v>AGAP006825-PA</v>
      </c>
      <c r="BB118" s="2" t="str">
        <f>HYPERLINK("http://www.ncbi.nlm.nih.gov/sutils/blink.cgi?pid=XP_308919.3","0.0")</f>
        <v>0.0</v>
      </c>
      <c r="BC118" s="2" t="str">
        <f>HYPERLINK("http://www.ncbi.nlm.nih.gov/protein/XP_308919.3","XP_308919.3")</f>
        <v>XP_308919.3</v>
      </c>
      <c r="BD118" s="2">
        <v>99</v>
      </c>
      <c r="BE118" s="2">
        <v>99</v>
      </c>
      <c r="BF118" s="2">
        <v>100</v>
      </c>
      <c r="BG118" s="2" t="s">
        <v>98</v>
      </c>
      <c r="BH118" s="9" t="str">
        <f>HYPERLINK(".\links\REFSEQ-PROTOZOA\AGAP006825-PA-REFSEQ-PROTOZOA.txt","nudix-type domain-containing protein 9 isoform b")</f>
        <v>nudix-type domain-containing protein 9 isoform b</v>
      </c>
      <c r="BI118" s="2" t="str">
        <f>HYPERLINK("http://www.ncbi.nlm.nih.gov/sutils/blink.cgi?pid=XP_004993316.1","1E-101")</f>
        <v>1E-101</v>
      </c>
      <c r="BJ118" s="2" t="str">
        <f>HYPERLINK("http://www.ncbi.nlm.nih.gov/protein/XP_004993316.1","XP_004993316.1")</f>
        <v>XP_004993316.1</v>
      </c>
      <c r="BK118" s="2">
        <v>25</v>
      </c>
      <c r="BL118" s="2">
        <v>46</v>
      </c>
      <c r="BM118" s="2">
        <v>78</v>
      </c>
      <c r="BN118" s="2" t="s">
        <v>117</v>
      </c>
      <c r="BO118" s="9" t="str">
        <f>HYPERLINK(".\links\SWISSP\AGAP006825-PA-SWISSP.txt","Transient receptor potential cation channel trpm")</f>
        <v>Transient receptor potential cation channel trpm</v>
      </c>
      <c r="BP118" s="2" t="str">
        <f>HYPERLINK("http://www.uniprot.org/uniprot/A8DYE2","0.0")</f>
        <v>0.0</v>
      </c>
      <c r="BQ118" s="2" t="str">
        <f>HYPERLINK("http://www.uniprot.org/uniprot/A8DYE2#expression","A8DYE2")</f>
        <v>A8DYE2</v>
      </c>
      <c r="BR118" s="2">
        <v>66</v>
      </c>
      <c r="BS118" s="2">
        <v>76</v>
      </c>
      <c r="BT118" s="2">
        <v>98</v>
      </c>
      <c r="BU118" s="2" t="s">
        <v>100</v>
      </c>
      <c r="BV118" s="9" t="str">
        <f>HYPERLINK(".\links\FLYBASE\AGAP006825-PA-FLYBASE.txt","FBpp0308226")</f>
        <v>FBpp0308226</v>
      </c>
      <c r="BW118" s="2" t="str">
        <f>HYPERLINK("http://flybase.org/reports/FBgn0265194#alliance_summary_container","0.0")</f>
        <v>0.0</v>
      </c>
      <c r="BX118" s="2">
        <v>1968</v>
      </c>
      <c r="BY118" s="2">
        <v>65</v>
      </c>
      <c r="BZ118" s="2">
        <v>74</v>
      </c>
      <c r="CA118" s="2">
        <v>104</v>
      </c>
      <c r="CB118" s="9" t="str">
        <f>HYPERLINK(".\links\CDD\AGAP006825-PA-CDD.txt","Ion_trans, Ion transport protein")</f>
        <v>Ion_trans, Ion transport protein</v>
      </c>
      <c r="CC118" s="13">
        <v>4.0000000000000003E-15</v>
      </c>
      <c r="CD118" s="2">
        <v>107.1</v>
      </c>
      <c r="CE118" s="2" t="s">
        <v>1516</v>
      </c>
      <c r="CF118" s="2" t="s">
        <v>1517</v>
      </c>
      <c r="CG118" s="9" t="str">
        <f>HYPERLINK(".\links\KOG\AGAP006825-PA-KOG.txt","Ca2+/Mg2+-permeable cation channels (LTRPC family)")</f>
        <v>Ca2+/Mg2+-permeable cation channels (LTRPC family)</v>
      </c>
      <c r="CH118" s="13">
        <v>0</v>
      </c>
      <c r="CI118" s="2">
        <v>94.1</v>
      </c>
      <c r="CJ118" s="2" t="s">
        <v>1518</v>
      </c>
      <c r="CK118" s="2" t="s">
        <v>1519</v>
      </c>
      <c r="CL118" s="9" t="str">
        <f>HYPERLINK(".\links\PFAM\AGAP006825-PA-PFAM.txt","Ion_trans, Ion transport protein")</f>
        <v>Ion_trans, Ion transport protein</v>
      </c>
      <c r="CM118" s="13">
        <v>7.9999999999999998E-16</v>
      </c>
      <c r="CN118" s="2">
        <v>107.1</v>
      </c>
      <c r="CO118" s="2" t="s">
        <v>1516</v>
      </c>
      <c r="CP118" s="9" t="str">
        <f>HYPERLINK(".\links\SMART\AGAP006825-PA-SMART.txt","COG6, Conserved oligomeric complex COG6")</f>
        <v>COG6, Conserved oligomeric complex COG6</v>
      </c>
      <c r="CQ118" s="13">
        <v>7.0000000000000001E-3</v>
      </c>
      <c r="CR118" s="2">
        <v>11.9</v>
      </c>
      <c r="CS118" s="2" t="s">
        <v>1520</v>
      </c>
      <c r="CT118" s="2" t="s">
        <v>1513</v>
      </c>
      <c r="CU118" s="2" t="s">
        <v>1513</v>
      </c>
      <c r="CV118" s="2" t="s">
        <v>1513</v>
      </c>
      <c r="CW118" s="2" t="str">
        <f>HYPERLINK(".\links\pep\AGAP006825-PA-pep.txt","AGAP006825-PA")</f>
        <v>AGAP006825-PA</v>
      </c>
      <c r="CX118" s="2" t="s">
        <v>88</v>
      </c>
      <c r="CY118" s="2">
        <v>1932</v>
      </c>
      <c r="CZ118" s="2" t="s">
        <v>106</v>
      </c>
      <c r="DA118" s="2" t="s">
        <v>1521</v>
      </c>
      <c r="DB118" s="2">
        <v>0</v>
      </c>
      <c r="DC118" s="2">
        <v>2</v>
      </c>
      <c r="DD118" s="2" t="str">
        <f>HYPERLINK("https://www.kegg.jp/kegg-bin/search_pathway_text?map=aga&amp;keyword=AGAP006825&amp;mode=1&amp;viewImage=true","AGAP006825")</f>
        <v>AGAP006825</v>
      </c>
      <c r="DE118" s="2" t="s">
        <v>1509</v>
      </c>
      <c r="DF118" s="2" t="s">
        <v>1510</v>
      </c>
      <c r="DG118" s="2" t="s">
        <v>87</v>
      </c>
      <c r="DH118" s="2" t="str">
        <f>HYPERLINK("https://vectorbase.org/vectorbase/app/record/gene/AGAP006825","AGAP006825-RA")</f>
        <v>AGAP006825-RA</v>
      </c>
      <c r="DI118" s="2" t="s">
        <v>108</v>
      </c>
      <c r="DJ118" s="2">
        <v>6544</v>
      </c>
      <c r="DK118" s="2" t="str">
        <f>HYPERLINK(".\links\netoglyc\AGAP006825-PA-netoglyc.txt","2")</f>
        <v>2</v>
      </c>
      <c r="DL118" s="2">
        <v>14.3</v>
      </c>
      <c r="DM118" s="2">
        <v>6.2</v>
      </c>
      <c r="DN118" s="2">
        <v>5.2</v>
      </c>
      <c r="DO118" s="2" t="s">
        <v>97</v>
      </c>
      <c r="DP118" s="2" t="s">
        <v>1522</v>
      </c>
      <c r="DQ118" s="2" t="str">
        <f>HYPERLINK(".\links\Sigp\AGAP006825-PA-SigP.txt","CYT")</f>
        <v>CYT</v>
      </c>
      <c r="DR118" s="2" t="s">
        <v>94</v>
      </c>
      <c r="DS118" s="2">
        <v>216.422</v>
      </c>
      <c r="DT118" s="2">
        <v>6.05</v>
      </c>
      <c r="DU118" s="2" t="s">
        <v>94</v>
      </c>
      <c r="DV118" s="2" t="s">
        <v>94</v>
      </c>
      <c r="DW118" s="2" t="s">
        <v>1515</v>
      </c>
      <c r="DX118" s="2">
        <v>1932</v>
      </c>
      <c r="DY118" s="8" t="str">
        <f>HYPERLINK(".\links\tmhmm\AGAP006825-PA-tmhmm.txt","4")</f>
        <v>4</v>
      </c>
      <c r="DZ118" s="2">
        <v>4.4000000000000004</v>
      </c>
      <c r="EA118" s="2">
        <v>91.5</v>
      </c>
      <c r="EB118" s="2">
        <v>4.0999999999999996</v>
      </c>
      <c r="EC118" s="2" t="str">
        <f>HYPERLINK(".\links\gpi\AGAP006825-PA-gpi.txt","Y-NoSP")</f>
        <v>Y-NoSP</v>
      </c>
      <c r="ED118" s="2">
        <v>7.0000000000000007E-2</v>
      </c>
      <c r="EF118" s="2">
        <v>32</v>
      </c>
      <c r="EG118" s="2" t="str">
        <f>HYPERLINK(".\links\pep\AGAP006825-PA-sulf.txt","6")</f>
        <v>6</v>
      </c>
      <c r="EH118" s="2" t="s">
        <v>94</v>
      </c>
      <c r="EI118" s="2">
        <v>14.285714285714301</v>
      </c>
      <c r="EJ118" s="2">
        <v>5.2277432712215299</v>
      </c>
      <c r="EK118" s="2">
        <v>6.2111801242236</v>
      </c>
      <c r="EL118" s="2">
        <v>11.4389233954451</v>
      </c>
      <c r="EM118" s="2">
        <v>1</v>
      </c>
      <c r="EN118" s="2">
        <v>5</v>
      </c>
      <c r="EO118" s="2">
        <v>6</v>
      </c>
      <c r="EP118" s="2" t="s">
        <v>94</v>
      </c>
      <c r="EQ118" s="2" t="s">
        <v>94</v>
      </c>
      <c r="ER118" s="2" t="s">
        <v>94</v>
      </c>
      <c r="ES118" s="2" t="s">
        <v>94</v>
      </c>
      <c r="ET118" s="2" t="str">
        <f>HYPERLINK(".\links\REFSEQ-INVERTEBRATE\AGAP006825-PA-REFSEQ-INVERTEBRATE.txt","AGAP006825-PA")</f>
        <v>AGAP006825-PA</v>
      </c>
      <c r="EU118" s="2" t="str">
        <f>HYPERLINK("http://www.ncbi.nlm.nih.gov/sutils/blink.cgi?pid=XP_308919.3","0.0")</f>
        <v>0.0</v>
      </c>
      <c r="EV118" s="2" t="str">
        <f>HYPERLINK("http://www.ncbi.nlm.nih.gov/protein/XP_308919.3","XP_308919.3")</f>
        <v>XP_308919.3</v>
      </c>
      <c r="EW118" s="2">
        <v>99</v>
      </c>
      <c r="EX118" s="2">
        <v>99</v>
      </c>
      <c r="EY118" s="2">
        <v>100</v>
      </c>
      <c r="EZ118" s="2" t="s">
        <v>98</v>
      </c>
    </row>
    <row r="119" spans="1:156" x14ac:dyDescent="0.25">
      <c r="A119" s="2" t="s">
        <v>1523</v>
      </c>
      <c r="B119" s="2">
        <v>0.72944208413317202</v>
      </c>
      <c r="C119" s="2">
        <v>1.6579977903609564</v>
      </c>
      <c r="D119" s="2">
        <v>6.6589908071883404</v>
      </c>
      <c r="E119" s="2">
        <v>18.988809490487</v>
      </c>
      <c r="F119" s="2">
        <v>1.31487345290948E-5</v>
      </c>
      <c r="G119" s="2">
        <v>1.4459021214145299E-3</v>
      </c>
      <c r="H119" s="2" t="s">
        <v>1524</v>
      </c>
      <c r="I119" s="2" t="s">
        <v>87</v>
      </c>
      <c r="J119" s="2" t="str">
        <f>HYPERLINK("https://vectorbase.org/vectorbase/app/record/gene/AGAP001281","AGAP001281-RA")</f>
        <v>AGAP001281-RA</v>
      </c>
      <c r="K119" s="2" t="str">
        <f>HYPERLINK(".\links\pep\AGAP001281-PA-pep.txt","AGAP001281-PA")</f>
        <v>AGAP001281-PA</v>
      </c>
      <c r="L119" s="8" t="s">
        <v>88</v>
      </c>
      <c r="M119" s="2">
        <v>432</v>
      </c>
      <c r="N119" s="2">
        <v>0</v>
      </c>
      <c r="O119" s="2">
        <v>1</v>
      </c>
      <c r="P119" s="2" t="s">
        <v>1525</v>
      </c>
      <c r="Q119" s="9" t="s">
        <v>1526</v>
      </c>
      <c r="R119" s="2" t="s">
        <v>113</v>
      </c>
      <c r="S119" s="2" t="str">
        <f>HYPERLINK(".\links\REFSEQ-INVERTEBRATE\AGAP001281-PA-REFSEQ-INVERTEBRATE.txt","REFSEQ-INVERTEBRATE")</f>
        <v>REFSEQ-INVERTEBRATE</v>
      </c>
      <c r="T119" s="2">
        <v>0</v>
      </c>
      <c r="U119" s="2">
        <v>100.4</v>
      </c>
      <c r="V119" s="2" t="s">
        <v>1527</v>
      </c>
      <c r="W119" s="10" t="s">
        <v>1528</v>
      </c>
      <c r="X119" s="2" t="s">
        <v>113</v>
      </c>
      <c r="Y119" s="2" t="str">
        <f>HYPERLINK(".\links\REFSEQVERTEBRATE95\AGAP001281-PA-REFSEQVERTEBRATE95.txt","REFSEQVERTEBRATE95")</f>
        <v>REFSEQVERTEBRATE95</v>
      </c>
      <c r="Z119" s="2">
        <v>0</v>
      </c>
      <c r="AA119" s="2">
        <v>90.1</v>
      </c>
      <c r="AB119" s="11" t="str">
        <f>HYPERLINK(".\links\pep\AGAP001281-PA-sulf.txt","1")</f>
        <v>1</v>
      </c>
      <c r="AC119" s="11" t="str">
        <f>HYPERLINK(".\links\Sigp\AGAP001281-PA-SigP.txt","CYT")</f>
        <v>CYT</v>
      </c>
      <c r="AD119" s="2" t="s">
        <v>94</v>
      </c>
      <c r="AE119" s="2">
        <v>49.883000000000003</v>
      </c>
      <c r="AF119" s="2">
        <v>6.68</v>
      </c>
      <c r="AG119" s="2" t="s">
        <v>94</v>
      </c>
      <c r="AH119" s="2" t="s">
        <v>94</v>
      </c>
      <c r="AI119" s="2" t="s">
        <v>1529</v>
      </c>
      <c r="AJ119" s="11" t="str">
        <f>HYPERLINK(".\links\tmhmm\AGAP001281-PA-tmhmm.txt","2")</f>
        <v>2</v>
      </c>
      <c r="AK119" s="2">
        <v>10.199999999999999</v>
      </c>
      <c r="AL119" s="2">
        <v>13.4</v>
      </c>
      <c r="AM119" s="2">
        <v>76.400000000000006</v>
      </c>
      <c r="AN119" s="11" t="str">
        <f>HYPERLINK(".\links\gpi\AGAP001281-PA-gpi.txt","N")</f>
        <v>N</v>
      </c>
      <c r="AO119" s="12" t="str">
        <f>HYPERLINK(".\links\netoglyc\AGAP001281-PA-netoglyc.txt","6")</f>
        <v>6</v>
      </c>
      <c r="AP119" s="11">
        <v>14.4</v>
      </c>
      <c r="AQ119" s="2">
        <v>5.0999999999999996</v>
      </c>
      <c r="AR119" s="2">
        <v>5.3</v>
      </c>
      <c r="AS119" s="2" t="s">
        <v>97</v>
      </c>
      <c r="AT119" s="9" t="str">
        <f>HYPERLINK(".\links\NR-LIGHT\AGAP001281-PA-NR-LIGHT.txt","AGAP001281-PA")</f>
        <v>AGAP001281-PA</v>
      </c>
      <c r="AU119" s="2" t="str">
        <f>HYPERLINK("http://www.ncbi.nlm.nih.gov/sutils/blink.cgi?pid=XP_321869.5","0.0")</f>
        <v>0.0</v>
      </c>
      <c r="AV119" s="2" t="str">
        <f>HYPERLINK("http://www.ncbi.nlm.nih.gov/protein/XP_321869.5","XP_321869.5")</f>
        <v>XP_321869.5</v>
      </c>
      <c r="AW119" s="2">
        <v>100</v>
      </c>
      <c r="AX119" s="2">
        <v>100</v>
      </c>
      <c r="AY119" s="2">
        <v>100</v>
      </c>
      <c r="AZ119" s="2" t="s">
        <v>98</v>
      </c>
      <c r="BA119" s="9" t="str">
        <f>HYPERLINK(".\links\REFSEQ-INVERTEBRATE\AGAP001281-PA-REFSEQ-INVERTEBRATE.txt","AGAP001281-PA")</f>
        <v>AGAP001281-PA</v>
      </c>
      <c r="BB119" s="2" t="str">
        <f>HYPERLINK("http://www.ncbi.nlm.nih.gov/sutils/blink.cgi?pid=XP_321869.5","0.0")</f>
        <v>0.0</v>
      </c>
      <c r="BC119" s="2" t="str">
        <f>HYPERLINK("http://www.ncbi.nlm.nih.gov/protein/XP_321869.5","XP_321869.5")</f>
        <v>XP_321869.5</v>
      </c>
      <c r="BD119" s="2">
        <v>100</v>
      </c>
      <c r="BE119" s="2">
        <v>100</v>
      </c>
      <c r="BF119" s="2">
        <v>100</v>
      </c>
      <c r="BG119" s="2" t="s">
        <v>98</v>
      </c>
      <c r="BH119" s="9" t="str">
        <f>HYPERLINK(".\links\REFSEQ-PROTOZOA\AGAP001281-PA-REFSEQ-PROTOZOA.txt","G-protein-coupled inward rectifier potassium channel")</f>
        <v>G-protein-coupled inward rectifier potassium channel</v>
      </c>
      <c r="BI119" s="2" t="str">
        <f>HYPERLINK("http://www.ncbi.nlm.nih.gov/sutils/blink.cgi?pid=XP_004997315.1","7E-039")</f>
        <v>7E-039</v>
      </c>
      <c r="BJ119" s="2" t="str">
        <f>HYPERLINK("http://www.ncbi.nlm.nih.gov/protein/XP_004997315.1","XP_004997315.1")</f>
        <v>XP_004997315.1</v>
      </c>
      <c r="BK119" s="2">
        <v>33</v>
      </c>
      <c r="BL119" s="2">
        <v>54</v>
      </c>
      <c r="BM119" s="2">
        <v>32</v>
      </c>
      <c r="BN119" s="2" t="s">
        <v>117</v>
      </c>
      <c r="BO119" s="9" t="str">
        <f>HYPERLINK(".\links\SWISSP\AGAP001281-PA-SWISSP.txt","Inward rectifier potassium channel 2")</f>
        <v>Inward rectifier potassium channel 2</v>
      </c>
      <c r="BP119" s="2" t="str">
        <f>HYPERLINK("http://www.uniprot.org/uniprot/P52186","6E-095")</f>
        <v>6E-095</v>
      </c>
      <c r="BQ119" s="2" t="str">
        <f>HYPERLINK("http://www.uniprot.org/uniprot/P52186#expression","P52186")</f>
        <v>P52186</v>
      </c>
      <c r="BR119" s="2">
        <v>50</v>
      </c>
      <c r="BS119" s="2">
        <v>72</v>
      </c>
      <c r="BT119" s="2">
        <v>78</v>
      </c>
      <c r="BU119" s="2" t="s">
        <v>1530</v>
      </c>
      <c r="BV119" s="9" t="str">
        <f>HYPERLINK(".\links\FLYBASE\AGAP001281-PA-FLYBASE.txt","FBpp0308685")</f>
        <v>FBpp0308685</v>
      </c>
      <c r="BW119" s="2" t="str">
        <f>HYPERLINK("http://flybase.org/reports/FBgn0039081#alliance_summary_container","0.0")</f>
        <v>0.0</v>
      </c>
      <c r="BX119" s="2">
        <v>454</v>
      </c>
      <c r="BY119" s="2">
        <v>68</v>
      </c>
      <c r="BZ119" s="2">
        <v>78</v>
      </c>
      <c r="CA119" s="2">
        <v>87</v>
      </c>
      <c r="CB119" s="9" t="str">
        <f>HYPERLINK(".\links\CDD\AGAP001281-PA-CDD.txt","IRK, Inward rectifier potassium channel")</f>
        <v>IRK, Inward rectifier potassium channel</v>
      </c>
      <c r="CC119" s="13">
        <v>9.9999999999999999E-161</v>
      </c>
      <c r="CD119" s="2">
        <v>101.2</v>
      </c>
      <c r="CE119" s="2" t="s">
        <v>1531</v>
      </c>
      <c r="CF119" s="2" t="s">
        <v>1532</v>
      </c>
      <c r="CG119" s="9" t="str">
        <f>HYPERLINK(".\links\KOG\AGAP001281-PA-KOG.txt","Inward rectifier K+ channel")</f>
        <v>Inward rectifier K+ channel</v>
      </c>
      <c r="CH119" s="13">
        <v>1E-153</v>
      </c>
      <c r="CI119" s="2">
        <v>89.8</v>
      </c>
      <c r="CJ119" s="2" t="s">
        <v>1533</v>
      </c>
      <c r="CK119" s="2" t="s">
        <v>641</v>
      </c>
      <c r="CL119" s="9" t="str">
        <f>HYPERLINK(".\links\PFAM\AGAP001281-PA-PFAM.txt","IRK, Inward rectifier potassium channel")</f>
        <v>IRK, Inward rectifier potassium channel</v>
      </c>
      <c r="CM119" s="13">
        <v>1E-161</v>
      </c>
      <c r="CN119" s="2">
        <v>101.2</v>
      </c>
      <c r="CO119" s="2" t="s">
        <v>1531</v>
      </c>
      <c r="CP119" s="9" t="str">
        <f>HYPERLINK(".\links\SMART\AGAP001281-PA-SMART.txt","CYCc, Adenylyl- / guanylyl cyclase, catalytic domain")</f>
        <v>CYCc, Adenylyl- / guanylyl cyclase, catalytic domain</v>
      </c>
      <c r="CQ119" s="13">
        <v>0.67</v>
      </c>
      <c r="CR119" s="2">
        <v>13.9</v>
      </c>
      <c r="CS119" s="2" t="s">
        <v>1534</v>
      </c>
      <c r="CT119" s="2" t="s">
        <v>1527</v>
      </c>
      <c r="CU119" s="2" t="s">
        <v>1527</v>
      </c>
      <c r="CV119" s="2" t="s">
        <v>1527</v>
      </c>
      <c r="CW119" s="2" t="str">
        <f>HYPERLINK(".\links\pep\AGAP001281-PA-pep.txt","AGAP001281-PA")</f>
        <v>AGAP001281-PA</v>
      </c>
      <c r="CX119" s="2" t="s">
        <v>88</v>
      </c>
      <c r="CY119" s="2">
        <v>432</v>
      </c>
      <c r="CZ119" s="2" t="s">
        <v>106</v>
      </c>
      <c r="DA119" s="2" t="s">
        <v>1535</v>
      </c>
      <c r="DB119" s="2">
        <v>0</v>
      </c>
      <c r="DC119" s="2">
        <v>1</v>
      </c>
      <c r="DD119" s="2" t="str">
        <f>HYPERLINK("https://www.kegg.jp/kegg-bin/search_pathway_text?map=aga&amp;keyword=AGAP001281&amp;mode=1&amp;viewImage=true","AGAP001281")</f>
        <v>AGAP001281</v>
      </c>
      <c r="DE119" s="2" t="s">
        <v>1523</v>
      </c>
      <c r="DF119" s="2" t="s">
        <v>1524</v>
      </c>
      <c r="DG119" s="2" t="s">
        <v>87</v>
      </c>
      <c r="DH119" s="2" t="str">
        <f>HYPERLINK("https://vectorbase.org/vectorbase/app/record/gene/AGAP001281","AGAP001281-RA")</f>
        <v>AGAP001281-RA</v>
      </c>
      <c r="DI119" s="2" t="s">
        <v>125</v>
      </c>
      <c r="DJ119" s="2">
        <v>2031</v>
      </c>
      <c r="DK119" s="2" t="str">
        <f>HYPERLINK(".\links\netoglyc\AGAP001281-PA-netoglyc.txt","6")</f>
        <v>6</v>
      </c>
      <c r="DL119" s="2">
        <v>14.4</v>
      </c>
      <c r="DM119" s="2">
        <v>5.0999999999999996</v>
      </c>
      <c r="DN119" s="2">
        <v>5.3</v>
      </c>
      <c r="DO119" s="2" t="s">
        <v>97</v>
      </c>
      <c r="DP119" s="2" t="s">
        <v>94</v>
      </c>
      <c r="DQ119" s="2" t="str">
        <f>HYPERLINK(".\links\Sigp\AGAP001281-PA-SigP.txt","CYT")</f>
        <v>CYT</v>
      </c>
      <c r="DR119" s="2" t="s">
        <v>94</v>
      </c>
      <c r="DS119" s="2">
        <v>49.883000000000003</v>
      </c>
      <c r="DT119" s="2">
        <v>6.68</v>
      </c>
      <c r="DU119" s="2" t="s">
        <v>94</v>
      </c>
      <c r="DV119" s="2" t="s">
        <v>94</v>
      </c>
      <c r="DW119" s="2" t="s">
        <v>1529</v>
      </c>
      <c r="DX119" s="2">
        <v>432</v>
      </c>
      <c r="DY119" s="8" t="str">
        <f>HYPERLINK(".\links\tmhmm\AGAP001281-PA-tmhmm.txt","2")</f>
        <v>2</v>
      </c>
      <c r="DZ119" s="2">
        <v>10.199999999999999</v>
      </c>
      <c r="EA119" s="2">
        <v>13.4</v>
      </c>
      <c r="EB119" s="2">
        <v>76.400000000000006</v>
      </c>
      <c r="EC119" s="2" t="str">
        <f>HYPERLINK(".\links\gpi\AGAP001281-PA-gpi.txt","Y-NoSP")</f>
        <v>Y-NoSP</v>
      </c>
      <c r="ED119" s="2">
        <v>0.21</v>
      </c>
      <c r="EF119" s="2">
        <v>8</v>
      </c>
      <c r="EG119" s="2" t="str">
        <f>HYPERLINK(".\links\pep\AGAP001281-PA-sulf.txt","1")</f>
        <v>1</v>
      </c>
      <c r="EH119" s="2" t="s">
        <v>94</v>
      </c>
      <c r="EI119" s="2">
        <v>14.351851851851899</v>
      </c>
      <c r="EJ119" s="2">
        <v>5.32407407407407</v>
      </c>
      <c r="EK119" s="2">
        <v>5.0925925925925899</v>
      </c>
      <c r="EL119" s="2">
        <v>10.4166666666667</v>
      </c>
      <c r="EM119" s="2" t="s">
        <v>94</v>
      </c>
      <c r="EN119" s="2" t="s">
        <v>94</v>
      </c>
      <c r="EO119" s="2">
        <v>1</v>
      </c>
      <c r="EP119" s="2" t="s">
        <v>94</v>
      </c>
      <c r="EQ119" s="2" t="s">
        <v>94</v>
      </c>
      <c r="ER119" s="2" t="s">
        <v>94</v>
      </c>
      <c r="ES119" s="2" t="s">
        <v>94</v>
      </c>
      <c r="ET119" s="2" t="str">
        <f>HYPERLINK(".\links\REFSEQ-INVERTEBRATE\AGAP001281-PA-REFSEQ-INVERTEBRATE.txt","AGAP001281-PA")</f>
        <v>AGAP001281-PA</v>
      </c>
      <c r="EU119" s="2" t="str">
        <f>HYPERLINK("http://www.ncbi.nlm.nih.gov/sutils/blink.cgi?pid=XP_321869.5","0.0")</f>
        <v>0.0</v>
      </c>
      <c r="EV119" s="2" t="str">
        <f>HYPERLINK("http://www.ncbi.nlm.nih.gov/protein/XP_321869.5","XP_321869.5")</f>
        <v>XP_321869.5</v>
      </c>
      <c r="EW119" s="2">
        <v>100</v>
      </c>
      <c r="EX119" s="2">
        <v>100</v>
      </c>
      <c r="EY119" s="2">
        <v>100</v>
      </c>
      <c r="EZ119" s="2" t="s">
        <v>98</v>
      </c>
    </row>
    <row r="120" spans="1:156" x14ac:dyDescent="0.25">
      <c r="A120" s="2" t="s">
        <v>1536</v>
      </c>
      <c r="B120" s="2">
        <v>0.72247528336253597</v>
      </c>
      <c r="C120" s="2">
        <v>1.6500105893619053</v>
      </c>
      <c r="D120" s="2">
        <v>5.1144936349888503</v>
      </c>
      <c r="E120" s="2">
        <v>15.4992481062105</v>
      </c>
      <c r="F120" s="2">
        <v>8.2538078941790105E-5</v>
      </c>
      <c r="G120" s="2">
        <v>6.2058840039623496E-3</v>
      </c>
      <c r="H120" s="2" t="s">
        <v>1537</v>
      </c>
      <c r="I120" s="2" t="s">
        <v>87</v>
      </c>
      <c r="J120" s="2" t="str">
        <f>HYPERLINK("https://vectorbase.org/vectorbase/app/record/gene/AGAP001775","AGAP001775-RA")</f>
        <v>AGAP001775-RA</v>
      </c>
      <c r="K120" s="2" t="str">
        <f>HYPERLINK(".\links\pep\AGAP001775-PA-pep.txt","AGAP001775-PA")</f>
        <v>AGAP001775-PA</v>
      </c>
      <c r="L120" s="8" t="s">
        <v>88</v>
      </c>
      <c r="M120" s="2">
        <v>1371</v>
      </c>
      <c r="N120" s="2">
        <v>0</v>
      </c>
      <c r="O120" s="2">
        <v>4</v>
      </c>
      <c r="P120" s="2" t="s">
        <v>1538</v>
      </c>
      <c r="Q120" s="9" t="s">
        <v>1539</v>
      </c>
      <c r="R120" s="2" t="s">
        <v>113</v>
      </c>
      <c r="S120" s="2" t="str">
        <f>HYPERLINK(".\links\CDD\AGAP001775-PA-CDD.txt","CDD")</f>
        <v>CDD</v>
      </c>
      <c r="T120" s="2">
        <v>0</v>
      </c>
      <c r="U120" s="2">
        <v>86.2</v>
      </c>
      <c r="V120" s="2" t="s">
        <v>1540</v>
      </c>
      <c r="W120" s="10" t="s">
        <v>1541</v>
      </c>
      <c r="X120" s="2" t="s">
        <v>1542</v>
      </c>
      <c r="Y120" s="2" t="str">
        <f>HYPERLINK(".\links\COG\AGAP001775-PA-COG.txt","COG")</f>
        <v>COG</v>
      </c>
      <c r="Z120" s="13">
        <v>4.9999999999999999E-48</v>
      </c>
      <c r="AA120" s="2">
        <v>54.4</v>
      </c>
      <c r="AB120" s="11" t="str">
        <f>HYPERLINK(".\links\pep\AGAP001775-PA-sulf.txt","1")</f>
        <v>1</v>
      </c>
      <c r="AC120" s="11" t="str">
        <f>HYPERLINK(".\links\Sigp\AGAP001775-PA-SigP.txt","BL")</f>
        <v>BL</v>
      </c>
      <c r="AD120" s="2" t="s">
        <v>1543</v>
      </c>
      <c r="AE120" s="2">
        <v>151.56800000000001</v>
      </c>
      <c r="AF120" s="2">
        <v>6.63</v>
      </c>
      <c r="AG120" s="2">
        <v>147.501</v>
      </c>
      <c r="AH120" s="2">
        <v>6.37</v>
      </c>
      <c r="AI120" s="2" t="s">
        <v>1544</v>
      </c>
      <c r="AJ120" s="11" t="str">
        <f>HYPERLINK(".\links\tmhmm\AGAP001775-PA-tmhmm.txt","11")</f>
        <v>11</v>
      </c>
      <c r="AK120" s="2">
        <v>18.100000000000001</v>
      </c>
      <c r="AL120" s="2">
        <v>33.299999999999997</v>
      </c>
      <c r="AM120" s="2">
        <v>48.6</v>
      </c>
      <c r="AN120" s="11" t="str">
        <f>HYPERLINK(".\links\gpi\AGAP001775-PA-gpi.txt","N")</f>
        <v>N</v>
      </c>
      <c r="AO120" s="12" t="str">
        <f>HYPERLINK(".\links\netoglyc\AGAP001775-PA-netoglyc.txt","1")</f>
        <v>1</v>
      </c>
      <c r="AP120" s="11">
        <v>11.5</v>
      </c>
      <c r="AQ120" s="2">
        <v>7.9</v>
      </c>
      <c r="AR120" s="2">
        <v>3.6</v>
      </c>
      <c r="AS120" s="2" t="s">
        <v>97</v>
      </c>
      <c r="AT120" s="9" t="str">
        <f>HYPERLINK(".\links\NR-LIGHT\AGAP001775-PA-NR-LIGHT.txt","AGAP001775-PA")</f>
        <v>AGAP001775-PA</v>
      </c>
      <c r="AU120" s="2" t="str">
        <f>HYPERLINK("http://www.ncbi.nlm.nih.gov/sutils/blink.cgi?pid=XP_551022.4","0.0")</f>
        <v>0.0</v>
      </c>
      <c r="AV120" s="2" t="str">
        <f>HYPERLINK("http://www.ncbi.nlm.nih.gov/protein/XP_551022.4","XP_551022.4")</f>
        <v>XP_551022.4</v>
      </c>
      <c r="AW120" s="2">
        <v>98</v>
      </c>
      <c r="AX120" s="2">
        <v>98</v>
      </c>
      <c r="AY120" s="2">
        <v>100</v>
      </c>
      <c r="AZ120" s="2" t="s">
        <v>98</v>
      </c>
      <c r="BA120" s="9" t="str">
        <f>HYPERLINK(".\links\REFSEQ-INVERTEBRATE\AGAP001775-PA-REFSEQ-INVERTEBRATE.txt","AGAP001775-PA")</f>
        <v>AGAP001775-PA</v>
      </c>
      <c r="BB120" s="2" t="str">
        <f>HYPERLINK("http://www.ncbi.nlm.nih.gov/sutils/blink.cgi?pid=XP_551022.4","0.0")</f>
        <v>0.0</v>
      </c>
      <c r="BC120" s="2" t="str">
        <f>HYPERLINK("http://www.ncbi.nlm.nih.gov/protein/XP_551022.4","XP_551022.4")</f>
        <v>XP_551022.4</v>
      </c>
      <c r="BD120" s="2">
        <v>98</v>
      </c>
      <c r="BE120" s="2">
        <v>98</v>
      </c>
      <c r="BF120" s="2">
        <v>100</v>
      </c>
      <c r="BG120" s="2" t="s">
        <v>98</v>
      </c>
      <c r="BH120" s="9" t="str">
        <f>HYPERLINK(".\links\REFSEQ-PROTOZOA\AGAP001775-PA-REFSEQ-PROTOZOA.txt","hypothetical protein H696_02153")</f>
        <v>hypothetical protein H696_02153</v>
      </c>
      <c r="BI120" s="2" t="str">
        <f>HYPERLINK("http://www.ncbi.nlm.nih.gov/sutils/blink.cgi?pid=XP_009494325.1","0.0")</f>
        <v>0.0</v>
      </c>
      <c r="BJ120" s="2" t="str">
        <f>HYPERLINK("http://www.ncbi.nlm.nih.gov/protein/XP_009494325.1","XP_009494325.1")</f>
        <v>XP_009494325.1</v>
      </c>
      <c r="BK120" s="2">
        <v>34</v>
      </c>
      <c r="BL120" s="2">
        <v>53</v>
      </c>
      <c r="BM120" s="2">
        <v>85</v>
      </c>
      <c r="BN120" s="2" t="s">
        <v>1459</v>
      </c>
      <c r="BO120" s="9" t="str">
        <f>HYPERLINK(".\links\SWISSP\AGAP001775-PA-SWISSP.txt","Probable multidrug resistance-associated protein lethal(2)03659")</f>
        <v>Probable multidrug resistance-associated protein lethal(2)03659</v>
      </c>
      <c r="BP120" s="2" t="str">
        <f>HYPERLINK("http://www.uniprot.org/uniprot/P91660","0.0")</f>
        <v>0.0</v>
      </c>
      <c r="BQ120" s="2" t="str">
        <f>HYPERLINK("http://www.uniprot.org/uniprot/P91660#expression","P91660")</f>
        <v>P91660</v>
      </c>
      <c r="BR120" s="2">
        <v>42</v>
      </c>
      <c r="BS120" s="2">
        <v>60</v>
      </c>
      <c r="BT120" s="2">
        <v>99</v>
      </c>
      <c r="BU120" s="2" t="s">
        <v>100</v>
      </c>
      <c r="BV120" s="9" t="str">
        <f>HYPERLINK(".\links\FLYBASE\AGAP001775-PA-FLYBASE.txt","FBpp0297935")</f>
        <v>FBpp0297935</v>
      </c>
      <c r="BW120" s="2" t="str">
        <f>HYPERLINK("http://flybase.org/reports/FBgn0032026#alliance_summary_container","0.0")</f>
        <v>0.0</v>
      </c>
      <c r="BX120" s="2">
        <v>1355</v>
      </c>
      <c r="BY120" s="2">
        <v>46</v>
      </c>
      <c r="BZ120" s="2">
        <v>65</v>
      </c>
      <c r="CA120" s="2">
        <v>103</v>
      </c>
      <c r="CB120" s="9" t="str">
        <f>HYPERLINK(".\links\CDD\AGAP001775-PA-CDD.txt","Multidrug_resistance-associated_protein_1, multi drug resistance-associated protein (MRP)")</f>
        <v>Multidrug_resistance-associated_protein_1, multi drug resistance-associated protein (MRP)</v>
      </c>
      <c r="CC120" s="13">
        <v>0</v>
      </c>
      <c r="CD120" s="2">
        <v>92.1</v>
      </c>
      <c r="CE120" s="2" t="s">
        <v>1545</v>
      </c>
      <c r="CF120" s="2" t="s">
        <v>1546</v>
      </c>
      <c r="CG120" s="9" t="str">
        <f>HYPERLINK(".\links\KOG\AGAP001775-PA-KOG.txt","ABC superfamily")</f>
        <v>ABC superfamily</v>
      </c>
      <c r="CH120" s="13">
        <v>0</v>
      </c>
      <c r="CI120" s="2">
        <v>97.7</v>
      </c>
      <c r="CJ120" s="2" t="s">
        <v>1547</v>
      </c>
      <c r="CK120" s="2" t="s">
        <v>104</v>
      </c>
      <c r="CL120" s="9" t="str">
        <f>HYPERLINK(".\links\PFAM\AGAP001775-PA-PFAM.txt","ABC_tran, ABC transporter")</f>
        <v>ABC_tran, ABC transporter</v>
      </c>
      <c r="CM120" s="13">
        <v>5.9999999999999998E-30</v>
      </c>
      <c r="CN120" s="2">
        <v>104</v>
      </c>
      <c r="CO120" s="2" t="s">
        <v>1548</v>
      </c>
      <c r="CP120" s="9" t="str">
        <f>HYPERLINK(".\links\SMART\AGAP001775-PA-SMART.txt","AAA, ATPases associated with a variety of cellular activities")</f>
        <v>AAA, ATPases associated with a variety of cellular activities</v>
      </c>
      <c r="CQ120" s="13">
        <v>5.0000000000000001E-9</v>
      </c>
      <c r="CR120" s="2">
        <v>114.9</v>
      </c>
      <c r="CS120" s="2" t="s">
        <v>1549</v>
      </c>
      <c r="CT120" s="2" t="s">
        <v>1540</v>
      </c>
      <c r="CU120" s="2" t="s">
        <v>1540</v>
      </c>
      <c r="CV120" s="2" t="s">
        <v>1540</v>
      </c>
      <c r="CW120" s="2" t="str">
        <f>HYPERLINK(".\links\pep\AGAP001775-PA-pep.txt","AGAP001775-PA")</f>
        <v>AGAP001775-PA</v>
      </c>
      <c r="CX120" s="2" t="s">
        <v>88</v>
      </c>
      <c r="CY120" s="2">
        <v>1371</v>
      </c>
      <c r="CZ120" s="2" t="s">
        <v>106</v>
      </c>
      <c r="DA120" s="2" t="s">
        <v>1550</v>
      </c>
      <c r="DB120" s="2">
        <v>0</v>
      </c>
      <c r="DC120" s="2">
        <v>4</v>
      </c>
      <c r="DD120" s="2" t="str">
        <f>HYPERLINK("https://www.kegg.jp/kegg-bin/search_pathway_text?map=aga&amp;keyword=AGAP001775&amp;mode=1&amp;viewImage=true","AGAP001775")</f>
        <v>AGAP001775</v>
      </c>
      <c r="DE120" s="2" t="s">
        <v>1536</v>
      </c>
      <c r="DF120" s="2" t="s">
        <v>1537</v>
      </c>
      <c r="DG120" s="2" t="s">
        <v>87</v>
      </c>
      <c r="DH120" s="2" t="str">
        <f>HYPERLINK("https://vectorbase.org/vectorbase/app/record/gene/AGAP001775","AGAP001775-RA")</f>
        <v>AGAP001775-RA</v>
      </c>
      <c r="DI120" s="2" t="s">
        <v>125</v>
      </c>
      <c r="DJ120" s="2">
        <v>4895</v>
      </c>
      <c r="DK120" s="2" t="str">
        <f>HYPERLINK(".\links\netoglyc\AGAP001775-PA-netoglyc.txt","1")</f>
        <v>1</v>
      </c>
      <c r="DL120" s="2">
        <v>11.5</v>
      </c>
      <c r="DM120" s="2">
        <v>7.9</v>
      </c>
      <c r="DN120" s="2">
        <v>3.6</v>
      </c>
      <c r="DO120" s="2" t="s">
        <v>97</v>
      </c>
      <c r="DP120" s="2" t="s">
        <v>1551</v>
      </c>
      <c r="DQ120" s="2" t="str">
        <f>HYPERLINK(".\links\Sigp\AGAP001775-PA-SigP.txt","BL")</f>
        <v>BL</v>
      </c>
      <c r="DR120" s="2" t="s">
        <v>1543</v>
      </c>
      <c r="DS120" s="2">
        <v>151.56399999999999</v>
      </c>
      <c r="DT120" s="2">
        <v>6.63</v>
      </c>
      <c r="DU120" s="2">
        <v>147.501</v>
      </c>
      <c r="DV120" s="2">
        <v>6.37</v>
      </c>
      <c r="DW120" s="2" t="s">
        <v>1544</v>
      </c>
      <c r="DX120" s="2">
        <v>1371</v>
      </c>
      <c r="DY120" s="8" t="str">
        <f>HYPERLINK(".\links\tmhmm\AGAP001775-PA-tmhmm.txt","11")</f>
        <v>11</v>
      </c>
      <c r="DZ120" s="2">
        <v>18.100000000000001</v>
      </c>
      <c r="EA120" s="2">
        <v>33.299999999999997</v>
      </c>
      <c r="EB120" s="2">
        <v>48.6</v>
      </c>
      <c r="EC120" s="2" t="str">
        <f>HYPERLINK(".\links\gpi\AGAP001775-PA-gpi.txt","N")</f>
        <v>N</v>
      </c>
      <c r="ED120" s="2">
        <v>0.26</v>
      </c>
      <c r="EF120" s="2">
        <v>11</v>
      </c>
      <c r="EG120" s="2" t="str">
        <f>HYPERLINK(".\links\pep\AGAP001775-PA-sulf.txt","1")</f>
        <v>1</v>
      </c>
      <c r="EH120" s="2" t="s">
        <v>94</v>
      </c>
      <c r="EI120" s="2">
        <v>11.5244347191831</v>
      </c>
      <c r="EJ120" s="2">
        <v>3.6469730123997102</v>
      </c>
      <c r="EK120" s="2">
        <v>7.8774617067833699</v>
      </c>
      <c r="EL120" s="2">
        <v>11.5244347191831</v>
      </c>
      <c r="EM120" s="2">
        <v>2</v>
      </c>
      <c r="EN120" s="2">
        <v>3</v>
      </c>
      <c r="EO120" s="2">
        <v>3</v>
      </c>
      <c r="EP120" s="2" t="s">
        <v>94</v>
      </c>
      <c r="EQ120" s="2" t="s">
        <v>94</v>
      </c>
      <c r="ER120" s="2" t="s">
        <v>94</v>
      </c>
      <c r="ES120" s="2" t="s">
        <v>94</v>
      </c>
      <c r="ET120" s="2" t="str">
        <f>HYPERLINK(".\links\REFSEQ-INVERTEBRATE\AGAP001775-PA-REFSEQ-INVERTEBRATE.txt","AGAP001775-PA")</f>
        <v>AGAP001775-PA</v>
      </c>
      <c r="EU120" s="2" t="str">
        <f>HYPERLINK("http://www.ncbi.nlm.nih.gov/sutils/blink.cgi?pid=XP_551022.4","0.0")</f>
        <v>0.0</v>
      </c>
      <c r="EV120" s="2" t="str">
        <f>HYPERLINK("http://www.ncbi.nlm.nih.gov/protein/XP_551022.4","XP_551022.4")</f>
        <v>XP_551022.4</v>
      </c>
      <c r="EW120" s="2">
        <v>98</v>
      </c>
      <c r="EX120" s="2">
        <v>98</v>
      </c>
      <c r="EY120" s="2">
        <v>100</v>
      </c>
      <c r="EZ120" s="2" t="s">
        <v>98</v>
      </c>
    </row>
    <row r="121" spans="1:156" x14ac:dyDescent="0.25">
      <c r="A121" s="2" t="s">
        <v>1552</v>
      </c>
      <c r="B121" s="2">
        <v>0.72048081552533305</v>
      </c>
      <c r="C121" s="2">
        <v>1.6477310921413502</v>
      </c>
      <c r="D121" s="2">
        <v>4.4858953373412804</v>
      </c>
      <c r="E121" s="2">
        <v>16.612367630842002</v>
      </c>
      <c r="F121" s="2">
        <v>4.5851053044058802E-5</v>
      </c>
      <c r="G121" s="2">
        <v>4.0091868101455198E-3</v>
      </c>
      <c r="H121" s="2" t="s">
        <v>1553</v>
      </c>
      <c r="I121" s="2" t="s">
        <v>87</v>
      </c>
      <c r="J121" s="2" t="str">
        <f>HYPERLINK("https://vectorbase.org/vectorbase/app/record/gene/AGAP004175","AGAP004175-RA")</f>
        <v>AGAP004175-RA</v>
      </c>
      <c r="K121" s="2" t="str">
        <f>HYPERLINK(".\links\pep\AGAP004175-PA-pep.txt","AGAP004175-PA")</f>
        <v>AGAP004175-PA</v>
      </c>
      <c r="L121" s="8" t="s">
        <v>88</v>
      </c>
      <c r="M121" s="2">
        <v>497</v>
      </c>
      <c r="N121" s="2">
        <v>0</v>
      </c>
      <c r="O121" s="2">
        <v>0</v>
      </c>
      <c r="P121" s="2" t="s">
        <v>1554</v>
      </c>
      <c r="Q121" s="9" t="s">
        <v>1555</v>
      </c>
      <c r="R121" s="2" t="s">
        <v>1064</v>
      </c>
      <c r="S121" s="2" t="str">
        <f>HYPERLINK(".\links\KOG\AGAP004175-PA-KOG.txt","KOG")</f>
        <v>KOG</v>
      </c>
      <c r="T121" s="2">
        <v>6.0000000000000003E-72</v>
      </c>
      <c r="U121" s="2">
        <v>102</v>
      </c>
      <c r="V121" s="2" t="s">
        <v>1556</v>
      </c>
      <c r="W121" s="10" t="s">
        <v>1557</v>
      </c>
      <c r="X121" s="2" t="s">
        <v>591</v>
      </c>
      <c r="Y121" s="2" t="str">
        <f>HYPERLINK(".\links\REFSEQ-PROTOZOA\AGAP004175-PA-REFSEQ-PROTOZOA.txt","REFSEQ-PROTOZOA")</f>
        <v>REFSEQ-PROTOZOA</v>
      </c>
      <c r="Z121" s="2">
        <v>0</v>
      </c>
      <c r="AA121" s="2">
        <v>101.8</v>
      </c>
      <c r="AB121" s="11" t="s">
        <v>94</v>
      </c>
      <c r="AC121" s="11" t="str">
        <f>HYPERLINK(".\links\Sigp\AGAP004175-PA-SigP.txt","CYT")</f>
        <v>CYT</v>
      </c>
      <c r="AD121" s="2" t="s">
        <v>94</v>
      </c>
      <c r="AE121" s="2">
        <v>54.600999999999999</v>
      </c>
      <c r="AF121" s="2">
        <v>5.89</v>
      </c>
      <c r="AG121" s="2" t="s">
        <v>94</v>
      </c>
      <c r="AH121" s="2" t="s">
        <v>94</v>
      </c>
      <c r="AI121" s="2" t="s">
        <v>1558</v>
      </c>
      <c r="AJ121" s="11">
        <v>0</v>
      </c>
      <c r="AK121" s="2" t="s">
        <v>94</v>
      </c>
      <c r="AL121" s="2" t="s">
        <v>94</v>
      </c>
      <c r="AM121" s="2" t="s">
        <v>94</v>
      </c>
      <c r="AN121" s="11" t="str">
        <f>HYPERLINK(".\links\gpi\AGAP004175-PA-gpi.txt","N")</f>
        <v>N</v>
      </c>
      <c r="AO121" s="12" t="str">
        <f>HYPERLINK(".\links\netoglyc\AGAP004175-PA-netoglyc.txt","0")</f>
        <v>0</v>
      </c>
      <c r="AP121" s="11">
        <v>12.5</v>
      </c>
      <c r="AQ121" s="2">
        <v>7</v>
      </c>
      <c r="AR121" s="2">
        <v>2.8</v>
      </c>
      <c r="AS121" s="2" t="s">
        <v>97</v>
      </c>
      <c r="AT121" s="9" t="str">
        <f>HYPERLINK(".\links\NR-LIGHT\AGAP004175-PA-NR-LIGHT.txt","AGAP004175-PA")</f>
        <v>AGAP004175-PA</v>
      </c>
      <c r="AU121" s="2" t="str">
        <f>HYPERLINK("http://www.ncbi.nlm.nih.gov/sutils/blink.cgi?pid=XP_313061.3","0.0")</f>
        <v>0.0</v>
      </c>
      <c r="AV121" s="2" t="str">
        <f>HYPERLINK("http://www.ncbi.nlm.nih.gov/protein/XP_313061.3","XP_313061.3")</f>
        <v>XP_313061.3</v>
      </c>
      <c r="AW121" s="2">
        <v>100</v>
      </c>
      <c r="AX121" s="2">
        <v>100</v>
      </c>
      <c r="AY121" s="2">
        <v>100</v>
      </c>
      <c r="AZ121" s="2" t="s">
        <v>98</v>
      </c>
      <c r="BA121" s="9" t="str">
        <f>HYPERLINK(".\links\REFSEQ-INVERTEBRATE\AGAP004175-PA-REFSEQ-INVERTEBRATE.txt","AGAP004175-PA")</f>
        <v>AGAP004175-PA</v>
      </c>
      <c r="BB121" s="2" t="str">
        <f>HYPERLINK("http://www.ncbi.nlm.nih.gov/sutils/blink.cgi?pid=XP_313061.3","0.0")</f>
        <v>0.0</v>
      </c>
      <c r="BC121" s="2" t="str">
        <f>HYPERLINK("http://www.ncbi.nlm.nih.gov/protein/XP_313061.3","XP_313061.3")</f>
        <v>XP_313061.3</v>
      </c>
      <c r="BD121" s="2">
        <v>100</v>
      </c>
      <c r="BE121" s="2">
        <v>100</v>
      </c>
      <c r="BF121" s="2">
        <v>100</v>
      </c>
      <c r="BG121" s="2" t="s">
        <v>98</v>
      </c>
      <c r="BH121" s="9" t="str">
        <f>HYPERLINK(".\links\REFSEQ-PROTOZOA\AGAP004175-PA-REFSEQ-PROTOZOA.txt","orotidine 5'-monophosphate decarboxylase")</f>
        <v>orotidine 5'-monophosphate decarboxylase</v>
      </c>
      <c r="BI121" s="2" t="str">
        <f>HYPERLINK("http://www.ncbi.nlm.nih.gov/sutils/blink.cgi?pid=XP_004995919.1","1E-119")</f>
        <v>1E-119</v>
      </c>
      <c r="BJ121" s="2" t="str">
        <f>HYPERLINK("http://www.ncbi.nlm.nih.gov/protein/XP_004995919.1","XP_004995919.1")</f>
        <v>XP_004995919.1</v>
      </c>
      <c r="BK121" s="2">
        <v>48</v>
      </c>
      <c r="BL121" s="2">
        <v>66</v>
      </c>
      <c r="BM121" s="2">
        <v>102</v>
      </c>
      <c r="BN121" s="2" t="s">
        <v>117</v>
      </c>
      <c r="BO121" s="9" t="str">
        <f>HYPERLINK(".\links\SWISSP\AGAP004175-PA-SWISSP.txt","Uridine 5'-monophosphate synthase")</f>
        <v>Uridine 5'-monophosphate synthase</v>
      </c>
      <c r="BP121" s="2" t="str">
        <f>HYPERLINK("http://www.uniprot.org/uniprot/Q01637","1E-177")</f>
        <v>1E-177</v>
      </c>
      <c r="BQ121" s="2" t="str">
        <f>HYPERLINK("http://www.uniprot.org/uniprot/Q01637#expression","Q01637")</f>
        <v>Q01637</v>
      </c>
      <c r="BR121" s="2">
        <v>64</v>
      </c>
      <c r="BS121" s="2">
        <v>79</v>
      </c>
      <c r="BT121" s="2">
        <v>99</v>
      </c>
      <c r="BU121" s="2" t="s">
        <v>100</v>
      </c>
      <c r="BV121" s="9" t="str">
        <f>HYPERLINK(".\links\FLYBASE\AGAP004175-PA-FLYBASE.txt","FBpp0083440")</f>
        <v>FBpp0083440</v>
      </c>
      <c r="BW121" s="2" t="str">
        <f>HYPERLINK("http://flybase.org/reports/FBgn0003257#alliance_summary_container","0.0")</f>
        <v>0.0</v>
      </c>
      <c r="BX121" s="2">
        <v>493</v>
      </c>
      <c r="BY121" s="2">
        <v>64</v>
      </c>
      <c r="BZ121" s="2">
        <v>79</v>
      </c>
      <c r="CA121" s="2">
        <v>99</v>
      </c>
      <c r="CB121" s="9" t="str">
        <f>HYPERLINK(".\links\CDD\AGAP004175-PA-CDD.txt","PRK13809, orotate phosphoribosyltransferase")</f>
        <v>PRK13809, orotate phosphoribosyltransferase</v>
      </c>
      <c r="CC121" s="13">
        <v>9.9999999999999997E-49</v>
      </c>
      <c r="CD121" s="2">
        <v>96.6</v>
      </c>
      <c r="CE121" s="2" t="s">
        <v>1559</v>
      </c>
      <c r="CF121" s="2" t="s">
        <v>1560</v>
      </c>
      <c r="CG121" s="9" t="str">
        <f>HYPERLINK(".\links\KOG\AGAP004175-PA-KOG.txt","Uridine 5'- monophosphate synthase/orotate phosphoribosyltransferase")</f>
        <v>Uridine 5'- monophosphate synthase/orotate phosphoribosyltransferase</v>
      </c>
      <c r="CH121" s="13">
        <v>6.0000000000000003E-72</v>
      </c>
      <c r="CI121" s="2">
        <v>102.3</v>
      </c>
      <c r="CJ121" s="2" t="s">
        <v>1561</v>
      </c>
      <c r="CK121" s="2" t="s">
        <v>1071</v>
      </c>
      <c r="CL121" s="9" t="str">
        <f>HYPERLINK(".\links\PFAM\AGAP004175-PA-PFAM.txt","OMPdecase, Orotidine 5'-phosphate decarboxylase / HUMPS family")</f>
        <v>OMPdecase, Orotidine 5'-phosphate decarboxylase / HUMPS family</v>
      </c>
      <c r="CM121" s="13">
        <v>3.9999999999999999E-48</v>
      </c>
      <c r="CN121" s="2">
        <v>104.7</v>
      </c>
      <c r="CO121" s="2" t="s">
        <v>1562</v>
      </c>
      <c r="CP121" s="9" t="str">
        <f>HYPERLINK(".\links\SMART\AGAP004175-PA-SMART.txt","OMPdecase, Orotidine 5'-phosphate decarboxylase / HUMPS family")</f>
        <v>OMPdecase, Orotidine 5'-phosphate decarboxylase / HUMPS family</v>
      </c>
      <c r="CQ121" s="13">
        <v>3E-37</v>
      </c>
      <c r="CR121" s="2">
        <v>107.1</v>
      </c>
      <c r="CS121" s="2" t="s">
        <v>1563</v>
      </c>
      <c r="CT121" s="2" t="s">
        <v>1556</v>
      </c>
      <c r="CU121" s="2" t="s">
        <v>1556</v>
      </c>
      <c r="CV121" s="2" t="s">
        <v>1556</v>
      </c>
      <c r="CW121" s="2" t="str">
        <f>HYPERLINK(".\links\pep\AGAP004175-PA-pep.txt","AGAP004175-PA")</f>
        <v>AGAP004175-PA</v>
      </c>
      <c r="CX121" s="2" t="s">
        <v>88</v>
      </c>
      <c r="CY121" s="2">
        <v>497</v>
      </c>
      <c r="CZ121" s="2" t="s">
        <v>106</v>
      </c>
      <c r="DA121" s="2" t="s">
        <v>1564</v>
      </c>
      <c r="DB121" s="2">
        <v>0</v>
      </c>
      <c r="DC121" s="2">
        <v>0</v>
      </c>
      <c r="DD121" s="2" t="str">
        <f>HYPERLINK("https://www.kegg.jp/kegg-bin/search_pathway_text?map=aga&amp;keyword=AGAP004175&amp;mode=1&amp;viewImage=true","AGAP004175")</f>
        <v>AGAP004175</v>
      </c>
      <c r="DE121" s="2" t="s">
        <v>1552</v>
      </c>
      <c r="DF121" s="2" t="s">
        <v>1553</v>
      </c>
      <c r="DG121" s="2" t="s">
        <v>87</v>
      </c>
      <c r="DH121" s="2" t="str">
        <f>HYPERLINK("https://vectorbase.org/vectorbase/app/record/gene/AGAP004175","AGAP004175-RA")</f>
        <v>AGAP004175-RA</v>
      </c>
      <c r="DI121" s="2" t="s">
        <v>108</v>
      </c>
      <c r="DJ121" s="2">
        <v>1993</v>
      </c>
      <c r="DK121" s="2" t="str">
        <f>HYPERLINK(".\links\netoglyc\AGAP004175-PA-netoglyc.txt","0")</f>
        <v>0</v>
      </c>
      <c r="DL121" s="2">
        <v>12.5</v>
      </c>
      <c r="DM121" s="2">
        <v>7</v>
      </c>
      <c r="DN121" s="2">
        <v>2.8</v>
      </c>
      <c r="DO121" s="2" t="s">
        <v>97</v>
      </c>
      <c r="DP121" s="2" t="s">
        <v>94</v>
      </c>
      <c r="DQ121" s="2" t="str">
        <f>HYPERLINK(".\links\Sigp\AGAP004175-PA-SigP.txt","CYT")</f>
        <v>CYT</v>
      </c>
      <c r="DR121" s="2" t="s">
        <v>94</v>
      </c>
      <c r="DS121" s="2">
        <v>54.600999999999999</v>
      </c>
      <c r="DT121" s="2">
        <v>5.89</v>
      </c>
      <c r="DU121" s="2" t="s">
        <v>94</v>
      </c>
      <c r="DV121" s="2" t="s">
        <v>94</v>
      </c>
      <c r="DW121" s="2" t="s">
        <v>1558</v>
      </c>
      <c r="DX121" s="2">
        <v>497</v>
      </c>
      <c r="DY121" s="8">
        <v>0</v>
      </c>
      <c r="DZ121" s="2" t="s">
        <v>94</v>
      </c>
      <c r="EA121" s="2" t="s">
        <v>94</v>
      </c>
      <c r="EB121" s="2" t="s">
        <v>94</v>
      </c>
      <c r="EC121" s="2" t="str">
        <f>HYPERLINK(".\links\gpi\AGAP004175-PA-gpi.txt","N")</f>
        <v>N</v>
      </c>
      <c r="ED121" s="2">
        <v>0.22</v>
      </c>
      <c r="EF121" s="2">
        <v>9</v>
      </c>
      <c r="EG121" s="2" t="s">
        <v>94</v>
      </c>
      <c r="EH121" s="2" t="s">
        <v>94</v>
      </c>
      <c r="EI121" s="2">
        <v>12.4748490945674</v>
      </c>
      <c r="EJ121" s="2">
        <v>2.8169014084507</v>
      </c>
      <c r="EK121" s="2">
        <v>7.0422535211267601</v>
      </c>
      <c r="EL121" s="2">
        <v>9.8591549295774605</v>
      </c>
      <c r="EM121" s="2">
        <v>2</v>
      </c>
      <c r="EN121" s="2">
        <v>1</v>
      </c>
      <c r="EO121" s="2">
        <v>3</v>
      </c>
      <c r="EP121" s="2" t="s">
        <v>94</v>
      </c>
      <c r="EQ121" s="2" t="s">
        <v>94</v>
      </c>
      <c r="ER121" s="2" t="s">
        <v>94</v>
      </c>
      <c r="ES121" s="2" t="s">
        <v>94</v>
      </c>
      <c r="ET121" s="2" t="str">
        <f>HYPERLINK(".\links\REFSEQ-INVERTEBRATE\AGAP004175-PA-REFSEQ-INVERTEBRATE.txt","AGAP004175-PA")</f>
        <v>AGAP004175-PA</v>
      </c>
      <c r="EU121" s="2" t="str">
        <f>HYPERLINK("http://www.ncbi.nlm.nih.gov/sutils/blink.cgi?pid=XP_313061.3","0.0")</f>
        <v>0.0</v>
      </c>
      <c r="EV121" s="2" t="str">
        <f>HYPERLINK("http://www.ncbi.nlm.nih.gov/protein/XP_313061.3","XP_313061.3")</f>
        <v>XP_313061.3</v>
      </c>
      <c r="EW121" s="2">
        <v>100</v>
      </c>
      <c r="EX121" s="2">
        <v>100</v>
      </c>
      <c r="EY121" s="2">
        <v>100</v>
      </c>
      <c r="EZ121" s="2" t="s">
        <v>98</v>
      </c>
    </row>
    <row r="122" spans="1:156" x14ac:dyDescent="0.25">
      <c r="A122" s="2" t="s">
        <v>1565</v>
      </c>
      <c r="B122" s="2">
        <v>0.71347570776148295</v>
      </c>
      <c r="C122" s="2">
        <v>1.6397498098565286</v>
      </c>
      <c r="D122" s="2">
        <v>6.3593928645612898</v>
      </c>
      <c r="E122" s="2">
        <v>17.729653002285399</v>
      </c>
      <c r="F122" s="2">
        <v>2.5462633407651698E-5</v>
      </c>
      <c r="G122" s="2">
        <v>2.5347381488017001E-3</v>
      </c>
      <c r="H122" s="2" t="s">
        <v>1566</v>
      </c>
      <c r="I122" s="2" t="s">
        <v>94</v>
      </c>
      <c r="J122" s="2" t="str">
        <f>HYPERLINK("https://vectorbase.org/vectorbase/app/record/gene/AGAP002079","AGAP002079-RA")</f>
        <v>AGAP002079-RA</v>
      </c>
      <c r="K122" s="2" t="str">
        <f>HYPERLINK(".\links\pep\AGAP002079-PA-pep.txt","AGAP002079-PA")</f>
        <v>AGAP002079-PA</v>
      </c>
      <c r="L122" s="8" t="s">
        <v>88</v>
      </c>
      <c r="M122" s="2">
        <v>704</v>
      </c>
      <c r="N122" s="2">
        <v>0</v>
      </c>
      <c r="O122" s="2">
        <v>3</v>
      </c>
      <c r="P122" s="2" t="s">
        <v>94</v>
      </c>
      <c r="Q122" s="9" t="s">
        <v>1567</v>
      </c>
      <c r="R122" s="2" t="s">
        <v>318</v>
      </c>
      <c r="S122" s="2" t="str">
        <f>HYPERLINK(".\links\KOG\AGAP002079-PA-KOG.txt","KOG")</f>
        <v>KOG</v>
      </c>
      <c r="T122" s="2">
        <v>9.9999999999999996E-39</v>
      </c>
      <c r="U122" s="2">
        <v>42.2</v>
      </c>
      <c r="V122" s="2" t="s">
        <v>1568</v>
      </c>
      <c r="W122" s="10" t="s">
        <v>1569</v>
      </c>
      <c r="X122" s="2" t="s">
        <v>318</v>
      </c>
      <c r="Y122" s="2" t="str">
        <f>HYPERLINK(".\links\KOG\AGAP002079-PA-KOG.txt","KOG")</f>
        <v>KOG</v>
      </c>
      <c r="Z122" s="13">
        <v>9.9999999999999993E-35</v>
      </c>
      <c r="AA122" s="2">
        <v>45</v>
      </c>
      <c r="AB122" s="11" t="s">
        <v>94</v>
      </c>
      <c r="AC122" s="11" t="str">
        <f>HYPERLINK(".\links\Sigp\AGAP002079-PA-SigP.txt","CYT")</f>
        <v>CYT</v>
      </c>
      <c r="AD122" s="2" t="s">
        <v>94</v>
      </c>
      <c r="AE122" s="2">
        <v>75.784999999999997</v>
      </c>
      <c r="AF122" s="2">
        <v>8.41</v>
      </c>
      <c r="AG122" s="2" t="s">
        <v>94</v>
      </c>
      <c r="AH122" s="2" t="s">
        <v>94</v>
      </c>
      <c r="AI122" s="2" t="s">
        <v>348</v>
      </c>
      <c r="AJ122" s="11">
        <v>0</v>
      </c>
      <c r="AK122" s="2" t="s">
        <v>94</v>
      </c>
      <c r="AL122" s="2" t="s">
        <v>94</v>
      </c>
      <c r="AM122" s="2" t="s">
        <v>94</v>
      </c>
      <c r="AN122" s="11" t="str">
        <f>HYPERLINK(".\links\gpi\AGAP002079-PA-gpi.txt","N")</f>
        <v>N</v>
      </c>
      <c r="AO122" s="12" t="str">
        <f>HYPERLINK(".\links\netoglyc\AGAP002079-PA-netoglyc.txt","5")</f>
        <v>5</v>
      </c>
      <c r="AP122" s="11">
        <v>16.899999999999999</v>
      </c>
      <c r="AQ122" s="2">
        <v>7.1</v>
      </c>
      <c r="AR122" s="2">
        <v>6.1</v>
      </c>
      <c r="AS122" s="2" t="s">
        <v>97</v>
      </c>
      <c r="AT122" s="9" t="str">
        <f>HYPERLINK(".\links\NR-LIGHT\AGAP002079-PA-NR-LIGHT.txt","hypothetical protein AND_005132")</f>
        <v>hypothetical protein AND_005132</v>
      </c>
      <c r="AU122" s="2" t="str">
        <f>HYPERLINK("http://www.ncbi.nlm.nih.gov/sutils/blink.cgi?pid=ETN63160.1","0.0")</f>
        <v>0.0</v>
      </c>
      <c r="AV122" s="2" t="str">
        <f>HYPERLINK("http://www.ncbi.nlm.nih.gov/protein/ETN63160.1","ETN63160.1")</f>
        <v>ETN63160.1</v>
      </c>
      <c r="AW122" s="2">
        <v>83</v>
      </c>
      <c r="AX122" s="2">
        <v>87</v>
      </c>
      <c r="AY122" s="2">
        <v>100</v>
      </c>
      <c r="AZ122" s="2" t="s">
        <v>291</v>
      </c>
      <c r="BA122" s="9" t="str">
        <f>HYPERLINK(".\links\REFSEQ-INVERTEBRATE\AGAP002079-PA-REFSEQ-INVERTEBRATE.txt","uncharacterized protein LOC109431771")</f>
        <v>uncharacterized protein LOC109431771</v>
      </c>
      <c r="BB122" s="2" t="str">
        <f>HYPERLINK("http://www.ncbi.nlm.nih.gov/sutils/blink.cgi?pid=XP_019563587.1","0.0")</f>
        <v>0.0</v>
      </c>
      <c r="BC122" s="2" t="str">
        <f>HYPERLINK("http://www.ncbi.nlm.nih.gov/protein/XP_019563587.1","XP_019563587.1")</f>
        <v>XP_019563587.1</v>
      </c>
      <c r="BD122" s="2">
        <v>73</v>
      </c>
      <c r="BE122" s="2">
        <v>81</v>
      </c>
      <c r="BF122" s="2">
        <v>102</v>
      </c>
      <c r="BG122" s="2" t="s">
        <v>495</v>
      </c>
      <c r="BH122" s="9" t="str">
        <f>HYPERLINK(".\links\REFSEQ-PROTOZOA\AGAP002079-PA-REFSEQ-PROTOZOA.txt","hypothetical protein CAOG_01077")</f>
        <v>hypothetical protein CAOG_01077</v>
      </c>
      <c r="BI122" s="2" t="str">
        <f>HYPERLINK("http://www.ncbi.nlm.nih.gov/sutils/blink.cgi?pid=XP_004365948.2","1E-011")</f>
        <v>1E-011</v>
      </c>
      <c r="BJ122" s="2" t="str">
        <f>HYPERLINK("http://www.ncbi.nlm.nih.gov/protein/XP_004365948.2","XP_004365948.2")</f>
        <v>XP_004365948.2</v>
      </c>
      <c r="BK122" s="2">
        <v>29</v>
      </c>
      <c r="BL122" s="2">
        <v>49</v>
      </c>
      <c r="BM122" s="2">
        <v>39</v>
      </c>
      <c r="BN122" s="2" t="s">
        <v>227</v>
      </c>
      <c r="BO122" s="9" t="str">
        <f>HYPERLINK(".\links\SWISSP\AGAP002079-PA-SWISSP.txt","Arrestin homolog")</f>
        <v>Arrestin homolog</v>
      </c>
      <c r="BP122" s="2" t="str">
        <f>HYPERLINK("http://www.uniprot.org/uniprot/P32122","4E-030")</f>
        <v>4E-030</v>
      </c>
      <c r="BQ122" s="2" t="str">
        <f>HYPERLINK("http://www.uniprot.org/uniprot/P32122#expression","P32122")</f>
        <v>P32122</v>
      </c>
      <c r="BR122" s="2">
        <v>40</v>
      </c>
      <c r="BS122" s="2">
        <v>61</v>
      </c>
      <c r="BT122" s="2">
        <v>41</v>
      </c>
      <c r="BU122" s="2" t="s">
        <v>1570</v>
      </c>
      <c r="BV122" s="9" t="str">
        <f>HYPERLINK(".\links\FLYBASE\AGAP002079-PA-FLYBASE.txt","FBpp0309786")</f>
        <v>FBpp0309786</v>
      </c>
      <c r="BW122" s="2" t="str">
        <f>HYPERLINK("http://flybase.org/reports/FBgn0052683#alliance_summary_container","1E-127")</f>
        <v>1E-127</v>
      </c>
      <c r="BX122" s="2">
        <v>804</v>
      </c>
      <c r="BY122" s="2">
        <v>41</v>
      </c>
      <c r="BZ122" s="2">
        <v>53</v>
      </c>
      <c r="CA122" s="2">
        <v>75</v>
      </c>
      <c r="CB122" s="9" t="str">
        <f>HYPERLINK(".\links\CDD\AGAP002079-PA-CDD.txt","Arrestin_C, Arrestin (or S-antigen), C-terminal domain")</f>
        <v>Arrestin_C, Arrestin (or S-antigen), C-terminal domain</v>
      </c>
      <c r="CC122" s="13">
        <v>9.9999999999999998E-20</v>
      </c>
      <c r="CD122" s="2">
        <v>121.1</v>
      </c>
      <c r="CE122" s="2" t="s">
        <v>1571</v>
      </c>
      <c r="CF122" s="2" t="s">
        <v>1572</v>
      </c>
      <c r="CG122" s="9" t="str">
        <f>HYPERLINK(".\links\KOG\AGAP002079-PA-KOG.txt","Arrestin")</f>
        <v>Arrestin</v>
      </c>
      <c r="CH122" s="13">
        <v>9.9999999999999996E-39</v>
      </c>
      <c r="CI122" s="2">
        <v>42.3</v>
      </c>
      <c r="CJ122" s="2" t="s">
        <v>1573</v>
      </c>
      <c r="CK122" s="2" t="s">
        <v>326</v>
      </c>
      <c r="CL122" s="9" t="str">
        <f>HYPERLINK(".\links\PFAM\AGAP002079-PA-PFAM.txt","Arrestin_C, Arrestin (or S-antigen), C-terminal domain")</f>
        <v>Arrestin_C, Arrestin (or S-antigen), C-terminal domain</v>
      </c>
      <c r="CM122" s="13">
        <v>1E-14</v>
      </c>
      <c r="CN122" s="2">
        <v>129.19999999999999</v>
      </c>
      <c r="CO122" s="2" t="s">
        <v>1574</v>
      </c>
      <c r="CP122" s="9" t="str">
        <f>HYPERLINK(".\links\SMART\AGAP002079-PA-SMART.txt","Arrestin_C, Arrestin (or S-antigen), C-terminal domain")</f>
        <v>Arrestin_C, Arrestin (or S-antigen), C-terminal domain</v>
      </c>
      <c r="CQ122" s="13">
        <v>9.9999999999999991E-22</v>
      </c>
      <c r="CR122" s="2">
        <v>121.1</v>
      </c>
      <c r="CS122" s="2" t="s">
        <v>1571</v>
      </c>
      <c r="CT122" s="2" t="s">
        <v>1568</v>
      </c>
      <c r="CU122" s="2" t="s">
        <v>1568</v>
      </c>
      <c r="CV122" s="2" t="s">
        <v>1568</v>
      </c>
      <c r="CW122" s="2" t="str">
        <f>HYPERLINK(".\links\pep\AGAP002079-PA-pep.txt","AGAP002079-PA")</f>
        <v>AGAP002079-PA</v>
      </c>
      <c r="CX122" s="2" t="s">
        <v>88</v>
      </c>
      <c r="CY122" s="2">
        <v>704</v>
      </c>
      <c r="CZ122" s="2" t="s">
        <v>106</v>
      </c>
      <c r="DA122" s="2">
        <v>0</v>
      </c>
      <c r="DB122" s="2">
        <v>3</v>
      </c>
      <c r="DD122" s="2" t="str">
        <f>HYPERLINK("https://www.kegg.jp/kegg-bin/search_pathway_text?map=aga&amp;keyword=AGAP002079&amp;mode=1&amp;viewImage=true","AGAP002079")</f>
        <v>AGAP002079</v>
      </c>
      <c r="DE122" s="2" t="s">
        <v>1565</v>
      </c>
      <c r="DF122" s="2" t="s">
        <v>1566</v>
      </c>
      <c r="DG122" s="2" t="s">
        <v>94</v>
      </c>
      <c r="DH122" s="2" t="str">
        <f>HYPERLINK("https://vectorbase.org/vectorbase/app/record/gene/AGAP002079","AGAP002079-RA")</f>
        <v>AGAP002079-RA</v>
      </c>
      <c r="DI122" s="2" t="s">
        <v>108</v>
      </c>
      <c r="DJ122" s="2">
        <v>4572</v>
      </c>
      <c r="DK122" s="2" t="str">
        <f>HYPERLINK(".\links\netoglyc\AGAP002079-PA-netoglyc.txt","5")</f>
        <v>5</v>
      </c>
      <c r="DL122" s="2">
        <v>16.899999999999999</v>
      </c>
      <c r="DM122" s="2">
        <v>7.1</v>
      </c>
      <c r="DN122" s="2">
        <v>6.1</v>
      </c>
      <c r="DO122" s="2" t="s">
        <v>97</v>
      </c>
      <c r="DP122" s="2" t="s">
        <v>94</v>
      </c>
      <c r="DQ122" s="2" t="str">
        <f>HYPERLINK(".\links\Sigp\AGAP002079-PA-SigP.txt","CYT")</f>
        <v>CYT</v>
      </c>
      <c r="DR122" s="2" t="s">
        <v>94</v>
      </c>
      <c r="DS122" s="2">
        <v>75.784999999999997</v>
      </c>
      <c r="DT122" s="2">
        <v>8.41</v>
      </c>
      <c r="DU122" s="2" t="s">
        <v>94</v>
      </c>
      <c r="DV122" s="2" t="s">
        <v>94</v>
      </c>
      <c r="DW122" s="2" t="s">
        <v>348</v>
      </c>
      <c r="DX122" s="2">
        <v>704</v>
      </c>
      <c r="DY122" s="8">
        <v>0</v>
      </c>
      <c r="DZ122" s="2" t="s">
        <v>94</v>
      </c>
      <c r="EA122" s="2" t="s">
        <v>94</v>
      </c>
      <c r="EB122" s="2" t="s">
        <v>94</v>
      </c>
      <c r="EC122" s="2" t="str">
        <f>HYPERLINK(".\links\gpi\AGAP002079-PA-gpi.txt","Y-NoSP")</f>
        <v>Y-NoSP</v>
      </c>
      <c r="ED122" s="2">
        <v>0.15</v>
      </c>
      <c r="EF122" s="2">
        <v>8</v>
      </c>
      <c r="EG122" s="2" t="s">
        <v>94</v>
      </c>
      <c r="EH122" s="2" t="s">
        <v>94</v>
      </c>
      <c r="EI122" s="2">
        <v>16.903409090909101</v>
      </c>
      <c r="EJ122" s="2">
        <v>6.1079545454545503</v>
      </c>
      <c r="EK122" s="2">
        <v>7.1022727272727302</v>
      </c>
      <c r="EL122" s="2">
        <v>13.2102272727273</v>
      </c>
      <c r="EM122" s="2">
        <v>2</v>
      </c>
      <c r="EN122" s="2">
        <v>2</v>
      </c>
      <c r="EO122" s="2">
        <v>6</v>
      </c>
      <c r="EP122" s="2" t="s">
        <v>94</v>
      </c>
      <c r="EQ122" s="2" t="s">
        <v>94</v>
      </c>
      <c r="ER122" s="2" t="s">
        <v>94</v>
      </c>
      <c r="ES122" s="2" t="s">
        <v>94</v>
      </c>
      <c r="ET122" s="2" t="str">
        <f>HYPERLINK(".\links\REFSEQ-INVERTEBRATE\AGAP002079-PA-REFSEQ-INVERTEBRATE.txt","uncharacterized protein LOC118505712 isoform X1")</f>
        <v>uncharacterized protein LOC118505712 isoform X1</v>
      </c>
      <c r="EU122" s="2" t="str">
        <f>HYPERLINK("http://www.ncbi.nlm.nih.gov/sutils/blink.cgi?pid=XP_035897780.1","0.0")</f>
        <v>0.0</v>
      </c>
      <c r="EV122" s="2" t="str">
        <f>HYPERLINK("http://www.ncbi.nlm.nih.gov/protein/XP_035897780.1","XP_035897780.1")</f>
        <v>XP_035897780.1</v>
      </c>
      <c r="EW122" s="2">
        <v>87</v>
      </c>
      <c r="EX122" s="2">
        <v>89</v>
      </c>
      <c r="EY122" s="2">
        <v>104</v>
      </c>
      <c r="EZ122" s="2" t="s">
        <v>184</v>
      </c>
    </row>
    <row r="123" spans="1:156" x14ac:dyDescent="0.25">
      <c r="A123" s="2" t="s">
        <v>1575</v>
      </c>
      <c r="B123" s="2">
        <v>0.71293242314912997</v>
      </c>
      <c r="C123" s="2">
        <v>1.639132435360185</v>
      </c>
      <c r="D123" s="2">
        <v>4.8506801487789604</v>
      </c>
      <c r="E123" s="2">
        <v>12.5954839108163</v>
      </c>
      <c r="F123" s="2">
        <v>3.8667992708693702E-4</v>
      </c>
      <c r="G123" s="2">
        <v>1.94512344173466E-2</v>
      </c>
      <c r="H123" s="2" t="s">
        <v>1576</v>
      </c>
      <c r="I123" s="2" t="s">
        <v>87</v>
      </c>
      <c r="J123" s="2" t="str">
        <f>HYPERLINK("https://vectorbase.org/vectorbase/app/record/gene/AGAP001296","AGAP001296-RA")</f>
        <v>AGAP001296-RA</v>
      </c>
      <c r="K123" s="2" t="str">
        <f>HYPERLINK(".\links\pep\AGAP001296-PA-pep.txt","AGAP001296-PA")</f>
        <v>AGAP001296-PA</v>
      </c>
      <c r="L123" s="8" t="s">
        <v>88</v>
      </c>
      <c r="M123" s="2">
        <v>3118</v>
      </c>
      <c r="N123" s="2">
        <v>0</v>
      </c>
      <c r="O123" s="2">
        <v>5</v>
      </c>
      <c r="P123" s="2" t="s">
        <v>1577</v>
      </c>
      <c r="Q123" s="9" t="s">
        <v>1577</v>
      </c>
      <c r="R123" s="2" t="s">
        <v>651</v>
      </c>
      <c r="S123" s="2" t="str">
        <f>HYPERLINK(".\links\REFSEQ-INVERTEBRATE\AGAP001296-PA-REFSEQ-INVERTEBRATE.txt","REFSEQ-INVERTEBRATE")</f>
        <v>REFSEQ-INVERTEBRATE</v>
      </c>
      <c r="T123" s="2">
        <v>0</v>
      </c>
      <c r="U123" s="2">
        <v>112.8</v>
      </c>
      <c r="V123" s="2" t="s">
        <v>1578</v>
      </c>
      <c r="W123" s="10" t="s">
        <v>1579</v>
      </c>
      <c r="X123" s="2" t="s">
        <v>651</v>
      </c>
      <c r="Y123" s="2" t="str">
        <f>HYPERLINK(".\links\REFSEQVERTEBRATE95\AGAP001296-PA-REFSEQVERTEBRATE95.txt","REFSEQVERTEBRATE95")</f>
        <v>REFSEQVERTEBRATE95</v>
      </c>
      <c r="Z123" s="2">
        <v>0</v>
      </c>
      <c r="AA123" s="2">
        <v>33</v>
      </c>
      <c r="AB123" s="11" t="s">
        <v>94</v>
      </c>
      <c r="AC123" s="11" t="str">
        <f>HYPERLINK(".\links\Sigp\AGAP001296-PA-SigP.txt","CYT")</f>
        <v>CYT</v>
      </c>
      <c r="AD123" s="2" t="s">
        <v>94</v>
      </c>
      <c r="AE123" s="2">
        <v>331.72</v>
      </c>
      <c r="AF123" s="2">
        <v>8.6300000000000008</v>
      </c>
      <c r="AG123" s="2" t="s">
        <v>94</v>
      </c>
      <c r="AH123" s="2" t="s">
        <v>94</v>
      </c>
      <c r="AI123" s="2" t="s">
        <v>348</v>
      </c>
      <c r="AJ123" s="11">
        <v>0</v>
      </c>
      <c r="AK123" s="2" t="s">
        <v>94</v>
      </c>
      <c r="AL123" s="2" t="s">
        <v>94</v>
      </c>
      <c r="AM123" s="2" t="s">
        <v>94</v>
      </c>
      <c r="AN123" s="11" t="str">
        <f>HYPERLINK(".\links\gpi\AGAP001296-PA-gpi.txt","N")</f>
        <v>N</v>
      </c>
      <c r="AO123" s="12" t="str">
        <f>HYPERLINK(".\links\netoglyc\AGAP001296-PA-netoglyc.txt","9")</f>
        <v>9</v>
      </c>
      <c r="AP123" s="11">
        <v>18.5</v>
      </c>
      <c r="AQ123" s="2">
        <v>8.5</v>
      </c>
      <c r="AR123" s="2">
        <v>5</v>
      </c>
      <c r="AS123" s="2">
        <v>0.1</v>
      </c>
      <c r="AT123" s="9" t="str">
        <f>HYPERLINK(".\links\NR-LIGHT\AGAP001296-PA-NR-LIGHT.txt","AGAP001296-PA")</f>
        <v>AGAP001296-PA</v>
      </c>
      <c r="AU123" s="2" t="str">
        <f>HYPERLINK("http://www.ncbi.nlm.nih.gov/sutils/blink.cgi?pid=XP_321851.5","0.0")</f>
        <v>0.0</v>
      </c>
      <c r="AV123" s="2" t="str">
        <f>HYPERLINK("http://www.ncbi.nlm.nih.gov/protein/XP_321851.5","XP_321851.5")</f>
        <v>XP_321851.5</v>
      </c>
      <c r="AW123" s="2">
        <v>88</v>
      </c>
      <c r="AX123" s="2">
        <v>89</v>
      </c>
      <c r="AY123" s="2">
        <v>104</v>
      </c>
      <c r="AZ123" s="2" t="s">
        <v>98</v>
      </c>
      <c r="BA123" s="9" t="str">
        <f>HYPERLINK(".\links\REFSEQ-INVERTEBRATE\AGAP001296-PA-REFSEQ-INVERTEBRATE.txt","AGAP001296-PA")</f>
        <v>AGAP001296-PA</v>
      </c>
      <c r="BB123" s="2" t="str">
        <f>HYPERLINK("http://www.ncbi.nlm.nih.gov/sutils/blink.cgi?pid=XP_321851.5","0.0")</f>
        <v>0.0</v>
      </c>
      <c r="BC123" s="2" t="str">
        <f>HYPERLINK("http://www.ncbi.nlm.nih.gov/protein/XP_321851.5","XP_321851.5")</f>
        <v>XP_321851.5</v>
      </c>
      <c r="BD123" s="2">
        <v>88</v>
      </c>
      <c r="BE123" s="2">
        <v>89</v>
      </c>
      <c r="BF123" s="2">
        <v>104</v>
      </c>
      <c r="BG123" s="2" t="s">
        <v>98</v>
      </c>
      <c r="BH123" s="9" t="str">
        <f>HYPERLINK(".\links\REFSEQ-PROTOZOA\AGAP001296-PA-REFSEQ-PROTOZOA.txt","ubiquitin-protein ligase domain-containing protein")</f>
        <v>ubiquitin-protein ligase domain-containing protein</v>
      </c>
      <c r="BI123" s="2" t="str">
        <f>HYPERLINK("http://www.ncbi.nlm.nih.gov/sutils/blink.cgi?pid=XP_637315.1","1E-102")</f>
        <v>1E-102</v>
      </c>
      <c r="BJ123" s="2" t="str">
        <f>HYPERLINK("http://www.ncbi.nlm.nih.gov/protein/XP_637315.1","XP_637315.1")</f>
        <v>XP_637315.1</v>
      </c>
      <c r="BK123" s="2">
        <v>31</v>
      </c>
      <c r="BL123" s="2">
        <v>47</v>
      </c>
      <c r="BM123" s="2">
        <v>45</v>
      </c>
      <c r="BN123" s="2" t="s">
        <v>292</v>
      </c>
      <c r="BO123" s="9" t="str">
        <f>HYPERLINK(".\links\SWISSP\AGAP001296-PA-SWISSP.txt","E3 ubiquitin-protein ligase TRIP12")</f>
        <v>E3 ubiquitin-protein ligase TRIP12</v>
      </c>
      <c r="BP123" s="2" t="str">
        <f>HYPERLINK("http://www.uniprot.org/uniprot/B4F6W9","0.0")</f>
        <v>0.0</v>
      </c>
      <c r="BQ123" s="2" t="str">
        <f>HYPERLINK("http://www.uniprot.org/uniprot/B4F6W9#expression","B4F6W9")</f>
        <v>B4F6W9</v>
      </c>
      <c r="BR123" s="2">
        <v>46</v>
      </c>
      <c r="BS123" s="2">
        <v>60</v>
      </c>
      <c r="BT123" s="2">
        <v>48</v>
      </c>
      <c r="BU123" s="2" t="s">
        <v>1580</v>
      </c>
      <c r="BV123" s="9" t="str">
        <f>HYPERLINK(".\links\FLYBASE\AGAP001296-PA-FLYBASE.txt","FBpp0292917")</f>
        <v>FBpp0292917</v>
      </c>
      <c r="BW123" s="2" t="str">
        <f>HYPERLINK("http://flybase.org/reports/FBgn0260794#alliance_summary_container","0.0")</f>
        <v>0.0</v>
      </c>
      <c r="BX123" s="2">
        <v>2930</v>
      </c>
      <c r="BY123" s="2">
        <v>58</v>
      </c>
      <c r="BZ123" s="2">
        <v>69</v>
      </c>
      <c r="CA123" s="2">
        <v>46</v>
      </c>
      <c r="CB123" s="9" t="str">
        <f>HYPERLINK(".\links\CDD\AGAP001296-PA-CDD.txt","HECT, HECT-domain (ubiquitin-transferase)")</f>
        <v>HECT, HECT-domain (ubiquitin-transferase)</v>
      </c>
      <c r="CC123" s="13">
        <v>4.9999999999999998E-83</v>
      </c>
      <c r="CD123" s="2">
        <v>110.7</v>
      </c>
      <c r="CE123" s="2" t="s">
        <v>1581</v>
      </c>
      <c r="CF123" s="2" t="s">
        <v>1582</v>
      </c>
      <c r="CG123" s="9" t="str">
        <f>HYPERLINK(".\links\KOG\AGAP001296-PA-KOG.txt","Putative ubiquitin fusion degradation protein")</f>
        <v>Putative ubiquitin fusion degradation protein</v>
      </c>
      <c r="CH123" s="13">
        <v>1E-156</v>
      </c>
      <c r="CI123" s="2">
        <v>50</v>
      </c>
      <c r="CJ123" s="2" t="s">
        <v>1583</v>
      </c>
      <c r="CK123" s="2" t="s">
        <v>214</v>
      </c>
      <c r="CL123" s="9" t="str">
        <f>HYPERLINK(".\links\PFAM\AGAP001296-PA-PFAM.txt","HECT, HECT-domain (ubiquitin-transferase)")</f>
        <v>HECT, HECT-domain (ubiquitin-transferase)</v>
      </c>
      <c r="CM123" s="13">
        <v>9.0000000000000003E-84</v>
      </c>
      <c r="CN123" s="2">
        <v>110.7</v>
      </c>
      <c r="CO123" s="2" t="s">
        <v>1581</v>
      </c>
      <c r="CP123" s="9" t="str">
        <f>HYPERLINK(".\links\SMART\AGAP001296-PA-SMART.txt","HECTc, Domain Homologous to E6-AP Carboxyl Terminus with")</f>
        <v>HECTc, Domain Homologous to E6-AP Carboxyl Terminus with</v>
      </c>
      <c r="CQ123" s="13">
        <v>9.9999999999999993E-77</v>
      </c>
      <c r="CR123" s="2">
        <v>98.8</v>
      </c>
      <c r="CS123" s="2" t="s">
        <v>1584</v>
      </c>
      <c r="CT123" s="2" t="s">
        <v>1578</v>
      </c>
      <c r="CU123" s="2" t="s">
        <v>1578</v>
      </c>
      <c r="CV123" s="2" t="s">
        <v>1578</v>
      </c>
      <c r="CW123" s="2" t="str">
        <f>HYPERLINK(".\links\pep\AGAP001296-PA-pep.txt","AGAP001296-PA")</f>
        <v>AGAP001296-PA</v>
      </c>
      <c r="CX123" s="2" t="s">
        <v>88</v>
      </c>
      <c r="CY123" s="2">
        <v>3118</v>
      </c>
      <c r="CZ123" s="2" t="s">
        <v>106</v>
      </c>
      <c r="DA123" s="2" t="s">
        <v>1585</v>
      </c>
      <c r="DB123" s="2">
        <v>0</v>
      </c>
      <c r="DC123" s="2">
        <v>5</v>
      </c>
      <c r="DD123" s="2" t="str">
        <f>HYPERLINK("https://www.kegg.jp/kegg-bin/search_pathway_text?map=aga&amp;keyword=AGAP001296&amp;mode=1&amp;viewImage=true","AGAP001296")</f>
        <v>AGAP001296</v>
      </c>
      <c r="DE123" s="2" t="s">
        <v>1575</v>
      </c>
      <c r="DF123" s="2" t="s">
        <v>1576</v>
      </c>
      <c r="DG123" s="2" t="s">
        <v>87</v>
      </c>
      <c r="DH123" s="2" t="str">
        <f>HYPERLINK("https://vectorbase.org/vectorbase/app/record/gene/AGAP001296","AGAP001296-RA")</f>
        <v>AGAP001296-RA</v>
      </c>
      <c r="DI123" s="2" t="s">
        <v>108</v>
      </c>
      <c r="DJ123" s="2">
        <v>10954</v>
      </c>
      <c r="DK123" s="2" t="str">
        <f>HYPERLINK(".\links\netoglyc\AGAP001296-PA-netoglyc.txt","9")</f>
        <v>9</v>
      </c>
      <c r="DL123" s="2">
        <v>18.5</v>
      </c>
      <c r="DM123" s="2">
        <v>8.5</v>
      </c>
      <c r="DN123" s="2">
        <v>5</v>
      </c>
      <c r="DO123" s="2">
        <v>0.1</v>
      </c>
      <c r="DP123" s="2" t="s">
        <v>1586</v>
      </c>
      <c r="DQ123" s="2" t="str">
        <f>HYPERLINK(".\links\Sigp\AGAP001296-PA-SigP.txt","CYT")</f>
        <v>CYT</v>
      </c>
      <c r="DR123" s="2" t="s">
        <v>94</v>
      </c>
      <c r="DS123" s="2">
        <v>331.72</v>
      </c>
      <c r="DT123" s="2">
        <v>8.6300000000000008</v>
      </c>
      <c r="DU123" s="2" t="s">
        <v>94</v>
      </c>
      <c r="DV123" s="2" t="s">
        <v>94</v>
      </c>
      <c r="DW123" s="2" t="s">
        <v>348</v>
      </c>
      <c r="DX123" s="2">
        <v>3118</v>
      </c>
      <c r="DY123" s="8">
        <v>0</v>
      </c>
      <c r="DZ123" s="2" t="s">
        <v>94</v>
      </c>
      <c r="EA123" s="2" t="s">
        <v>94</v>
      </c>
      <c r="EB123" s="2" t="s">
        <v>94</v>
      </c>
      <c r="EC123" s="2" t="str">
        <f>HYPERLINK(".\links\gpi\AGAP001296-PA-gpi.txt","Y-NoSP")</f>
        <v>Y-NoSP</v>
      </c>
      <c r="ED123" s="2">
        <v>0.28000000000000003</v>
      </c>
      <c r="EF123" s="2">
        <v>30</v>
      </c>
      <c r="EG123" s="2" t="s">
        <v>94</v>
      </c>
      <c r="EH123" s="2" t="s">
        <v>94</v>
      </c>
      <c r="EI123" s="2">
        <v>18.505452212957</v>
      </c>
      <c r="EJ123" s="2">
        <v>4.9711353431687</v>
      </c>
      <c r="EK123" s="2">
        <v>8.4990378447722907</v>
      </c>
      <c r="EL123" s="2">
        <v>13.470173187941</v>
      </c>
      <c r="EM123" s="2">
        <v>4</v>
      </c>
      <c r="EN123" s="2">
        <v>8</v>
      </c>
      <c r="EO123" s="2">
        <v>9</v>
      </c>
      <c r="EP123" s="2" t="s">
        <v>94</v>
      </c>
      <c r="EQ123" s="2" t="s">
        <v>94</v>
      </c>
      <c r="ER123" s="2" t="s">
        <v>94</v>
      </c>
      <c r="ES123" s="2" t="s">
        <v>94</v>
      </c>
      <c r="ET123" s="2" t="str">
        <f>HYPERLINK(".\links\REFSEQ-INVERTEBRATE\AGAP001296-PA-REFSEQ-INVERTEBRATE.txt","E3 ubiquitin-protein ligase TRIP12")</f>
        <v>E3 ubiquitin-protein ligase TRIP12</v>
      </c>
      <c r="EU123" s="2" t="str">
        <f>HYPERLINK("http://www.ncbi.nlm.nih.gov/sutils/blink.cgi?pid=XP_035901014.1","0.0")</f>
        <v>0.0</v>
      </c>
      <c r="EV123" s="2" t="str">
        <f>HYPERLINK("http://www.ncbi.nlm.nih.gov/protein/XP_035901014.1","XP_035901014.1")</f>
        <v>XP_035901014.1</v>
      </c>
      <c r="EW123" s="2">
        <v>78</v>
      </c>
      <c r="EX123" s="2">
        <v>82</v>
      </c>
      <c r="EY123" s="2">
        <v>104</v>
      </c>
      <c r="EZ123" s="2" t="s">
        <v>184</v>
      </c>
    </row>
    <row r="124" spans="1:156" x14ac:dyDescent="0.25">
      <c r="A124" s="2" t="s">
        <v>1587</v>
      </c>
      <c r="B124" s="2">
        <v>0.70990892115837401</v>
      </c>
      <c r="C124" s="2">
        <v>1.6357008503563835</v>
      </c>
      <c r="D124" s="2">
        <v>4.2379584228868801</v>
      </c>
      <c r="E124" s="2">
        <v>13.5718810025819</v>
      </c>
      <c r="F124" s="2">
        <v>2.29599181519336E-4</v>
      </c>
      <c r="G124" s="2">
        <v>1.3159511876535499E-2</v>
      </c>
      <c r="H124" s="2" t="s">
        <v>167</v>
      </c>
      <c r="I124" s="2" t="s">
        <v>87</v>
      </c>
      <c r="J124" s="2" t="str">
        <f>HYPERLINK("https://vectorbase.org/vectorbase/app/record/gene/AGAP002732","AGAP002732-RA")</f>
        <v>AGAP002732-RA</v>
      </c>
      <c r="K124" s="2" t="str">
        <f>HYPERLINK(".\links\pep\AGAP002732-PA-pep.txt","AGAP002732-PA")</f>
        <v>AGAP002732-PA</v>
      </c>
      <c r="L124" s="8" t="s">
        <v>88</v>
      </c>
      <c r="M124" s="2">
        <v>774</v>
      </c>
      <c r="N124" s="2">
        <v>0</v>
      </c>
      <c r="O124" s="2">
        <v>1</v>
      </c>
      <c r="P124" s="2" t="s">
        <v>94</v>
      </c>
      <c r="Q124" s="9" t="s">
        <v>1588</v>
      </c>
      <c r="R124" s="2" t="s">
        <v>550</v>
      </c>
      <c r="S124" s="2" t="str">
        <f>HYPERLINK(".\links\PFAM\AGAP002732-PA-PFAM.txt","PFAM")</f>
        <v>PFAM</v>
      </c>
      <c r="T124" s="2">
        <v>1.0000000000000001E-15</v>
      </c>
      <c r="U124" s="2">
        <v>98.1</v>
      </c>
      <c r="V124" s="2" t="s">
        <v>1589</v>
      </c>
      <c r="W124" s="10" t="s">
        <v>1590</v>
      </c>
      <c r="X124" s="2" t="s">
        <v>550</v>
      </c>
      <c r="Y124" s="2" t="str">
        <f>HYPERLINK(".\links\CDD\AGAP002732-PA-CDD.txt","CDD")</f>
        <v>CDD</v>
      </c>
      <c r="Z124" s="13">
        <v>9.9999999999999994E-30</v>
      </c>
      <c r="AA124" s="2">
        <v>100</v>
      </c>
      <c r="AB124" s="11" t="str">
        <f>HYPERLINK(".\links\pep\AGAP002732-PA-sulf.txt","1")</f>
        <v>1</v>
      </c>
      <c r="AC124" s="11" t="str">
        <f>HYPERLINK(".\links\Sigp\AGAP002732-PA-SigP.txt","CYT")</f>
        <v>CYT</v>
      </c>
      <c r="AD124" s="2" t="s">
        <v>94</v>
      </c>
      <c r="AE124" s="2">
        <v>82.284000000000006</v>
      </c>
      <c r="AF124" s="2">
        <v>7.34</v>
      </c>
      <c r="AG124" s="2" t="s">
        <v>94</v>
      </c>
      <c r="AH124" s="2" t="s">
        <v>94</v>
      </c>
      <c r="AI124" s="2" t="s">
        <v>1591</v>
      </c>
      <c r="AJ124" s="11" t="str">
        <f>HYPERLINK(".\links\tmhmm\AGAP002732-PA-tmhmm.txt","1")</f>
        <v>1</v>
      </c>
      <c r="AK124" s="2">
        <v>2.8</v>
      </c>
      <c r="AL124" s="2">
        <v>81.900000000000006</v>
      </c>
      <c r="AM124" s="2">
        <v>15.2</v>
      </c>
      <c r="AN124" s="11" t="str">
        <f>HYPERLINK(".\links\gpi\AGAP002732-PA-gpi.txt","N")</f>
        <v>N</v>
      </c>
      <c r="AO124" s="12" t="str">
        <f>HYPERLINK(".\links\netoglyc\AGAP002732-PA-netoglyc.txt","6")</f>
        <v>6</v>
      </c>
      <c r="AP124" s="11">
        <v>16.3</v>
      </c>
      <c r="AQ124" s="2">
        <v>10.1</v>
      </c>
      <c r="AR124" s="2">
        <v>6.3</v>
      </c>
      <c r="AS124" s="2" t="s">
        <v>97</v>
      </c>
      <c r="AT124" s="9" t="str">
        <f>HYPERLINK(".\links\NR-LIGHT\AGAP002732-PA-NR-LIGHT.txt","AGAP002732-PA")</f>
        <v>AGAP002732-PA</v>
      </c>
      <c r="AU124" s="2" t="str">
        <f>HYPERLINK("http://www.ncbi.nlm.nih.gov/sutils/blink.cgi?pid=XP_312194.5","0.0")</f>
        <v>0.0</v>
      </c>
      <c r="AV124" s="2" t="str">
        <f>HYPERLINK("http://www.ncbi.nlm.nih.gov/protein/XP_312194.5","XP_312194.5")</f>
        <v>XP_312194.5</v>
      </c>
      <c r="AW124" s="2">
        <v>100</v>
      </c>
      <c r="AX124" s="2">
        <v>100</v>
      </c>
      <c r="AY124" s="2">
        <v>100</v>
      </c>
      <c r="AZ124" s="2" t="s">
        <v>98</v>
      </c>
      <c r="BA124" s="9" t="str">
        <f>HYPERLINK(".\links\REFSEQ-INVERTEBRATE\AGAP002732-PA-REFSEQ-INVERTEBRATE.txt","AGAP002732-PA")</f>
        <v>AGAP002732-PA</v>
      </c>
      <c r="BB124" s="2" t="str">
        <f>HYPERLINK("http://www.ncbi.nlm.nih.gov/sutils/blink.cgi?pid=XP_312194.5","0.0")</f>
        <v>0.0</v>
      </c>
      <c r="BC124" s="2" t="str">
        <f>HYPERLINK("http://www.ncbi.nlm.nih.gov/protein/XP_312194.5","XP_312194.5")</f>
        <v>XP_312194.5</v>
      </c>
      <c r="BD124" s="2">
        <v>100</v>
      </c>
      <c r="BE124" s="2">
        <v>100</v>
      </c>
      <c r="BF124" s="2">
        <v>100</v>
      </c>
      <c r="BG124" s="2" t="s">
        <v>98</v>
      </c>
      <c r="BH124" s="9" t="str">
        <f>HYPERLINK(".\links\REFSEQ-PROTOZOA\AGAP002732-PA-REFSEQ-PROTOZOA.txt","hypothetical protein PTSG_03343")</f>
        <v>hypothetical protein PTSG_03343</v>
      </c>
      <c r="BI124" s="2" t="str">
        <f>HYPERLINK("http://www.ncbi.nlm.nih.gov/sutils/blink.cgi?pid=XP_004995918.1","1E-022")</f>
        <v>1E-022</v>
      </c>
      <c r="BJ124" s="2" t="str">
        <f>HYPERLINK("http://www.ncbi.nlm.nih.gov/protein/XP_004995918.1","XP_004995918.1")</f>
        <v>XP_004995918.1</v>
      </c>
      <c r="BK124" s="2">
        <v>35</v>
      </c>
      <c r="BL124" s="2">
        <v>54</v>
      </c>
      <c r="BM124" s="2">
        <v>21</v>
      </c>
      <c r="BN124" s="2" t="s">
        <v>117</v>
      </c>
      <c r="BO124" s="9" t="str">
        <f>HYPERLINK(".\links\SWISSP\AGAP002732-PA-SWISSP.txt","Uncharacterized membrane protein C20F10.07")</f>
        <v>Uncharacterized membrane protein C20F10.07</v>
      </c>
      <c r="BP124" s="2" t="str">
        <f>HYPERLINK("http://www.uniprot.org/uniprot/O42976","9E-021")</f>
        <v>9E-021</v>
      </c>
      <c r="BQ124" s="2" t="str">
        <f>HYPERLINK("http://www.uniprot.org/uniprot/O42976#expression","O42976")</f>
        <v>O42976</v>
      </c>
      <c r="BR124" s="2">
        <v>29</v>
      </c>
      <c r="BS124" s="2">
        <v>52</v>
      </c>
      <c r="BT124" s="2">
        <v>28</v>
      </c>
      <c r="BU124" s="2" t="s">
        <v>1592</v>
      </c>
      <c r="BV124" s="9" t="str">
        <f>HYPERLINK(".\links\FLYBASE\AGAP002732-PA-FLYBASE.txt","FBpp0297429")</f>
        <v>FBpp0297429</v>
      </c>
      <c r="BW124" s="2" t="str">
        <f>HYPERLINK("http://flybase.org/reports/FBgn0085423#alliance_summary_container","2E-22")</f>
        <v>2E-22</v>
      </c>
      <c r="BX124" s="2">
        <v>1249</v>
      </c>
      <c r="BY124" s="2">
        <v>39</v>
      </c>
      <c r="BZ124" s="2">
        <v>66</v>
      </c>
      <c r="CA124" s="2">
        <v>8</v>
      </c>
      <c r="CB124" s="9" t="str">
        <f>HYPERLINK(".\links\CDD\AGAP002732-PA-CDD.txt","PH-GRAM_GRAMDC, GRAM domain-containing protein (GRAMDC) Pleckstrin Homology-Glucosyltransferases, Rab-like GTPase activators and Myotubularins (PH-GRAM) domain")</f>
        <v>PH-GRAM_GRAMDC, GRAM domain-containing protein (GRAMDC) Pleckstrin Homology-Glucosyltransferases, Rab-like GTPase activators and Myotubularins (PH-GRAM) domain</v>
      </c>
      <c r="CC124" s="13">
        <v>3.9999999999999998E-38</v>
      </c>
      <c r="CD124" s="2">
        <v>100</v>
      </c>
      <c r="CE124" s="2" t="s">
        <v>1593</v>
      </c>
      <c r="CF124" s="2" t="s">
        <v>1594</v>
      </c>
      <c r="CG124" s="9" t="str">
        <f>HYPERLINK(".\links\KOG\AGAP002732-PA-KOG.txt","contains GRAM domain")</f>
        <v>contains GRAM domain</v>
      </c>
      <c r="CH124" s="13">
        <v>5.9999999999999999E-24</v>
      </c>
      <c r="CI124" s="2">
        <v>38.1</v>
      </c>
      <c r="CJ124" s="2" t="s">
        <v>1595</v>
      </c>
      <c r="CK124" s="2" t="s">
        <v>447</v>
      </c>
      <c r="CL124" s="9" t="str">
        <f>HYPERLINK(".\links\PFAM\AGAP002732-PA-PFAM.txt","GRAM, GRAM domain")</f>
        <v>GRAM, GRAM domain</v>
      </c>
      <c r="CM124" s="13">
        <v>1.0000000000000001E-15</v>
      </c>
      <c r="CN124" s="2">
        <v>98.1</v>
      </c>
      <c r="CO124" s="2" t="s">
        <v>1596</v>
      </c>
      <c r="CP124" s="9" t="str">
        <f>HYPERLINK(".\links\SMART\AGAP002732-PA-SMART.txt","GRAM, domain in glucosyltransferases, myotubularins and other putative membrane-associated proteins")</f>
        <v>GRAM, domain in glucosyltransferases, myotubularins and other putative membrane-associated proteins</v>
      </c>
      <c r="CQ124" s="13">
        <v>2.0000000000000001E-13</v>
      </c>
      <c r="CR124" s="2">
        <v>98.3</v>
      </c>
      <c r="CS124" s="2" t="s">
        <v>1597</v>
      </c>
      <c r="CT124" s="2" t="s">
        <v>1589</v>
      </c>
      <c r="CU124" s="2" t="s">
        <v>1589</v>
      </c>
      <c r="CV124" s="2" t="s">
        <v>1589</v>
      </c>
      <c r="CW124" s="2" t="str">
        <f>HYPERLINK(".\links\pep\AGAP002732-PA-pep.txt","AGAP002732-PA")</f>
        <v>AGAP002732-PA</v>
      </c>
      <c r="CX124" s="2" t="s">
        <v>88</v>
      </c>
      <c r="CY124" s="2">
        <v>774</v>
      </c>
      <c r="CZ124" s="2" t="s">
        <v>106</v>
      </c>
      <c r="DA124" s="2" t="s">
        <v>1598</v>
      </c>
      <c r="DB124" s="2">
        <v>0</v>
      </c>
      <c r="DC124" s="2">
        <v>1</v>
      </c>
      <c r="DD124" s="2" t="str">
        <f>HYPERLINK("https://www.kegg.jp/kegg-bin/search_pathway_text?map=aga&amp;keyword=AGAP002732&amp;mode=1&amp;viewImage=true","AGAP002732")</f>
        <v>AGAP002732</v>
      </c>
      <c r="DE124" s="2" t="s">
        <v>1587</v>
      </c>
      <c r="DF124" s="2" t="s">
        <v>167</v>
      </c>
      <c r="DG124" s="2" t="s">
        <v>87</v>
      </c>
      <c r="DH124" s="2" t="str">
        <f>HYPERLINK("https://vectorbase.org/vectorbase/app/record/gene/AGAP002732","AGAP002732-RA")</f>
        <v>AGAP002732-RA</v>
      </c>
      <c r="DI124" s="2" t="s">
        <v>250</v>
      </c>
      <c r="DJ124" s="2">
        <v>5737</v>
      </c>
      <c r="DK124" s="2" t="str">
        <f>HYPERLINK(".\links\netoglyc\AGAP002732-PA-netoglyc.txt","6")</f>
        <v>6</v>
      </c>
      <c r="DL124" s="2">
        <v>16.3</v>
      </c>
      <c r="DM124" s="2">
        <v>10.1</v>
      </c>
      <c r="DN124" s="2">
        <v>6.3</v>
      </c>
      <c r="DO124" s="2" t="s">
        <v>97</v>
      </c>
      <c r="DP124" s="2" t="s">
        <v>1599</v>
      </c>
      <c r="DQ124" s="2" t="str">
        <f>HYPERLINK(".\links\Sigp\AGAP002732-PA-SigP.txt","CYT")</f>
        <v>CYT</v>
      </c>
      <c r="DR124" s="2" t="s">
        <v>94</v>
      </c>
      <c r="DS124" s="2">
        <v>82.284000000000006</v>
      </c>
      <c r="DT124" s="2">
        <v>7.34</v>
      </c>
      <c r="DU124" s="2" t="s">
        <v>94</v>
      </c>
      <c r="DV124" s="2" t="s">
        <v>94</v>
      </c>
      <c r="DW124" s="2" t="s">
        <v>1591</v>
      </c>
      <c r="DX124" s="2">
        <v>774</v>
      </c>
      <c r="DY124" s="8" t="str">
        <f>HYPERLINK(".\links\tmhmm\AGAP002732-PA-tmhmm.txt","1")</f>
        <v>1</v>
      </c>
      <c r="DZ124" s="2">
        <v>2.8</v>
      </c>
      <c r="EA124" s="2">
        <v>81.900000000000006</v>
      </c>
      <c r="EB124" s="2">
        <v>15.2</v>
      </c>
      <c r="EC124" s="2" t="str">
        <f>HYPERLINK(".\links\gpi\AGAP002732-PA-gpi.txt","Y-NoSP")</f>
        <v>Y-NoSP</v>
      </c>
      <c r="ED124" s="2">
        <v>0.28000000000000003</v>
      </c>
      <c r="EF124" s="2">
        <v>7</v>
      </c>
      <c r="EG124" s="2" t="str">
        <f>HYPERLINK(".\links\pep\AGAP002732-PA-sulf.txt","1")</f>
        <v>1</v>
      </c>
      <c r="EH124" s="2" t="s">
        <v>94</v>
      </c>
      <c r="EI124" s="2">
        <v>16.2790697674419</v>
      </c>
      <c r="EJ124" s="2">
        <v>6.33074935400517</v>
      </c>
      <c r="EK124" s="2">
        <v>10.077519379845</v>
      </c>
      <c r="EL124" s="2">
        <v>16.4082687338501</v>
      </c>
      <c r="EM124" s="2" t="s">
        <v>94</v>
      </c>
      <c r="EN124" s="2">
        <v>2</v>
      </c>
      <c r="EO124" s="2">
        <v>7</v>
      </c>
      <c r="EP124" s="2" t="s">
        <v>94</v>
      </c>
      <c r="EQ124" s="2" t="s">
        <v>94</v>
      </c>
      <c r="ER124" s="2" t="s">
        <v>94</v>
      </c>
      <c r="ES124" s="2" t="s">
        <v>94</v>
      </c>
      <c r="ET124" s="2" t="str">
        <f>HYPERLINK(".\links\REFSEQ-INVERTEBRATE\AGAP002732-PA-REFSEQ-INVERTEBRATE.txt","AGAP002732-PA")</f>
        <v>AGAP002732-PA</v>
      </c>
      <c r="EU124" s="2" t="str">
        <f>HYPERLINK("http://www.ncbi.nlm.nih.gov/sutils/blink.cgi?pid=XP_312194.5","0.0")</f>
        <v>0.0</v>
      </c>
      <c r="EV124" s="2" t="str">
        <f>HYPERLINK("http://www.ncbi.nlm.nih.gov/protein/XP_312194.5","XP_312194.5")</f>
        <v>XP_312194.5</v>
      </c>
      <c r="EW124" s="2">
        <v>100</v>
      </c>
      <c r="EX124" s="2">
        <v>100</v>
      </c>
      <c r="EY124" s="2">
        <v>100</v>
      </c>
      <c r="EZ124" s="2" t="s">
        <v>98</v>
      </c>
    </row>
    <row r="125" spans="1:156" x14ac:dyDescent="0.25">
      <c r="A125" s="2" t="s">
        <v>1600</v>
      </c>
      <c r="B125" s="2">
        <v>0.70585778227806195</v>
      </c>
      <c r="C125" s="2">
        <v>1.6311141870832186</v>
      </c>
      <c r="D125" s="2">
        <v>5.66217396783372</v>
      </c>
      <c r="E125" s="2">
        <v>21.1585141384652</v>
      </c>
      <c r="F125" s="2">
        <v>4.2281863104976803E-6</v>
      </c>
      <c r="G125" s="2">
        <v>6.1516858366733205E-4</v>
      </c>
      <c r="H125" s="2" t="s">
        <v>167</v>
      </c>
      <c r="I125" s="2" t="s">
        <v>87</v>
      </c>
      <c r="J125" s="2" t="str">
        <f>HYPERLINK("https://vectorbase.org/vectorbase/app/record/gene/AGAP010158","AGAP010158-RA")</f>
        <v>AGAP010158-RA</v>
      </c>
      <c r="K125" s="2" t="str">
        <f>HYPERLINK(".\links\pep\AGAP010158-PA-pep.txt","AGAP010158-PA")</f>
        <v>AGAP010158-PA</v>
      </c>
      <c r="L125" s="8" t="s">
        <v>88</v>
      </c>
      <c r="M125" s="2">
        <v>850</v>
      </c>
      <c r="N125" s="2">
        <v>0</v>
      </c>
      <c r="O125" s="2">
        <v>0</v>
      </c>
      <c r="P125" s="2" t="s">
        <v>94</v>
      </c>
      <c r="Q125" s="9" t="s">
        <v>1601</v>
      </c>
      <c r="R125" s="2" t="s">
        <v>238</v>
      </c>
      <c r="S125" s="2" t="str">
        <f>HYPERLINK(".\links\REFSEQ-INVERTEBRATE\AGAP010158-PA-REFSEQ-INVERTEBRATE.txt","REFSEQ-INVERTEBRATE")</f>
        <v>REFSEQ-INVERTEBRATE</v>
      </c>
      <c r="T125" s="2">
        <v>0</v>
      </c>
      <c r="U125" s="2">
        <v>110</v>
      </c>
      <c r="V125" s="2" t="s">
        <v>1602</v>
      </c>
      <c r="W125" s="10" t="s">
        <v>1603</v>
      </c>
      <c r="X125" s="2" t="s">
        <v>289</v>
      </c>
      <c r="Y125" s="2" t="str">
        <f>HYPERLINK(".\links\CDD\AGAP010158-PA-CDD.txt","CDD")</f>
        <v>CDD</v>
      </c>
      <c r="Z125" s="13">
        <v>5.0000000000000002E-26</v>
      </c>
      <c r="AA125" s="2">
        <v>98.5</v>
      </c>
      <c r="AB125" s="11" t="s">
        <v>94</v>
      </c>
      <c r="AC125" s="11" t="str">
        <f>HYPERLINK(".\links\Sigp\AGAP010158-PA-SigP.txt","CYT")</f>
        <v>CYT</v>
      </c>
      <c r="AD125" s="2" t="s">
        <v>94</v>
      </c>
      <c r="AE125" s="2">
        <v>89.203999999999994</v>
      </c>
      <c r="AF125" s="2">
        <v>9.25</v>
      </c>
      <c r="AG125" s="2" t="s">
        <v>94</v>
      </c>
      <c r="AH125" s="2" t="s">
        <v>94</v>
      </c>
      <c r="AI125" s="2" t="s">
        <v>1604</v>
      </c>
      <c r="AJ125" s="11">
        <v>0</v>
      </c>
      <c r="AK125" s="2" t="s">
        <v>94</v>
      </c>
      <c r="AL125" s="2" t="s">
        <v>94</v>
      </c>
      <c r="AM125" s="2" t="s">
        <v>94</v>
      </c>
      <c r="AN125" s="11" t="str">
        <f>HYPERLINK(".\links\gpi\AGAP010158-PA-gpi.txt","N")</f>
        <v>N</v>
      </c>
      <c r="AO125" s="12" t="str">
        <f>HYPERLINK(".\links\netoglyc\AGAP010158-PA-netoglyc.txt","34")</f>
        <v>34</v>
      </c>
      <c r="AP125" s="11">
        <v>24.1</v>
      </c>
      <c r="AQ125" s="2">
        <v>7.6</v>
      </c>
      <c r="AR125" s="2">
        <v>6.9</v>
      </c>
      <c r="AS125" s="2" t="s">
        <v>97</v>
      </c>
      <c r="AT125" s="9" t="str">
        <f>HYPERLINK(".\links\NR-LIGHT\AGAP010158-PA-NR-LIGHT.txt","flocculation protein FLO11 isoform X2")</f>
        <v>flocculation protein FLO11 isoform X2</v>
      </c>
      <c r="AU125" s="2" t="str">
        <f>HYPERLINK("http://www.ncbi.nlm.nih.gov/sutils/blink.cgi?pid=XP_001651379.2","0.0")</f>
        <v>0.0</v>
      </c>
      <c r="AV125" s="2" t="str">
        <f>HYPERLINK("http://www.ncbi.nlm.nih.gov/protein/XP_001651379.2","XP_001651379.2")</f>
        <v>XP_001651379.2</v>
      </c>
      <c r="AW125" s="2">
        <v>57</v>
      </c>
      <c r="AX125" s="2">
        <v>65</v>
      </c>
      <c r="AY125" s="2">
        <v>112</v>
      </c>
      <c r="AZ125" s="2" t="s">
        <v>175</v>
      </c>
      <c r="BA125" s="9" t="str">
        <f>HYPERLINK(".\links\REFSEQ-INVERTEBRATE\AGAP010158-PA-REFSEQ-INVERTEBRATE.txt","flocculation protein FLO11 isoform X2")</f>
        <v>flocculation protein FLO11 isoform X2</v>
      </c>
      <c r="BB125" s="2" t="str">
        <f>HYPERLINK("http://www.ncbi.nlm.nih.gov/sutils/blink.cgi?pid=XP_021701108.1","0.0")</f>
        <v>0.0</v>
      </c>
      <c r="BC125" s="2" t="str">
        <f>HYPERLINK("http://www.ncbi.nlm.nih.gov/protein/XP_021701108.1","XP_021701108.1")</f>
        <v>XP_021701108.1</v>
      </c>
      <c r="BD125" s="2">
        <v>57</v>
      </c>
      <c r="BE125" s="2">
        <v>65</v>
      </c>
      <c r="BF125" s="2">
        <v>112</v>
      </c>
      <c r="BG125" s="2" t="s">
        <v>175</v>
      </c>
      <c r="BH125" s="9" t="str">
        <f>HYPERLINK(".\links\REFSEQ-PROTOZOA\AGAP010158-PA-REFSEQ-PROTOZOA.txt","proteophosphoglycan ppg4")</f>
        <v>proteophosphoglycan ppg4</v>
      </c>
      <c r="BI125" s="2" t="str">
        <f>HYPERLINK("http://www.ncbi.nlm.nih.gov/sutils/blink.cgi?pid=XP_001568167.1","3E-026")</f>
        <v>3E-026</v>
      </c>
      <c r="BJ125" s="2" t="str">
        <f>HYPERLINK("http://www.ncbi.nlm.nih.gov/protein/XP_001568167.1","XP_001568167.1")</f>
        <v>XP_001568167.1</v>
      </c>
      <c r="BK125" s="2">
        <v>20</v>
      </c>
      <c r="BL125" s="2">
        <v>38</v>
      </c>
      <c r="BM125" s="2">
        <v>15</v>
      </c>
      <c r="BN125" s="2" t="s">
        <v>653</v>
      </c>
      <c r="BO125" s="9" t="str">
        <f>HYPERLINK(".\links\SWISSP\AGAP010158-PA-SWISSP.txt","Probable serine/threonine-protein kinase DDB_G0282963")</f>
        <v>Probable serine/threonine-protein kinase DDB_G0282963</v>
      </c>
      <c r="BP125" s="2" t="str">
        <f>HYPERLINK("http://www.uniprot.org/uniprot/Q54RR9","1E-020")</f>
        <v>1E-020</v>
      </c>
      <c r="BQ125" s="2" t="str">
        <f>HYPERLINK("http://www.uniprot.org/uniprot/Q54RR9#expression","Q54RR9")</f>
        <v>Q54RR9</v>
      </c>
      <c r="BR125" s="2">
        <v>18</v>
      </c>
      <c r="BS125" s="2">
        <v>40</v>
      </c>
      <c r="BT125" s="2">
        <v>26</v>
      </c>
      <c r="BU125" s="2" t="s">
        <v>308</v>
      </c>
      <c r="BV125" s="9" t="str">
        <f>HYPERLINK(".\links\FLYBASE\AGAP010158-PA-FLYBASE.txt","FBpp0303624")</f>
        <v>FBpp0303624</v>
      </c>
      <c r="BW125" s="2" t="str">
        <f>HYPERLINK("http://flybase.org/reports/FBgn0032330#alliance_summary_container","3E-40")</f>
        <v>3E-40</v>
      </c>
      <c r="BX125" s="2">
        <v>968</v>
      </c>
      <c r="BY125" s="2">
        <v>75</v>
      </c>
      <c r="BZ125" s="2">
        <v>88</v>
      </c>
      <c r="CA125" s="2">
        <v>9</v>
      </c>
      <c r="CB125" s="9" t="str">
        <f>HYPERLINK(".\links\CDD\AGAP010158-PA-CDD.txt","SAM_Samd7,11, SAM domain of Samd7,11 subfamily of Polycomb group")</f>
        <v>SAM_Samd7,11, SAM domain of Samd7,11 subfamily of Polycomb group</v>
      </c>
      <c r="CC125" s="13">
        <v>3.9999999999999998E-29</v>
      </c>
      <c r="CD125" s="2">
        <v>100</v>
      </c>
      <c r="CE125" s="2" t="s">
        <v>1605</v>
      </c>
      <c r="CF125" s="2" t="s">
        <v>1606</v>
      </c>
      <c r="CG125" s="9" t="str">
        <f>HYPERLINK(".\links\KOG\AGAP010158-PA-KOG.txt","SARM protein (with sterile alpha and armadillo motifs)")</f>
        <v>SARM protein (with sterile alpha and armadillo motifs)</v>
      </c>
      <c r="CH125" s="13">
        <v>2E-3</v>
      </c>
      <c r="CI125" s="2">
        <v>10.3</v>
      </c>
      <c r="CJ125" s="2" t="s">
        <v>1607</v>
      </c>
      <c r="CK125" s="2" t="s">
        <v>1438</v>
      </c>
      <c r="CL125" s="9" t="str">
        <f>HYPERLINK(".\links\PFAM\AGAP010158-PA-PFAM.txt","SAM_1, SAM domain (Sterile alpha motif)")</f>
        <v>SAM_1, SAM domain (Sterile alpha motif)</v>
      </c>
      <c r="CM125" s="13">
        <v>4.9999999999999998E-7</v>
      </c>
      <c r="CN125" s="2">
        <v>90.3</v>
      </c>
      <c r="CO125" s="2" t="s">
        <v>1608</v>
      </c>
      <c r="CP125" s="9" t="str">
        <f>HYPERLINK(".\links\SMART\AGAP010158-PA-SMART.txt","SAM, Sterile alpha motif")</f>
        <v>SAM, Sterile alpha motif</v>
      </c>
      <c r="CQ125" s="13">
        <v>1E-10</v>
      </c>
      <c r="CR125" s="2">
        <v>91.2</v>
      </c>
      <c r="CS125" s="2" t="s">
        <v>1609</v>
      </c>
      <c r="CT125" s="2" t="s">
        <v>1602</v>
      </c>
      <c r="CU125" s="2" t="s">
        <v>1602</v>
      </c>
      <c r="CV125" s="2" t="s">
        <v>1602</v>
      </c>
      <c r="CW125" s="2" t="str">
        <f>HYPERLINK(".\links\pep\AGAP010158-PA-pep.txt","AGAP010158-PA")</f>
        <v>AGAP010158-PA</v>
      </c>
      <c r="CX125" s="2" t="s">
        <v>88</v>
      </c>
      <c r="CY125" s="2">
        <v>850</v>
      </c>
      <c r="CZ125" s="2" t="s">
        <v>106</v>
      </c>
      <c r="DA125" s="2" t="s">
        <v>1610</v>
      </c>
      <c r="DB125" s="2">
        <v>0</v>
      </c>
      <c r="DC125" s="2">
        <v>0</v>
      </c>
      <c r="DD125" s="2" t="str">
        <f>HYPERLINK("https://www.kegg.jp/kegg-bin/search_pathway_text?map=aga&amp;keyword=AGAP010158&amp;mode=1&amp;viewImage=true","AGAP010158")</f>
        <v>AGAP010158</v>
      </c>
      <c r="DE125" s="2" t="s">
        <v>1600</v>
      </c>
      <c r="DF125" s="2" t="s">
        <v>167</v>
      </c>
      <c r="DG125" s="2" t="s">
        <v>87</v>
      </c>
      <c r="DH125" s="2" t="str">
        <f>HYPERLINK("https://vectorbase.org/vectorbase/app/record/gene/AGAP010158","AGAP010158-RA")</f>
        <v>AGAP010158-RA</v>
      </c>
      <c r="DI125" s="2" t="s">
        <v>125</v>
      </c>
      <c r="DJ125" s="2">
        <v>6036</v>
      </c>
      <c r="DK125" s="2" t="str">
        <f>HYPERLINK(".\links\netoglyc\AGAP010158-PA-netoglyc.txt","34")</f>
        <v>34</v>
      </c>
      <c r="DL125" s="2">
        <v>24.1</v>
      </c>
      <c r="DM125" s="2">
        <v>7.6</v>
      </c>
      <c r="DN125" s="2">
        <v>6.9</v>
      </c>
      <c r="DO125" s="2" t="s">
        <v>97</v>
      </c>
      <c r="DP125" s="2" t="s">
        <v>1611</v>
      </c>
      <c r="DQ125" s="2" t="str">
        <f>HYPERLINK(".\links\Sigp\AGAP010158-PA-SigP.txt","CYT")</f>
        <v>CYT</v>
      </c>
      <c r="DR125" s="2" t="s">
        <v>94</v>
      </c>
      <c r="DS125" s="2">
        <v>89.203999999999994</v>
      </c>
      <c r="DT125" s="2">
        <v>9.25</v>
      </c>
      <c r="DU125" s="2" t="s">
        <v>94</v>
      </c>
      <c r="DV125" s="2" t="s">
        <v>94</v>
      </c>
      <c r="DW125" s="2" t="s">
        <v>1604</v>
      </c>
      <c r="DX125" s="2">
        <v>850</v>
      </c>
      <c r="DY125" s="8">
        <v>0</v>
      </c>
      <c r="DZ125" s="2" t="s">
        <v>94</v>
      </c>
      <c r="EA125" s="2" t="s">
        <v>94</v>
      </c>
      <c r="EB125" s="2" t="s">
        <v>94</v>
      </c>
      <c r="EC125" s="2" t="str">
        <f>HYPERLINK(".\links\gpi\AGAP010158-PA-gpi.txt","Y-NoSP")</f>
        <v>Y-NoSP</v>
      </c>
      <c r="ED125" s="2">
        <v>0.35</v>
      </c>
      <c r="EF125" s="2">
        <v>7</v>
      </c>
      <c r="EG125" s="2" t="s">
        <v>94</v>
      </c>
      <c r="EH125" s="2" t="s">
        <v>94</v>
      </c>
      <c r="EI125" s="2">
        <v>24.117647058823501</v>
      </c>
      <c r="EJ125" s="2">
        <v>6.9411764705882399</v>
      </c>
      <c r="EK125" s="2">
        <v>7.6470588235294104</v>
      </c>
      <c r="EL125" s="2">
        <v>14.588235294117601</v>
      </c>
      <c r="EM125" s="2">
        <v>2</v>
      </c>
      <c r="EN125" s="2">
        <v>2</v>
      </c>
      <c r="EO125" s="2">
        <v>2</v>
      </c>
      <c r="EP125" s="2" t="s">
        <v>94</v>
      </c>
      <c r="EQ125" s="2" t="s">
        <v>94</v>
      </c>
      <c r="ER125" s="2" t="s">
        <v>94</v>
      </c>
      <c r="ES125" s="2" t="s">
        <v>94</v>
      </c>
      <c r="ET125" s="2" t="str">
        <f>HYPERLINK(".\links\REFSEQ-INVERTEBRATE\AGAP010158-PA-REFSEQ-INVERTEBRATE.txt","putative uncharacterized protein DDB_G0277255")</f>
        <v>putative uncharacterized protein DDB_G0277255</v>
      </c>
      <c r="EU125" s="2" t="str">
        <f>HYPERLINK("http://www.ncbi.nlm.nih.gov/sutils/blink.cgi?pid=XP_035909665.1","0.0")</f>
        <v>0.0</v>
      </c>
      <c r="EV125" s="2" t="str">
        <f>HYPERLINK("http://www.ncbi.nlm.nih.gov/protein/XP_035909665.1","XP_035909665.1")</f>
        <v>XP_035909665.1</v>
      </c>
      <c r="EW125" s="2">
        <v>80</v>
      </c>
      <c r="EX125" s="2">
        <v>86</v>
      </c>
      <c r="EY125" s="2">
        <v>102</v>
      </c>
      <c r="EZ125" s="2" t="s">
        <v>184</v>
      </c>
    </row>
    <row r="126" spans="1:156" x14ac:dyDescent="0.25">
      <c r="A126" s="2" t="s">
        <v>1612</v>
      </c>
      <c r="B126" s="2">
        <v>0.70547752147254095</v>
      </c>
      <c r="C126" s="2">
        <v>1.6306843200339014</v>
      </c>
      <c r="D126" s="2">
        <v>5.3252999159492003</v>
      </c>
      <c r="E126" s="2">
        <v>20.9118512653266</v>
      </c>
      <c r="F126" s="2">
        <v>4.8091006029259897E-6</v>
      </c>
      <c r="G126" s="2">
        <v>6.8908582427077401E-4</v>
      </c>
      <c r="H126" s="2" t="s">
        <v>1613</v>
      </c>
      <c r="I126" s="2" t="s">
        <v>87</v>
      </c>
      <c r="J126" s="2" t="str">
        <f>HYPERLINK("https://vectorbase.org/vectorbase/app/record/gene/AGAP001557","AGAP001557-RA")</f>
        <v>AGAP001557-RA</v>
      </c>
      <c r="K126" s="2" t="str">
        <f>HYPERLINK(".\links\pep\AGAP001557-PA-pep.txt","AGAP001557-PA")</f>
        <v>AGAP001557-PA</v>
      </c>
      <c r="L126" s="8" t="s">
        <v>88</v>
      </c>
      <c r="M126" s="2">
        <v>1142</v>
      </c>
      <c r="N126" s="2">
        <v>0</v>
      </c>
      <c r="O126" s="2">
        <v>5</v>
      </c>
      <c r="P126" s="2" t="s">
        <v>1614</v>
      </c>
      <c r="Q126" s="9" t="s">
        <v>1615</v>
      </c>
      <c r="R126" s="2" t="s">
        <v>113</v>
      </c>
      <c r="S126" s="2" t="str">
        <f>HYPERLINK(".\links\KOG\AGAP001557-PA-KOG.txt","KOG")</f>
        <v>KOG</v>
      </c>
      <c r="T126" s="2">
        <v>0</v>
      </c>
      <c r="U126" s="2">
        <v>76.099999999999994</v>
      </c>
      <c r="V126" s="2" t="s">
        <v>1616</v>
      </c>
      <c r="W126" s="10" t="s">
        <v>1617</v>
      </c>
      <c r="X126" s="2" t="s">
        <v>113</v>
      </c>
      <c r="Y126" s="2" t="str">
        <f>HYPERLINK(".\links\REFSEQ-PROTOZOA\AGAP001557-PA-REFSEQ-PROTOZOA.txt","REFSEQ-PROTOZOA")</f>
        <v>REFSEQ-PROTOZOA</v>
      </c>
      <c r="Z126" s="2">
        <v>0</v>
      </c>
      <c r="AA126" s="2">
        <v>68.7</v>
      </c>
      <c r="AB126" s="11" t="s">
        <v>94</v>
      </c>
      <c r="AC126" s="11" t="str">
        <f>HYPERLINK(".\links\Sigp\AGAP001557-PA-SigP.txt","CYT")</f>
        <v>CYT</v>
      </c>
      <c r="AD126" s="2" t="s">
        <v>94</v>
      </c>
      <c r="AE126" s="2">
        <v>125.773</v>
      </c>
      <c r="AF126" s="2">
        <v>7.96</v>
      </c>
      <c r="AG126" s="2" t="s">
        <v>94</v>
      </c>
      <c r="AH126" s="2" t="s">
        <v>94</v>
      </c>
      <c r="AI126" s="2" t="s">
        <v>1618</v>
      </c>
      <c r="AJ126" s="11" t="str">
        <f>HYPERLINK(".\links\tmhmm\AGAP001557-PA-tmhmm.txt","11")</f>
        <v>11</v>
      </c>
      <c r="AK126" s="2">
        <v>20.8</v>
      </c>
      <c r="AL126" s="2">
        <v>53.9</v>
      </c>
      <c r="AM126" s="2">
        <v>25.4</v>
      </c>
      <c r="AN126" s="11" t="str">
        <f>HYPERLINK(".\links\gpi\AGAP001557-PA-gpi.txt","N")</f>
        <v>N</v>
      </c>
      <c r="AO126" s="12" t="str">
        <f>HYPERLINK(".\links\netoglyc\AGAP001557-PA-netoglyc.txt","0")</f>
        <v>0</v>
      </c>
      <c r="AP126" s="11">
        <v>14</v>
      </c>
      <c r="AQ126" s="2">
        <v>7.4</v>
      </c>
      <c r="AR126" s="2">
        <v>3.9</v>
      </c>
      <c r="AS126" s="2" t="s">
        <v>97</v>
      </c>
      <c r="AT126" s="9" t="str">
        <f>HYPERLINK(".\links\NR-LIGHT\AGAP001557-PA-NR-LIGHT.txt","AGAP001557-PA")</f>
        <v>AGAP001557-PA</v>
      </c>
      <c r="AU126" s="2" t="str">
        <f>HYPERLINK("http://www.ncbi.nlm.nih.gov/sutils/blink.cgi?pid=XP_321556.3","0.0")</f>
        <v>0.0</v>
      </c>
      <c r="AV126" s="2" t="str">
        <f>HYPERLINK("http://www.ncbi.nlm.nih.gov/protein/XP_321556.3","XP_321556.3")</f>
        <v>XP_321556.3</v>
      </c>
      <c r="AW126" s="2">
        <v>98</v>
      </c>
      <c r="AX126" s="2">
        <v>98</v>
      </c>
      <c r="AY126" s="2">
        <v>101</v>
      </c>
      <c r="AZ126" s="2" t="s">
        <v>98</v>
      </c>
      <c r="BA126" s="9" t="str">
        <f>HYPERLINK(".\links\REFSEQ-INVERTEBRATE\AGAP001557-PA-REFSEQ-INVERTEBRATE.txt","AGAP001557-PA")</f>
        <v>AGAP001557-PA</v>
      </c>
      <c r="BB126" s="2" t="str">
        <f>HYPERLINK("http://www.ncbi.nlm.nih.gov/sutils/blink.cgi?pid=XP_321556.3","0.0")</f>
        <v>0.0</v>
      </c>
      <c r="BC126" s="2" t="str">
        <f>HYPERLINK("http://www.ncbi.nlm.nih.gov/protein/XP_321556.3","XP_321556.3")</f>
        <v>XP_321556.3</v>
      </c>
      <c r="BD126" s="2">
        <v>98</v>
      </c>
      <c r="BE126" s="2">
        <v>98</v>
      </c>
      <c r="BF126" s="2">
        <v>101</v>
      </c>
      <c r="BG126" s="2" t="s">
        <v>98</v>
      </c>
      <c r="BH126" s="9" t="str">
        <f>HYPERLINK(".\links\REFSEQ-PROTOZOA\AGAP001557-PA-REFSEQ-PROTOZOA.txt","hypothetical protein SARC_02040")</f>
        <v>hypothetical protein SARC_02040</v>
      </c>
      <c r="BI126" s="2" t="str">
        <f>HYPERLINK("http://www.ncbi.nlm.nih.gov/sutils/blink.cgi?pid=XP_014159678.1","1E-169")</f>
        <v>1E-169</v>
      </c>
      <c r="BJ126" s="2" t="str">
        <f>HYPERLINK("http://www.ncbi.nlm.nih.gov/protein/XP_014159678.1","XP_014159678.1")</f>
        <v>XP_014159678.1</v>
      </c>
      <c r="BK126" s="2">
        <v>43</v>
      </c>
      <c r="BL126" s="2">
        <v>58</v>
      </c>
      <c r="BM126" s="2">
        <v>80</v>
      </c>
      <c r="BN126" s="2" t="s">
        <v>368</v>
      </c>
      <c r="BO126" s="9" t="str">
        <f>HYPERLINK(".\links\SWISSP\AGAP001557-PA-SWISSP.txt","Bumetanide-sensitive sodium-(potassium)-chloride cotransporter")</f>
        <v>Bumetanide-sensitive sodium-(potassium)-chloride cotransporter</v>
      </c>
      <c r="BP126" s="2" t="str">
        <f>HYPERLINK("http://www.uniprot.org/uniprot/Q25479","0.0")</f>
        <v>0.0</v>
      </c>
      <c r="BQ126" s="2" t="str">
        <f>HYPERLINK("http://www.uniprot.org/uniprot/Q25479#expression","Q25479")</f>
        <v>Q25479</v>
      </c>
      <c r="BR126" s="2">
        <v>50</v>
      </c>
      <c r="BS126" s="2">
        <v>66</v>
      </c>
      <c r="BT126" s="2">
        <v>99</v>
      </c>
      <c r="BU126" s="2" t="s">
        <v>1619</v>
      </c>
      <c r="BV126" s="9" t="str">
        <f>HYPERLINK(".\links\FLYBASE\AGAP001557-PA-FLYBASE.txt","FBpp0305975")</f>
        <v>FBpp0305975</v>
      </c>
      <c r="BW126" s="2" t="str">
        <f>HYPERLINK("http://flybase.org/reports/FBgn0036279#alliance_summary_container","0.0")</f>
        <v>0.0</v>
      </c>
      <c r="BX126" s="2">
        <v>1191</v>
      </c>
      <c r="BY126" s="2">
        <v>65</v>
      </c>
      <c r="BZ126" s="2">
        <v>78</v>
      </c>
      <c r="CA126" s="2">
        <v>99</v>
      </c>
      <c r="CB126" s="9" t="str">
        <f>HYPERLINK(".\links\CDD\AGAP001557-PA-CDD.txt","Solute_carrier_family_12_member_1, K-Cl cotransporter")</f>
        <v>Solute_carrier_family_12_member_1, K-Cl cotransporter</v>
      </c>
      <c r="CC126" s="13">
        <v>0</v>
      </c>
      <c r="CD126" s="2">
        <v>76.900000000000006</v>
      </c>
      <c r="CE126" s="2" t="s">
        <v>1620</v>
      </c>
      <c r="CF126" s="2" t="s">
        <v>1621</v>
      </c>
      <c r="CG126" s="9" t="str">
        <f>HYPERLINK(".\links\KOG\AGAP001557-PA-KOG.txt","Na+/K+ symporter")</f>
        <v>Na+/K+ symporter</v>
      </c>
      <c r="CH126" s="13">
        <v>0</v>
      </c>
      <c r="CI126" s="2">
        <v>104</v>
      </c>
      <c r="CJ126" s="2" t="s">
        <v>1622</v>
      </c>
      <c r="CK126" s="2" t="s">
        <v>641</v>
      </c>
      <c r="CL126" s="9" t="str">
        <f>HYPERLINK(".\links\PFAM\AGAP001557-PA-PFAM.txt","SLC12, Solute carrier family 12")</f>
        <v>SLC12, Solute carrier family 12</v>
      </c>
      <c r="CM126" s="13">
        <v>1E-108</v>
      </c>
      <c r="CN126" s="2">
        <v>62.4</v>
      </c>
      <c r="CO126" s="2" t="s">
        <v>1623</v>
      </c>
      <c r="CP126" s="9" t="str">
        <f>HYPERLINK(".\links\SMART\AGAP001557-PA-SMART.txt","PSN, Presenilin, signal peptide peptidase, family")</f>
        <v>PSN, Presenilin, signal peptide peptidase, family</v>
      </c>
      <c r="CQ126" s="13">
        <v>0.84</v>
      </c>
      <c r="CR126" s="2">
        <v>39.799999999999997</v>
      </c>
      <c r="CS126" s="2" t="s">
        <v>1624</v>
      </c>
      <c r="CT126" s="2" t="s">
        <v>1616</v>
      </c>
      <c r="CU126" s="2" t="s">
        <v>1616</v>
      </c>
      <c r="CV126" s="2" t="s">
        <v>1616</v>
      </c>
      <c r="CW126" s="2" t="str">
        <f>HYPERLINK(".\links\pep\AGAP001557-PA-pep.txt","AGAP001557-PA")</f>
        <v>AGAP001557-PA</v>
      </c>
      <c r="CX126" s="2" t="s">
        <v>88</v>
      </c>
      <c r="CY126" s="2">
        <v>1142</v>
      </c>
      <c r="CZ126" s="2" t="s">
        <v>106</v>
      </c>
      <c r="DA126" s="2" t="s">
        <v>1625</v>
      </c>
      <c r="DB126" s="2">
        <v>0</v>
      </c>
      <c r="DC126" s="2">
        <v>5</v>
      </c>
      <c r="DD126" s="2" t="str">
        <f>HYPERLINK("https://www.kegg.jp/kegg-bin/search_pathway_text?map=aga&amp;keyword=AGAP001557&amp;mode=1&amp;viewImage=true","AGAP001557")</f>
        <v>AGAP001557</v>
      </c>
      <c r="DE126" s="2" t="s">
        <v>1612</v>
      </c>
      <c r="DF126" s="2" t="s">
        <v>1613</v>
      </c>
      <c r="DG126" s="2" t="s">
        <v>87</v>
      </c>
      <c r="DH126" s="2" t="str">
        <f>HYPERLINK("https://vectorbase.org/vectorbase/app/record/gene/AGAP001557","AGAP001557-RA")</f>
        <v>AGAP001557-RA</v>
      </c>
      <c r="DI126" s="2" t="s">
        <v>108</v>
      </c>
      <c r="DJ126" s="2">
        <v>5875</v>
      </c>
      <c r="DK126" s="2" t="str">
        <f>HYPERLINK(".\links\netoglyc\AGAP001557-PA-netoglyc.txt","0")</f>
        <v>0</v>
      </c>
      <c r="DL126" s="2">
        <v>14</v>
      </c>
      <c r="DM126" s="2">
        <v>7.4</v>
      </c>
      <c r="DN126" s="2">
        <v>3.9</v>
      </c>
      <c r="DO126" s="2" t="s">
        <v>97</v>
      </c>
      <c r="DP126" s="2" t="s">
        <v>94</v>
      </c>
      <c r="DQ126" s="2" t="str">
        <f>HYPERLINK(".\links\Sigp\AGAP001557-PA-SigP.txt","CYT")</f>
        <v>CYT</v>
      </c>
      <c r="DR126" s="2" t="s">
        <v>94</v>
      </c>
      <c r="DS126" s="2">
        <v>125.773</v>
      </c>
      <c r="DT126" s="2">
        <v>7.96</v>
      </c>
      <c r="DU126" s="2" t="s">
        <v>94</v>
      </c>
      <c r="DV126" s="2" t="s">
        <v>94</v>
      </c>
      <c r="DW126" s="2" t="s">
        <v>1618</v>
      </c>
      <c r="DX126" s="2">
        <v>1142</v>
      </c>
      <c r="DY126" s="8" t="str">
        <f>HYPERLINK(".\links\tmhmm\AGAP001557-PA-tmhmm.txt","11")</f>
        <v>11</v>
      </c>
      <c r="DZ126" s="2">
        <v>20.8</v>
      </c>
      <c r="EA126" s="2">
        <v>53.9</v>
      </c>
      <c r="EB126" s="2">
        <v>25.4</v>
      </c>
      <c r="EC126" s="2" t="str">
        <f>HYPERLINK(".\links\gpi\AGAP001557-PA-gpi.txt","N")</f>
        <v>N</v>
      </c>
      <c r="ED126" s="2">
        <v>0.16</v>
      </c>
      <c r="EF126" s="2">
        <v>18</v>
      </c>
      <c r="EG126" s="2" t="s">
        <v>94</v>
      </c>
      <c r="EH126" s="2" t="s">
        <v>94</v>
      </c>
      <c r="EI126" s="2">
        <v>14.0105078809107</v>
      </c>
      <c r="EJ126" s="2">
        <v>3.9404553415061301</v>
      </c>
      <c r="EK126" s="2">
        <v>7.4430823117338001</v>
      </c>
      <c r="EL126" s="2">
        <v>11.3835376532399</v>
      </c>
      <c r="EM126" s="2">
        <v>1</v>
      </c>
      <c r="EN126" s="2">
        <v>11</v>
      </c>
      <c r="EO126" s="2">
        <v>11</v>
      </c>
      <c r="EP126" s="2" t="s">
        <v>94</v>
      </c>
      <c r="EQ126" s="2" t="s">
        <v>94</v>
      </c>
      <c r="ER126" s="2" t="s">
        <v>94</v>
      </c>
      <c r="ES126" s="2" t="s">
        <v>94</v>
      </c>
      <c r="ET126" s="2" t="str">
        <f>HYPERLINK(".\links\REFSEQ-INVERTEBRATE\AGAP001557-PA-REFSEQ-INVERTEBRATE.txt","AGAP001557-PA")</f>
        <v>AGAP001557-PA</v>
      </c>
      <c r="EU126" s="2" t="str">
        <f>HYPERLINK("http://www.ncbi.nlm.nih.gov/sutils/blink.cgi?pid=XP_321556.3","0.0")</f>
        <v>0.0</v>
      </c>
      <c r="EV126" s="2" t="str">
        <f>HYPERLINK("http://www.ncbi.nlm.nih.gov/protein/XP_321556.3","XP_321556.3")</f>
        <v>XP_321556.3</v>
      </c>
      <c r="EW126" s="2">
        <v>98</v>
      </c>
      <c r="EX126" s="2">
        <v>98</v>
      </c>
      <c r="EY126" s="2">
        <v>101</v>
      </c>
      <c r="EZ126" s="2" t="s">
        <v>98</v>
      </c>
    </row>
    <row r="127" spans="1:156" x14ac:dyDescent="0.25">
      <c r="A127" s="2" t="s">
        <v>1626</v>
      </c>
      <c r="B127" s="2">
        <v>0.70321105603604195</v>
      </c>
      <c r="C127" s="2">
        <v>1.6281245357733864</v>
      </c>
      <c r="D127" s="2">
        <v>6.0858573695925902</v>
      </c>
      <c r="E127" s="2">
        <v>16.266096630871701</v>
      </c>
      <c r="F127" s="2">
        <v>5.50400012363319E-5</v>
      </c>
      <c r="G127" s="2">
        <v>4.5493708295130299E-3</v>
      </c>
      <c r="H127" s="2" t="s">
        <v>1627</v>
      </c>
      <c r="I127" s="2" t="s">
        <v>94</v>
      </c>
      <c r="J127" s="2" t="str">
        <f>HYPERLINK("https://vectorbase.org/vectorbase/app/record/gene/AGAP005971","AGAP005971-RA")</f>
        <v>AGAP005971-RA</v>
      </c>
      <c r="K127" s="2" t="str">
        <f>HYPERLINK(".\links\pep\AGAP005971-PA-pep.txt","AGAP005971-PA")</f>
        <v>AGAP005971-PA</v>
      </c>
      <c r="L127" s="8" t="s">
        <v>88</v>
      </c>
      <c r="M127" s="2">
        <v>694</v>
      </c>
      <c r="N127" s="2">
        <v>0</v>
      </c>
      <c r="O127" s="2">
        <v>1</v>
      </c>
      <c r="P127" s="2" t="s">
        <v>1628</v>
      </c>
      <c r="Q127" s="9" t="s">
        <v>1629</v>
      </c>
      <c r="R127" s="2" t="s">
        <v>131</v>
      </c>
      <c r="S127" s="2" t="str">
        <f>HYPERLINK(".\links\CDD\AGAP005971-PA-CDD.txt","CDD")</f>
        <v>CDD</v>
      </c>
      <c r="T127" s="2">
        <v>0</v>
      </c>
      <c r="U127" s="2">
        <v>73.599999999999994</v>
      </c>
      <c r="V127" s="2" t="s">
        <v>1630</v>
      </c>
      <c r="W127" s="10" t="s">
        <v>1631</v>
      </c>
      <c r="X127" s="2" t="s">
        <v>131</v>
      </c>
      <c r="Y127" s="2" t="str">
        <f>HYPERLINK(".\links\PFAM\AGAP005971-PA-PFAM.txt","PFAM")</f>
        <v>PFAM</v>
      </c>
      <c r="Z127" s="13">
        <v>9E-60</v>
      </c>
      <c r="AA127" s="2">
        <v>74.2</v>
      </c>
      <c r="AB127" s="11" t="str">
        <f>HYPERLINK(".\links\pep\AGAP005971-PA-sulf.txt","1")</f>
        <v>1</v>
      </c>
      <c r="AC127" s="11" t="str">
        <f>HYPERLINK(".\links\Sigp\AGAP005971-PA-SigP.txt","BL")</f>
        <v>BL</v>
      </c>
      <c r="AD127" s="2" t="s">
        <v>1233</v>
      </c>
      <c r="AE127" s="2">
        <v>77.881</v>
      </c>
      <c r="AF127" s="2">
        <v>5.5</v>
      </c>
      <c r="AG127" s="2">
        <v>74.891999999999996</v>
      </c>
      <c r="AH127" s="2">
        <v>5.32</v>
      </c>
      <c r="AI127" s="2" t="s">
        <v>1632</v>
      </c>
      <c r="AJ127" s="11" t="str">
        <f>HYPERLINK(".\links\tmhmm\AGAP005971-PA-tmhmm.txt","1")</f>
        <v>1</v>
      </c>
      <c r="AK127" s="2">
        <v>2.7</v>
      </c>
      <c r="AL127" s="2">
        <v>95.4</v>
      </c>
      <c r="AM127" s="2">
        <v>1.9</v>
      </c>
      <c r="AN127" s="11" t="str">
        <f>HYPERLINK(".\links\gpi\AGAP005971-PA-gpi.txt","N")</f>
        <v>N</v>
      </c>
      <c r="AO127" s="12" t="str">
        <f>HYPERLINK(".\links\netoglyc\AGAP005971-PA-netoglyc.txt","0")</f>
        <v>0</v>
      </c>
      <c r="AP127" s="11">
        <v>13.3</v>
      </c>
      <c r="AQ127" s="2">
        <v>6.8</v>
      </c>
      <c r="AR127" s="2">
        <v>3.9</v>
      </c>
      <c r="AS127" s="2" t="s">
        <v>97</v>
      </c>
      <c r="AT127" s="9" t="str">
        <f>HYPERLINK(".\links\NR-LIGHT\AGAP005971-PA-NR-LIGHT.txt","AGAP005971-PA")</f>
        <v>AGAP005971-PA</v>
      </c>
      <c r="AU127" s="2" t="str">
        <f>HYPERLINK("http://www.ncbi.nlm.nih.gov/sutils/blink.cgi?pid=XP_316013.4","0.0")</f>
        <v>0.0</v>
      </c>
      <c r="AV127" s="2" t="str">
        <f>HYPERLINK("http://www.ncbi.nlm.nih.gov/protein/XP_316013.4","XP_316013.4")</f>
        <v>XP_316013.4</v>
      </c>
      <c r="AW127" s="2">
        <v>100</v>
      </c>
      <c r="AX127" s="2">
        <v>100</v>
      </c>
      <c r="AY127" s="2">
        <v>100</v>
      </c>
      <c r="AZ127" s="2" t="s">
        <v>98</v>
      </c>
      <c r="BA127" s="9" t="str">
        <f>HYPERLINK(".\links\REFSEQ-INVERTEBRATE\AGAP005971-PA-REFSEQ-INVERTEBRATE.txt","AGAP005971-PA")</f>
        <v>AGAP005971-PA</v>
      </c>
      <c r="BB127" s="2" t="str">
        <f>HYPERLINK("http://www.ncbi.nlm.nih.gov/sutils/blink.cgi?pid=XP_316013.4","0.0")</f>
        <v>0.0</v>
      </c>
      <c r="BC127" s="2" t="str">
        <f>HYPERLINK("http://www.ncbi.nlm.nih.gov/protein/XP_316013.4","XP_316013.4")</f>
        <v>XP_316013.4</v>
      </c>
      <c r="BD127" s="2">
        <v>100</v>
      </c>
      <c r="BE127" s="2">
        <v>100</v>
      </c>
      <c r="BF127" s="2">
        <v>100</v>
      </c>
      <c r="BG127" s="2" t="s">
        <v>98</v>
      </c>
      <c r="BH127" s="9" t="str">
        <f>HYPERLINK(".\links\REFSEQ-PROTOZOA\AGAP005971-PA-REFSEQ-PROTOZOA.txt","phospholipase B-like protein")</f>
        <v>phospholipase B-like protein</v>
      </c>
      <c r="BI127" s="2" t="str">
        <f>HYPERLINK("http://www.ncbi.nlm.nih.gov/sutils/blink.cgi?pid=XP_637940.1","5E-027")</f>
        <v>5E-027</v>
      </c>
      <c r="BJ127" s="2" t="str">
        <f>HYPERLINK("http://www.ncbi.nlm.nih.gov/protein/XP_637940.1","XP_637940.1")</f>
        <v>XP_637940.1</v>
      </c>
      <c r="BK127" s="2">
        <v>25</v>
      </c>
      <c r="BL127" s="2">
        <v>45</v>
      </c>
      <c r="BM127" s="2">
        <v>61</v>
      </c>
      <c r="BN127" s="2" t="s">
        <v>292</v>
      </c>
      <c r="BO127" s="9" t="str">
        <f>HYPERLINK(".\links\SWISSP\AGAP005971-PA-SWISSP.txt","Putative phospholipase B-like lamina ancestor")</f>
        <v>Putative phospholipase B-like lamina ancestor</v>
      </c>
      <c r="BP127" s="2" t="str">
        <f>HYPERLINK("http://www.uniprot.org/uniprot/Q9VRK8","1E-127")</f>
        <v>1E-127</v>
      </c>
      <c r="BQ127" s="2" t="str">
        <f>HYPERLINK("http://www.uniprot.org/uniprot/Q9VRK8#expression","Q9VRK8")</f>
        <v>Q9VRK8</v>
      </c>
      <c r="BR127" s="2">
        <v>36</v>
      </c>
      <c r="BS127" s="2">
        <v>52</v>
      </c>
      <c r="BT127" s="2">
        <v>112</v>
      </c>
      <c r="BU127" s="2" t="s">
        <v>100</v>
      </c>
      <c r="BV127" s="9" t="str">
        <f>HYPERLINK(".\links\FLYBASE\AGAP005971-PA-FLYBASE.txt","FBpp0305772")</f>
        <v>FBpp0305772</v>
      </c>
      <c r="BW127" s="2" t="str">
        <f>HYPERLINK("http://flybase.org/reports/FBgn0016031#alliance_summary_container","1E-154")</f>
        <v>1E-154</v>
      </c>
      <c r="BX127" s="2">
        <v>658</v>
      </c>
      <c r="BY127" s="2">
        <v>36</v>
      </c>
      <c r="BZ127" s="2">
        <v>52</v>
      </c>
      <c r="CA127" s="2">
        <v>112</v>
      </c>
      <c r="CB127" s="9" t="str">
        <f>HYPERLINK(".\links\CDD\AGAP005971-PA-CDD.txt","Phospholip_B, Phospholipase B")</f>
        <v>Phospholip_B, Phospholipase B</v>
      </c>
      <c r="CC127" s="13">
        <v>1.0000000000000001E-114</v>
      </c>
      <c r="CD127" s="2">
        <v>73.7</v>
      </c>
      <c r="CE127" s="2" t="s">
        <v>1633</v>
      </c>
      <c r="CF127" s="2" t="s">
        <v>1634</v>
      </c>
      <c r="CG127" s="9" t="str">
        <f>HYPERLINK(".\links\KOG\AGAP005971-PA-KOG.txt","Uncharacterized conserved protein Lama")</f>
        <v>Uncharacterized conserved protein Lama</v>
      </c>
      <c r="CH127" s="13">
        <v>2.0000000000000001E-42</v>
      </c>
      <c r="CI127" s="2">
        <v>69.599999999999994</v>
      </c>
      <c r="CJ127" s="2" t="s">
        <v>1635</v>
      </c>
      <c r="CK127" s="2" t="s">
        <v>326</v>
      </c>
      <c r="CL127" s="9" t="str">
        <f>HYPERLINK(".\links\PFAM\AGAP005971-PA-PFAM.txt","Phospholip_B, Phospholipase B")</f>
        <v>Phospholip_B, Phospholipase B</v>
      </c>
      <c r="CM127" s="13">
        <v>1.0000000000000001E-114</v>
      </c>
      <c r="CN127" s="2">
        <v>73.7</v>
      </c>
      <c r="CO127" s="2" t="s">
        <v>1633</v>
      </c>
      <c r="CP127" s="9" t="str">
        <f>HYPERLINK(".\links\SMART\AGAP005971-PA-SMART.txt","BURP, The BURP domain is found at the C-terminus of several different plant proteins")</f>
        <v>BURP, The BURP domain is found at the C-terminus of several different plant proteins</v>
      </c>
      <c r="CQ127" s="13">
        <v>0.3</v>
      </c>
      <c r="CR127" s="2">
        <v>19.399999999999999</v>
      </c>
      <c r="CS127" s="2" t="s">
        <v>1636</v>
      </c>
      <c r="CT127" s="2" t="s">
        <v>1630</v>
      </c>
      <c r="CU127" s="2" t="s">
        <v>1630</v>
      </c>
      <c r="CV127" s="2" t="s">
        <v>1630</v>
      </c>
      <c r="CW127" s="2" t="str">
        <f>HYPERLINK(".\links\pep\AGAP005971-PA-pep.txt","AGAP005971-PA")</f>
        <v>AGAP005971-PA</v>
      </c>
      <c r="CX127" s="2" t="s">
        <v>88</v>
      </c>
      <c r="CY127" s="2">
        <v>694</v>
      </c>
      <c r="CZ127" s="2" t="s">
        <v>106</v>
      </c>
      <c r="DA127" s="2">
        <v>0</v>
      </c>
      <c r="DB127" s="2">
        <v>1</v>
      </c>
      <c r="DD127" s="2" t="str">
        <f>HYPERLINK("https://www.kegg.jp/kegg-bin/search_pathway_text?map=aga&amp;keyword=AGAP005971&amp;mode=1&amp;viewImage=true","AGAP005971")</f>
        <v>AGAP005971</v>
      </c>
      <c r="DE127" s="2" t="s">
        <v>1626</v>
      </c>
      <c r="DF127" s="2" t="s">
        <v>1627</v>
      </c>
      <c r="DG127" s="2" t="s">
        <v>94</v>
      </c>
      <c r="DH127" s="2" t="str">
        <f>HYPERLINK("https://vectorbase.org/vectorbase/app/record/gene/AGAP005971","AGAP005971-RA")</f>
        <v>AGAP005971-RA</v>
      </c>
      <c r="DI127" s="2" t="s">
        <v>125</v>
      </c>
      <c r="DJ127" s="2">
        <v>4132</v>
      </c>
      <c r="DK127" s="2" t="str">
        <f>HYPERLINK(".\links\netoglyc\AGAP005971-PA-netoglyc.txt","0")</f>
        <v>0</v>
      </c>
      <c r="DL127" s="2">
        <v>13.3</v>
      </c>
      <c r="DM127" s="2">
        <v>6.8</v>
      </c>
      <c r="DN127" s="2">
        <v>3.9</v>
      </c>
      <c r="DO127" s="2" t="s">
        <v>97</v>
      </c>
      <c r="DP127" s="2" t="s">
        <v>1637</v>
      </c>
      <c r="DQ127" s="2" t="str">
        <f>HYPERLINK(".\links\Sigp\AGAP005971-PA-SigP.txt","BL")</f>
        <v>BL</v>
      </c>
      <c r="DR127" s="2" t="s">
        <v>1233</v>
      </c>
      <c r="DS127" s="2">
        <v>77.881</v>
      </c>
      <c r="DT127" s="2">
        <v>5.5</v>
      </c>
      <c r="DU127" s="2">
        <v>74.891999999999996</v>
      </c>
      <c r="DV127" s="2">
        <v>5.32</v>
      </c>
      <c r="DW127" s="2" t="s">
        <v>1632</v>
      </c>
      <c r="DX127" s="2">
        <v>694</v>
      </c>
      <c r="DY127" s="8" t="str">
        <f>HYPERLINK(".\links\tmhmm\AGAP005971-PA-tmhmm.txt","1")</f>
        <v>1</v>
      </c>
      <c r="DZ127" s="2">
        <v>2.7</v>
      </c>
      <c r="EA127" s="2">
        <v>95.4</v>
      </c>
      <c r="EB127" s="2">
        <v>1.9</v>
      </c>
      <c r="EC127" s="2" t="str">
        <f>HYPERLINK(".\links\gpi\AGAP005971-PA-gpi.txt","Y-NoSP")</f>
        <v>Y-NoSP</v>
      </c>
      <c r="ED127" s="2">
        <v>0.17</v>
      </c>
      <c r="EF127" s="2">
        <v>4</v>
      </c>
      <c r="EG127" s="2" t="str">
        <f>HYPERLINK(".\links\pep\AGAP005971-PA-sulf.txt","1")</f>
        <v>1</v>
      </c>
      <c r="EH127" s="2" t="s">
        <v>94</v>
      </c>
      <c r="EI127" s="2">
        <v>13.256484149855901</v>
      </c>
      <c r="EJ127" s="2">
        <v>3.8904899135446702</v>
      </c>
      <c r="EK127" s="2">
        <v>6.7723342939481297</v>
      </c>
      <c r="EL127" s="2">
        <v>10.6628242074928</v>
      </c>
      <c r="EM127" s="2">
        <v>1</v>
      </c>
      <c r="EN127" s="2">
        <v>4</v>
      </c>
      <c r="EO127" s="2">
        <v>8</v>
      </c>
      <c r="EP127" s="2" t="s">
        <v>94</v>
      </c>
      <c r="EQ127" s="2" t="s">
        <v>94</v>
      </c>
      <c r="ER127" s="2" t="s">
        <v>94</v>
      </c>
      <c r="ES127" s="2" t="s">
        <v>94</v>
      </c>
      <c r="ET127" s="2" t="str">
        <f>HYPERLINK(".\links\REFSEQ-INVERTEBRATE\AGAP005971-PA-REFSEQ-INVERTEBRATE.txt","AGAP005971-PA")</f>
        <v>AGAP005971-PA</v>
      </c>
      <c r="EU127" s="2" t="str">
        <f>HYPERLINK("http://www.ncbi.nlm.nih.gov/sutils/blink.cgi?pid=XP_316013.4","0.0")</f>
        <v>0.0</v>
      </c>
      <c r="EV127" s="2" t="str">
        <f>HYPERLINK("http://www.ncbi.nlm.nih.gov/protein/XP_316013.4","XP_316013.4")</f>
        <v>XP_316013.4</v>
      </c>
      <c r="EW127" s="2">
        <v>100</v>
      </c>
      <c r="EX127" s="2">
        <v>100</v>
      </c>
      <c r="EY127" s="2">
        <v>100</v>
      </c>
      <c r="EZ127" s="2" t="s">
        <v>98</v>
      </c>
    </row>
    <row r="128" spans="1:156" x14ac:dyDescent="0.25">
      <c r="A128" s="2" t="s">
        <v>1638</v>
      </c>
      <c r="B128" s="2">
        <v>0.70242005366339</v>
      </c>
      <c r="C128" s="2">
        <v>1.6272321105921748</v>
      </c>
      <c r="D128" s="2">
        <v>5.1222025631266899</v>
      </c>
      <c r="E128" s="2">
        <v>16.670498021332701</v>
      </c>
      <c r="F128" s="2">
        <v>4.44671871250245E-5</v>
      </c>
      <c r="G128" s="2">
        <v>3.9672281947297798E-3</v>
      </c>
      <c r="H128" s="2" t="s">
        <v>167</v>
      </c>
      <c r="I128" s="2" t="s">
        <v>87</v>
      </c>
      <c r="J128" s="2" t="str">
        <f>HYPERLINK("https://vectorbase.org/vectorbase/app/record/gene/AGAP001780","AGAP001780-RA")</f>
        <v>AGAP001780-RA</v>
      </c>
      <c r="K128" s="2" t="str">
        <f>HYPERLINK(".\links\pep\AGAP001780-PA-pep.txt","AGAP001780-PA")</f>
        <v>AGAP001780-PA</v>
      </c>
      <c r="L128" s="8" t="s">
        <v>88</v>
      </c>
      <c r="M128" s="2">
        <v>3537</v>
      </c>
      <c r="N128" s="2">
        <v>0</v>
      </c>
      <c r="O128" s="2">
        <v>12</v>
      </c>
      <c r="P128" s="2" t="s">
        <v>1639</v>
      </c>
      <c r="Q128" s="9" t="s">
        <v>1640</v>
      </c>
      <c r="R128" s="2" t="s">
        <v>651</v>
      </c>
      <c r="S128" s="2" t="str">
        <f>HYPERLINK(".\links\REFSEQ-INVERTEBRATE\AGAP001780-PA-REFSEQ-INVERTEBRATE.txt","REFSEQ-INVERTEBRATE")</f>
        <v>REFSEQ-INVERTEBRATE</v>
      </c>
      <c r="T128" s="2">
        <v>0</v>
      </c>
      <c r="U128" s="2">
        <v>111.4</v>
      </c>
      <c r="V128" s="2" t="s">
        <v>1641</v>
      </c>
      <c r="W128" s="10" t="s">
        <v>1642</v>
      </c>
      <c r="X128" s="2" t="s">
        <v>651</v>
      </c>
      <c r="Y128" s="2" t="str">
        <f>HYPERLINK(".\links\REFSEQVERTEBRATE95\AGAP001780-PA-REFSEQVERTEBRATE95.txt","REFSEQVERTEBRATE95")</f>
        <v>REFSEQVERTEBRATE95</v>
      </c>
      <c r="Z128" s="13">
        <v>0</v>
      </c>
      <c r="AA128" s="2">
        <v>55</v>
      </c>
      <c r="AB128" s="11" t="str">
        <f>HYPERLINK(".\links\pep\AGAP001780-PA-sulf.txt","3")</f>
        <v>3</v>
      </c>
      <c r="AC128" s="11" t="str">
        <f>HYPERLINK(".\links\Sigp\AGAP001780-PA-SigP.txt","CYT")</f>
        <v>CYT</v>
      </c>
      <c r="AD128" s="2" t="s">
        <v>94</v>
      </c>
      <c r="AE128" s="2">
        <v>371.68099999999998</v>
      </c>
      <c r="AF128" s="2">
        <v>5.35</v>
      </c>
      <c r="AG128" s="2" t="s">
        <v>94</v>
      </c>
      <c r="AH128" s="2" t="s">
        <v>94</v>
      </c>
      <c r="AI128" s="2" t="s">
        <v>348</v>
      </c>
      <c r="AJ128" s="11">
        <v>0</v>
      </c>
      <c r="AK128" s="2" t="s">
        <v>94</v>
      </c>
      <c r="AL128" s="2" t="s">
        <v>94</v>
      </c>
      <c r="AM128" s="2" t="s">
        <v>94</v>
      </c>
      <c r="AN128" s="11" t="str">
        <f>HYPERLINK(".\links\gpi\AGAP001780-PA-gpi.txt","N")</f>
        <v>N</v>
      </c>
      <c r="AO128" s="12" t="str">
        <f>HYPERLINK(".\links\netoglyc\AGAP001780-PA-netoglyc.txt","10")</f>
        <v>10</v>
      </c>
      <c r="AP128" s="11">
        <v>17.399999999999999</v>
      </c>
      <c r="AQ128" s="2">
        <v>11.3</v>
      </c>
      <c r="AR128" s="2">
        <v>5.5</v>
      </c>
      <c r="AS128" s="2">
        <v>0.1</v>
      </c>
      <c r="AT128" s="9" t="str">
        <f>HYPERLINK(".\links\NR-LIGHT\AGAP001780-PA-NR-LIGHT.txt","AGAP001780-PA")</f>
        <v>AGAP001780-PA</v>
      </c>
      <c r="AU128" s="2" t="str">
        <f>HYPERLINK("http://www.ncbi.nlm.nih.gov/sutils/blink.cgi?pid=XP_321295.5","0.0")</f>
        <v>0.0</v>
      </c>
      <c r="AV128" s="2" t="str">
        <f>HYPERLINK("http://www.ncbi.nlm.nih.gov/protein/XP_321295.5","XP_321295.5")</f>
        <v>XP_321295.5</v>
      </c>
      <c r="AW128" s="2">
        <v>100</v>
      </c>
      <c r="AX128" s="2">
        <v>100</v>
      </c>
      <c r="AY128" s="2">
        <v>100</v>
      </c>
      <c r="AZ128" s="2" t="s">
        <v>98</v>
      </c>
      <c r="BA128" s="9" t="str">
        <f>HYPERLINK(".\links\REFSEQ-INVERTEBRATE\AGAP001780-PA-REFSEQ-INVERTEBRATE.txt","AGAP001780-PA")</f>
        <v>AGAP001780-PA</v>
      </c>
      <c r="BB128" s="2" t="str">
        <f>HYPERLINK("http://www.ncbi.nlm.nih.gov/sutils/blink.cgi?pid=XP_321295.5","0.0")</f>
        <v>0.0</v>
      </c>
      <c r="BC128" s="2" t="str">
        <f>HYPERLINK("http://www.ncbi.nlm.nih.gov/protein/XP_321295.5","XP_321295.5")</f>
        <v>XP_321295.5</v>
      </c>
      <c r="BD128" s="2">
        <v>100</v>
      </c>
      <c r="BE128" s="2">
        <v>100</v>
      </c>
      <c r="BF128" s="2">
        <v>100</v>
      </c>
      <c r="BG128" s="2" t="s">
        <v>98</v>
      </c>
      <c r="BH128" s="9" t="str">
        <f>HYPERLINK(".\links\REFSEQ-PROTOZOA\AGAP001780-PA-REFSEQ-PROTOZOA.txt","ubiquitin protein ligase E3 component n-recognin 5")</f>
        <v>ubiquitin protein ligase E3 component n-recognin 5</v>
      </c>
      <c r="BI128" s="2" t="str">
        <f>HYPERLINK("http://www.ncbi.nlm.nih.gov/sutils/blink.cgi?pid=XP_004997997.1","2E-058")</f>
        <v>2E-058</v>
      </c>
      <c r="BJ128" s="2" t="str">
        <f>HYPERLINK("http://www.ncbi.nlm.nih.gov/protein/XP_004997997.1","XP_004997997.1")</f>
        <v>XP_004997997.1</v>
      </c>
      <c r="BK128" s="2">
        <v>38</v>
      </c>
      <c r="BL128" s="2">
        <v>53</v>
      </c>
      <c r="BM128" s="2">
        <v>25</v>
      </c>
      <c r="BN128" s="2" t="s">
        <v>117</v>
      </c>
      <c r="BO128" s="9" t="str">
        <f>HYPERLINK(".\links\SWISSP\AGAP001780-PA-SWISSP.txt","E3 ubiquitin-protein ligase hyd")</f>
        <v>E3 ubiquitin-protein ligase hyd</v>
      </c>
      <c r="BP128" s="2" t="str">
        <f>HYPERLINK("http://www.uniprot.org/uniprot/P51592","0.0")</f>
        <v>0.0</v>
      </c>
      <c r="BQ128" s="2" t="str">
        <f>HYPERLINK("http://www.uniprot.org/uniprot/P51592#expression","P51592")</f>
        <v>P51592</v>
      </c>
      <c r="BR128" s="2">
        <v>44</v>
      </c>
      <c r="BS128" s="2">
        <v>61</v>
      </c>
      <c r="BT128" s="2">
        <v>84</v>
      </c>
      <c r="BU128" s="2" t="s">
        <v>100</v>
      </c>
      <c r="BV128" s="9" t="str">
        <f>HYPERLINK(".\links\FLYBASE\AGAP001780-PA-FLYBASE.txt","FBpp0081568")</f>
        <v>FBpp0081568</v>
      </c>
      <c r="BW128" s="2" t="str">
        <f>HYPERLINK("http://flybase.org/reports/FBgn0002431#alliance_summary_container","0.0")</f>
        <v>0.0</v>
      </c>
      <c r="BX128" s="2">
        <v>2885</v>
      </c>
      <c r="BY128" s="2">
        <v>49</v>
      </c>
      <c r="BZ128" s="2">
        <v>64</v>
      </c>
      <c r="CA128" s="2">
        <v>39</v>
      </c>
      <c r="CB128" s="9" t="str">
        <f>HYPERLINK(".\links\CDD\AGAP001780-PA-CDD.txt","HECTc, Domain Homologous to E6-AP Carboxyl Terminus with")</f>
        <v>HECTc, Domain Homologous to E6-AP Carboxyl Terminus with</v>
      </c>
      <c r="CC128" s="13">
        <v>9.0000000000000002E-97</v>
      </c>
      <c r="CD128" s="2">
        <v>92.4</v>
      </c>
      <c r="CE128" s="2" t="s">
        <v>1584</v>
      </c>
      <c r="CF128" s="2" t="s">
        <v>1643</v>
      </c>
      <c r="CG128" s="9" t="str">
        <f>HYPERLINK(".\links\KOG\AGAP001780-PA-KOG.txt","HECT superfamily")</f>
        <v>HECT superfamily</v>
      </c>
      <c r="CH128" s="13">
        <v>0</v>
      </c>
      <c r="CI128" s="2">
        <v>57.4</v>
      </c>
      <c r="CJ128" s="2" t="s">
        <v>1644</v>
      </c>
      <c r="CK128" s="2" t="s">
        <v>214</v>
      </c>
      <c r="CL128" s="9" t="str">
        <f>HYPERLINK(".\links\PFAM\AGAP001780-PA-PFAM.txt","HECT, HECT-domain (ubiquitin-transferase)")</f>
        <v>HECT, HECT-domain (ubiquitin-transferase)</v>
      </c>
      <c r="CM128" s="13">
        <v>9.0000000000000004E-72</v>
      </c>
      <c r="CN128" s="2">
        <v>91.7</v>
      </c>
      <c r="CO128" s="2" t="s">
        <v>1581</v>
      </c>
      <c r="CP128" s="9" t="str">
        <f>HYPERLINK(".\links\SMART\AGAP001780-PA-SMART.txt","HECTc, Domain Homologous to E6-AP Carboxyl Terminus with")</f>
        <v>HECTc, Domain Homologous to E6-AP Carboxyl Terminus with</v>
      </c>
      <c r="CQ128" s="13">
        <v>6.0000000000000001E-99</v>
      </c>
      <c r="CR128" s="2">
        <v>92.4</v>
      </c>
      <c r="CS128" s="2" t="s">
        <v>1584</v>
      </c>
      <c r="CT128" s="2" t="s">
        <v>1641</v>
      </c>
      <c r="CU128" s="2" t="s">
        <v>1641</v>
      </c>
      <c r="CV128" s="2" t="s">
        <v>1641</v>
      </c>
      <c r="CW128" s="2" t="str">
        <f>HYPERLINK(".\links\pep\AGAP001780-PA-pep.txt","AGAP001780-PA")</f>
        <v>AGAP001780-PA</v>
      </c>
      <c r="CX128" s="2" t="s">
        <v>88</v>
      </c>
      <c r="CY128" s="2">
        <v>3518</v>
      </c>
      <c r="CZ128" s="2" t="s">
        <v>106</v>
      </c>
      <c r="DA128" s="2" t="s">
        <v>1645</v>
      </c>
      <c r="DB128" s="2">
        <v>0</v>
      </c>
      <c r="DC128" s="2">
        <v>12</v>
      </c>
      <c r="DD128" s="2" t="str">
        <f>HYPERLINK("https://www.kegg.jp/kegg-bin/search_pathway_text?map=aga&amp;keyword=AGAP001780&amp;mode=1&amp;viewImage=true","AGAP001780")</f>
        <v>AGAP001780</v>
      </c>
      <c r="DE128" s="2" t="s">
        <v>1638</v>
      </c>
      <c r="DF128" s="2" t="s">
        <v>167</v>
      </c>
      <c r="DG128" s="2" t="s">
        <v>87</v>
      </c>
      <c r="DH128" s="2" t="str">
        <f>HYPERLINK("https://vectorbase.org/vectorbase/app/record/gene/AGAP001780","AGAP001780-RA")</f>
        <v>AGAP001780-RA</v>
      </c>
      <c r="DI128" s="2" t="s">
        <v>108</v>
      </c>
      <c r="DJ128" s="2">
        <v>12792</v>
      </c>
      <c r="DK128" s="2" t="str">
        <f>HYPERLINK(".\links\netoglyc\AGAP001780-PA-netoglyc.txt","10")</f>
        <v>10</v>
      </c>
      <c r="DL128" s="2">
        <v>17.3</v>
      </c>
      <c r="DM128" s="2">
        <v>11.4</v>
      </c>
      <c r="DN128" s="2">
        <v>5.5</v>
      </c>
      <c r="DO128" s="2">
        <v>0.1</v>
      </c>
      <c r="DP128" s="2" t="s">
        <v>1646</v>
      </c>
      <c r="DQ128" s="2" t="str">
        <f>HYPERLINK(".\links\Sigp\AGAP001780-PA-SigP.txt","CYT")</f>
        <v>CYT</v>
      </c>
      <c r="DR128" s="2" t="s">
        <v>94</v>
      </c>
      <c r="DS128" s="2">
        <v>369.7</v>
      </c>
      <c r="DT128" s="2">
        <v>5.41</v>
      </c>
      <c r="DU128" s="2" t="s">
        <v>94</v>
      </c>
      <c r="DV128" s="2" t="s">
        <v>94</v>
      </c>
      <c r="DW128" s="2" t="s">
        <v>348</v>
      </c>
      <c r="DX128" s="2">
        <v>3518</v>
      </c>
      <c r="DY128" s="8">
        <v>0</v>
      </c>
      <c r="DZ128" s="2" t="s">
        <v>94</v>
      </c>
      <c r="EA128" s="2" t="s">
        <v>94</v>
      </c>
      <c r="EB128" s="2" t="s">
        <v>94</v>
      </c>
      <c r="EC128" s="2" t="str">
        <f>HYPERLINK(".\links\gpi\AGAP001780-PA-gpi.txt","N")</f>
        <v>N</v>
      </c>
      <c r="ED128" s="2">
        <v>0.21</v>
      </c>
      <c r="EF128" s="2">
        <v>46</v>
      </c>
      <c r="EG128" s="2" t="str">
        <f>HYPERLINK(".\links\pep\AGAP001780-PA-sulf.txt","3")</f>
        <v>3</v>
      </c>
      <c r="EH128" s="2" t="s">
        <v>94</v>
      </c>
      <c r="EI128" s="2">
        <v>17.3109721432632</v>
      </c>
      <c r="EJ128" s="2">
        <v>5.4576463899943102</v>
      </c>
      <c r="EK128" s="2">
        <v>11.3700966458215</v>
      </c>
      <c r="EL128" s="2">
        <v>16.8277430358158</v>
      </c>
      <c r="EM128" s="2">
        <v>6</v>
      </c>
      <c r="EN128" s="2">
        <v>3</v>
      </c>
      <c r="EO128" s="2">
        <v>13</v>
      </c>
      <c r="EP128" s="2" t="s">
        <v>94</v>
      </c>
      <c r="EQ128" s="2" t="s">
        <v>94</v>
      </c>
      <c r="ER128" s="2" t="s">
        <v>94</v>
      </c>
      <c r="ES128" s="2" t="s">
        <v>94</v>
      </c>
      <c r="ET128" s="2" t="str">
        <f>HYPERLINK(".\links\REFSEQ-INVERTEBRATE\AGAP001780-PA-REFSEQ-INVERTEBRATE.txt","AGAP001780-PA")</f>
        <v>AGAP001780-PA</v>
      </c>
      <c r="EU128" s="2" t="str">
        <f>HYPERLINK("http://www.ncbi.nlm.nih.gov/sutils/blink.cgi?pid=XP_321295.5","0.0")</f>
        <v>0.0</v>
      </c>
      <c r="EV128" s="2" t="str">
        <f>HYPERLINK("http://www.ncbi.nlm.nih.gov/protein/XP_321295.5","XP_321295.5")</f>
        <v>XP_321295.5</v>
      </c>
      <c r="EW128" s="2">
        <v>99</v>
      </c>
      <c r="EX128" s="2">
        <v>99</v>
      </c>
      <c r="EY128" s="2">
        <v>100</v>
      </c>
      <c r="EZ128" s="2" t="s">
        <v>98</v>
      </c>
    </row>
    <row r="129" spans="1:156" x14ac:dyDescent="0.25">
      <c r="A129" s="2" t="s">
        <v>1647</v>
      </c>
      <c r="B129" s="2">
        <v>0.69721435729804304</v>
      </c>
      <c r="C129" s="2">
        <v>1.6213711270721336</v>
      </c>
      <c r="D129" s="2">
        <v>4.3213261457085999</v>
      </c>
      <c r="E129" s="2">
        <v>14.3712188767055</v>
      </c>
      <c r="F129" s="2">
        <v>1.50078783822695E-4</v>
      </c>
      <c r="G129" s="2">
        <v>9.8562156848002094E-3</v>
      </c>
      <c r="H129" s="2" t="s">
        <v>167</v>
      </c>
      <c r="I129" s="2" t="s">
        <v>87</v>
      </c>
      <c r="J129" s="2" t="str">
        <f>HYPERLINK("https://vectorbase.org/vectorbase/app/record/gene/AGAP007336","AGAP007336-RA")</f>
        <v>AGAP007336-RA</v>
      </c>
      <c r="K129" s="2" t="str">
        <f>HYPERLINK(".\links\pep\AGAP007336-PA-pep.txt","AGAP007336-PA")</f>
        <v>AGAP007336-PA</v>
      </c>
      <c r="L129" s="8" t="s">
        <v>88</v>
      </c>
      <c r="M129" s="2">
        <v>1428</v>
      </c>
      <c r="N129" s="2">
        <v>0</v>
      </c>
      <c r="O129" s="2">
        <v>1</v>
      </c>
      <c r="P129" s="2" t="s">
        <v>94</v>
      </c>
      <c r="Q129" s="9" t="s">
        <v>1648</v>
      </c>
      <c r="R129" s="2" t="s">
        <v>253</v>
      </c>
      <c r="S129" s="2" t="str">
        <f>HYPERLINK(".\links\REFSEQ-INVERTEBRATE\AGAP007336-PA-REFSEQ-INVERTEBRATE.txt","REFSEQ-INVERTEBRATE")</f>
        <v>REFSEQ-INVERTEBRATE</v>
      </c>
      <c r="T129" s="2">
        <v>0</v>
      </c>
      <c r="U129" s="2">
        <v>100</v>
      </c>
      <c r="V129" s="2" t="s">
        <v>1649</v>
      </c>
      <c r="W129" s="10" t="s">
        <v>1650</v>
      </c>
      <c r="X129" s="2" t="s">
        <v>238</v>
      </c>
      <c r="Y129" s="2" t="str">
        <f>HYPERLINK(".\links\REFSEQ-INVERTEBRATE\AGAP007336-PA-REFSEQ-INVERTEBRATE.txt","REFSEQ-INVERTEBRATE")</f>
        <v>REFSEQ-INVERTEBRATE</v>
      </c>
      <c r="Z129" s="2">
        <v>0</v>
      </c>
      <c r="AA129" s="2">
        <v>101.1</v>
      </c>
      <c r="AB129" s="11" t="str">
        <f>HYPERLINK(".\links\pep\AGAP007336-PA-sulf.txt","1")</f>
        <v>1</v>
      </c>
      <c r="AC129" s="11" t="str">
        <f>HYPERLINK(".\links\Sigp\AGAP007336-PA-SigP.txt","CYT")</f>
        <v>CYT</v>
      </c>
      <c r="AD129" s="2" t="s">
        <v>94</v>
      </c>
      <c r="AE129" s="2">
        <v>153.22</v>
      </c>
      <c r="AF129" s="2">
        <v>5.0999999999999996</v>
      </c>
      <c r="AG129" s="2" t="s">
        <v>94</v>
      </c>
      <c r="AH129" s="2" t="s">
        <v>94</v>
      </c>
      <c r="AI129" s="2" t="s">
        <v>463</v>
      </c>
      <c r="AJ129" s="11">
        <v>0</v>
      </c>
      <c r="AK129" s="2" t="s">
        <v>94</v>
      </c>
      <c r="AL129" s="2" t="s">
        <v>94</v>
      </c>
      <c r="AM129" s="2" t="s">
        <v>94</v>
      </c>
      <c r="AN129" s="11" t="str">
        <f>HYPERLINK(".\links\gpi\AGAP007336-PA-gpi.txt","N")</f>
        <v>N</v>
      </c>
      <c r="AO129" s="12" t="str">
        <f>HYPERLINK(".\links\netoglyc\AGAP007336-PA-netoglyc.txt","10")</f>
        <v>10</v>
      </c>
      <c r="AP129" s="11">
        <v>19.5</v>
      </c>
      <c r="AQ129" s="2">
        <v>6.9</v>
      </c>
      <c r="AR129" s="2">
        <v>3.8</v>
      </c>
      <c r="AS129" s="2" t="s">
        <v>97</v>
      </c>
      <c r="AT129" s="9" t="str">
        <f>HYPERLINK(".\links\NR-LIGHT\AGAP007336-PA-NR-LIGHT.txt","AGAP007336-PA")</f>
        <v>AGAP007336-PA</v>
      </c>
      <c r="AU129" s="2" t="str">
        <f>HYPERLINK("http://www.ncbi.nlm.nih.gov/sutils/blink.cgi?pid=XP_308490.4","0.0")</f>
        <v>0.0</v>
      </c>
      <c r="AV129" s="2" t="str">
        <f>HYPERLINK("http://www.ncbi.nlm.nih.gov/protein/XP_308490.4","XP_308490.4")</f>
        <v>XP_308490.4</v>
      </c>
      <c r="AW129" s="2">
        <v>100</v>
      </c>
      <c r="AX129" s="2">
        <v>100</v>
      </c>
      <c r="AY129" s="2">
        <v>100</v>
      </c>
      <c r="AZ129" s="2" t="s">
        <v>98</v>
      </c>
      <c r="BA129" s="9" t="str">
        <f>HYPERLINK(".\links\REFSEQ-INVERTEBRATE\AGAP007336-PA-REFSEQ-INVERTEBRATE.txt","AGAP007336-PA")</f>
        <v>AGAP007336-PA</v>
      </c>
      <c r="BB129" s="2" t="str">
        <f>HYPERLINK("http://www.ncbi.nlm.nih.gov/sutils/blink.cgi?pid=XP_308490.4","0.0")</f>
        <v>0.0</v>
      </c>
      <c r="BC129" s="2" t="str">
        <f>HYPERLINK("http://www.ncbi.nlm.nih.gov/protein/XP_308490.4","XP_308490.4")</f>
        <v>XP_308490.4</v>
      </c>
      <c r="BD129" s="2">
        <v>100</v>
      </c>
      <c r="BE129" s="2">
        <v>100</v>
      </c>
      <c r="BF129" s="2">
        <v>100</v>
      </c>
      <c r="BG129" s="2" t="s">
        <v>98</v>
      </c>
      <c r="BH129" s="9" t="str">
        <f>HYPERLINK(".\links\REFSEQ-PROTOZOA\AGAP007336-PA-REFSEQ-PROTOZOA.txt","viral A-type inclusion protein")</f>
        <v>viral A-type inclusion protein</v>
      </c>
      <c r="BI129" s="2" t="str">
        <f>HYPERLINK("http://www.ncbi.nlm.nih.gov/sutils/blink.cgi?pid=XP_001579764.1","2E-015")</f>
        <v>2E-015</v>
      </c>
      <c r="BJ129" s="2" t="str">
        <f>HYPERLINK("http://www.ncbi.nlm.nih.gov/protein/XP_001579764.1","XP_001579764.1")</f>
        <v>XP_001579764.1</v>
      </c>
      <c r="BK129" s="2">
        <v>19</v>
      </c>
      <c r="BL129" s="2">
        <v>38</v>
      </c>
      <c r="BM129" s="2">
        <v>26</v>
      </c>
      <c r="BN129" s="2" t="s">
        <v>496</v>
      </c>
      <c r="BO129" s="9" t="str">
        <f>HYPERLINK(".\links\SWISSP\AGAP007336-PA-SWISSP.txt","Serine-rich adhesin for platelets")</f>
        <v>Serine-rich adhesin for platelets</v>
      </c>
      <c r="BP129" s="2" t="str">
        <f>HYPERLINK("http://www.uniprot.org/uniprot/Q4L9P0","4E-019")</f>
        <v>4E-019</v>
      </c>
      <c r="BQ129" s="2" t="str">
        <f>HYPERLINK("http://www.uniprot.org/uniprot/Q4L9P0#expression","Q4L9P0")</f>
        <v>Q4L9P0</v>
      </c>
      <c r="BR129" s="2">
        <v>18</v>
      </c>
      <c r="BS129" s="2">
        <v>34</v>
      </c>
      <c r="BT129" s="2">
        <v>31</v>
      </c>
      <c r="BU129" s="2" t="s">
        <v>1051</v>
      </c>
      <c r="BV129" s="9" t="str">
        <f>HYPERLINK(".\links\FLYBASE\AGAP007336-PA-FLYBASE.txt","FBpp0305566")</f>
        <v>FBpp0305566</v>
      </c>
      <c r="BW129" s="2" t="str">
        <f>HYPERLINK("http://flybase.org/reports/FBgn0259173#alliance_summary_container","0.0")</f>
        <v>0.0</v>
      </c>
      <c r="BX129" s="2">
        <v>1101</v>
      </c>
      <c r="BY129" s="2">
        <v>40</v>
      </c>
      <c r="BZ129" s="2">
        <v>54</v>
      </c>
      <c r="CA129" s="2">
        <v>96</v>
      </c>
      <c r="CB129" s="9" t="str">
        <f>HYPERLINK(".\links\CDD\AGAP007336-PA-CDD.txt","Smc, Chromosome segregation ATPases")</f>
        <v>Smc, Chromosome segregation ATPases</v>
      </c>
      <c r="CC129" s="13">
        <v>5.0000000000000002E-11</v>
      </c>
      <c r="CD129" s="2">
        <v>25.1</v>
      </c>
      <c r="CE129" s="2" t="s">
        <v>1651</v>
      </c>
      <c r="CF129" s="2" t="s">
        <v>1652</v>
      </c>
      <c r="CG129" s="9" t="str">
        <f>HYPERLINK(".\links\KOG\AGAP007336-PA-KOG.txt","Myosin class II heavy chain")</f>
        <v>Myosin class II heavy chain</v>
      </c>
      <c r="CH129" s="13">
        <v>5.0000000000000003E-10</v>
      </c>
      <c r="CI129" s="2">
        <v>13.4</v>
      </c>
      <c r="CJ129" s="2" t="s">
        <v>986</v>
      </c>
      <c r="CK129" s="2" t="s">
        <v>246</v>
      </c>
      <c r="CL129" s="9" t="str">
        <f>HYPERLINK(".\links\PFAM\AGAP007336-PA-PFAM.txt","Macoilin, Transmembrane protein")</f>
        <v>Macoilin, Transmembrane protein</v>
      </c>
      <c r="CM129" s="13">
        <v>2.9999999999999999E-7</v>
      </c>
      <c r="CN129" s="2">
        <v>44.1</v>
      </c>
      <c r="CO129" s="2" t="s">
        <v>1653</v>
      </c>
      <c r="CP129" s="9" t="str">
        <f>HYPERLINK(".\links\SMART\AGAP007336-PA-SMART.txt","Spc7, Spc7 kinetochore protein")</f>
        <v>Spc7, Spc7 kinetochore protein</v>
      </c>
      <c r="CQ129" s="13">
        <v>4.0000000000000001E-3</v>
      </c>
      <c r="CR129" s="2">
        <v>56.1</v>
      </c>
      <c r="CS129" s="2" t="s">
        <v>1012</v>
      </c>
      <c r="CT129" s="2" t="s">
        <v>1649</v>
      </c>
      <c r="CU129" s="2" t="s">
        <v>1649</v>
      </c>
      <c r="CV129" s="2" t="s">
        <v>1649</v>
      </c>
      <c r="CW129" s="2" t="str">
        <f>HYPERLINK(".\links\pep\AGAP007336-PA-pep.txt","AGAP007336-PA")</f>
        <v>AGAP007336-PA</v>
      </c>
      <c r="CX129" s="2" t="s">
        <v>88</v>
      </c>
      <c r="CY129" s="2">
        <v>1428</v>
      </c>
      <c r="CZ129" s="2" t="s">
        <v>106</v>
      </c>
      <c r="DA129" s="2" t="s">
        <v>1654</v>
      </c>
      <c r="DB129" s="2">
        <v>0</v>
      </c>
      <c r="DC129" s="2">
        <v>1</v>
      </c>
      <c r="DD129" s="2" t="str">
        <f>HYPERLINK("https://www.kegg.jp/kegg-bin/search_pathway_text?map=aga&amp;keyword=AGAP007336&amp;mode=1&amp;viewImage=true","AGAP007336")</f>
        <v>AGAP007336</v>
      </c>
      <c r="DE129" s="2" t="s">
        <v>1647</v>
      </c>
      <c r="DF129" s="2" t="s">
        <v>167</v>
      </c>
      <c r="DG129" s="2" t="s">
        <v>87</v>
      </c>
      <c r="DH129" s="2" t="str">
        <f>HYPERLINK("https://vectorbase.org/vectorbase/app/record/gene/AGAP007336","AGAP007336-RA")</f>
        <v>AGAP007336-RA</v>
      </c>
      <c r="DI129" s="2" t="s">
        <v>125</v>
      </c>
      <c r="DJ129" s="2">
        <v>7884</v>
      </c>
      <c r="DK129" s="2" t="str">
        <f>HYPERLINK(".\links\netoglyc\AGAP007336-PA-netoglyc.txt","10")</f>
        <v>10</v>
      </c>
      <c r="DL129" s="2">
        <v>19.5</v>
      </c>
      <c r="DM129" s="2">
        <v>6.9</v>
      </c>
      <c r="DN129" s="2">
        <v>3.8</v>
      </c>
      <c r="DO129" s="2" t="s">
        <v>97</v>
      </c>
      <c r="DP129" s="2" t="s">
        <v>1655</v>
      </c>
      <c r="DQ129" s="2" t="str">
        <f>HYPERLINK(".\links\Sigp\AGAP007336-PA-SigP.txt","CYT")</f>
        <v>CYT</v>
      </c>
      <c r="DR129" s="2" t="s">
        <v>94</v>
      </c>
      <c r="DS129" s="2">
        <v>153.22</v>
      </c>
      <c r="DT129" s="2">
        <v>5.0999999999999996</v>
      </c>
      <c r="DU129" s="2" t="s">
        <v>94</v>
      </c>
      <c r="DV129" s="2" t="s">
        <v>94</v>
      </c>
      <c r="DW129" s="2" t="s">
        <v>463</v>
      </c>
      <c r="DX129" s="2">
        <v>1428</v>
      </c>
      <c r="DY129" s="8">
        <v>0</v>
      </c>
      <c r="DZ129" s="2" t="s">
        <v>94</v>
      </c>
      <c r="EA129" s="2" t="s">
        <v>94</v>
      </c>
      <c r="EB129" s="2" t="s">
        <v>94</v>
      </c>
      <c r="EC129" s="2" t="str">
        <f>HYPERLINK(".\links\gpi\AGAP007336-PA-gpi.txt","Y-NoSP")</f>
        <v>Y-NoSP</v>
      </c>
      <c r="ED129" s="2">
        <v>0.22</v>
      </c>
      <c r="EF129" s="2">
        <v>26</v>
      </c>
      <c r="EG129" s="2" t="str">
        <f>HYPERLINK(".\links\pep\AGAP007336-PA-sulf.txt","1")</f>
        <v>1</v>
      </c>
      <c r="EH129" s="2" t="s">
        <v>94</v>
      </c>
      <c r="EI129" s="2">
        <v>19.467787114845901</v>
      </c>
      <c r="EJ129" s="2">
        <v>3.7815126050420198</v>
      </c>
      <c r="EK129" s="2">
        <v>6.8627450980392197</v>
      </c>
      <c r="EL129" s="2">
        <v>10.6442577030812</v>
      </c>
      <c r="EM129" s="2" t="s">
        <v>94</v>
      </c>
      <c r="EN129" s="2">
        <v>4</v>
      </c>
      <c r="EO129" s="2">
        <v>4</v>
      </c>
      <c r="EP129" s="2" t="s">
        <v>94</v>
      </c>
      <c r="EQ129" s="2" t="s">
        <v>94</v>
      </c>
      <c r="ER129" s="2" t="s">
        <v>94</v>
      </c>
      <c r="ES129" s="2" t="s">
        <v>94</v>
      </c>
      <c r="ET129" s="2" t="str">
        <f>HYPERLINK(".\links\REFSEQ-INVERTEBRATE\AGAP007336-PA-REFSEQ-INVERTEBRATE.txt","AGAP007336-PA")</f>
        <v>AGAP007336-PA</v>
      </c>
      <c r="EU129" s="2" t="str">
        <f>HYPERLINK("http://www.ncbi.nlm.nih.gov/sutils/blink.cgi?pid=XP_308490.4","0.0")</f>
        <v>0.0</v>
      </c>
      <c r="EV129" s="2" t="str">
        <f>HYPERLINK("http://www.ncbi.nlm.nih.gov/protein/XP_308490.4","XP_308490.4")</f>
        <v>XP_308490.4</v>
      </c>
      <c r="EW129" s="2">
        <v>100</v>
      </c>
      <c r="EX129" s="2">
        <v>100</v>
      </c>
      <c r="EY129" s="2">
        <v>100</v>
      </c>
      <c r="EZ129" s="2" t="s">
        <v>98</v>
      </c>
    </row>
    <row r="130" spans="1:156" x14ac:dyDescent="0.25">
      <c r="A130" s="2" t="s">
        <v>1656</v>
      </c>
      <c r="B130" s="2">
        <v>0.68561592939038596</v>
      </c>
      <c r="C130" s="2">
        <v>1.6083885037816552</v>
      </c>
      <c r="D130" s="2">
        <v>5.2753194567113102</v>
      </c>
      <c r="E130" s="2">
        <v>18.547051089934801</v>
      </c>
      <c r="F130" s="2">
        <v>1.6576147389869602E-5</v>
      </c>
      <c r="G130" s="2">
        <v>1.7813707484772301E-3</v>
      </c>
      <c r="H130" s="2" t="s">
        <v>1657</v>
      </c>
      <c r="I130" s="2" t="s">
        <v>87</v>
      </c>
      <c r="J130" s="2" t="str">
        <f>HYPERLINK("https://vectorbase.org/vectorbase/app/record/gene/AGAP011030","AGAP011030-RA")</f>
        <v>AGAP011030-RA</v>
      </c>
      <c r="K130" s="2" t="str">
        <f>HYPERLINK(".\links\pep\AGAP011030-PA-pep.txt","AGAP011030-PA")</f>
        <v>AGAP011030-PA</v>
      </c>
      <c r="L130" s="8" t="s">
        <v>88</v>
      </c>
      <c r="M130" s="2">
        <v>2309</v>
      </c>
      <c r="N130" s="2">
        <v>0</v>
      </c>
      <c r="O130" s="2">
        <v>3</v>
      </c>
      <c r="P130" s="2" t="s">
        <v>1658</v>
      </c>
      <c r="Q130" s="9" t="s">
        <v>1659</v>
      </c>
      <c r="R130" s="2" t="s">
        <v>318</v>
      </c>
      <c r="S130" s="2" t="str">
        <f>HYPERLINK(".\links\KOG\AGAP011030-PA-KOG.txt","KOG")</f>
        <v>KOG</v>
      </c>
      <c r="T130" s="2">
        <v>0</v>
      </c>
      <c r="U130" s="2">
        <v>41.4</v>
      </c>
      <c r="V130" s="2" t="s">
        <v>1660</v>
      </c>
      <c r="W130" s="10" t="s">
        <v>1661</v>
      </c>
      <c r="X130" s="2" t="s">
        <v>238</v>
      </c>
      <c r="Y130" s="2" t="str">
        <f>HYPERLINK(".\links\REFSEQVERTEBRATE95\AGAP011030-PA-REFSEQVERTEBRATE95.txt","REFSEQVERTEBRATE95")</f>
        <v>REFSEQVERTEBRATE95</v>
      </c>
      <c r="Z130" s="2">
        <v>0</v>
      </c>
      <c r="AA130" s="2">
        <v>52.1</v>
      </c>
      <c r="AB130" s="11" t="str">
        <f>HYPERLINK(".\links\pep\AGAP011030-PA-sulf.txt","4")</f>
        <v>4</v>
      </c>
      <c r="AC130" s="11" t="str">
        <f>HYPERLINK(".\links\Sigp\AGAP011030-PA-SigP.txt","CYT")</f>
        <v>CYT</v>
      </c>
      <c r="AD130" s="2" t="s">
        <v>94</v>
      </c>
      <c r="AE130" s="2">
        <v>242.714</v>
      </c>
      <c r="AF130" s="2">
        <v>9.01</v>
      </c>
      <c r="AG130" s="2" t="s">
        <v>94</v>
      </c>
      <c r="AH130" s="2" t="s">
        <v>94</v>
      </c>
      <c r="AI130" s="2" t="s">
        <v>579</v>
      </c>
      <c r="AJ130" s="11">
        <v>0</v>
      </c>
      <c r="AK130" s="2" t="s">
        <v>94</v>
      </c>
      <c r="AL130" s="2" t="s">
        <v>94</v>
      </c>
      <c r="AM130" s="2" t="s">
        <v>94</v>
      </c>
      <c r="AN130" s="11" t="str">
        <f>HYPERLINK(".\links\gpi\AGAP011030-PA-gpi.txt","N")</f>
        <v>N</v>
      </c>
      <c r="AO130" s="12" t="str">
        <f>HYPERLINK(".\links\netoglyc\AGAP011030-PA-netoglyc.txt","41")</f>
        <v>41</v>
      </c>
      <c r="AP130" s="11">
        <v>20.8</v>
      </c>
      <c r="AQ130" s="2">
        <v>8.5</v>
      </c>
      <c r="AR130" s="2">
        <v>8.4</v>
      </c>
      <c r="AS130" s="2" t="s">
        <v>97</v>
      </c>
      <c r="AT130" s="9" t="str">
        <f>HYPERLINK(".\links\NR-LIGHT\AGAP011030-PA-NR-LIGHT.txt","hypothetical protein ZHAS_00014763")</f>
        <v>hypothetical protein ZHAS_00014763</v>
      </c>
      <c r="AU130" s="2" t="str">
        <f>HYPERLINK("http://www.ncbi.nlm.nih.gov/sutils/blink.cgi?pid=KFB46761.1","0.0")</f>
        <v>0.0</v>
      </c>
      <c r="AV130" s="2" t="str">
        <f>HYPERLINK("http://www.ncbi.nlm.nih.gov/protein/KFB46761.1","KFB46761.1")</f>
        <v>KFB46761.1</v>
      </c>
      <c r="AW130" s="2">
        <v>72</v>
      </c>
      <c r="AX130" s="2">
        <v>77</v>
      </c>
      <c r="AY130" s="2">
        <v>105</v>
      </c>
      <c r="AZ130" s="2" t="s">
        <v>174</v>
      </c>
      <c r="BA130" s="9" t="str">
        <f>HYPERLINK(".\links\REFSEQ-INVERTEBRATE\AGAP011030-PA-REFSEQ-INVERTEBRATE.txt","microtubule-associated serine/threonine-protein kinase 1")</f>
        <v>microtubule-associated serine/threonine-protein kinase 1</v>
      </c>
      <c r="BB130" s="2" t="str">
        <f>HYPERLINK("http://www.ncbi.nlm.nih.gov/sutils/blink.cgi?pid=XP_001858196.1","0.0")</f>
        <v>0.0</v>
      </c>
      <c r="BC130" s="2" t="str">
        <f>HYPERLINK("http://www.ncbi.nlm.nih.gov/protein/XP_001858196.1","XP_001858196.1")</f>
        <v>XP_001858196.1</v>
      </c>
      <c r="BD130" s="2">
        <v>63</v>
      </c>
      <c r="BE130" s="2">
        <v>70</v>
      </c>
      <c r="BF130" s="2">
        <v>117</v>
      </c>
      <c r="BG130" s="2" t="s">
        <v>1195</v>
      </c>
      <c r="BH130" s="9" t="str">
        <f>HYPERLINK(".\links\REFSEQ-PROTOZOA\AGAP011030-PA-REFSEQ-PROTOZOA.txt","AGC/MAST/MAST protein kinase")</f>
        <v>AGC/MAST/MAST protein kinase</v>
      </c>
      <c r="BI130" s="2" t="str">
        <f>HYPERLINK("http://www.ncbi.nlm.nih.gov/sutils/blink.cgi?pid=XP_004993793.1","2E-096")</f>
        <v>2E-096</v>
      </c>
      <c r="BJ130" s="2" t="str">
        <f>HYPERLINK("http://www.ncbi.nlm.nih.gov/protein/XP_004993793.1","XP_004993793.1")</f>
        <v>XP_004993793.1</v>
      </c>
      <c r="BK130" s="2">
        <v>45</v>
      </c>
      <c r="BL130" s="2">
        <v>58</v>
      </c>
      <c r="BM130" s="2">
        <v>21</v>
      </c>
      <c r="BN130" s="2" t="s">
        <v>117</v>
      </c>
      <c r="BO130" s="9" t="str">
        <f>HYPERLINK(".\links\SWISSP\AGAP011030-PA-SWISSP.txt","Microtubule-associated serine/threonine-protein kinase 4")</f>
        <v>Microtubule-associated serine/threonine-protein kinase 4</v>
      </c>
      <c r="BP130" s="2" t="str">
        <f>HYPERLINK("http://www.uniprot.org/uniprot/O15021","1E-150")</f>
        <v>1E-150</v>
      </c>
      <c r="BQ130" s="2" t="str">
        <f>HYPERLINK("http://www.uniprot.org/uniprot/O15021#expression","O15021")</f>
        <v>O15021</v>
      </c>
      <c r="BR130" s="2">
        <v>66</v>
      </c>
      <c r="BS130" s="2">
        <v>82</v>
      </c>
      <c r="BT130" s="2">
        <v>15</v>
      </c>
      <c r="BU130" s="2" t="s">
        <v>196</v>
      </c>
      <c r="BV130" s="9" t="str">
        <f>HYPERLINK(".\links\FLYBASE\AGAP011030-PA-FLYBASE.txt","FBpp0304401")</f>
        <v>FBpp0304401</v>
      </c>
      <c r="BW130" s="2" t="str">
        <f>HYPERLINK("http://flybase.org/reports/FBgn0267390#alliance_summary_container","0.0")</f>
        <v>0.0</v>
      </c>
      <c r="BX130" s="2">
        <v>2139</v>
      </c>
      <c r="BY130" s="2">
        <v>71</v>
      </c>
      <c r="BZ130" s="2">
        <v>80</v>
      </c>
      <c r="CA130" s="2">
        <v>31</v>
      </c>
      <c r="CB130" s="9" t="str">
        <f>HYPERLINK(".\links\CDD\AGAP011030-PA-CDD.txt","STKc_MAST, Catalytic domain of the Protein Serine/Threonine Kinase, Microtubule-associated serine/threonine kinase")</f>
        <v>STKc_MAST, Catalytic domain of the Protein Serine/Threonine Kinase, Microtubule-associated serine/threonine kinase</v>
      </c>
      <c r="CC130" s="13">
        <v>0</v>
      </c>
      <c r="CD130" s="2">
        <v>100.4</v>
      </c>
      <c r="CE130" s="2" t="s">
        <v>1662</v>
      </c>
      <c r="CF130" s="2" t="s">
        <v>1663</v>
      </c>
      <c r="CG130" s="9" t="str">
        <f>HYPERLINK(".\links\KOG\AGAP011030-PA-KOG.txt","Microtubule-associated serine/threonine kinase and related proteins")</f>
        <v>Microtubule-associated serine/threonine kinase and related proteins</v>
      </c>
      <c r="CH130" s="13">
        <v>1.0000000000000001E-122</v>
      </c>
      <c r="CI130" s="2">
        <v>41.5</v>
      </c>
      <c r="CJ130" s="2" t="s">
        <v>1664</v>
      </c>
      <c r="CK130" s="2" t="s">
        <v>1152</v>
      </c>
      <c r="CL130" s="9" t="str">
        <f>HYPERLINK(".\links\PFAM\AGAP011030-PA-PFAM.txt","DUF1908, Domain of unknown function (DUF1908)")</f>
        <v>DUF1908, Domain of unknown function (DUF1908)</v>
      </c>
      <c r="CM130" s="13">
        <v>9.9999999999999996E-104</v>
      </c>
      <c r="CN130" s="2">
        <v>71.3</v>
      </c>
      <c r="CO130" s="2" t="s">
        <v>1665</v>
      </c>
      <c r="CP130" s="9" t="str">
        <f>HYPERLINK(".\links\SMART\AGAP011030-PA-SMART.txt","S_TKc, Serine/Threonine protein kinases, catalytic domain")</f>
        <v>S_TKc, Serine/Threonine protein kinases, catalytic domain</v>
      </c>
      <c r="CQ130" s="13">
        <v>3.0000000000000002E-91</v>
      </c>
      <c r="CR130" s="2">
        <v>108.3</v>
      </c>
      <c r="CS130" s="2" t="s">
        <v>629</v>
      </c>
      <c r="CT130" s="2" t="s">
        <v>1660</v>
      </c>
      <c r="CU130" s="2" t="s">
        <v>1660</v>
      </c>
      <c r="CV130" s="2" t="s">
        <v>1660</v>
      </c>
      <c r="CW130" s="2" t="str">
        <f>HYPERLINK(".\links\pep\AGAP011030-PA-pep.txt","AGAP011030-PA")</f>
        <v>AGAP011030-PA</v>
      </c>
      <c r="CX130" s="2" t="s">
        <v>88</v>
      </c>
      <c r="CY130" s="2">
        <v>2309</v>
      </c>
      <c r="CZ130" s="2" t="s">
        <v>106</v>
      </c>
      <c r="DA130" s="2" t="s">
        <v>1666</v>
      </c>
      <c r="DB130" s="2">
        <v>0</v>
      </c>
      <c r="DC130" s="2">
        <v>3</v>
      </c>
      <c r="DD130" s="2" t="str">
        <f>HYPERLINK("https://www.kegg.jp/kegg-bin/search_pathway_text?map=aga&amp;keyword=AGAP011030&amp;mode=1&amp;viewImage=true","AGAP011030")</f>
        <v>AGAP011030</v>
      </c>
      <c r="DE130" s="2" t="s">
        <v>1656</v>
      </c>
      <c r="DF130" s="2" t="s">
        <v>1657</v>
      </c>
      <c r="DG130" s="2" t="s">
        <v>87</v>
      </c>
      <c r="DH130" s="2" t="str">
        <f>HYPERLINK("https://vectorbase.org/vectorbase/app/record/gene/AGAP011030","AGAP011030-RA")</f>
        <v>AGAP011030-RA</v>
      </c>
      <c r="DI130" s="2" t="s">
        <v>125</v>
      </c>
      <c r="DJ130" s="2">
        <v>11937</v>
      </c>
      <c r="DK130" s="2" t="str">
        <f>HYPERLINK(".\links\netoglyc\AGAP011030-PA-netoglyc.txt","41")</f>
        <v>41</v>
      </c>
      <c r="DL130" s="2">
        <v>20.8</v>
      </c>
      <c r="DM130" s="2">
        <v>8.5</v>
      </c>
      <c r="DN130" s="2">
        <v>8.4</v>
      </c>
      <c r="DO130" s="2" t="s">
        <v>97</v>
      </c>
      <c r="DP130" s="2" t="s">
        <v>94</v>
      </c>
      <c r="DQ130" s="2" t="str">
        <f>HYPERLINK(".\links\Sigp\AGAP011030-PA-SigP.txt","CYT")</f>
        <v>CYT</v>
      </c>
      <c r="DR130" s="2" t="s">
        <v>94</v>
      </c>
      <c r="DS130" s="2">
        <v>242.714</v>
      </c>
      <c r="DT130" s="2">
        <v>9.01</v>
      </c>
      <c r="DU130" s="2" t="s">
        <v>94</v>
      </c>
      <c r="DV130" s="2" t="s">
        <v>94</v>
      </c>
      <c r="DW130" s="2" t="s">
        <v>579</v>
      </c>
      <c r="DX130" s="2">
        <v>2309</v>
      </c>
      <c r="DY130" s="8">
        <v>0</v>
      </c>
      <c r="DZ130" s="2" t="s">
        <v>94</v>
      </c>
      <c r="EA130" s="2" t="s">
        <v>94</v>
      </c>
      <c r="EB130" s="2" t="s">
        <v>94</v>
      </c>
      <c r="EC130" s="2" t="str">
        <f>HYPERLINK(".\links\gpi\AGAP011030-PA-gpi.txt","Y-NoSP")</f>
        <v>Y-NoSP</v>
      </c>
      <c r="ED130" s="2">
        <v>0.28000000000000003</v>
      </c>
      <c r="EF130" s="2">
        <v>27</v>
      </c>
      <c r="EG130" s="2" t="str">
        <f>HYPERLINK(".\links\pep\AGAP011030-PA-sulf.txt","4")</f>
        <v>4</v>
      </c>
      <c r="EH130" s="2" t="s">
        <v>94</v>
      </c>
      <c r="EI130" s="2">
        <v>20.831528800346501</v>
      </c>
      <c r="EJ130" s="2">
        <v>8.3585967951494204</v>
      </c>
      <c r="EK130" s="2">
        <v>8.4885231702035497</v>
      </c>
      <c r="EL130" s="2">
        <v>16.847119965352999</v>
      </c>
      <c r="EM130" s="2">
        <v>2</v>
      </c>
      <c r="EN130" s="2">
        <v>2</v>
      </c>
      <c r="EO130" s="2">
        <v>2</v>
      </c>
      <c r="EP130" s="2" t="s">
        <v>94</v>
      </c>
      <c r="EQ130" s="2" t="s">
        <v>94</v>
      </c>
      <c r="ER130" s="2" t="s">
        <v>94</v>
      </c>
      <c r="ES130" s="2" t="s">
        <v>94</v>
      </c>
      <c r="ET130" s="2" t="str">
        <f>HYPERLINK(".\links\REFSEQ-INVERTEBRATE\AGAP011030-PA-REFSEQ-INVERTEBRATE.txt","microtubule-associated serine/threonine-protein kinase 1 isoform X1")</f>
        <v>microtubule-associated serine/threonine-protein kinase 1 isoform X1</v>
      </c>
      <c r="EU130" s="2" t="str">
        <f>HYPERLINK("http://www.ncbi.nlm.nih.gov/sutils/blink.cgi?pid=XP_035893385.1","0.0")</f>
        <v>0.0</v>
      </c>
      <c r="EV130" s="2" t="str">
        <f>HYPERLINK("http://www.ncbi.nlm.nih.gov/protein/XP_035893385.1","XP_035893385.1")</f>
        <v>XP_035893385.1</v>
      </c>
      <c r="EW130" s="2">
        <v>81</v>
      </c>
      <c r="EX130" s="2">
        <v>84</v>
      </c>
      <c r="EY130" s="2">
        <v>79</v>
      </c>
      <c r="EZ130" s="2" t="s">
        <v>184</v>
      </c>
    </row>
    <row r="131" spans="1:156" x14ac:dyDescent="0.25">
      <c r="A131" s="2" t="s">
        <v>1667</v>
      </c>
      <c r="B131" s="2">
        <v>0.68370749481675697</v>
      </c>
      <c r="C131" s="2">
        <v>1.606262292194073</v>
      </c>
      <c r="D131" s="2">
        <v>4.7308943489353501</v>
      </c>
      <c r="E131" s="2">
        <v>10.485904938391499</v>
      </c>
      <c r="F131" s="2">
        <v>1.20288686371436E-3</v>
      </c>
      <c r="G131" s="2">
        <v>4.7622059092064101E-2</v>
      </c>
      <c r="H131" s="2" t="s">
        <v>167</v>
      </c>
      <c r="I131" s="2" t="s">
        <v>87</v>
      </c>
      <c r="J131" s="2" t="str">
        <f>HYPERLINK("https://vectorbase.org/vectorbase/app/record/gene/AGAP029492","AGAP029492-RA")</f>
        <v>AGAP029492-RA</v>
      </c>
      <c r="K131" s="2" t="str">
        <f>HYPERLINK(".\links\pep\AGAP029492-PA-pep.txt","AGAP029492-PA")</f>
        <v>AGAP029492-PA</v>
      </c>
      <c r="L131" s="8" t="s">
        <v>88</v>
      </c>
      <c r="M131" s="2">
        <v>4118</v>
      </c>
      <c r="N131" s="2">
        <v>0</v>
      </c>
      <c r="O131" s="2">
        <v>13</v>
      </c>
      <c r="P131" s="2" t="s">
        <v>94</v>
      </c>
      <c r="Q131" s="9" t="s">
        <v>1668</v>
      </c>
      <c r="R131" s="2" t="s">
        <v>318</v>
      </c>
      <c r="S131" s="2" t="str">
        <f>HYPERLINK(".\links\KOG\AGAP029492-PA-KOG.txt","KOG")</f>
        <v>KOG</v>
      </c>
      <c r="T131" s="2">
        <v>0</v>
      </c>
      <c r="U131" s="2">
        <v>58</v>
      </c>
      <c r="V131" s="2" t="s">
        <v>1669</v>
      </c>
      <c r="W131" s="10" t="s">
        <v>1670</v>
      </c>
      <c r="X131" s="2" t="s">
        <v>318</v>
      </c>
      <c r="Y131" s="2" t="str">
        <f>HYPERLINK(".\links\ELEGANS\AGAP029492-PA-ELEGANS.txt","ELEGANS")</f>
        <v>ELEGANS</v>
      </c>
      <c r="Z131" s="13">
        <v>0</v>
      </c>
      <c r="AA131" s="2">
        <v>55.1</v>
      </c>
      <c r="AB131" s="11" t="str">
        <f>HYPERLINK(".\links\pep\AGAP029492-PA-sulf.txt","9")</f>
        <v>9</v>
      </c>
      <c r="AC131" s="11" t="str">
        <f>HYPERLINK(".\links\Sigp\AGAP029492-PA-SigP.txt","SIG")</f>
        <v>SIG</v>
      </c>
      <c r="AD131" s="2" t="s">
        <v>1671</v>
      </c>
      <c r="AE131" s="2">
        <v>455.346</v>
      </c>
      <c r="AF131" s="2">
        <v>4.9800000000000004</v>
      </c>
      <c r="AG131" s="2">
        <v>452.70600000000002</v>
      </c>
      <c r="AH131" s="2">
        <v>4.97</v>
      </c>
      <c r="AI131" s="2" t="s">
        <v>1672</v>
      </c>
      <c r="AJ131" s="11" t="str">
        <f>HYPERLINK(".\links\tmhmm\AGAP029492-PA-tmhmm.txt","1")</f>
        <v>1</v>
      </c>
      <c r="AK131" s="2">
        <v>0.5</v>
      </c>
      <c r="AL131" s="2">
        <v>86.4</v>
      </c>
      <c r="AM131" s="2">
        <v>13</v>
      </c>
      <c r="AN131" s="9" t="str">
        <f>HYPERLINK(".\links\gpi\AGAP029492-PA-gpi.txt","N")</f>
        <v>N</v>
      </c>
      <c r="AO131" s="12" t="str">
        <f>HYPERLINK(".\links\netoglyc\AGAP029492-PA-netoglyc.txt","4")</f>
        <v>4</v>
      </c>
      <c r="AP131" s="11">
        <v>13.5</v>
      </c>
      <c r="AQ131" s="2">
        <v>7</v>
      </c>
      <c r="AR131" s="2">
        <v>5.3</v>
      </c>
      <c r="AS131" s="2" t="s">
        <v>97</v>
      </c>
      <c r="AT131" s="9" t="str">
        <f>HYPERLINK(".\links\NR-LIGHT\AGAP029492-PA-NR-LIGHT.txt","cadherin")</f>
        <v>cadherin</v>
      </c>
      <c r="AU131" s="2" t="str">
        <f>HYPERLINK("http://www.ncbi.nlm.nih.gov/sutils/blink.cgi?pid=ETN64692.1","0.0")</f>
        <v>0.0</v>
      </c>
      <c r="AV131" s="2" t="str">
        <f>HYPERLINK("http://www.ncbi.nlm.nih.gov/protein/ETN64692.1","ETN64692.1")</f>
        <v>ETN64692.1</v>
      </c>
      <c r="AW131" s="2">
        <v>88</v>
      </c>
      <c r="AX131" s="2">
        <v>93</v>
      </c>
      <c r="AY131" s="2">
        <v>68</v>
      </c>
      <c r="AZ131" s="2" t="s">
        <v>291</v>
      </c>
      <c r="BA131" s="9" t="str">
        <f>HYPERLINK(".\links\REFSEQ-INVERTEBRATE\AGAP029492-PA-REFSEQ-INVERTEBRATE.txt","cadherin")</f>
        <v>cadherin</v>
      </c>
      <c r="BB131" s="2" t="str">
        <f>HYPERLINK("http://www.ncbi.nlm.nih.gov/sutils/blink.cgi?pid=XP_001870677.1","0.0")</f>
        <v>0.0</v>
      </c>
      <c r="BC131" s="2" t="str">
        <f>HYPERLINK("http://www.ncbi.nlm.nih.gov/protein/XP_001870677.1","XP_001870677.1")</f>
        <v>XP_001870677.1</v>
      </c>
      <c r="BD131" s="2">
        <v>68</v>
      </c>
      <c r="BE131" s="2">
        <v>78</v>
      </c>
      <c r="BF131" s="2">
        <v>96</v>
      </c>
      <c r="BG131" s="2" t="s">
        <v>1195</v>
      </c>
      <c r="BH131" s="9" t="str">
        <f>HYPERLINK(".\links\REFSEQ-PROTOZOA\AGAP029492-PA-REFSEQ-PROTOZOA.txt","tyrosine phosphatase")</f>
        <v>tyrosine phosphatase</v>
      </c>
      <c r="BI131" s="2" t="str">
        <f>HYPERLINK("http://www.ncbi.nlm.nih.gov/sutils/blink.cgi?pid=XP_004987734.1","0.0")</f>
        <v>0.0</v>
      </c>
      <c r="BJ131" s="2" t="str">
        <f>HYPERLINK("http://www.ncbi.nlm.nih.gov/protein/XP_004987734.1","XP_004987734.1")</f>
        <v>XP_004987734.1</v>
      </c>
      <c r="BK131" s="2">
        <v>27</v>
      </c>
      <c r="BL131" s="2">
        <v>42</v>
      </c>
      <c r="BM131" s="2">
        <v>38</v>
      </c>
      <c r="BN131" s="2" t="s">
        <v>117</v>
      </c>
      <c r="BO131" s="9" t="str">
        <f>HYPERLINK(".\links\SWISSP\AGAP029492-PA-SWISSP.txt","Fat-like cadherin-related tumor suppressor homolog")</f>
        <v>Fat-like cadherin-related tumor suppressor homolog</v>
      </c>
      <c r="BP131" s="2" t="str">
        <f>HYPERLINK("http://www.uniprot.org/uniprot/Q9VW71","0.0")</f>
        <v>0.0</v>
      </c>
      <c r="BQ131" s="2" t="str">
        <f>HYPERLINK("http://www.uniprot.org/uniprot/Q9VW71#expression","Q9VW71")</f>
        <v>Q9VW71</v>
      </c>
      <c r="BR131" s="2">
        <v>38</v>
      </c>
      <c r="BS131" s="2">
        <v>56</v>
      </c>
      <c r="BT131" s="2">
        <v>85</v>
      </c>
      <c r="BU131" s="2" t="s">
        <v>100</v>
      </c>
      <c r="BV131" s="9" t="str">
        <f>HYPERLINK(".\links\FLYBASE\AGAP029492-PA-FLYBASE.txt","FBpp0311915")</f>
        <v>FBpp0311915</v>
      </c>
      <c r="BW131" s="2" t="str">
        <f>HYPERLINK("http://flybase.org/reports/FBgn0261574#alliance_summary_container","0.0")</f>
        <v>0.0</v>
      </c>
      <c r="BX131" s="2">
        <v>4689</v>
      </c>
      <c r="BY131" s="2">
        <v>38</v>
      </c>
      <c r="BZ131" s="2">
        <v>56</v>
      </c>
      <c r="CA131" s="2">
        <v>84</v>
      </c>
      <c r="CB131" s="9" t="str">
        <f>HYPERLINK(".\links\CDD\AGAP029492-PA-CDD.txt","Cadherin_repeat, Cadherin tandem repeat domain")</f>
        <v>Cadherin_repeat, Cadherin tandem repeat domain</v>
      </c>
      <c r="CC131" s="13">
        <v>3.0000000000000001E-27</v>
      </c>
      <c r="CD131" s="2">
        <v>100</v>
      </c>
      <c r="CE131" s="2" t="s">
        <v>1673</v>
      </c>
      <c r="CF131" s="2" t="s">
        <v>1674</v>
      </c>
      <c r="CG131" s="9" t="str">
        <f>HYPERLINK(".\links\KOG\AGAP029492-PA-KOG.txt","contains laminin, cadherin and EGF domains")</f>
        <v>contains laminin, cadherin and EGF domains</v>
      </c>
      <c r="CH131" s="13">
        <v>0</v>
      </c>
      <c r="CI131" s="2">
        <v>67</v>
      </c>
      <c r="CJ131" s="2" t="s">
        <v>1675</v>
      </c>
      <c r="CK131" s="2" t="s">
        <v>326</v>
      </c>
      <c r="CL131" s="9" t="str">
        <f>HYPERLINK(".\links\PFAM\AGAP029492-PA-PFAM.txt","Laminin_G_2, Laminin G domain")</f>
        <v>Laminin_G_2, Laminin G domain</v>
      </c>
      <c r="CM131" s="13">
        <v>9.9999999999999992E-25</v>
      </c>
      <c r="CN131" s="2">
        <v>100</v>
      </c>
      <c r="CO131" s="2" t="s">
        <v>1676</v>
      </c>
      <c r="CP131" s="9" t="str">
        <f>HYPERLINK(".\links\SMART\AGAP029492-PA-SMART.txt","CA, Cadherin repeats")</f>
        <v>CA, Cadherin repeats</v>
      </c>
      <c r="CQ131" s="13">
        <v>5.0000000000000002E-23</v>
      </c>
      <c r="CR131" s="2">
        <v>100</v>
      </c>
      <c r="CS131" s="2" t="s">
        <v>1677</v>
      </c>
      <c r="CT131" s="2" t="s">
        <v>1669</v>
      </c>
      <c r="CU131" s="2" t="s">
        <v>1669</v>
      </c>
      <c r="CV131" s="2" t="s">
        <v>1669</v>
      </c>
      <c r="CW131" s="2" t="str">
        <f>HYPERLINK(".\links\pep\AGAP029492-PA-pep.txt","AGAP029492-PA")</f>
        <v>AGAP029492-PA</v>
      </c>
      <c r="CX131" s="2" t="s">
        <v>88</v>
      </c>
      <c r="CY131" s="2">
        <v>4119</v>
      </c>
      <c r="CZ131" s="2" t="s">
        <v>106</v>
      </c>
      <c r="DA131" s="2" t="s">
        <v>1678</v>
      </c>
      <c r="DB131" s="2">
        <v>0</v>
      </c>
      <c r="DC131" s="2">
        <v>13</v>
      </c>
      <c r="DD131" s="2" t="str">
        <f>HYPERLINK("https://www.kegg.jp/kegg-bin/search_pathway_text?map=aga&amp;keyword=AGAP029492&amp;mode=1&amp;viewImage=true","AGAP029492")</f>
        <v>AGAP029492</v>
      </c>
      <c r="DE131" s="2" t="s">
        <v>1667</v>
      </c>
      <c r="DF131" s="2" t="s">
        <v>167</v>
      </c>
      <c r="DG131" s="2" t="s">
        <v>87</v>
      </c>
      <c r="DH131" s="2" t="str">
        <f>HYPERLINK("https://vectorbase.org/vectorbase/app/record/gene/AGAP029492","AGAP029492-RA")</f>
        <v>AGAP029492-RA</v>
      </c>
      <c r="DI131" s="2" t="s">
        <v>125</v>
      </c>
      <c r="DJ131" s="2">
        <v>15568</v>
      </c>
      <c r="DK131" s="2" t="str">
        <f>HYPERLINK(".\links\netoglyc\AGAP029492-PA-netoglyc.txt","4")</f>
        <v>4</v>
      </c>
      <c r="DL131" s="2">
        <v>13.4</v>
      </c>
      <c r="DM131" s="2">
        <v>7</v>
      </c>
      <c r="DN131" s="2">
        <v>5.4</v>
      </c>
      <c r="DO131" s="2" t="s">
        <v>97</v>
      </c>
      <c r="DP131" s="2" t="s">
        <v>94</v>
      </c>
      <c r="DQ131" s="2" t="str">
        <f>HYPERLINK(".\links\Sigp\AGAP029492-PA-SigP.txt","SIG")</f>
        <v>SIG</v>
      </c>
      <c r="DR131" s="2" t="s">
        <v>1671</v>
      </c>
      <c r="DS131" s="2">
        <v>455.233</v>
      </c>
      <c r="DT131" s="2">
        <v>4.96</v>
      </c>
      <c r="DU131" s="2">
        <v>452.59300000000002</v>
      </c>
      <c r="DV131" s="2">
        <v>4.9400000000000004</v>
      </c>
      <c r="DW131" s="2" t="s">
        <v>1679</v>
      </c>
      <c r="DX131" s="2">
        <v>4119</v>
      </c>
      <c r="DY131" s="8" t="str">
        <f>HYPERLINK(".\links\tmhmm\AGAP029492-PA-tmhmm.txt","1")</f>
        <v>1</v>
      </c>
      <c r="DZ131" s="2">
        <v>0.5</v>
      </c>
      <c r="EA131" s="2">
        <v>86.5</v>
      </c>
      <c r="EB131" s="2">
        <v>13</v>
      </c>
      <c r="EC131" s="2" t="str">
        <f>HYPERLINK(".\links\gpi\AGAP029492-PA-gpi.txt","Y-NoSP")</f>
        <v>Y-NoSP</v>
      </c>
      <c r="ED131" s="2">
        <v>0.15</v>
      </c>
      <c r="EF131" s="2">
        <v>61</v>
      </c>
      <c r="EG131" s="2" t="str">
        <f>HYPERLINK(".\links\pep\AGAP029492-PA-sulf.txt","9")</f>
        <v>9</v>
      </c>
      <c r="EH131" s="2" t="s">
        <v>94</v>
      </c>
      <c r="EI131" s="2">
        <v>13.377033260500101</v>
      </c>
      <c r="EJ131" s="2">
        <v>5.3653799465889804</v>
      </c>
      <c r="EK131" s="2">
        <v>6.9677106093712098</v>
      </c>
      <c r="EL131" s="2">
        <v>12.333090555960201</v>
      </c>
      <c r="EM131" s="2">
        <v>7</v>
      </c>
      <c r="EN131" s="2">
        <v>10</v>
      </c>
      <c r="EO131" s="2">
        <v>12</v>
      </c>
      <c r="EP131" s="2" t="s">
        <v>94</v>
      </c>
      <c r="EQ131" s="2" t="s">
        <v>94</v>
      </c>
      <c r="ER131" s="2" t="s">
        <v>94</v>
      </c>
      <c r="ES131" s="2" t="s">
        <v>94</v>
      </c>
      <c r="ET131" s="2" t="str">
        <f>HYPERLINK(".\links\REFSEQ-INVERTEBRATE\AGAP029492-PA-REFSEQ-INVERTEBRATE.txt","fat-like cadherin-related tumor suppressor homolog")</f>
        <v>fat-like cadherin-related tumor suppressor homolog</v>
      </c>
      <c r="EU131" s="2" t="str">
        <f>HYPERLINK("http://www.ncbi.nlm.nih.gov/sutils/blink.cgi?pid=XP_035894451.1","0.0")</f>
        <v>0.0</v>
      </c>
      <c r="EV131" s="2" t="str">
        <f>HYPERLINK("http://www.ncbi.nlm.nih.gov/protein/XP_035894451.1","XP_035894451.1")</f>
        <v>XP_035894451.1</v>
      </c>
      <c r="EW131" s="2">
        <v>78</v>
      </c>
      <c r="EX131" s="2">
        <v>83</v>
      </c>
      <c r="EY131" s="2">
        <v>68</v>
      </c>
      <c r="EZ131" s="2" t="s">
        <v>184</v>
      </c>
    </row>
    <row r="132" spans="1:156" x14ac:dyDescent="0.25">
      <c r="A132" s="2" t="s">
        <v>1680</v>
      </c>
      <c r="B132" s="2">
        <v>0.68063667968591002</v>
      </c>
      <c r="C132" s="2">
        <v>1.6028469558840344</v>
      </c>
      <c r="D132" s="2">
        <v>4.3074327357560698</v>
      </c>
      <c r="E132" s="2">
        <v>20.039830641040201</v>
      </c>
      <c r="F132" s="2">
        <v>7.58457896864095E-6</v>
      </c>
      <c r="G132" s="2">
        <v>9.9621337925607698E-4</v>
      </c>
      <c r="H132" s="2" t="s">
        <v>167</v>
      </c>
      <c r="I132" s="2" t="s">
        <v>87</v>
      </c>
      <c r="J132" s="2" t="str">
        <f>HYPERLINK("https://vectorbase.org/vectorbase/app/record/gene/AGAP003312","AGAP003312-RA")</f>
        <v>AGAP003312-RA</v>
      </c>
      <c r="K132" s="2" t="str">
        <f>HYPERLINK(".\links\pep\AGAP003312-PA-pep.txt","AGAP003312-PA")</f>
        <v>AGAP003312-PA</v>
      </c>
      <c r="L132" s="8" t="s">
        <v>88</v>
      </c>
      <c r="M132" s="2">
        <v>1040</v>
      </c>
      <c r="N132" s="2">
        <v>0</v>
      </c>
      <c r="O132" s="2">
        <v>4</v>
      </c>
      <c r="P132" s="2" t="s">
        <v>94</v>
      </c>
      <c r="Q132" s="9" t="s">
        <v>1681</v>
      </c>
      <c r="R132" s="2" t="s">
        <v>347</v>
      </c>
      <c r="S132" s="2" t="str">
        <f>HYPERLINK(".\links\KOG\AGAP003312-PA-KOG.txt","KOG")</f>
        <v>KOG</v>
      </c>
      <c r="T132" s="2">
        <v>0</v>
      </c>
      <c r="U132" s="2">
        <v>114.6</v>
      </c>
      <c r="V132" s="2" t="s">
        <v>1682</v>
      </c>
      <c r="W132" s="10" t="s">
        <v>1683</v>
      </c>
      <c r="X132" s="2" t="s">
        <v>347</v>
      </c>
      <c r="Y132" s="2" t="str">
        <f>HYPERLINK(".\links\REFSEQVERTEBRATE95\AGAP003312-PA-REFSEQVERTEBRATE95.txt","REFSEQVERTEBRATE95")</f>
        <v>REFSEQVERTEBRATE95</v>
      </c>
      <c r="Z132" s="13">
        <v>0</v>
      </c>
      <c r="AA132" s="2">
        <v>108.8</v>
      </c>
      <c r="AB132" s="11" t="str">
        <f>HYPERLINK(".\links\pep\AGAP003312-PA-sulf.txt","2")</f>
        <v>2</v>
      </c>
      <c r="AC132" s="11" t="str">
        <f>HYPERLINK(".\links\Sigp\AGAP003312-PA-SigP.txt","CYT")</f>
        <v>CYT</v>
      </c>
      <c r="AD132" s="2" t="s">
        <v>94</v>
      </c>
      <c r="AE132" s="2">
        <v>113.464</v>
      </c>
      <c r="AF132" s="2">
        <v>8.4499999999999993</v>
      </c>
      <c r="AG132" s="2" t="s">
        <v>94</v>
      </c>
      <c r="AH132" s="2" t="s">
        <v>94</v>
      </c>
      <c r="AI132" s="2" t="s">
        <v>1684</v>
      </c>
      <c r="AJ132" s="11">
        <v>0</v>
      </c>
      <c r="AK132" s="2" t="s">
        <v>94</v>
      </c>
      <c r="AL132" s="2" t="s">
        <v>94</v>
      </c>
      <c r="AM132" s="2" t="s">
        <v>94</v>
      </c>
      <c r="AN132" s="11" t="str">
        <f>HYPERLINK(".\links\gpi\AGAP003312-PA-gpi.txt","N")</f>
        <v>N</v>
      </c>
      <c r="AO132" s="12" t="str">
        <f>HYPERLINK(".\links\netoglyc\AGAP003312-PA-netoglyc.txt","7")</f>
        <v>7</v>
      </c>
      <c r="AP132" s="11">
        <v>16.3</v>
      </c>
      <c r="AQ132" s="2">
        <v>9.1</v>
      </c>
      <c r="AR132" s="2">
        <v>6</v>
      </c>
      <c r="AS132" s="2" t="s">
        <v>97</v>
      </c>
      <c r="AT132" s="9" t="str">
        <f>HYPERLINK(".\links\NR-LIGHT\AGAP003312-PA-NR-LIGHT.txt","AGAP003312-PA")</f>
        <v>AGAP003312-PA</v>
      </c>
      <c r="AU132" s="2" t="str">
        <f>HYPERLINK("http://www.ncbi.nlm.nih.gov/sutils/blink.cgi?pid=XP_001231184.3","0.0")</f>
        <v>0.0</v>
      </c>
      <c r="AV132" s="2" t="str">
        <f>HYPERLINK("http://www.ncbi.nlm.nih.gov/protein/XP_001231184.3","XP_001231184.3")</f>
        <v>XP_001231184.3</v>
      </c>
      <c r="AW132" s="2">
        <v>99</v>
      </c>
      <c r="AX132" s="2">
        <v>99</v>
      </c>
      <c r="AY132" s="2">
        <v>100</v>
      </c>
      <c r="AZ132" s="2" t="s">
        <v>98</v>
      </c>
      <c r="BA132" s="9" t="str">
        <f>HYPERLINK(".\links\REFSEQ-INVERTEBRATE\AGAP003312-PA-REFSEQ-INVERTEBRATE.txt","AGAP003312-PA")</f>
        <v>AGAP003312-PA</v>
      </c>
      <c r="BB132" s="2" t="str">
        <f>HYPERLINK("http://www.ncbi.nlm.nih.gov/sutils/blink.cgi?pid=XP_001231184.3","0.0")</f>
        <v>0.0</v>
      </c>
      <c r="BC132" s="2" t="str">
        <f>HYPERLINK("http://www.ncbi.nlm.nih.gov/protein/XP_001231184.3","XP_001231184.3")</f>
        <v>XP_001231184.3</v>
      </c>
      <c r="BD132" s="2">
        <v>99</v>
      </c>
      <c r="BE132" s="2">
        <v>99</v>
      </c>
      <c r="BF132" s="2">
        <v>100</v>
      </c>
      <c r="BG132" s="2" t="s">
        <v>98</v>
      </c>
      <c r="BH132" s="9" t="str">
        <f>HYPERLINK(".\links\REFSEQ-PROTOZOA\AGAP003312-PA-REFSEQ-PROTOZOA.txt","hypothetical protein")</f>
        <v>hypothetical protein</v>
      </c>
      <c r="BI132" s="2" t="str">
        <f>HYPERLINK("http://www.ncbi.nlm.nih.gov/sutils/blink.cgi?pid=XP_001746669.1","3E-012")</f>
        <v>3E-012</v>
      </c>
      <c r="BJ132" s="2" t="str">
        <f>HYPERLINK("http://www.ncbi.nlm.nih.gov/protein/XP_001746669.1","XP_001746669.1")</f>
        <v>XP_001746669.1</v>
      </c>
      <c r="BK132" s="2">
        <v>26</v>
      </c>
      <c r="BL132" s="2">
        <v>39</v>
      </c>
      <c r="BM132" s="2">
        <v>36</v>
      </c>
      <c r="BN132" s="2" t="s">
        <v>704</v>
      </c>
      <c r="BO132" s="9" t="str">
        <f>HYPERLINK(".\links\SWISSP\AGAP003312-PA-SWISSP.txt","Phosphofurin acidic cluster sorting protein 1")</f>
        <v>Phosphofurin acidic cluster sorting protein 1</v>
      </c>
      <c r="BP132" s="2" t="str">
        <f>HYPERLINK("http://www.uniprot.org/uniprot/O88588","1E-113")</f>
        <v>1E-113</v>
      </c>
      <c r="BQ132" s="2" t="str">
        <f>HYPERLINK("http://www.uniprot.org/uniprot/O88588#expression","O88588")</f>
        <v>O88588</v>
      </c>
      <c r="BR132" s="2">
        <v>31</v>
      </c>
      <c r="BS132" s="2">
        <v>47</v>
      </c>
      <c r="BT132" s="2">
        <v>107</v>
      </c>
      <c r="BU132" s="2" t="s">
        <v>177</v>
      </c>
      <c r="BV132" s="9" t="str">
        <f>HYPERLINK(".\links\FLYBASE\AGAP003312-PA-FLYBASE.txt","FBpp0083895")</f>
        <v>FBpp0083895</v>
      </c>
      <c r="BW132" s="2" t="str">
        <f>HYPERLINK("http://flybase.org/reports/FBgn0020647#alliance_summary_container","0.0")</f>
        <v>0.0</v>
      </c>
      <c r="BX132" s="2">
        <v>1175</v>
      </c>
      <c r="BY132" s="2">
        <v>54</v>
      </c>
      <c r="BZ132" s="2">
        <v>64</v>
      </c>
      <c r="CA132" s="2">
        <v>98</v>
      </c>
      <c r="CB132" s="9" t="str">
        <f>HYPERLINK(".\links\CDD\AGAP003312-PA-CDD.txt","Pacs-1, PACS-1 cytosolic sorting protein")</f>
        <v>Pacs-1, PACS-1 cytosolic sorting protein</v>
      </c>
      <c r="CC132" s="13">
        <v>1E-150</v>
      </c>
      <c r="CD132" s="2">
        <v>107.3</v>
      </c>
      <c r="CE132" s="2" t="s">
        <v>1685</v>
      </c>
      <c r="CF132" s="2" t="s">
        <v>1686</v>
      </c>
      <c r="CG132" s="9" t="str">
        <f>HYPERLINK(".\links\KOG\AGAP003312-PA-KOG.txt","PACS-1 cytosolic sorting protein")</f>
        <v>PACS-1 cytosolic sorting protein</v>
      </c>
      <c r="CH132" s="13">
        <v>1E-139</v>
      </c>
      <c r="CI132" s="2">
        <v>114.7</v>
      </c>
      <c r="CJ132" s="2" t="s">
        <v>1687</v>
      </c>
      <c r="CK132" s="2" t="s">
        <v>482</v>
      </c>
      <c r="CL132" s="9" t="str">
        <f>HYPERLINK(".\links\PFAM\AGAP003312-PA-PFAM.txt","Pacs-1, PACS-1 cytosolic sorting protein")</f>
        <v>Pacs-1, PACS-1 cytosolic sorting protein</v>
      </c>
      <c r="CM132" s="13">
        <v>9.9999999999999994E-152</v>
      </c>
      <c r="CN132" s="2">
        <v>107.3</v>
      </c>
      <c r="CO132" s="2" t="s">
        <v>1685</v>
      </c>
      <c r="CP132" s="9" t="str">
        <f>HYPERLINK(".\links\SMART\AGAP003312-PA-SMART.txt","PRP, Major prion protein")</f>
        <v>PRP, Major prion protein</v>
      </c>
      <c r="CQ132" s="13">
        <v>5.5E-2</v>
      </c>
      <c r="CR132" s="2">
        <v>21.6</v>
      </c>
      <c r="CS132" s="2" t="s">
        <v>483</v>
      </c>
      <c r="CT132" s="2" t="s">
        <v>1682</v>
      </c>
      <c r="CU132" s="2" t="s">
        <v>1682</v>
      </c>
      <c r="CV132" s="2" t="s">
        <v>1682</v>
      </c>
      <c r="CW132" s="2" t="str">
        <f>HYPERLINK(".\links\pep\AGAP003312-PA-pep.txt","AGAP003312-PA")</f>
        <v>AGAP003312-PA</v>
      </c>
      <c r="CX132" s="2" t="s">
        <v>88</v>
      </c>
      <c r="CY132" s="2">
        <v>1040</v>
      </c>
      <c r="CZ132" s="2" t="s">
        <v>106</v>
      </c>
      <c r="DA132" s="2" t="s">
        <v>1688</v>
      </c>
      <c r="DB132" s="2">
        <v>0</v>
      </c>
      <c r="DC132" s="2">
        <v>4</v>
      </c>
      <c r="DD132" s="2" t="str">
        <f>HYPERLINK("https://www.kegg.jp/kegg-bin/search_pathway_text?map=aga&amp;keyword=AGAP003312&amp;mode=1&amp;viewImage=true","AGAP003312")</f>
        <v>AGAP003312</v>
      </c>
      <c r="DE132" s="2" t="s">
        <v>1680</v>
      </c>
      <c r="DF132" s="2" t="s">
        <v>167</v>
      </c>
      <c r="DG132" s="2" t="s">
        <v>87</v>
      </c>
      <c r="DH132" s="2" t="str">
        <f>HYPERLINK("https://vectorbase.org/vectorbase/app/record/gene/AGAP003312","AGAP003312-RA")</f>
        <v>AGAP003312-RA</v>
      </c>
      <c r="DI132" s="2" t="s">
        <v>250</v>
      </c>
      <c r="DJ132" s="2">
        <v>5964</v>
      </c>
      <c r="DK132" s="2" t="str">
        <f>HYPERLINK(".\links\netoglyc\AGAP003312-PA-netoglyc.txt","7")</f>
        <v>7</v>
      </c>
      <c r="DL132" s="2">
        <v>16.3</v>
      </c>
      <c r="DM132" s="2">
        <v>9.1</v>
      </c>
      <c r="DN132" s="2">
        <v>6</v>
      </c>
      <c r="DO132" s="2" t="s">
        <v>97</v>
      </c>
      <c r="DP132" s="2" t="s">
        <v>1689</v>
      </c>
      <c r="DQ132" s="2" t="str">
        <f>HYPERLINK(".\links\Sigp\AGAP003312-PA-SigP.txt","CYT")</f>
        <v>CYT</v>
      </c>
      <c r="DR132" s="2" t="s">
        <v>94</v>
      </c>
      <c r="DS132" s="2">
        <v>113.464</v>
      </c>
      <c r="DT132" s="2">
        <v>8.4499999999999993</v>
      </c>
      <c r="DU132" s="2" t="s">
        <v>94</v>
      </c>
      <c r="DV132" s="2" t="s">
        <v>94</v>
      </c>
      <c r="DW132" s="2" t="s">
        <v>1684</v>
      </c>
      <c r="DX132" s="2">
        <v>1040</v>
      </c>
      <c r="DY132" s="8">
        <v>0</v>
      </c>
      <c r="DZ132" s="2" t="s">
        <v>94</v>
      </c>
      <c r="EA132" s="2" t="s">
        <v>94</v>
      </c>
      <c r="EB132" s="2" t="s">
        <v>94</v>
      </c>
      <c r="EC132" s="2" t="str">
        <f>HYPERLINK(".\links\gpi\AGAP003312-PA-gpi.txt","Y-NoSP")</f>
        <v>Y-NoSP</v>
      </c>
      <c r="ED132" s="2">
        <v>0.18</v>
      </c>
      <c r="EF132" s="2">
        <v>12</v>
      </c>
      <c r="EG132" s="2" t="str">
        <f>HYPERLINK(".\links\pep\AGAP003312-PA-sulf.txt","2")</f>
        <v>2</v>
      </c>
      <c r="EH132" s="2" t="s">
        <v>94</v>
      </c>
      <c r="EI132" s="2">
        <v>16.25</v>
      </c>
      <c r="EJ132" s="2">
        <v>5.9615384615384599</v>
      </c>
      <c r="EK132" s="2">
        <v>9.1346153846153904</v>
      </c>
      <c r="EL132" s="2">
        <v>15.096153846153801</v>
      </c>
      <c r="EM132" s="2" t="s">
        <v>94</v>
      </c>
      <c r="EN132" s="2">
        <v>3</v>
      </c>
      <c r="EO132" s="2">
        <v>3</v>
      </c>
      <c r="EP132" s="2" t="s">
        <v>94</v>
      </c>
      <c r="EQ132" s="2" t="s">
        <v>94</v>
      </c>
      <c r="ER132" s="2" t="s">
        <v>94</v>
      </c>
      <c r="ES132" s="2" t="s">
        <v>94</v>
      </c>
      <c r="ET132" s="2" t="str">
        <f>HYPERLINK(".\links\REFSEQ-INVERTEBRATE\AGAP003312-PA-REFSEQ-INVERTEBRATE.txt","AGAP003312-PA")</f>
        <v>AGAP003312-PA</v>
      </c>
      <c r="EU132" s="2" t="str">
        <f>HYPERLINK("http://www.ncbi.nlm.nih.gov/sutils/blink.cgi?pid=XP_001231184.3","0.0")</f>
        <v>0.0</v>
      </c>
      <c r="EV132" s="2" t="str">
        <f>HYPERLINK("http://www.ncbi.nlm.nih.gov/protein/XP_001231184.3","XP_001231184.3")</f>
        <v>XP_001231184.3</v>
      </c>
      <c r="EW132" s="2">
        <v>99</v>
      </c>
      <c r="EX132" s="2">
        <v>99</v>
      </c>
      <c r="EY132" s="2">
        <v>100</v>
      </c>
      <c r="EZ132" s="2" t="s">
        <v>98</v>
      </c>
    </row>
    <row r="133" spans="1:156" x14ac:dyDescent="0.25">
      <c r="A133" s="2" t="s">
        <v>1690</v>
      </c>
      <c r="B133" s="2">
        <v>0.678339041149291</v>
      </c>
      <c r="C133" s="2">
        <v>1.600296290775445</v>
      </c>
      <c r="D133" s="2">
        <v>3.4158301510608902</v>
      </c>
      <c r="E133" s="2">
        <v>12.6494384889461</v>
      </c>
      <c r="F133" s="2">
        <v>3.7567849492143598E-4</v>
      </c>
      <c r="G133" s="2">
        <v>1.9101029712215199E-2</v>
      </c>
      <c r="H133" s="2" t="s">
        <v>1691</v>
      </c>
      <c r="I133" s="2" t="s">
        <v>87</v>
      </c>
      <c r="J133" s="2" t="str">
        <f>HYPERLINK("https://vectorbase.org/vectorbase/app/record/gene/AGAP006165","AGAP006165-RB")</f>
        <v>AGAP006165-RB</v>
      </c>
      <c r="K133" s="2" t="str">
        <f>HYPERLINK(".\links\pep\AGAP006165-PB-pep.txt","AGAP006165-PB")</f>
        <v>AGAP006165-PB</v>
      </c>
      <c r="L133" s="8" t="s">
        <v>88</v>
      </c>
      <c r="M133" s="2">
        <v>3668</v>
      </c>
      <c r="N133" s="2">
        <v>0</v>
      </c>
      <c r="O133" s="2">
        <v>2</v>
      </c>
      <c r="P133" s="2" t="s">
        <v>1692</v>
      </c>
      <c r="Q133" s="9" t="s">
        <v>1693</v>
      </c>
      <c r="R133" s="2" t="s">
        <v>286</v>
      </c>
      <c r="S133" s="2" t="str">
        <f>HYPERLINK(".\links\KOG\AGAP006165-PB-KOG.txt","KOG")</f>
        <v>KOG</v>
      </c>
      <c r="T133" s="2">
        <v>3.0000000000000001E-96</v>
      </c>
      <c r="U133" s="2">
        <v>37.299999999999997</v>
      </c>
      <c r="V133" s="2" t="s">
        <v>1694</v>
      </c>
      <c r="W133" s="10" t="s">
        <v>1695</v>
      </c>
      <c r="X133" s="2" t="s">
        <v>289</v>
      </c>
      <c r="Y133" s="2" t="str">
        <f>HYPERLINK(".\links\COG\AGAP006165-PB-COG.txt","COG")</f>
        <v>COG</v>
      </c>
      <c r="Z133" s="13">
        <v>2E-52</v>
      </c>
      <c r="AA133" s="2">
        <v>39.1</v>
      </c>
      <c r="AB133" s="11" t="str">
        <f>HYPERLINK(".\links\pep\AGAP006165-PB-sulf.txt","3")</f>
        <v>3</v>
      </c>
      <c r="AC133" s="11" t="str">
        <f>HYPERLINK(".\links\Sigp\AGAP006165-PB-SigP.txt","CYT")</f>
        <v>CYT</v>
      </c>
      <c r="AD133" s="2" t="s">
        <v>94</v>
      </c>
      <c r="AE133" s="2">
        <v>391.59300000000002</v>
      </c>
      <c r="AF133" s="2">
        <v>7.74</v>
      </c>
      <c r="AG133" s="2" t="s">
        <v>94</v>
      </c>
      <c r="AH133" s="2" t="s">
        <v>94</v>
      </c>
      <c r="AI133" s="2" t="s">
        <v>1104</v>
      </c>
      <c r="AJ133" s="11">
        <v>0</v>
      </c>
      <c r="AK133" s="2" t="s">
        <v>94</v>
      </c>
      <c r="AL133" s="2" t="s">
        <v>94</v>
      </c>
      <c r="AM133" s="2" t="s">
        <v>94</v>
      </c>
      <c r="AN133" s="11" t="str">
        <f>HYPERLINK(".\links\gpi\AGAP006165-PB-gpi.txt","N")</f>
        <v>N</v>
      </c>
      <c r="AO133" s="12" t="str">
        <f>HYPERLINK(".\links\netoglyc\AGAP006165-PB-netoglyc.txt","11")</f>
        <v>11</v>
      </c>
      <c r="AP133" s="11">
        <v>16.899999999999999</v>
      </c>
      <c r="AQ133" s="2">
        <v>8.6999999999999993</v>
      </c>
      <c r="AR133" s="2">
        <v>5.2</v>
      </c>
      <c r="AS133" s="2" t="s">
        <v>97</v>
      </c>
      <c r="AT133" s="9" t="str">
        <f>HYPERLINK(".\links\NR-LIGHT\AGAP006165-PB-NR-LIGHT.txt","AGAP006165-PA")</f>
        <v>AGAP006165-PA</v>
      </c>
      <c r="AU133" s="2" t="str">
        <f>HYPERLINK("http://www.ncbi.nlm.nih.gov/sutils/blink.cgi?pid=XP_316223.4","0.0")</f>
        <v>0.0</v>
      </c>
      <c r="AV133" s="2" t="str">
        <f>HYPERLINK("http://www.ncbi.nlm.nih.gov/protein/XP_316223.4","XP_316223.4")</f>
        <v>XP_316223.4</v>
      </c>
      <c r="AW133" s="2">
        <v>89</v>
      </c>
      <c r="AX133" s="2">
        <v>90</v>
      </c>
      <c r="AY133" s="2">
        <v>102</v>
      </c>
      <c r="AZ133" s="2" t="s">
        <v>98</v>
      </c>
      <c r="BA133" s="9" t="str">
        <f>HYPERLINK(".\links\REFSEQ-INVERTEBRATE\AGAP006165-PB-REFSEQ-INVERTEBRATE.txt","AGAP006165-PA")</f>
        <v>AGAP006165-PA</v>
      </c>
      <c r="BB133" s="2" t="str">
        <f>HYPERLINK("http://www.ncbi.nlm.nih.gov/sutils/blink.cgi?pid=XP_316223.4","0.0")</f>
        <v>0.0</v>
      </c>
      <c r="BC133" s="2" t="str">
        <f>HYPERLINK("http://www.ncbi.nlm.nih.gov/protein/XP_316223.4","XP_316223.4")</f>
        <v>XP_316223.4</v>
      </c>
      <c r="BD133" s="2">
        <v>89</v>
      </c>
      <c r="BE133" s="2">
        <v>90</v>
      </c>
      <c r="BF133" s="2">
        <v>102</v>
      </c>
      <c r="BG133" s="2" t="s">
        <v>98</v>
      </c>
      <c r="BH133" s="9" t="str">
        <f>HYPERLINK(".\links\REFSEQ-PROTOZOA\AGAP006165-PB-REFSEQ-PROTOZOA.txt","snf family helicase")</f>
        <v>snf family helicase</v>
      </c>
      <c r="BI133" s="2" t="str">
        <f>HYPERLINK("http://www.ncbi.nlm.nih.gov/sutils/blink.cgi?pid=XP_004992050.1","0.0")</f>
        <v>0.0</v>
      </c>
      <c r="BJ133" s="2" t="str">
        <f>HYPERLINK("http://www.ncbi.nlm.nih.gov/protein/XP_004992050.1","XP_004992050.1")</f>
        <v>XP_004992050.1</v>
      </c>
      <c r="BK133" s="2">
        <v>34</v>
      </c>
      <c r="BL133" s="2">
        <v>50</v>
      </c>
      <c r="BM133" s="2">
        <v>43</v>
      </c>
      <c r="BN133" s="2" t="s">
        <v>117</v>
      </c>
      <c r="BO133" s="9" t="str">
        <f>HYPERLINK(".\links\SWISSP\AGAP006165-PB-SWISSP.txt","Helicase domino")</f>
        <v>Helicase domino</v>
      </c>
      <c r="BP133" s="2" t="str">
        <f>HYPERLINK("http://www.uniprot.org/uniprot/Q9NDJ2","0.0")</f>
        <v>0.0</v>
      </c>
      <c r="BQ133" s="2" t="str">
        <f>HYPERLINK("http://www.uniprot.org/uniprot/Q9NDJ2#expression","Q9NDJ2")</f>
        <v>Q9NDJ2</v>
      </c>
      <c r="BR133" s="2">
        <v>50</v>
      </c>
      <c r="BS133" s="2">
        <v>63</v>
      </c>
      <c r="BT133" s="2">
        <v>46</v>
      </c>
      <c r="BU133" s="2" t="s">
        <v>100</v>
      </c>
      <c r="BV133" s="9" t="str">
        <f>HYPERLINK(".\links\FLYBASE\AGAP006165-PB-FLYBASE.txt","FBpp0309691")</f>
        <v>FBpp0309691</v>
      </c>
      <c r="BW133" s="2" t="str">
        <f>HYPERLINK("http://flybase.org/reports/FBgn0020306#alliance_summary_container","0.0")</f>
        <v>0.0</v>
      </c>
      <c r="BX133" s="2">
        <v>3233</v>
      </c>
      <c r="BY133" s="2">
        <v>53</v>
      </c>
      <c r="BZ133" s="2">
        <v>66</v>
      </c>
      <c r="CA133" s="2">
        <v>42</v>
      </c>
      <c r="CB133" s="9" t="str">
        <f>HYPERLINK(".\links\CDD\AGAP006165-PB-CDD.txt","PLN03142, Probable chromatin-remodeling complex ATPase chain")</f>
        <v>PLN03142, Probable chromatin-remodeling complex ATPase chain</v>
      </c>
      <c r="CC133" s="13">
        <v>1E-87</v>
      </c>
      <c r="CD133" s="2">
        <v>45.3</v>
      </c>
      <c r="CE133" s="2" t="s">
        <v>293</v>
      </c>
      <c r="CF133" s="2" t="s">
        <v>1696</v>
      </c>
      <c r="CG133" s="9" t="str">
        <f>HYPERLINK(".\links\KOG\AGAP006165-PB-KOG.txt","SNF2 family DNA-dependent ATPase")</f>
        <v>SNF2 family DNA-dependent ATPase</v>
      </c>
      <c r="CH133" s="13">
        <v>0</v>
      </c>
      <c r="CI133" s="2">
        <v>38.6</v>
      </c>
      <c r="CJ133" s="2" t="s">
        <v>1697</v>
      </c>
      <c r="CK133" s="2" t="s">
        <v>122</v>
      </c>
      <c r="CL133" s="9" t="str">
        <f>HYPERLINK(".\links\PFAM\AGAP006165-PB-PFAM.txt","SNF2_N, SNF2 family N-terminal domain")</f>
        <v>SNF2_N, SNF2 family N-terminal domain</v>
      </c>
      <c r="CM133" s="13">
        <v>3.0000000000000001E-84</v>
      </c>
      <c r="CN133" s="2">
        <v>102.6</v>
      </c>
      <c r="CO133" s="2" t="s">
        <v>297</v>
      </c>
      <c r="CP133" s="9" t="str">
        <f>HYPERLINK(".\links\SMART\AGAP006165-PB-SMART.txt","DEXDc, DEAD-like helicases superfamily")</f>
        <v>DEXDc, DEAD-like helicases superfamily</v>
      </c>
      <c r="CQ133" s="13">
        <v>4.0000000000000002E-27</v>
      </c>
      <c r="CR133" s="2">
        <v>95</v>
      </c>
      <c r="CS133" s="2" t="s">
        <v>298</v>
      </c>
      <c r="CT133" s="2" t="s">
        <v>1694</v>
      </c>
      <c r="CU133" s="2" t="s">
        <v>1694</v>
      </c>
      <c r="CV133" s="2" t="s">
        <v>1694</v>
      </c>
      <c r="CW133" s="2" t="str">
        <f>HYPERLINK(".\links\pep\AGAP006165-PB-pep.txt","AGAP006165-PB")</f>
        <v>AGAP006165-PB</v>
      </c>
      <c r="CX133" s="2" t="s">
        <v>88</v>
      </c>
      <c r="CY133" s="2">
        <v>3668</v>
      </c>
      <c r="CZ133" s="2" t="s">
        <v>106</v>
      </c>
      <c r="DA133" s="2" t="s">
        <v>1698</v>
      </c>
      <c r="DB133" s="2">
        <v>0</v>
      </c>
      <c r="DC133" s="2">
        <v>2</v>
      </c>
      <c r="DD133" s="2" t="str">
        <f>HYPERLINK("https://www.kegg.jp/kegg-bin/search_pathway_text?map=aga&amp;keyword=AGAP006165&amp;mode=1&amp;viewImage=true","AGAP006165")</f>
        <v>AGAP006165</v>
      </c>
      <c r="DE133" s="2" t="s">
        <v>1690</v>
      </c>
      <c r="DF133" s="2" t="s">
        <v>1691</v>
      </c>
      <c r="DG133" s="2" t="s">
        <v>87</v>
      </c>
      <c r="DH133" s="2" t="str">
        <f>HYPERLINK("https://vectorbase.org/vectorbase/app/record/gene/AGAP006165","AGAP006165-RB")</f>
        <v>AGAP006165-RB</v>
      </c>
      <c r="DI133" s="2" t="s">
        <v>143</v>
      </c>
      <c r="DJ133" s="2">
        <v>13657</v>
      </c>
      <c r="DK133" s="2" t="str">
        <f>HYPERLINK(".\links\netoglyc\AGAP006165-PB-netoglyc.txt","11")</f>
        <v>11</v>
      </c>
      <c r="DL133" s="2">
        <v>16.899999999999999</v>
      </c>
      <c r="DM133" s="2">
        <v>8.6999999999999993</v>
      </c>
      <c r="DN133" s="2">
        <v>5.2</v>
      </c>
      <c r="DO133" s="2" t="s">
        <v>97</v>
      </c>
      <c r="DP133" s="2" t="s">
        <v>1699</v>
      </c>
      <c r="DQ133" s="2" t="str">
        <f>HYPERLINK(".\links\Sigp\AGAP006165-PB-SigP.txt","CYT")</f>
        <v>CYT</v>
      </c>
      <c r="DR133" s="2" t="s">
        <v>94</v>
      </c>
      <c r="DS133" s="2">
        <v>391.59300000000002</v>
      </c>
      <c r="DT133" s="2">
        <v>7.74</v>
      </c>
      <c r="DU133" s="2" t="s">
        <v>94</v>
      </c>
      <c r="DV133" s="2" t="s">
        <v>94</v>
      </c>
      <c r="DW133" s="2" t="s">
        <v>1104</v>
      </c>
      <c r="DX133" s="2">
        <v>3668</v>
      </c>
      <c r="DY133" s="8">
        <v>0</v>
      </c>
      <c r="DZ133" s="2" t="s">
        <v>94</v>
      </c>
      <c r="EA133" s="2" t="s">
        <v>94</v>
      </c>
      <c r="EB133" s="2" t="s">
        <v>94</v>
      </c>
      <c r="EC133" s="2" t="str">
        <f>HYPERLINK(".\links\gpi\AGAP006165-PB-gpi.txt","Y-NoSP")</f>
        <v>Y-NoSP</v>
      </c>
      <c r="ED133" s="2">
        <v>0.26</v>
      </c>
      <c r="EF133" s="2">
        <v>22</v>
      </c>
      <c r="EG133" s="2" t="str">
        <f>HYPERLINK(".\links\pep\AGAP006165-PB-sulf.txt","3")</f>
        <v>3</v>
      </c>
      <c r="EH133" s="2" t="s">
        <v>94</v>
      </c>
      <c r="EI133" s="2">
        <v>16.875681570338099</v>
      </c>
      <c r="EJ133" s="2">
        <v>5.1526717557251898</v>
      </c>
      <c r="EK133" s="2">
        <v>8.6695747001090506</v>
      </c>
      <c r="EL133" s="2">
        <v>13.8222464558342</v>
      </c>
      <c r="EM133" s="2">
        <v>2</v>
      </c>
      <c r="EN133" s="2">
        <v>4</v>
      </c>
      <c r="EO133" s="2">
        <v>7</v>
      </c>
      <c r="EP133" s="2" t="s">
        <v>94</v>
      </c>
      <c r="EQ133" s="2" t="s">
        <v>94</v>
      </c>
      <c r="ER133" s="2" t="s">
        <v>94</v>
      </c>
      <c r="ES133" s="2" t="s">
        <v>94</v>
      </c>
      <c r="ET133" s="2" t="str">
        <f>HYPERLINK(".\links\REFSEQ-INVERTEBRATE\AGAP006165-PB-REFSEQ-INVERTEBRATE.txt","helicase domino isoform X1")</f>
        <v>helicase domino isoform X1</v>
      </c>
      <c r="EU133" s="2" t="str">
        <f>HYPERLINK("http://www.ncbi.nlm.nih.gov/sutils/blink.cgi?pid=XP_035910176.1","0.0")</f>
        <v>0.0</v>
      </c>
      <c r="EV133" s="2" t="str">
        <f>HYPERLINK("http://www.ncbi.nlm.nih.gov/protein/XP_035910176.1","XP_035910176.1")</f>
        <v>XP_035910176.1</v>
      </c>
      <c r="EW133" s="2">
        <v>72</v>
      </c>
      <c r="EX133" s="2">
        <v>79</v>
      </c>
      <c r="EY133" s="2">
        <v>67</v>
      </c>
      <c r="EZ133" s="2" t="s">
        <v>184</v>
      </c>
    </row>
    <row r="134" spans="1:156" x14ac:dyDescent="0.25">
      <c r="A134" s="2" t="s">
        <v>1700</v>
      </c>
      <c r="B134" s="2">
        <v>0.676404517519967</v>
      </c>
      <c r="C134" s="2">
        <v>1.5981518761716473</v>
      </c>
      <c r="D134" s="2">
        <v>3.88844149739064</v>
      </c>
      <c r="E134" s="2">
        <v>10.4849354102133</v>
      </c>
      <c r="F134" s="2">
        <v>1.20351825346339E-3</v>
      </c>
      <c r="G134" s="2">
        <v>4.7622059092064101E-2</v>
      </c>
      <c r="H134" s="2" t="s">
        <v>1701</v>
      </c>
      <c r="I134" s="2" t="s">
        <v>87</v>
      </c>
      <c r="J134" s="2" t="str">
        <f>HYPERLINK("https://vectorbase.org/vectorbase/app/record/gene/AGAP011242","AGAP011242-RA")</f>
        <v>AGAP011242-RA</v>
      </c>
      <c r="K134" s="2" t="str">
        <f>HYPERLINK(".\links\pep\AGAP011242-PA-pep.txt","AGAP011242-PA")</f>
        <v>AGAP011242-PA</v>
      </c>
      <c r="L134" s="8" t="s">
        <v>88</v>
      </c>
      <c r="M134" s="2">
        <v>1230</v>
      </c>
      <c r="N134" s="2">
        <v>0</v>
      </c>
      <c r="O134" s="2">
        <v>7</v>
      </c>
      <c r="P134" s="2" t="s">
        <v>1702</v>
      </c>
      <c r="Q134" s="9" t="s">
        <v>1703</v>
      </c>
      <c r="R134" s="2" t="s">
        <v>651</v>
      </c>
      <c r="S134" s="2" t="str">
        <f>HYPERLINK(".\links\REFSEQ-INVERTEBRATE\AGAP011242-PA-REFSEQ-INVERTEBRATE.txt","REFSEQ-INVERTEBRATE")</f>
        <v>REFSEQ-INVERTEBRATE</v>
      </c>
      <c r="T134" s="2">
        <v>0</v>
      </c>
      <c r="U134" s="2">
        <v>111.5</v>
      </c>
      <c r="V134" s="2" t="s">
        <v>1704</v>
      </c>
      <c r="W134" s="10" t="s">
        <v>1705</v>
      </c>
      <c r="X134" s="2" t="s">
        <v>651</v>
      </c>
      <c r="Y134" s="2" t="str">
        <f>HYPERLINK(".\links\COG\AGAP011242-PA-COG.txt","COG")</f>
        <v>COG</v>
      </c>
      <c r="Z134" s="2">
        <v>0</v>
      </c>
      <c r="AA134" s="2">
        <v>43.3</v>
      </c>
      <c r="AB134" s="11" t="str">
        <f>HYPERLINK(".\links\pep\AGAP011242-PA-sulf.txt","1")</f>
        <v>1</v>
      </c>
      <c r="AC134" s="11" t="str">
        <f>HYPERLINK(".\links\Sigp\AGAP011242-PA-SigP.txt","CYT")</f>
        <v>CYT</v>
      </c>
      <c r="AD134" s="2" t="s">
        <v>94</v>
      </c>
      <c r="AE134" s="2">
        <v>133.143</v>
      </c>
      <c r="AF134" s="2">
        <v>8.77</v>
      </c>
      <c r="AG134" s="2" t="s">
        <v>94</v>
      </c>
      <c r="AH134" s="2" t="s">
        <v>94</v>
      </c>
      <c r="AI134" s="2" t="s">
        <v>1706</v>
      </c>
      <c r="AJ134" s="11">
        <v>0</v>
      </c>
      <c r="AK134" s="2" t="s">
        <v>94</v>
      </c>
      <c r="AL134" s="2" t="s">
        <v>94</v>
      </c>
      <c r="AM134" s="2" t="s">
        <v>94</v>
      </c>
      <c r="AN134" s="11" t="str">
        <f>HYPERLINK(".\links\gpi\AGAP011242-PA-gpi.txt","N")</f>
        <v>N</v>
      </c>
      <c r="AO134" s="12" t="str">
        <f>HYPERLINK(".\links\netoglyc\AGAP011242-PA-netoglyc.txt","3")</f>
        <v>3</v>
      </c>
      <c r="AP134" s="11">
        <v>15.5</v>
      </c>
      <c r="AQ134" s="2">
        <v>10.7</v>
      </c>
      <c r="AR134" s="2">
        <v>7.1</v>
      </c>
      <c r="AS134" s="2" t="s">
        <v>97</v>
      </c>
      <c r="AT134" s="9" t="str">
        <f>HYPERLINK(".\links\NR-LIGHT\AGAP011242-PA-NR-LIGHT.txt","hypothetical protein AND_006878")</f>
        <v>hypothetical protein AND_006878</v>
      </c>
      <c r="AU134" s="2" t="str">
        <f>HYPERLINK("http://www.ncbi.nlm.nih.gov/sutils/blink.cgi?pid=ETN61446.1","0.0")</f>
        <v>0.0</v>
      </c>
      <c r="AV134" s="2" t="str">
        <f>HYPERLINK("http://www.ncbi.nlm.nih.gov/protein/ETN61446.1","ETN61446.1")</f>
        <v>ETN61446.1</v>
      </c>
      <c r="AW134" s="2">
        <v>70</v>
      </c>
      <c r="AX134" s="2">
        <v>76</v>
      </c>
      <c r="AY134" s="2">
        <v>106</v>
      </c>
      <c r="AZ134" s="2" t="s">
        <v>291</v>
      </c>
      <c r="BA134" s="9" t="str">
        <f>HYPERLINK(".\links\REFSEQ-INVERTEBRATE\AGAP011242-PA-REFSEQ-INVERTEBRATE.txt","E3 ubiquitin-protein ligase SMURF2")</f>
        <v>E3 ubiquitin-protein ligase SMURF2</v>
      </c>
      <c r="BB134" s="2" t="str">
        <f>HYPERLINK("http://www.ncbi.nlm.nih.gov/sutils/blink.cgi?pid=XP_019548334.1","0.0")</f>
        <v>0.0</v>
      </c>
      <c r="BC134" s="2" t="str">
        <f>HYPERLINK("http://www.ncbi.nlm.nih.gov/protein/XP_019548334.1","XP_019548334.1")</f>
        <v>XP_019548334.1</v>
      </c>
      <c r="BD134" s="2">
        <v>62</v>
      </c>
      <c r="BE134" s="2">
        <v>69</v>
      </c>
      <c r="BF134" s="2">
        <v>112</v>
      </c>
      <c r="BG134" s="2" t="s">
        <v>495</v>
      </c>
      <c r="BH134" s="9" t="str">
        <f>HYPERLINK(".\links\REFSEQ-PROTOZOA\AGAP011242-PA-REFSEQ-PROTOZOA.txt","E3 ubiquitin-protein ligase pub1")</f>
        <v>E3 ubiquitin-protein ligase pub1</v>
      </c>
      <c r="BI134" s="2" t="str">
        <f>HYPERLINK("http://www.ncbi.nlm.nih.gov/sutils/blink.cgi?pid=XP_004342611.2","1E-126")</f>
        <v>1E-126</v>
      </c>
      <c r="BJ134" s="2" t="str">
        <f>HYPERLINK("http://www.ncbi.nlm.nih.gov/protein/XP_004342611.2","XP_004342611.2")</f>
        <v>XP_004342611.2</v>
      </c>
      <c r="BK134" s="2">
        <v>44</v>
      </c>
      <c r="BL134" s="2">
        <v>62</v>
      </c>
      <c r="BM134" s="2">
        <v>59</v>
      </c>
      <c r="BN134" s="2" t="s">
        <v>227</v>
      </c>
      <c r="BO134" s="9" t="str">
        <f>HYPERLINK(".\links\SWISSP\AGAP011242-PA-SWISSP.txt","E3 ubiquitin-protein ligase Smurf1")</f>
        <v>E3 ubiquitin-protein ligase Smurf1</v>
      </c>
      <c r="BP134" s="2" t="str">
        <f>HYPERLINK("http://www.uniprot.org/uniprot/Q9V853","0.0")</f>
        <v>0.0</v>
      </c>
      <c r="BQ134" s="2" t="str">
        <f>HYPERLINK("http://www.uniprot.org/uniprot/Q9V853#expression","Q9V853")</f>
        <v>Q9V853</v>
      </c>
      <c r="BR134" s="2">
        <v>49</v>
      </c>
      <c r="BS134" s="2">
        <v>57</v>
      </c>
      <c r="BT134" s="2">
        <v>119</v>
      </c>
      <c r="BU134" s="2" t="s">
        <v>100</v>
      </c>
      <c r="BV134" s="9" t="str">
        <f>HYPERLINK(".\links\FLYBASE\AGAP011242-PA-FLYBASE.txt","FBpp0305371")</f>
        <v>FBpp0305371</v>
      </c>
      <c r="BW134" s="2" t="str">
        <f>HYPERLINK("http://flybase.org/reports/FBgn0029006#alliance_summary_container","0.0")</f>
        <v>0.0</v>
      </c>
      <c r="BX134" s="2">
        <v>1061</v>
      </c>
      <c r="BY134" s="2">
        <v>86</v>
      </c>
      <c r="BZ134" s="2">
        <v>92</v>
      </c>
      <c r="CA134" s="2">
        <v>38</v>
      </c>
      <c r="CB134" s="9" t="str">
        <f>HYPERLINK(".\links\CDD\AGAP011242-PA-CDD.txt","HECTc, HECT domain")</f>
        <v>HECTc, HECT domain</v>
      </c>
      <c r="CC134" s="13">
        <v>9.9999999999999998E-138</v>
      </c>
      <c r="CD134" s="2">
        <v>102.3</v>
      </c>
      <c r="CE134" s="2" t="s">
        <v>1707</v>
      </c>
      <c r="CF134" s="2" t="s">
        <v>1708</v>
      </c>
      <c r="CG134" s="9" t="str">
        <f>HYPERLINK(".\links\KOG\AGAP011242-PA-KOG.txt","Ubiquitin protein ligase RSP5/NEDD4")</f>
        <v>Ubiquitin protein ligase RSP5/NEDD4</v>
      </c>
      <c r="CH134" s="13">
        <v>1.0000000000000001E-115</v>
      </c>
      <c r="CI134" s="2">
        <v>101.4</v>
      </c>
      <c r="CJ134" s="2" t="s">
        <v>1709</v>
      </c>
      <c r="CK134" s="2" t="s">
        <v>214</v>
      </c>
      <c r="CL134" s="9" t="str">
        <f>HYPERLINK(".\links\PFAM\AGAP011242-PA-PFAM.txt","HECT, HECT-domain (ubiquitin-transferase)")</f>
        <v>HECT, HECT-domain (ubiquitin-transferase)</v>
      </c>
      <c r="CM134" s="13">
        <v>9.9999999999999995E-113</v>
      </c>
      <c r="CN134" s="2">
        <v>103.3</v>
      </c>
      <c r="CO134" s="2" t="s">
        <v>1581</v>
      </c>
      <c r="CP134" s="9" t="str">
        <f>HYPERLINK(".\links\SMART\AGAP011242-PA-SMART.txt","HECTc, Domain Homologous to E6-AP Carboxyl Terminus with")</f>
        <v>HECTc, Domain Homologous to E6-AP Carboxyl Terminus with</v>
      </c>
      <c r="CQ134" s="13">
        <v>9.9999999999999995E-127</v>
      </c>
      <c r="CR134" s="2">
        <v>103</v>
      </c>
      <c r="CS134" s="2" t="s">
        <v>1584</v>
      </c>
      <c r="CT134" s="2" t="s">
        <v>1704</v>
      </c>
      <c r="CU134" s="2" t="s">
        <v>1704</v>
      </c>
      <c r="CV134" s="2" t="s">
        <v>1704</v>
      </c>
      <c r="CW134" s="2" t="str">
        <f>HYPERLINK(".\links\pep\AGAP011242-PA-pep.txt","AGAP011242-PA")</f>
        <v>AGAP011242-PA</v>
      </c>
      <c r="CX134" s="2" t="s">
        <v>88</v>
      </c>
      <c r="CY134" s="2">
        <v>1230</v>
      </c>
      <c r="CZ134" s="2" t="s">
        <v>106</v>
      </c>
      <c r="DA134" s="2" t="s">
        <v>1710</v>
      </c>
      <c r="DB134" s="2">
        <v>0</v>
      </c>
      <c r="DC134" s="2">
        <v>7</v>
      </c>
      <c r="DD134" s="2" t="str">
        <f>HYPERLINK("https://www.kegg.jp/kegg-bin/search_pathway_text?map=aga&amp;keyword=AGAP011242&amp;mode=1&amp;viewImage=true","AGAP011242")</f>
        <v>AGAP011242</v>
      </c>
      <c r="DE134" s="2" t="s">
        <v>1700</v>
      </c>
      <c r="DF134" s="2" t="s">
        <v>1701</v>
      </c>
      <c r="DG134" s="2" t="s">
        <v>87</v>
      </c>
      <c r="DH134" s="2" t="str">
        <f>HYPERLINK("https://vectorbase.org/vectorbase/app/record/gene/AGAP011242","AGAP011242-RA")</f>
        <v>AGAP011242-RA</v>
      </c>
      <c r="DI134" s="2" t="s">
        <v>108</v>
      </c>
      <c r="DJ134" s="2">
        <v>7817</v>
      </c>
      <c r="DK134" s="2" t="str">
        <f>HYPERLINK(".\links\netoglyc\AGAP011242-PA-netoglyc.txt","3")</f>
        <v>3</v>
      </c>
      <c r="DL134" s="2">
        <v>15.5</v>
      </c>
      <c r="DM134" s="2">
        <v>10.7</v>
      </c>
      <c r="DN134" s="2">
        <v>7.1</v>
      </c>
      <c r="DO134" s="2" t="s">
        <v>97</v>
      </c>
      <c r="DP134" s="2" t="s">
        <v>1711</v>
      </c>
      <c r="DQ134" s="2" t="str">
        <f>HYPERLINK(".\links\Sigp\AGAP011242-PA-SigP.txt","CYT")</f>
        <v>CYT</v>
      </c>
      <c r="DR134" s="2" t="s">
        <v>94</v>
      </c>
      <c r="DS134" s="2">
        <v>133.143</v>
      </c>
      <c r="DT134" s="2">
        <v>8.77</v>
      </c>
      <c r="DU134" s="2" t="s">
        <v>94</v>
      </c>
      <c r="DV134" s="2" t="s">
        <v>94</v>
      </c>
      <c r="DW134" s="2" t="s">
        <v>1706</v>
      </c>
      <c r="DX134" s="2">
        <v>1230</v>
      </c>
      <c r="DY134" s="8">
        <v>0</v>
      </c>
      <c r="DZ134" s="2" t="s">
        <v>94</v>
      </c>
      <c r="EA134" s="2" t="s">
        <v>94</v>
      </c>
      <c r="EB134" s="2" t="s">
        <v>94</v>
      </c>
      <c r="EC134" s="2" t="str">
        <f>HYPERLINK(".\links\gpi\AGAP011242-PA-gpi.txt","N")</f>
        <v>N</v>
      </c>
      <c r="ED134" s="2">
        <v>0.23</v>
      </c>
      <c r="EF134" s="2">
        <v>11</v>
      </c>
      <c r="EG134" s="2" t="str">
        <f>HYPERLINK(".\links\pep\AGAP011242-PA-sulf.txt","1")</f>
        <v>1</v>
      </c>
      <c r="EH134" s="2" t="s">
        <v>94</v>
      </c>
      <c r="EI134" s="2">
        <v>15.5284552845528</v>
      </c>
      <c r="EJ134" s="2">
        <v>7.0731707317073198</v>
      </c>
      <c r="EK134" s="2">
        <v>10.7317073170732</v>
      </c>
      <c r="EL134" s="2">
        <v>17.804878048780498</v>
      </c>
      <c r="EM134" s="2" t="s">
        <v>94</v>
      </c>
      <c r="EN134" s="2">
        <v>3</v>
      </c>
      <c r="EO134" s="2">
        <v>3</v>
      </c>
      <c r="EP134" s="2" t="s">
        <v>94</v>
      </c>
      <c r="EQ134" s="2" t="s">
        <v>94</v>
      </c>
      <c r="ER134" s="2" t="s">
        <v>94</v>
      </c>
      <c r="ES134" s="2" t="s">
        <v>94</v>
      </c>
      <c r="ET134" s="2" t="str">
        <f>HYPERLINK(".\links\REFSEQ-INVERTEBRATE\AGAP011242-PA-REFSEQ-INVERTEBRATE.txt","E3 ubiquitin-protein ligase Smurf1")</f>
        <v>E3 ubiquitin-protein ligase Smurf1</v>
      </c>
      <c r="EU134" s="2" t="str">
        <f>HYPERLINK("http://www.ncbi.nlm.nih.gov/sutils/blink.cgi?pid=XP_035903629.1","0.0")</f>
        <v>0.0</v>
      </c>
      <c r="EV134" s="2" t="str">
        <f>HYPERLINK("http://www.ncbi.nlm.nih.gov/protein/XP_035903629.1","XP_035903629.1")</f>
        <v>XP_035903629.1</v>
      </c>
      <c r="EW134" s="2">
        <v>79</v>
      </c>
      <c r="EX134" s="2">
        <v>84</v>
      </c>
      <c r="EY134" s="2">
        <v>105</v>
      </c>
      <c r="EZ134" s="2" t="s">
        <v>184</v>
      </c>
    </row>
    <row r="135" spans="1:156" x14ac:dyDescent="0.25">
      <c r="A135" s="2" t="s">
        <v>1712</v>
      </c>
      <c r="B135" s="2">
        <v>0.67257652873481599</v>
      </c>
      <c r="C135" s="2">
        <v>1.5939170252707584</v>
      </c>
      <c r="D135" s="2">
        <v>6.1191454237940199</v>
      </c>
      <c r="E135" s="2">
        <v>19.955691645359199</v>
      </c>
      <c r="F135" s="2">
        <v>7.92576678380373E-6</v>
      </c>
      <c r="G135" s="2">
        <v>1.0267668010196199E-3</v>
      </c>
      <c r="H135" s="2" t="s">
        <v>167</v>
      </c>
      <c r="I135" s="2" t="s">
        <v>87</v>
      </c>
      <c r="J135" s="2" t="str">
        <f>HYPERLINK("https://vectorbase.org/vectorbase/app/record/gene/AGAP029568","AGAP029568-RB")</f>
        <v>AGAP029568-RB</v>
      </c>
      <c r="K135" s="2" t="str">
        <f>HYPERLINK(".\links\pep\AGAP029568-PB-pep.txt","AGAP029568-PB")</f>
        <v>AGAP029568-PB</v>
      </c>
      <c r="L135" s="8" t="s">
        <v>88</v>
      </c>
      <c r="M135" s="2">
        <v>1840</v>
      </c>
      <c r="N135" s="2">
        <v>0</v>
      </c>
      <c r="O135" s="2">
        <v>2</v>
      </c>
      <c r="P135" s="2" t="s">
        <v>94</v>
      </c>
      <c r="Q135" s="9" t="s">
        <v>1713</v>
      </c>
      <c r="R135" s="2" t="s">
        <v>318</v>
      </c>
      <c r="S135" s="2" t="str">
        <f>HYPERLINK(".\links\KOG\AGAP029568-PB-KOG.txt","KOG")</f>
        <v>KOG</v>
      </c>
      <c r="T135" s="2">
        <v>0</v>
      </c>
      <c r="U135" s="2">
        <v>93.1</v>
      </c>
      <c r="V135" s="2" t="s">
        <v>1714</v>
      </c>
      <c r="W135" s="10" t="s">
        <v>1715</v>
      </c>
      <c r="X135" s="2" t="s">
        <v>1220</v>
      </c>
      <c r="Y135" s="2" t="str">
        <f>HYPERLINK(".\links\KOG\AGAP029568-PB-KOG.txt","KOG")</f>
        <v>KOG</v>
      </c>
      <c r="Z135" s="2">
        <v>0</v>
      </c>
      <c r="AA135" s="2">
        <v>59</v>
      </c>
      <c r="AB135" s="11" t="str">
        <f>HYPERLINK(".\links\pep\AGAP029568-PB-sulf.txt","1")</f>
        <v>1</v>
      </c>
      <c r="AC135" s="11" t="str">
        <f>HYPERLINK(".\links\Sigp\AGAP029568-PB-SigP.txt","CYT")</f>
        <v>CYT</v>
      </c>
      <c r="AD135" s="2" t="s">
        <v>94</v>
      </c>
      <c r="AE135" s="2">
        <v>203.739</v>
      </c>
      <c r="AF135" s="2">
        <v>8.4700000000000006</v>
      </c>
      <c r="AG135" s="2" t="s">
        <v>94</v>
      </c>
      <c r="AH135" s="2" t="s">
        <v>94</v>
      </c>
      <c r="AI135" s="2" t="s">
        <v>1716</v>
      </c>
      <c r="AJ135" s="11">
        <v>0</v>
      </c>
      <c r="AK135" s="2" t="s">
        <v>94</v>
      </c>
      <c r="AL135" s="2" t="s">
        <v>94</v>
      </c>
      <c r="AM135" s="2" t="s">
        <v>94</v>
      </c>
      <c r="AN135" s="9" t="str">
        <f>HYPERLINK(".\links\gpi\AGAP029568-PB-gpi.txt","N")</f>
        <v>N</v>
      </c>
      <c r="AO135" s="12" t="str">
        <f>HYPERLINK(".\links\netoglyc\AGAP029568-PB-netoglyc.txt","12")</f>
        <v>12</v>
      </c>
      <c r="AP135" s="11">
        <v>18.100000000000001</v>
      </c>
      <c r="AQ135" s="2">
        <v>5.5</v>
      </c>
      <c r="AR135" s="2">
        <v>7.9</v>
      </c>
      <c r="AS135" s="2" t="s">
        <v>97</v>
      </c>
      <c r="AT135" s="9" t="str">
        <f>HYPERLINK(".\links\NR-LIGHT\AGAP029568-PB-NR-LIGHT.txt","tensin")</f>
        <v>tensin</v>
      </c>
      <c r="AU135" s="2" t="str">
        <f>HYPERLINK("http://www.ncbi.nlm.nih.gov/sutils/blink.cgi?pid=CAJ14145.1","0.0")</f>
        <v>0.0</v>
      </c>
      <c r="AV135" s="2" t="str">
        <f>HYPERLINK("http://www.ncbi.nlm.nih.gov/protein/CAJ14145.1","CAJ14145.1")</f>
        <v>CAJ14145.1</v>
      </c>
      <c r="AW135" s="2">
        <v>98</v>
      </c>
      <c r="AX135" s="2">
        <v>98</v>
      </c>
      <c r="AY135" s="2">
        <v>97</v>
      </c>
      <c r="AZ135" s="2" t="s">
        <v>274</v>
      </c>
      <c r="BA135" s="9" t="str">
        <f>HYPERLINK(".\links\REFSEQ-INVERTEBRATE\AGAP029568-PB-REFSEQ-INVERTEBRATE.txt","AGAP001678-PA")</f>
        <v>AGAP001678-PA</v>
      </c>
      <c r="BB135" s="2" t="str">
        <f>HYPERLINK("http://www.ncbi.nlm.nih.gov/sutils/blink.cgi?pid=XP_321415.5","0.0")</f>
        <v>0.0</v>
      </c>
      <c r="BC135" s="2" t="str">
        <f>HYPERLINK("http://www.ncbi.nlm.nih.gov/protein/XP_321415.5","XP_321415.5")</f>
        <v>XP_321415.5</v>
      </c>
      <c r="BD135" s="2">
        <v>95</v>
      </c>
      <c r="BE135" s="2">
        <v>96</v>
      </c>
      <c r="BF135" s="2">
        <v>96</v>
      </c>
      <c r="BG135" s="2" t="s">
        <v>98</v>
      </c>
      <c r="BH135" s="9" t="str">
        <f>HYPERLINK(".\links\REFSEQ-PROTOZOA\AGAP029568-PB-REFSEQ-PROTOZOA.txt","hypothetical protein H310_13866")</f>
        <v>hypothetical protein H310_13866</v>
      </c>
      <c r="BI135" s="2" t="str">
        <f>HYPERLINK("http://www.ncbi.nlm.nih.gov/sutils/blink.cgi?pid=XP_008879735.1","2E-014")</f>
        <v>2E-014</v>
      </c>
      <c r="BJ135" s="2" t="str">
        <f>HYPERLINK("http://www.ncbi.nlm.nih.gov/protein/XP_008879735.1","XP_008879735.1")</f>
        <v>XP_008879735.1</v>
      </c>
      <c r="BK135" s="2">
        <v>23</v>
      </c>
      <c r="BL135" s="2">
        <v>38</v>
      </c>
      <c r="BM135" s="2">
        <v>62</v>
      </c>
      <c r="BN135" s="2" t="s">
        <v>99</v>
      </c>
      <c r="BO135" s="9" t="str">
        <f>HYPERLINK(".\links\SWISSP\AGAP029568-PB-SWISSP.txt","Tensin-1")</f>
        <v>Tensin-1</v>
      </c>
      <c r="BP135" s="2" t="str">
        <f>HYPERLINK("http://www.uniprot.org/uniprot/Q9GLM4","1E-092")</f>
        <v>1E-092</v>
      </c>
      <c r="BQ135" s="2" t="str">
        <f>HYPERLINK("http://www.uniprot.org/uniprot/Q9GLM4#expression","Q9GLM4")</f>
        <v>Q9GLM4</v>
      </c>
      <c r="BR135" s="2">
        <v>47</v>
      </c>
      <c r="BS135" s="2">
        <v>60</v>
      </c>
      <c r="BT135" s="2">
        <v>24</v>
      </c>
      <c r="BU135" s="2" t="s">
        <v>1134</v>
      </c>
      <c r="BV135" s="9" t="str">
        <f>HYPERLINK(".\links\FLYBASE\AGAP029568-PB-FLYBASE.txt","FBpp0290315")</f>
        <v>FBpp0290315</v>
      </c>
      <c r="BW135" s="2" t="str">
        <f>HYPERLINK("http://flybase.org/reports/FBgn0000244#alliance_summary_container","1E-106")</f>
        <v>1E-106</v>
      </c>
      <c r="BX135" s="2">
        <v>720</v>
      </c>
      <c r="BY135" s="2">
        <v>60</v>
      </c>
      <c r="BZ135" s="2">
        <v>77</v>
      </c>
      <c r="CA135" s="2">
        <v>39</v>
      </c>
      <c r="CB135" s="9" t="str">
        <f>HYPERLINK(".\links\CDD\AGAP029568-PB-CDD.txt","PTB_tensin, Tensin Phosphotyrosine-binding (PTB) domain")</f>
        <v>PTB_tensin, Tensin Phosphotyrosine-binding (PTB) domain</v>
      </c>
      <c r="CC135" s="13">
        <v>3.9999999999999999E-64</v>
      </c>
      <c r="CD135" s="2">
        <v>101.5</v>
      </c>
      <c r="CE135" s="2" t="s">
        <v>1717</v>
      </c>
      <c r="CF135" s="2" t="s">
        <v>1718</v>
      </c>
      <c r="CG135" s="9" t="str">
        <f>HYPERLINK(".\links\KOG\AGAP029568-PB-KOG.txt","contains PTB domain")</f>
        <v>contains PTB domain</v>
      </c>
      <c r="CH135" s="13">
        <v>1E-108</v>
      </c>
      <c r="CI135" s="2">
        <v>93.2</v>
      </c>
      <c r="CJ135" s="2" t="s">
        <v>1719</v>
      </c>
      <c r="CK135" s="2" t="s">
        <v>1720</v>
      </c>
      <c r="CL135" s="9" t="str">
        <f>HYPERLINK(".\links\PFAM\AGAP029568-PB-PFAM.txt","PTB, Phosphotyrosine-binding domain")</f>
        <v>PTB, Phosphotyrosine-binding domain</v>
      </c>
      <c r="CM135" s="13">
        <v>1.9999999999999999E-29</v>
      </c>
      <c r="CN135" s="2">
        <v>108.4</v>
      </c>
      <c r="CO135" s="2" t="s">
        <v>1721</v>
      </c>
      <c r="CP135" s="9" t="str">
        <f>HYPERLINK(".\links\SMART\AGAP029568-PB-SMART.txt","PTB, Phosphotyrosine-binding domain, phosphotyrosine-interaction (PI) domain")</f>
        <v>PTB, Phosphotyrosine-binding domain, phosphotyrosine-interaction (PI) domain</v>
      </c>
      <c r="CQ135" s="13">
        <v>1.0000000000000001E-17</v>
      </c>
      <c r="CR135" s="2">
        <v>104.5</v>
      </c>
      <c r="CS135" s="2" t="s">
        <v>1722</v>
      </c>
      <c r="CT135" s="2" t="s">
        <v>1714</v>
      </c>
      <c r="CU135" s="2" t="s">
        <v>1714</v>
      </c>
      <c r="CV135" s="2" t="s">
        <v>1714</v>
      </c>
      <c r="CW135" s="2" t="str">
        <f>HYPERLINK(".\links\pep\AGAP029568-PB-pep.txt","AGAP029568-PB")</f>
        <v>AGAP029568-PB</v>
      </c>
      <c r="CX135" s="2" t="s">
        <v>88</v>
      </c>
      <c r="CY135" s="2">
        <v>1840</v>
      </c>
      <c r="CZ135" s="2" t="s">
        <v>106</v>
      </c>
      <c r="DA135" s="2" t="s">
        <v>1723</v>
      </c>
      <c r="DB135" s="2">
        <v>0</v>
      </c>
      <c r="DC135" s="2">
        <v>2</v>
      </c>
      <c r="DD135" s="2" t="str">
        <f>HYPERLINK("https://www.kegg.jp/kegg-bin/search_pathway_text?map=aga&amp;keyword=AGAP029568&amp;mode=1&amp;viewImage=true","AGAP029568")</f>
        <v>AGAP029568</v>
      </c>
      <c r="DE135" s="2" t="s">
        <v>1712</v>
      </c>
      <c r="DF135" s="2" t="s">
        <v>167</v>
      </c>
      <c r="DG135" s="2" t="s">
        <v>87</v>
      </c>
      <c r="DH135" s="2" t="str">
        <f>HYPERLINK("https://vectorbase.org/vectorbase/app/record/gene/AGAP029568","AGAP029568-RB")</f>
        <v>AGAP029568-RB</v>
      </c>
      <c r="DI135" s="2" t="s">
        <v>143</v>
      </c>
      <c r="DJ135" s="2">
        <v>8274</v>
      </c>
      <c r="DK135" s="2" t="str">
        <f>HYPERLINK(".\links\netoglyc\AGAP029568-PB-netoglyc.txt","12")</f>
        <v>12</v>
      </c>
      <c r="DL135" s="2">
        <v>18.100000000000001</v>
      </c>
      <c r="DM135" s="2">
        <v>5.5</v>
      </c>
      <c r="DN135" s="2">
        <v>7.9</v>
      </c>
      <c r="DO135" s="2" t="s">
        <v>97</v>
      </c>
      <c r="DP135" s="2" t="s">
        <v>1724</v>
      </c>
      <c r="DQ135" s="2" t="str">
        <f>HYPERLINK(".\links\Sigp\AGAP029568-PB-SigP.txt","CYT")</f>
        <v>CYT</v>
      </c>
      <c r="DR135" s="2" t="s">
        <v>94</v>
      </c>
      <c r="DS135" s="2">
        <v>203.739</v>
      </c>
      <c r="DT135" s="2">
        <v>8.4700000000000006</v>
      </c>
      <c r="DU135" s="2" t="s">
        <v>94</v>
      </c>
      <c r="DV135" s="2" t="s">
        <v>94</v>
      </c>
      <c r="DW135" s="2" t="s">
        <v>1716</v>
      </c>
      <c r="DX135" s="2">
        <v>1840</v>
      </c>
      <c r="DY135" s="8">
        <v>0</v>
      </c>
      <c r="DZ135" s="2" t="s">
        <v>94</v>
      </c>
      <c r="EA135" s="2" t="s">
        <v>94</v>
      </c>
      <c r="EB135" s="2" t="s">
        <v>94</v>
      </c>
      <c r="EC135" s="2" t="str">
        <f>HYPERLINK(".\links\gpi\AGAP029568-PB-gpi.txt","N")</f>
        <v>N</v>
      </c>
      <c r="ED135" s="2">
        <v>0.21</v>
      </c>
      <c r="EF135" s="2">
        <v>20</v>
      </c>
      <c r="EG135" s="2" t="str">
        <f>HYPERLINK(".\links\pep\AGAP029568-PB-sulf.txt","1")</f>
        <v>1</v>
      </c>
      <c r="EH135" s="2" t="s">
        <v>94</v>
      </c>
      <c r="EI135" s="2">
        <v>18.097826086956498</v>
      </c>
      <c r="EJ135" s="2">
        <v>7.8804347826086998</v>
      </c>
      <c r="EK135" s="2">
        <v>5.4891304347826102</v>
      </c>
      <c r="EL135" s="2">
        <v>13.369565217391299</v>
      </c>
      <c r="EM135" s="2">
        <v>4</v>
      </c>
      <c r="EN135" s="2">
        <v>3</v>
      </c>
      <c r="EO135" s="2">
        <v>3</v>
      </c>
      <c r="EP135" s="2" t="s">
        <v>94</v>
      </c>
      <c r="EQ135" s="2" t="s">
        <v>94</v>
      </c>
      <c r="ER135" s="2" t="s">
        <v>94</v>
      </c>
      <c r="ES135" s="2" t="s">
        <v>486</v>
      </c>
      <c r="ET135" s="2" t="str">
        <f>HYPERLINK(".\links\REFSEQ-INVERTEBRATE\AGAP029568-PB-REFSEQ-INVERTEBRATE.txt","AGAP001678-PA")</f>
        <v>AGAP001678-PA</v>
      </c>
      <c r="EU135" s="2" t="str">
        <f>HYPERLINK("http://www.ncbi.nlm.nih.gov/sutils/blink.cgi?pid=XP_321415.5","0.0")</f>
        <v>0.0</v>
      </c>
      <c r="EV135" s="2" t="str">
        <f>HYPERLINK("http://www.ncbi.nlm.nih.gov/protein/XP_321415.5","XP_321415.5")</f>
        <v>XP_321415.5</v>
      </c>
      <c r="EW135" s="2">
        <v>95</v>
      </c>
      <c r="EX135" s="2">
        <v>96</v>
      </c>
      <c r="EY135" s="2">
        <v>96</v>
      </c>
      <c r="EZ135" s="2" t="s">
        <v>98</v>
      </c>
    </row>
    <row r="136" spans="1:156" x14ac:dyDescent="0.25">
      <c r="A136" s="2" t="s">
        <v>1725</v>
      </c>
      <c r="B136" s="2">
        <v>0.66984172363268502</v>
      </c>
      <c r="C136" s="2">
        <v>1.5908984223503586</v>
      </c>
      <c r="D136" s="2">
        <v>4.4372638440949999</v>
      </c>
      <c r="E136" s="2">
        <v>14.6140301483595</v>
      </c>
      <c r="F136" s="2">
        <v>1.31928674081051E-4</v>
      </c>
      <c r="G136" s="2">
        <v>8.9117819341750296E-3</v>
      </c>
      <c r="H136" s="2" t="s">
        <v>1726</v>
      </c>
      <c r="I136" s="2" t="s">
        <v>87</v>
      </c>
      <c r="J136" s="2" t="str">
        <f>HYPERLINK("https://vectorbase.org/vectorbase/app/record/gene/AGAP004188","AGAP004188-RA")</f>
        <v>AGAP004188-RA</v>
      </c>
      <c r="K136" s="2" t="str">
        <f>HYPERLINK(".\links\pep\AGAP004188-PA-pep.txt","AGAP004188-PA")</f>
        <v>AGAP004188-PA</v>
      </c>
      <c r="L136" s="8" t="s">
        <v>1727</v>
      </c>
      <c r="M136" s="2">
        <v>1911</v>
      </c>
      <c r="N136" s="2">
        <v>0</v>
      </c>
      <c r="O136" s="2">
        <v>3</v>
      </c>
      <c r="P136" s="2" t="s">
        <v>1728</v>
      </c>
      <c r="Q136" s="9" t="s">
        <v>1729</v>
      </c>
      <c r="R136" s="2" t="s">
        <v>286</v>
      </c>
      <c r="S136" s="2" t="str">
        <f>HYPERLINK(".\links\REFSEQ-INVERTEBRATE\AGAP004188-PA-REFSEQ-INVERTEBRATE.txt","REFSEQ-INVERTEBRATE")</f>
        <v>REFSEQ-INVERTEBRATE</v>
      </c>
      <c r="T136" s="2">
        <v>0</v>
      </c>
      <c r="U136" s="2">
        <v>111.8</v>
      </c>
      <c r="V136" s="2" t="s">
        <v>1730</v>
      </c>
      <c r="W136" s="10" t="s">
        <v>1731</v>
      </c>
      <c r="X136" s="2" t="s">
        <v>286</v>
      </c>
      <c r="Y136" s="2" t="str">
        <f>HYPERLINK(".\links\REFSEQ-INVERTEBRATE\AGAP004188-PA-REFSEQ-INVERTEBRATE.txt","REFSEQ-INVERTEBRATE")</f>
        <v>REFSEQ-INVERTEBRATE</v>
      </c>
      <c r="Z136" s="2">
        <v>0</v>
      </c>
      <c r="AA136" s="2">
        <v>102.8</v>
      </c>
      <c r="AB136" s="11" t="str">
        <f>HYPERLINK(".\links\pep\AGAP004188-PA-sulf.txt","2")</f>
        <v>2</v>
      </c>
      <c r="AC136" s="11" t="str">
        <f>HYPERLINK(".\links\Sigp\AGAP004188-PA-SigP.txt","CYT")</f>
        <v>CYT</v>
      </c>
      <c r="AD136" s="2" t="s">
        <v>94</v>
      </c>
      <c r="AE136" s="2">
        <v>196.22200000000001</v>
      </c>
      <c r="AF136" s="2">
        <v>7.74</v>
      </c>
      <c r="AG136" s="2" t="s">
        <v>94</v>
      </c>
      <c r="AH136" s="2" t="s">
        <v>94</v>
      </c>
      <c r="AI136" s="2" t="s">
        <v>1732</v>
      </c>
      <c r="AJ136" s="11">
        <v>0</v>
      </c>
      <c r="AK136" s="2" t="s">
        <v>94</v>
      </c>
      <c r="AL136" s="2" t="s">
        <v>94</v>
      </c>
      <c r="AM136" s="2" t="s">
        <v>94</v>
      </c>
      <c r="AN136" s="11" t="str">
        <f>HYPERLINK(".\links\gpi\AGAP004188-PA-gpi.txt","N")</f>
        <v>N</v>
      </c>
      <c r="AO136" s="12" t="str">
        <f>HYPERLINK(".\links\netoglyc\AGAP004188-PA-netoglyc.txt","51")</f>
        <v>51</v>
      </c>
      <c r="AP136" s="11">
        <v>18.3</v>
      </c>
      <c r="AQ136" s="2">
        <v>8.8000000000000007</v>
      </c>
      <c r="AR136" s="2">
        <v>6.8</v>
      </c>
      <c r="AS136" s="2" t="s">
        <v>97</v>
      </c>
      <c r="AT136" s="9" t="str">
        <f>HYPERLINK(".\links\NR-LIGHT\AGAP004188-PA-NR-LIGHT.txt","AGAP004188-PA")</f>
        <v>AGAP004188-PA</v>
      </c>
      <c r="AU136" s="2" t="str">
        <f>HYPERLINK("http://www.ncbi.nlm.nih.gov/sutils/blink.cgi?pid=XP_001230872.3","0.0")</f>
        <v>0.0</v>
      </c>
      <c r="AV136" s="2" t="str">
        <f>HYPERLINK("http://www.ncbi.nlm.nih.gov/protein/XP_001230872.3","XP_001230872.3")</f>
        <v>XP_001230872.3</v>
      </c>
      <c r="AW136" s="2">
        <v>100</v>
      </c>
      <c r="AX136" s="2">
        <v>100</v>
      </c>
      <c r="AY136" s="2">
        <v>98</v>
      </c>
      <c r="AZ136" s="2" t="s">
        <v>98</v>
      </c>
      <c r="BA136" s="9" t="str">
        <f>HYPERLINK(".\links\REFSEQ-INVERTEBRATE\AGAP004188-PA-REFSEQ-INVERTEBRATE.txt","AGAP004188-PA")</f>
        <v>AGAP004188-PA</v>
      </c>
      <c r="BB136" s="2" t="str">
        <f>HYPERLINK("http://www.ncbi.nlm.nih.gov/sutils/blink.cgi?pid=XP_001230872.3","0.0")</f>
        <v>0.0</v>
      </c>
      <c r="BC136" s="2" t="str">
        <f>HYPERLINK("http://www.ncbi.nlm.nih.gov/protein/XP_001230872.3","XP_001230872.3")</f>
        <v>XP_001230872.3</v>
      </c>
      <c r="BD136" s="2">
        <v>100</v>
      </c>
      <c r="BE136" s="2">
        <v>100</v>
      </c>
      <c r="BF136" s="2">
        <v>98</v>
      </c>
      <c r="BG136" s="2" t="s">
        <v>98</v>
      </c>
      <c r="BH136" s="9" t="str">
        <f>HYPERLINK(".\links\REFSEQ-PROTOZOA\AGAP004188-PA-REFSEQ-PROTOZOA.txt","hypothetical protein EMH_0005490")</f>
        <v>hypothetical protein EMH_0005490</v>
      </c>
      <c r="BI136" s="2" t="str">
        <f>HYPERLINK("http://www.ncbi.nlm.nih.gov/sutils/blink.cgi?pid=XP_013352669.1","4E-067")</f>
        <v>4E-067</v>
      </c>
      <c r="BJ136" s="2" t="str">
        <f>HYPERLINK("http://www.ncbi.nlm.nih.gov/protein/XP_013352669.1","XP_013352669.1")</f>
        <v>XP_013352669.1</v>
      </c>
      <c r="BK136" s="2">
        <v>25</v>
      </c>
      <c r="BL136" s="2">
        <v>35</v>
      </c>
      <c r="BM136" s="2">
        <v>101</v>
      </c>
      <c r="BN136" s="2" t="s">
        <v>383</v>
      </c>
      <c r="BO136" s="9" t="str">
        <f>HYPERLINK(".\links\SWISSP\AGAP004188-PA-SWISSP.txt","Polyhomeotic-proximal chromatin protein")</f>
        <v>Polyhomeotic-proximal chromatin protein</v>
      </c>
      <c r="BP136" s="2" t="str">
        <f>HYPERLINK("http://www.uniprot.org/uniprot/P39769","1E-120")</f>
        <v>1E-120</v>
      </c>
      <c r="BQ136" s="2" t="str">
        <f>HYPERLINK("http://www.uniprot.org/uniprot/P39769#expression","P39769")</f>
        <v>P39769</v>
      </c>
      <c r="BR136" s="2">
        <v>29</v>
      </c>
      <c r="BS136" s="2">
        <v>40</v>
      </c>
      <c r="BT136" s="2">
        <v>118</v>
      </c>
      <c r="BU136" s="2" t="s">
        <v>100</v>
      </c>
      <c r="BV136" s="9" t="str">
        <f>HYPERLINK(".\links\FLYBASE\AGAP004188-PA-FLYBASE.txt","FBpp0111756")</f>
        <v>FBpp0111756</v>
      </c>
      <c r="BW136" s="2" t="str">
        <f>HYPERLINK("http://flybase.org/reports/FBgn0004860#alliance_summary_container","4E-32")</f>
        <v>4E-32</v>
      </c>
      <c r="BX136" s="2">
        <v>1359</v>
      </c>
      <c r="BY136" s="2">
        <v>61</v>
      </c>
      <c r="BZ136" s="2">
        <v>74</v>
      </c>
      <c r="CA136" s="2">
        <v>7</v>
      </c>
      <c r="CB136" s="9" t="str">
        <f>HYPERLINK(".\links\CDD\AGAP004188-PA-CDD.txt","SAM_Ph1,2,3, SAM domain of Ph (polyhomeotic) proteins of Polycomb group")</f>
        <v>SAM_Ph1,2,3, SAM domain of Ph (polyhomeotic) proteins of Polycomb group</v>
      </c>
      <c r="CC136" s="13">
        <v>3.0000000000000003E-29</v>
      </c>
      <c r="CD136" s="2">
        <v>98.6</v>
      </c>
      <c r="CE136" s="2" t="s">
        <v>1733</v>
      </c>
      <c r="CF136" s="2" t="s">
        <v>1734</v>
      </c>
      <c r="CG136" s="9" t="str">
        <f>HYPERLINK(".\links\KOG\AGAP004188-PA-KOG.txt","subunit TRAP230")</f>
        <v>subunit TRAP230</v>
      </c>
      <c r="CH136" s="13">
        <v>2E-19</v>
      </c>
      <c r="CI136" s="2">
        <v>15.9</v>
      </c>
      <c r="CJ136" s="2" t="s">
        <v>311</v>
      </c>
      <c r="CK136" s="2" t="s">
        <v>296</v>
      </c>
      <c r="CL136" s="9" t="str">
        <f>HYPERLINK(".\links\PFAM\AGAP004188-PA-PFAM.txt","DUF4175, Domain of unknown function (DUF4175)")</f>
        <v>DUF4175, Domain of unknown function (DUF4175)</v>
      </c>
      <c r="CM136" s="13">
        <v>2E-14</v>
      </c>
      <c r="CN136" s="2">
        <v>31.9</v>
      </c>
      <c r="CO136" s="2" t="s">
        <v>1735</v>
      </c>
      <c r="CP136" s="9" t="str">
        <f>HYPERLINK(".\links\SMART\AGAP004188-PA-SMART.txt","SAM, Sterile alpha motif")</f>
        <v>SAM, Sterile alpha motif</v>
      </c>
      <c r="CQ136" s="13">
        <v>3E-10</v>
      </c>
      <c r="CR136" s="2">
        <v>101.5</v>
      </c>
      <c r="CS136" s="2" t="s">
        <v>1609</v>
      </c>
      <c r="CT136" s="2" t="s">
        <v>1730</v>
      </c>
      <c r="CU136" s="2" t="s">
        <v>1730</v>
      </c>
      <c r="CV136" s="2" t="s">
        <v>1730</v>
      </c>
      <c r="CW136" s="2" t="str">
        <f>HYPERLINK(".\links\pep\AGAP004188-PA-pep.txt","AGAP004188-PA")</f>
        <v>AGAP004188-PA</v>
      </c>
      <c r="CX136" s="2" t="s">
        <v>1727</v>
      </c>
      <c r="CY136" s="2">
        <v>1911</v>
      </c>
      <c r="CZ136" s="2" t="s">
        <v>106</v>
      </c>
      <c r="DA136" s="2" t="s">
        <v>1736</v>
      </c>
      <c r="DB136" s="2">
        <v>0</v>
      </c>
      <c r="DC136" s="2">
        <v>3</v>
      </c>
      <c r="DD136" s="2" t="str">
        <f>HYPERLINK("https://www.kegg.jp/kegg-bin/search_pathway_text?map=aga&amp;keyword=AGAP004188&amp;mode=1&amp;viewImage=true","AGAP004188")</f>
        <v>AGAP004188</v>
      </c>
      <c r="DE136" s="2" t="s">
        <v>1725</v>
      </c>
      <c r="DF136" s="2" t="s">
        <v>1726</v>
      </c>
      <c r="DG136" s="2" t="s">
        <v>87</v>
      </c>
      <c r="DH136" s="2" t="str">
        <f>HYPERLINK("https://vectorbase.org/vectorbase/app/record/gene/AGAP004188","AGAP004188-RA")</f>
        <v>AGAP004188-RA</v>
      </c>
      <c r="DI136" s="2" t="s">
        <v>125</v>
      </c>
      <c r="DJ136" s="2">
        <v>6727</v>
      </c>
      <c r="DK136" s="2" t="str">
        <f>HYPERLINK(".\links\netoglyc\AGAP004188-PA-netoglyc.txt","51")</f>
        <v>51</v>
      </c>
      <c r="DL136" s="2">
        <v>18.3</v>
      </c>
      <c r="DM136" s="2">
        <v>8.8000000000000007</v>
      </c>
      <c r="DN136" s="2">
        <v>6.8</v>
      </c>
      <c r="DO136" s="2" t="s">
        <v>97</v>
      </c>
      <c r="DP136" s="2" t="s">
        <v>94</v>
      </c>
      <c r="DQ136" s="2" t="str">
        <f>HYPERLINK(".\links\Sigp\AGAP004188-PA-SigP.txt","CYT")</f>
        <v>CYT</v>
      </c>
      <c r="DR136" s="2" t="s">
        <v>94</v>
      </c>
      <c r="DS136" s="2">
        <v>196.22200000000001</v>
      </c>
      <c r="DT136" s="2">
        <v>7.74</v>
      </c>
      <c r="DU136" s="2" t="s">
        <v>94</v>
      </c>
      <c r="DV136" s="2" t="s">
        <v>94</v>
      </c>
      <c r="DW136" s="2" t="s">
        <v>1732</v>
      </c>
      <c r="DX136" s="2">
        <v>1911</v>
      </c>
      <c r="DY136" s="8">
        <v>0</v>
      </c>
      <c r="DZ136" s="2" t="s">
        <v>94</v>
      </c>
      <c r="EA136" s="2" t="s">
        <v>94</v>
      </c>
      <c r="EB136" s="2" t="s">
        <v>94</v>
      </c>
      <c r="EC136" s="2" t="str">
        <f>HYPERLINK(".\links\gpi\AGAP004188-PA-gpi.txt","N")</f>
        <v>N</v>
      </c>
      <c r="ED136" s="2">
        <v>0.54</v>
      </c>
      <c r="EE136" s="2" t="s">
        <v>1737</v>
      </c>
      <c r="EF136" s="2">
        <v>10</v>
      </c>
      <c r="EG136" s="2" t="str">
        <f>HYPERLINK(".\links\pep\AGAP004188-PA-sulf.txt","2")</f>
        <v>2</v>
      </c>
      <c r="EH136" s="2" t="s">
        <v>94</v>
      </c>
      <c r="EI136" s="2">
        <v>18.3150183150183</v>
      </c>
      <c r="EJ136" s="2">
        <v>6.8027210884353702</v>
      </c>
      <c r="EK136" s="2">
        <v>8.84353741496599</v>
      </c>
      <c r="EL136" s="2">
        <v>15.6462585034014</v>
      </c>
      <c r="EM136" s="2">
        <v>6</v>
      </c>
      <c r="EN136" s="2">
        <v>2</v>
      </c>
      <c r="EO136" s="2">
        <v>4</v>
      </c>
      <c r="EP136" s="2" t="s">
        <v>94</v>
      </c>
      <c r="EQ136" s="2" t="s">
        <v>94</v>
      </c>
      <c r="ER136" s="2" t="s">
        <v>94</v>
      </c>
      <c r="ES136" s="2" t="s">
        <v>94</v>
      </c>
      <c r="ET136" s="2" t="str">
        <f>HYPERLINK(".\links\REFSEQ-INVERTEBRATE\AGAP004188-PA-REFSEQ-INVERTEBRATE.txt","AGAP004188-PA")</f>
        <v>AGAP004188-PA</v>
      </c>
      <c r="EU136" s="2" t="str">
        <f>HYPERLINK("http://www.ncbi.nlm.nih.gov/sutils/blink.cgi?pid=XP_001230872.3","0.0")</f>
        <v>0.0</v>
      </c>
      <c r="EV136" s="2" t="str">
        <f>HYPERLINK("http://www.ncbi.nlm.nih.gov/protein/XP_001230872.3","XP_001230872.3")</f>
        <v>XP_001230872.3</v>
      </c>
      <c r="EW136" s="2">
        <v>100</v>
      </c>
      <c r="EX136" s="2">
        <v>100</v>
      </c>
      <c r="EY136" s="2">
        <v>98</v>
      </c>
      <c r="EZ136" s="2" t="s">
        <v>98</v>
      </c>
    </row>
    <row r="137" spans="1:156" x14ac:dyDescent="0.25">
      <c r="A137" s="2" t="s">
        <v>1738</v>
      </c>
      <c r="B137" s="2">
        <v>0.66908267605117799</v>
      </c>
      <c r="C137" s="2">
        <v>1.5900616204264555</v>
      </c>
      <c r="D137" s="2">
        <v>5.3618948462960203</v>
      </c>
      <c r="E137" s="2">
        <v>15.047103800451501</v>
      </c>
      <c r="F137" s="2">
        <v>1.04861039481822E-4</v>
      </c>
      <c r="G137" s="2">
        <v>7.5015380845643003E-3</v>
      </c>
      <c r="H137" s="2" t="s">
        <v>1739</v>
      </c>
      <c r="I137" s="2" t="s">
        <v>87</v>
      </c>
      <c r="J137" s="2" t="str">
        <f>HYPERLINK("https://vectorbase.org/vectorbase/app/record/gene/AGAP010893","AGAP010893-RA")</f>
        <v>AGAP010893-RA</v>
      </c>
      <c r="K137" s="2" t="str">
        <f>HYPERLINK(".\links\pep\AGAP010893-PA-pep.txt","AGAP010893-PA")</f>
        <v>AGAP010893-PA</v>
      </c>
      <c r="L137" s="8" t="s">
        <v>88</v>
      </c>
      <c r="M137" s="2">
        <v>893</v>
      </c>
      <c r="N137" s="2">
        <v>0</v>
      </c>
      <c r="O137" s="2">
        <v>0</v>
      </c>
      <c r="P137" s="2" t="s">
        <v>1740</v>
      </c>
      <c r="Q137" s="9" t="s">
        <v>1741</v>
      </c>
      <c r="R137" s="2" t="s">
        <v>131</v>
      </c>
      <c r="S137" s="2" t="str">
        <f>HYPERLINK(".\links\CDD\AGAP010893-PA-CDD.txt","CDD")</f>
        <v>CDD</v>
      </c>
      <c r="T137" s="2">
        <v>0</v>
      </c>
      <c r="U137" s="2">
        <v>85.8</v>
      </c>
      <c r="V137" s="2" t="s">
        <v>1742</v>
      </c>
      <c r="W137" s="10" t="s">
        <v>1743</v>
      </c>
      <c r="X137" s="2" t="s">
        <v>131</v>
      </c>
      <c r="Y137" s="2" t="str">
        <f>HYPERLINK(".\links\REFSEQVERTEBRATE95\AGAP010893-PA-REFSEQVERTEBRATE95.txt","REFSEQVERTEBRATE95")</f>
        <v>REFSEQVERTEBRATE95</v>
      </c>
      <c r="Z137" s="13">
        <v>0</v>
      </c>
      <c r="AA137" s="2">
        <v>101.8</v>
      </c>
      <c r="AB137" s="11" t="str">
        <f>HYPERLINK(".\links\pep\AGAP010893-PA-sulf.txt","3")</f>
        <v>3</v>
      </c>
      <c r="AC137" s="11" t="str">
        <f>HYPERLINK(".\links\Sigp\AGAP010893-PA-SigP.txt","CYT")</f>
        <v>CYT</v>
      </c>
      <c r="AD137" s="2" t="s">
        <v>94</v>
      </c>
      <c r="AE137" s="2">
        <v>99.474000000000004</v>
      </c>
      <c r="AF137" s="2">
        <v>8.1999999999999993</v>
      </c>
      <c r="AG137" s="2" t="s">
        <v>94</v>
      </c>
      <c r="AH137" s="2" t="s">
        <v>94</v>
      </c>
      <c r="AI137" s="2" t="s">
        <v>1744</v>
      </c>
      <c r="AJ137" s="11">
        <v>0</v>
      </c>
      <c r="AK137" s="2" t="s">
        <v>94</v>
      </c>
      <c r="AL137" s="2" t="s">
        <v>94</v>
      </c>
      <c r="AM137" s="2" t="s">
        <v>94</v>
      </c>
      <c r="AN137" s="11" t="str">
        <f>HYPERLINK(".\links\gpi\AGAP010893-PA-gpi.txt","N")</f>
        <v>N</v>
      </c>
      <c r="AO137" s="12" t="str">
        <f>HYPERLINK(".\links\netoglyc\AGAP010893-PA-netoglyc.txt","5")</f>
        <v>5</v>
      </c>
      <c r="AP137" s="11">
        <v>15.7</v>
      </c>
      <c r="AQ137" s="2">
        <v>6</v>
      </c>
      <c r="AR137" s="2">
        <v>5.4</v>
      </c>
      <c r="AS137" s="2" t="s">
        <v>97</v>
      </c>
      <c r="AT137" s="9" t="str">
        <f>HYPERLINK(".\links\NR-LIGHT\AGAP010893-PA-NR-LIGHT.txt","oxysterol-binding protein 2-like isoform X1")</f>
        <v>oxysterol-binding protein 2-like isoform X1</v>
      </c>
      <c r="AU137" s="2" t="str">
        <f>HYPERLINK("http://www.ncbi.nlm.nih.gov/sutils/blink.cgi?pid=XP_019527043.1","0.0")</f>
        <v>0.0</v>
      </c>
      <c r="AV137" s="2" t="str">
        <f>HYPERLINK("http://www.ncbi.nlm.nih.gov/protein/XP_019527043.1","XP_019527043.1")</f>
        <v>XP_019527043.1</v>
      </c>
      <c r="AW137" s="2">
        <v>88</v>
      </c>
      <c r="AX137" s="2">
        <v>92</v>
      </c>
      <c r="AY137" s="2">
        <v>101</v>
      </c>
      <c r="AZ137" s="2" t="s">
        <v>495</v>
      </c>
      <c r="BA137" s="9" t="str">
        <f>HYPERLINK(".\links\REFSEQ-INVERTEBRATE\AGAP010893-PA-REFSEQ-INVERTEBRATE.txt","oxysterol-binding protein 2 isoform X1")</f>
        <v>oxysterol-binding protein 2 isoform X1</v>
      </c>
      <c r="BB137" s="2" t="str">
        <f>HYPERLINK("http://www.ncbi.nlm.nih.gov/sutils/blink.cgi?pid=XP_019536566.1","0.0")</f>
        <v>0.0</v>
      </c>
      <c r="BC137" s="2" t="str">
        <f>HYPERLINK("http://www.ncbi.nlm.nih.gov/protein/XP_019536566.1","XP_019536566.1")</f>
        <v>XP_019536566.1</v>
      </c>
      <c r="BD137" s="2">
        <v>88</v>
      </c>
      <c r="BE137" s="2">
        <v>92</v>
      </c>
      <c r="BF137" s="2">
        <v>101</v>
      </c>
      <c r="BG137" s="2" t="s">
        <v>495</v>
      </c>
      <c r="BH137" s="9" t="str">
        <f>HYPERLINK(".\links\REFSEQ-PROTOZOA\AGAP010893-PA-REFSEQ-PROTOZOA.txt","hypothetical protein CAOG_09049")</f>
        <v>hypothetical protein CAOG_09049</v>
      </c>
      <c r="BI137" s="2" t="str">
        <f>HYPERLINK("http://www.ncbi.nlm.nih.gov/sutils/blink.cgi?pid=XP_011270737.1","1E-134")</f>
        <v>1E-134</v>
      </c>
      <c r="BJ137" s="2" t="str">
        <f>HYPERLINK("http://www.ncbi.nlm.nih.gov/protein/XP_011270737.1","XP_011270737.1")</f>
        <v>XP_011270737.1</v>
      </c>
      <c r="BK137" s="2">
        <v>35</v>
      </c>
      <c r="BL137" s="2">
        <v>47</v>
      </c>
      <c r="BM137" s="2">
        <v>103</v>
      </c>
      <c r="BN137" s="2" t="s">
        <v>227</v>
      </c>
      <c r="BO137" s="9" t="str">
        <f>HYPERLINK(".\links\SWISSP\AGAP010893-PA-SWISSP.txt","Oxysterol-binding protein 1")</f>
        <v>Oxysterol-binding protein 1</v>
      </c>
      <c r="BP137" s="2" t="str">
        <f>HYPERLINK("http://www.uniprot.org/uniprot/P16258","0.0")</f>
        <v>0.0</v>
      </c>
      <c r="BQ137" s="2" t="str">
        <f>HYPERLINK("http://www.uniprot.org/uniprot/P16258#expression","P16258")</f>
        <v>P16258</v>
      </c>
      <c r="BR137" s="2">
        <v>49</v>
      </c>
      <c r="BS137" s="2">
        <v>64</v>
      </c>
      <c r="BT137" s="2">
        <v>91</v>
      </c>
      <c r="BU137" s="2" t="s">
        <v>983</v>
      </c>
      <c r="BV137" s="9" t="str">
        <f>HYPERLINK(".\links\FLYBASE\AGAP010893-PA-FLYBASE.txt","FBpp0084176")</f>
        <v>FBpp0084176</v>
      </c>
      <c r="BW137" s="2" t="str">
        <f>HYPERLINK("http://flybase.org/reports/FBgn0020626#alliance_summary_container","0.0")</f>
        <v>0.0</v>
      </c>
      <c r="BX137" s="2">
        <v>784</v>
      </c>
      <c r="BY137" s="2">
        <v>62</v>
      </c>
      <c r="BZ137" s="2">
        <v>75</v>
      </c>
      <c r="CA137" s="2">
        <v>95</v>
      </c>
      <c r="CB137" s="9" t="str">
        <f>HYPERLINK(".\links\CDD\AGAP010893-PA-CDD.txt","Oxysterol_BP, Oxysterol-binding protein")</f>
        <v>Oxysterol_BP, Oxysterol-binding protein</v>
      </c>
      <c r="CC137" s="13">
        <v>1.0000000000000001E-111</v>
      </c>
      <c r="CD137" s="2">
        <v>85.9</v>
      </c>
      <c r="CE137" s="2" t="s">
        <v>1745</v>
      </c>
      <c r="CF137" s="2" t="s">
        <v>1746</v>
      </c>
      <c r="CG137" s="9" t="str">
        <f>HYPERLINK(".\links\KOG\AGAP010893-PA-KOG.txt","Oxysterol-binding protein")</f>
        <v>Oxysterol-binding protein</v>
      </c>
      <c r="CH137" s="13">
        <v>0</v>
      </c>
      <c r="CI137" s="2">
        <v>94.4</v>
      </c>
      <c r="CJ137" s="2" t="s">
        <v>1747</v>
      </c>
      <c r="CK137" s="2" t="s">
        <v>232</v>
      </c>
      <c r="CL137" s="9" t="str">
        <f>HYPERLINK(".\links\PFAM\AGAP010893-PA-PFAM.txt","Oxysterol_BP, Oxysterol-binding protein")</f>
        <v>Oxysterol_BP, Oxysterol-binding protein</v>
      </c>
      <c r="CM137" s="13">
        <v>9.9999999999999995E-113</v>
      </c>
      <c r="CN137" s="2">
        <v>85.9</v>
      </c>
      <c r="CO137" s="2" t="s">
        <v>1745</v>
      </c>
      <c r="CP137" s="9" t="str">
        <f>HYPERLINK(".\links\SMART\AGAP010893-PA-SMART.txt","PH, Pleckstrin homology domain")</f>
        <v>PH, Pleckstrin homology domain</v>
      </c>
      <c r="CQ137" s="13">
        <v>4.9999999999999998E-8</v>
      </c>
      <c r="CR137" s="2">
        <v>67.599999999999994</v>
      </c>
      <c r="CS137" s="2" t="s">
        <v>354</v>
      </c>
      <c r="CT137" s="2" t="s">
        <v>1742</v>
      </c>
      <c r="CU137" s="2" t="s">
        <v>1742</v>
      </c>
      <c r="CV137" s="2" t="s">
        <v>1742</v>
      </c>
      <c r="CW137" s="2" t="str">
        <f>HYPERLINK(".\links\pep\AGAP010893-PA-pep.txt","AGAP010893-PA")</f>
        <v>AGAP010893-PA</v>
      </c>
      <c r="CX137" s="2" t="s">
        <v>88</v>
      </c>
      <c r="CY137" s="2">
        <v>893</v>
      </c>
      <c r="CZ137" s="2" t="s">
        <v>106</v>
      </c>
      <c r="DA137" s="2" t="s">
        <v>1748</v>
      </c>
      <c r="DB137" s="2">
        <v>0</v>
      </c>
      <c r="DC137" s="2">
        <v>0</v>
      </c>
      <c r="DD137" s="2" t="str">
        <f>HYPERLINK("https://www.kegg.jp/kegg-bin/search_pathway_text?map=aga&amp;keyword=AGAP010893&amp;mode=1&amp;viewImage=true","AGAP010893")</f>
        <v>AGAP010893</v>
      </c>
      <c r="DE137" s="2" t="s">
        <v>1738</v>
      </c>
      <c r="DF137" s="2" t="s">
        <v>1739</v>
      </c>
      <c r="DG137" s="2" t="s">
        <v>87</v>
      </c>
      <c r="DH137" s="2" t="str">
        <f>HYPERLINK("https://vectorbase.org/vectorbase/app/record/gene/AGAP010893","AGAP010893-RA")</f>
        <v>AGAP010893-RA</v>
      </c>
      <c r="DI137" s="2" t="s">
        <v>143</v>
      </c>
      <c r="DJ137" s="2">
        <v>5957</v>
      </c>
      <c r="DK137" s="2" t="str">
        <f>HYPERLINK(".\links\netoglyc\AGAP010893-PA-netoglyc.txt","5")</f>
        <v>5</v>
      </c>
      <c r="DL137" s="2">
        <v>15.7</v>
      </c>
      <c r="DM137" s="2">
        <v>6</v>
      </c>
      <c r="DN137" s="2">
        <v>5.4</v>
      </c>
      <c r="DO137" s="2" t="s">
        <v>97</v>
      </c>
      <c r="DP137" s="2" t="s">
        <v>1749</v>
      </c>
      <c r="DQ137" s="2" t="str">
        <f>HYPERLINK(".\links\Sigp\AGAP010893-PA-SigP.txt","CYT")</f>
        <v>CYT</v>
      </c>
      <c r="DR137" s="2" t="s">
        <v>94</v>
      </c>
      <c r="DS137" s="2">
        <v>99.474000000000004</v>
      </c>
      <c r="DT137" s="2">
        <v>8.1999999999999993</v>
      </c>
      <c r="DU137" s="2" t="s">
        <v>94</v>
      </c>
      <c r="DV137" s="2" t="s">
        <v>94</v>
      </c>
      <c r="DW137" s="2" t="s">
        <v>1744</v>
      </c>
      <c r="DX137" s="2">
        <v>893</v>
      </c>
      <c r="DY137" s="8">
        <v>0</v>
      </c>
      <c r="DZ137" s="2" t="s">
        <v>94</v>
      </c>
      <c r="EA137" s="2" t="s">
        <v>94</v>
      </c>
      <c r="EB137" s="2" t="s">
        <v>94</v>
      </c>
      <c r="EC137" s="2" t="str">
        <f>HYPERLINK(".\links\gpi\AGAP010893-PA-gpi.txt","Y-NoSP")</f>
        <v>Y-NoSP</v>
      </c>
      <c r="ED137" s="2">
        <v>0.15</v>
      </c>
      <c r="EF137" s="2">
        <v>14</v>
      </c>
      <c r="EG137" s="2" t="str">
        <f>HYPERLINK(".\links\pep\AGAP010893-PA-sulf.txt","3")</f>
        <v>3</v>
      </c>
      <c r="EH137" s="2" t="s">
        <v>94</v>
      </c>
      <c r="EI137" s="2">
        <v>15.677491601343799</v>
      </c>
      <c r="EJ137" s="2">
        <v>5.3751399776035802</v>
      </c>
      <c r="EK137" s="2">
        <v>6.0470324748040296</v>
      </c>
      <c r="EL137" s="2">
        <v>11.422172452407599</v>
      </c>
      <c r="EM137" s="2" t="s">
        <v>94</v>
      </c>
      <c r="EN137" s="2">
        <v>7</v>
      </c>
      <c r="EO137" s="2">
        <v>7</v>
      </c>
      <c r="EP137" s="2" t="s">
        <v>94</v>
      </c>
      <c r="EQ137" s="2" t="s">
        <v>94</v>
      </c>
      <c r="ER137" s="2" t="s">
        <v>94</v>
      </c>
      <c r="ES137" s="2" t="s">
        <v>94</v>
      </c>
      <c r="ET137" s="2" t="str">
        <f>HYPERLINK(".\links\REFSEQ-INVERTEBRATE\AGAP010893-PA-REFSEQ-INVERTEBRATE.txt","oxysterol-binding protein 1 isoform X1")</f>
        <v>oxysterol-binding protein 1 isoform X1</v>
      </c>
      <c r="EU137" s="2" t="str">
        <f>HYPERLINK("http://www.ncbi.nlm.nih.gov/sutils/blink.cgi?pid=XP_035901278.1","0.0")</f>
        <v>0.0</v>
      </c>
      <c r="EV137" s="2" t="str">
        <f>HYPERLINK("http://www.ncbi.nlm.nih.gov/protein/XP_035901278.1","XP_035901278.1")</f>
        <v>XP_035901278.1</v>
      </c>
      <c r="EW137" s="2">
        <v>90</v>
      </c>
      <c r="EX137" s="2">
        <v>92</v>
      </c>
      <c r="EY137" s="2">
        <v>101</v>
      </c>
      <c r="EZ137" s="2" t="s">
        <v>184</v>
      </c>
    </row>
    <row r="138" spans="1:156" x14ac:dyDescent="0.25">
      <c r="A138" s="2" t="s">
        <v>1750</v>
      </c>
      <c r="B138" s="2">
        <v>0.66643751461114598</v>
      </c>
      <c r="C138" s="2">
        <v>1.5871489353971948</v>
      </c>
      <c r="D138" s="2">
        <v>5.4746049996119703</v>
      </c>
      <c r="E138" s="2">
        <v>10.786173322651999</v>
      </c>
      <c r="F138" s="2">
        <v>1.02261063982423E-3</v>
      </c>
      <c r="G138" s="2">
        <v>4.279127796822E-2</v>
      </c>
      <c r="H138" s="2" t="s">
        <v>1751</v>
      </c>
      <c r="I138" s="2" t="s">
        <v>87</v>
      </c>
      <c r="J138" s="2" t="str">
        <f>HYPERLINK("https://vectorbase.org/vectorbase/app/record/gene/AGAP007163","AGAP007163-RB")</f>
        <v>AGAP007163-RB</v>
      </c>
      <c r="K138" s="2" t="str">
        <f>HYPERLINK(".\links\pep\AGAP007163-PB-pep.txt","AGAP007163-PB")</f>
        <v>AGAP007163-PB</v>
      </c>
      <c r="L138" s="8" t="s">
        <v>88</v>
      </c>
      <c r="M138" s="2">
        <v>900</v>
      </c>
      <c r="N138" s="2">
        <v>0</v>
      </c>
      <c r="O138" s="2">
        <v>4</v>
      </c>
      <c r="P138" s="2" t="s">
        <v>1752</v>
      </c>
      <c r="Q138" s="9" t="s">
        <v>453</v>
      </c>
      <c r="R138" s="2" t="s">
        <v>318</v>
      </c>
      <c r="S138" s="2" t="str">
        <f>HYPERLINK(".\links\KOG\AGAP007163-PB-KOG.txt","KOG")</f>
        <v>KOG</v>
      </c>
      <c r="T138" s="2">
        <v>4.9999999999999999E-48</v>
      </c>
      <c r="U138" s="2">
        <v>62.8</v>
      </c>
      <c r="V138" s="2" t="s">
        <v>1753</v>
      </c>
      <c r="W138" s="10" t="s">
        <v>1754</v>
      </c>
      <c r="X138" s="2" t="s">
        <v>318</v>
      </c>
      <c r="Y138" s="2" t="str">
        <f>HYPERLINK(".\links\KOG\AGAP007163-PB-KOG.txt","KOG")</f>
        <v>KOG</v>
      </c>
      <c r="Z138" s="13">
        <v>6.0000000000000006E-39</v>
      </c>
      <c r="AA138" s="2">
        <v>51.9</v>
      </c>
      <c r="AB138" s="11" t="s">
        <v>94</v>
      </c>
      <c r="AC138" s="11" t="str">
        <f>HYPERLINK(".\links\Sigp\AGAP007163-PB-SigP.txt","CYT")</f>
        <v>CYT</v>
      </c>
      <c r="AD138" s="2" t="s">
        <v>94</v>
      </c>
      <c r="AE138" s="2">
        <v>101.76300000000001</v>
      </c>
      <c r="AF138" s="2">
        <v>5.59</v>
      </c>
      <c r="AG138" s="2" t="s">
        <v>94</v>
      </c>
      <c r="AH138" s="2" t="s">
        <v>94</v>
      </c>
      <c r="AI138" s="2" t="s">
        <v>463</v>
      </c>
      <c r="AJ138" s="11">
        <v>0</v>
      </c>
      <c r="AK138" s="2" t="s">
        <v>94</v>
      </c>
      <c r="AL138" s="2" t="s">
        <v>94</v>
      </c>
      <c r="AM138" s="2" t="s">
        <v>94</v>
      </c>
      <c r="AN138" s="11" t="str">
        <f>HYPERLINK(".\links\gpi\AGAP007163-PB-gpi.txt","N")</f>
        <v>N</v>
      </c>
      <c r="AO138" s="12" t="str">
        <f>HYPERLINK(".\links\netoglyc\AGAP007163-PB-netoglyc.txt","0")</f>
        <v>0</v>
      </c>
      <c r="AP138" s="11">
        <v>15.8</v>
      </c>
      <c r="AQ138" s="2">
        <v>3.4</v>
      </c>
      <c r="AR138" s="2">
        <v>4</v>
      </c>
      <c r="AS138" s="2" t="s">
        <v>97</v>
      </c>
      <c r="AT138" s="9" t="str">
        <f>HYPERLINK(".\links\NR-LIGHT\AGAP007163-PB-NR-LIGHT.txt","AGAP007163-PB")</f>
        <v>AGAP007163-PB</v>
      </c>
      <c r="AU138" s="2" t="str">
        <f>HYPERLINK("http://www.ncbi.nlm.nih.gov/sutils/blink.cgi?pid=XP_001688029.1","0.0")</f>
        <v>0.0</v>
      </c>
      <c r="AV138" s="2" t="str">
        <f>HYPERLINK("http://www.ncbi.nlm.nih.gov/protein/XP_001688029.1","XP_001688029.1")</f>
        <v>XP_001688029.1</v>
      </c>
      <c r="AW138" s="2">
        <v>100</v>
      </c>
      <c r="AX138" s="2">
        <v>100</v>
      </c>
      <c r="AY138" s="2">
        <v>100</v>
      </c>
      <c r="AZ138" s="2" t="s">
        <v>98</v>
      </c>
      <c r="BA138" s="9" t="str">
        <f>HYPERLINK(".\links\REFSEQ-INVERTEBRATE\AGAP007163-PB-REFSEQ-INVERTEBRATE.txt","AGAP007163-PB")</f>
        <v>AGAP007163-PB</v>
      </c>
      <c r="BB138" s="2" t="str">
        <f>HYPERLINK("http://www.ncbi.nlm.nih.gov/sutils/blink.cgi?pid=XP_001688029.1","0.0")</f>
        <v>0.0</v>
      </c>
      <c r="BC138" s="2" t="str">
        <f>HYPERLINK("http://www.ncbi.nlm.nih.gov/protein/XP_001688029.1","XP_001688029.1")</f>
        <v>XP_001688029.1</v>
      </c>
      <c r="BD138" s="2">
        <v>100</v>
      </c>
      <c r="BE138" s="2">
        <v>100</v>
      </c>
      <c r="BF138" s="2">
        <v>100</v>
      </c>
      <c r="BG138" s="2" t="s">
        <v>98</v>
      </c>
      <c r="BH138" s="9" t="str">
        <f>HYPERLINK(".\links\REFSEQ-PROTOZOA\AGAP007163-PB-REFSEQ-PROTOZOA.txt","hypothetical protein IMG5_112180, partial")</f>
        <v>hypothetical protein IMG5_112180, partial</v>
      </c>
      <c r="BI138" s="2" t="str">
        <f>HYPERLINK("http://www.ncbi.nlm.nih.gov/sutils/blink.cgi?pid=XP_004034834.1","2E-047")</f>
        <v>2E-047</v>
      </c>
      <c r="BJ138" s="2" t="str">
        <f>HYPERLINK("http://www.ncbi.nlm.nih.gov/protein/XP_004034834.1","XP_004034834.1")</f>
        <v>XP_004034834.1</v>
      </c>
      <c r="BK138" s="2">
        <v>35</v>
      </c>
      <c r="BL138" s="2">
        <v>57</v>
      </c>
      <c r="BM138" s="2">
        <v>52</v>
      </c>
      <c r="BN138" s="2" t="s">
        <v>1755</v>
      </c>
      <c r="BO138" s="9" t="str">
        <f>HYPERLINK(".\links\SWISSP\AGAP007163-PB-SWISSP.txt","High affinity cAMP-specific and IBMX-insensitive 3',5'-cyclic phosphodiesterase")</f>
        <v>High affinity cAMP-specific and IBMX-insensitive 3',5'-cyclic phosphodiesterase</v>
      </c>
      <c r="BP138" s="2" t="str">
        <f>HYPERLINK("http://www.uniprot.org/uniprot/Q6NNF2","0.0")</f>
        <v>0.0</v>
      </c>
      <c r="BQ138" s="2" t="str">
        <f>HYPERLINK("http://www.uniprot.org/uniprot/Q6NNF2#expression","Q6NNF2")</f>
        <v>Q6NNF2</v>
      </c>
      <c r="BR138" s="2">
        <v>62</v>
      </c>
      <c r="BS138" s="2">
        <v>78</v>
      </c>
      <c r="BT138" s="2">
        <v>84</v>
      </c>
      <c r="BU138" s="2" t="s">
        <v>100</v>
      </c>
      <c r="BV138" s="9" t="str">
        <f>HYPERLINK(".\links\FLYBASE\AGAP007163-PB-FLYBASE.txt","FBpp0310596")</f>
        <v>FBpp0310596</v>
      </c>
      <c r="BW138" s="2" t="str">
        <f>HYPERLINK("http://flybase.org/reports/FBgn0266377#alliance_summary_container","0.0")</f>
        <v>0.0</v>
      </c>
      <c r="BX138" s="2">
        <v>1050</v>
      </c>
      <c r="BY138" s="2">
        <v>62</v>
      </c>
      <c r="BZ138" s="2">
        <v>78</v>
      </c>
      <c r="CA138" s="2">
        <v>74</v>
      </c>
      <c r="CB138" s="9" t="str">
        <f>HYPERLINK(".\links\CDD\AGAP007163-PB-CDD.txt","PDEase_I, 3'5'-cyclic nucleotide phosphodiesterase")</f>
        <v>PDEase_I, 3'5'-cyclic nucleotide phosphodiesterase</v>
      </c>
      <c r="CC138" s="13">
        <v>5.9999999999999998E-78</v>
      </c>
      <c r="CD138" s="2">
        <v>103.4</v>
      </c>
      <c r="CE138" s="2" t="s">
        <v>456</v>
      </c>
      <c r="CF138" s="2" t="s">
        <v>1756</v>
      </c>
      <c r="CG138" s="9" t="str">
        <f>HYPERLINK(".\links\KOG\AGAP007163-PB-KOG.txt","3'5'-cyclic nucleotide phosphodiesterases")</f>
        <v>3'5'-cyclic nucleotide phosphodiesterases</v>
      </c>
      <c r="CH138" s="13">
        <v>1E-153</v>
      </c>
      <c r="CI138" s="2">
        <v>99.2</v>
      </c>
      <c r="CJ138" s="2" t="s">
        <v>1757</v>
      </c>
      <c r="CK138" s="2" t="s">
        <v>326</v>
      </c>
      <c r="CL138" s="9" t="str">
        <f>HYPERLINK(".\links\PFAM\AGAP007163-PB-PFAM.txt","PDEase_I, 3'5'-cyclic nucleotide phosphodiesterase")</f>
        <v>PDEase_I, 3'5'-cyclic nucleotide phosphodiesterase</v>
      </c>
      <c r="CM138" s="13">
        <v>1E-78</v>
      </c>
      <c r="CN138" s="2">
        <v>103.4</v>
      </c>
      <c r="CO138" s="2" t="s">
        <v>456</v>
      </c>
      <c r="CP138" s="9" t="str">
        <f>HYPERLINK(".\links\SMART\AGAP007163-PB-SMART.txt","HDc, Metal dependent phosphohydrolases with conserved 'HD' motif")</f>
        <v>HDc, Metal dependent phosphohydrolases with conserved 'HD' motif</v>
      </c>
      <c r="CQ138" s="13">
        <v>3.0000000000000001E-6</v>
      </c>
      <c r="CR138" s="2">
        <v>138.69999999999999</v>
      </c>
      <c r="CS138" s="2" t="s">
        <v>967</v>
      </c>
      <c r="CT138" s="2" t="s">
        <v>1753</v>
      </c>
      <c r="CU138" s="2" t="s">
        <v>1753</v>
      </c>
      <c r="CV138" s="2" t="s">
        <v>1753</v>
      </c>
      <c r="CW138" s="2" t="str">
        <f>HYPERLINK(".\links\pep\AGAP007163-PB-pep.txt","AGAP007163-PB")</f>
        <v>AGAP007163-PB</v>
      </c>
      <c r="CX138" s="2" t="s">
        <v>88</v>
      </c>
      <c r="CY138" s="2">
        <v>900</v>
      </c>
      <c r="CZ138" s="2" t="s">
        <v>106</v>
      </c>
      <c r="DA138" s="2" t="s">
        <v>1758</v>
      </c>
      <c r="DB138" s="2">
        <v>0</v>
      </c>
      <c r="DC138" s="2">
        <v>4</v>
      </c>
      <c r="DD138" s="2" t="str">
        <f>HYPERLINK("https://www.kegg.jp/kegg-bin/search_pathway_text?map=aga&amp;keyword=AGAP007163&amp;mode=1&amp;viewImage=true","AGAP007163")</f>
        <v>AGAP007163</v>
      </c>
      <c r="DE138" s="2" t="s">
        <v>1750</v>
      </c>
      <c r="DF138" s="2" t="s">
        <v>1751</v>
      </c>
      <c r="DG138" s="2" t="s">
        <v>87</v>
      </c>
      <c r="DH138" s="2" t="str">
        <f>HYPERLINK("https://vectorbase.org/vectorbase/app/record/gene/AGAP007163","AGAP007163-RB")</f>
        <v>AGAP007163-RB</v>
      </c>
      <c r="DI138" s="2" t="s">
        <v>250</v>
      </c>
      <c r="DJ138" s="2">
        <v>2757</v>
      </c>
      <c r="DK138" s="2" t="str">
        <f>HYPERLINK(".\links\netoglyc\AGAP007163-PB-netoglyc.txt","0")</f>
        <v>0</v>
      </c>
      <c r="DL138" s="2">
        <v>15.8</v>
      </c>
      <c r="DM138" s="2">
        <v>3.4</v>
      </c>
      <c r="DN138" s="2">
        <v>4</v>
      </c>
      <c r="DO138" s="2" t="s">
        <v>97</v>
      </c>
      <c r="DP138" s="2" t="s">
        <v>94</v>
      </c>
      <c r="DQ138" s="2" t="str">
        <f>HYPERLINK(".\links\Sigp\AGAP007163-PB-SigP.txt","CYT")</f>
        <v>CYT</v>
      </c>
      <c r="DR138" s="2" t="s">
        <v>94</v>
      </c>
      <c r="DS138" s="2">
        <v>101.76300000000001</v>
      </c>
      <c r="DT138" s="2">
        <v>5.59</v>
      </c>
      <c r="DU138" s="2" t="s">
        <v>94</v>
      </c>
      <c r="DV138" s="2" t="s">
        <v>94</v>
      </c>
      <c r="DW138" s="2" t="s">
        <v>463</v>
      </c>
      <c r="DX138" s="2">
        <v>900</v>
      </c>
      <c r="DY138" s="8">
        <v>0</v>
      </c>
      <c r="DZ138" s="2" t="s">
        <v>94</v>
      </c>
      <c r="EA138" s="2" t="s">
        <v>94</v>
      </c>
      <c r="EB138" s="2" t="s">
        <v>94</v>
      </c>
      <c r="EC138" s="2" t="str">
        <f>HYPERLINK(".\links\gpi\AGAP007163-PB-gpi.txt","N")</f>
        <v>N</v>
      </c>
      <c r="ED138" s="2">
        <v>0.19</v>
      </c>
      <c r="EF138" s="2">
        <v>12</v>
      </c>
      <c r="EG138" s="2" t="s">
        <v>94</v>
      </c>
      <c r="EH138" s="2" t="s">
        <v>94</v>
      </c>
      <c r="EI138" s="2">
        <v>15.7777777777778</v>
      </c>
      <c r="EJ138" s="2">
        <v>4</v>
      </c>
      <c r="EK138" s="2">
        <v>3.4444444444444402</v>
      </c>
      <c r="EL138" s="2">
        <v>7.4444444444444402</v>
      </c>
      <c r="EM138" s="2" t="s">
        <v>94</v>
      </c>
      <c r="EN138" s="2">
        <v>1</v>
      </c>
      <c r="EO138" s="2">
        <v>2</v>
      </c>
      <c r="EP138" s="2" t="s">
        <v>94</v>
      </c>
      <c r="EQ138" s="2" t="s">
        <v>94</v>
      </c>
      <c r="ER138" s="2" t="s">
        <v>94</v>
      </c>
      <c r="ES138" s="2" t="s">
        <v>94</v>
      </c>
      <c r="ET138" s="2" t="str">
        <f>HYPERLINK(".\links\REFSEQ-INVERTEBRATE\AGAP007163-PB-REFSEQ-INVERTEBRATE.txt","AGAP007163-PB")</f>
        <v>AGAP007163-PB</v>
      </c>
      <c r="EU138" s="2" t="str">
        <f>HYPERLINK("http://www.ncbi.nlm.nih.gov/sutils/blink.cgi?pid=XP_001688029.1","0.0")</f>
        <v>0.0</v>
      </c>
      <c r="EV138" s="2" t="str">
        <f>HYPERLINK("http://www.ncbi.nlm.nih.gov/protein/XP_001688029.1","XP_001688029.1")</f>
        <v>XP_001688029.1</v>
      </c>
      <c r="EW138" s="2">
        <v>100</v>
      </c>
      <c r="EX138" s="2">
        <v>100</v>
      </c>
      <c r="EY138" s="2">
        <v>100</v>
      </c>
      <c r="EZ138" s="2" t="s">
        <v>98</v>
      </c>
    </row>
    <row r="139" spans="1:156" x14ac:dyDescent="0.25">
      <c r="A139" s="2" t="s">
        <v>1759</v>
      </c>
      <c r="B139" s="2">
        <v>0.66531036605073901</v>
      </c>
      <c r="C139" s="2">
        <v>1.5859094121905293</v>
      </c>
      <c r="D139" s="2">
        <v>3.4739442301743302</v>
      </c>
      <c r="E139" s="2">
        <v>11.0205879470996</v>
      </c>
      <c r="F139" s="2">
        <v>9.0105486837395497E-4</v>
      </c>
      <c r="G139" s="2">
        <v>3.9450351343576398E-2</v>
      </c>
      <c r="H139" s="2" t="s">
        <v>167</v>
      </c>
      <c r="I139" s="2" t="s">
        <v>87</v>
      </c>
      <c r="J139" s="2" t="str">
        <f>HYPERLINK("https://vectorbase.org/vectorbase/app/record/gene/AGAP009560","AGAP009560-RA")</f>
        <v>AGAP009560-RA</v>
      </c>
      <c r="K139" s="2" t="str">
        <f>HYPERLINK(".\links\pep\AGAP009560-PA-pep.txt","AGAP009560-PA")</f>
        <v>AGAP009560-PA</v>
      </c>
      <c r="L139" s="8" t="s">
        <v>88</v>
      </c>
      <c r="M139" s="2">
        <v>974</v>
      </c>
      <c r="N139" s="2">
        <v>0</v>
      </c>
      <c r="O139" s="2">
        <v>4</v>
      </c>
      <c r="P139" s="2" t="s">
        <v>94</v>
      </c>
      <c r="Q139" s="9" t="s">
        <v>1760</v>
      </c>
      <c r="R139" s="2" t="s">
        <v>318</v>
      </c>
      <c r="S139" s="2" t="str">
        <f>HYPERLINK(".\links\CDD\AGAP009560-PA-CDD.txt","CDD")</f>
        <v>CDD</v>
      </c>
      <c r="T139" s="2">
        <v>7.0000000000000003E-19</v>
      </c>
      <c r="U139" s="2">
        <v>77.2</v>
      </c>
      <c r="V139" s="2" t="s">
        <v>1761</v>
      </c>
      <c r="W139" s="10" t="s">
        <v>1762</v>
      </c>
      <c r="X139" s="2" t="s">
        <v>318</v>
      </c>
      <c r="Y139" s="2" t="str">
        <f>HYPERLINK(".\links\UNIPROTKB\AGAP009560-PA-UNIPROTKB.txt","UNIPROTKB")</f>
        <v>UNIPROTKB</v>
      </c>
      <c r="Z139" s="13">
        <v>1E-56</v>
      </c>
      <c r="AA139" s="2">
        <v>37.700000000000003</v>
      </c>
      <c r="AB139" s="11" t="str">
        <f>HYPERLINK(".\links\pep\AGAP009560-PA-sulf.txt","3")</f>
        <v>3</v>
      </c>
      <c r="AC139" s="11" t="str">
        <f>HYPERLINK(".\links\Sigp\AGAP009560-PA-SigP.txt","CYT")</f>
        <v>CYT</v>
      </c>
      <c r="AD139" s="2" t="s">
        <v>94</v>
      </c>
      <c r="AE139" s="2">
        <v>106.235</v>
      </c>
      <c r="AF139" s="2">
        <v>8.23</v>
      </c>
      <c r="AG139" s="2" t="s">
        <v>94</v>
      </c>
      <c r="AH139" s="2" t="s">
        <v>94</v>
      </c>
      <c r="AI139" s="2" t="s">
        <v>740</v>
      </c>
      <c r="AJ139" s="11">
        <v>0</v>
      </c>
      <c r="AK139" s="2" t="s">
        <v>94</v>
      </c>
      <c r="AL139" s="2" t="s">
        <v>94</v>
      </c>
      <c r="AM139" s="2" t="s">
        <v>94</v>
      </c>
      <c r="AN139" s="11" t="str">
        <f>HYPERLINK(".\links\gpi\AGAP009560-PA-gpi.txt","N")</f>
        <v>N</v>
      </c>
      <c r="AO139" s="12" t="str">
        <f>HYPERLINK(".\links\netoglyc\AGAP009560-PA-netoglyc.txt","5")</f>
        <v>5</v>
      </c>
      <c r="AP139" s="11">
        <v>17.7</v>
      </c>
      <c r="AQ139" s="2">
        <v>7.4</v>
      </c>
      <c r="AR139" s="2">
        <v>6.6</v>
      </c>
      <c r="AS139" s="2" t="s">
        <v>97</v>
      </c>
      <c r="AT139" s="9" t="str">
        <f>HYPERLINK(".\links\NR-LIGHT\AGAP009560-PA-NR-LIGHT.txt","AGAP009560-PA-like protein")</f>
        <v>AGAP009560-PA-like protein</v>
      </c>
      <c r="AU139" s="2" t="str">
        <f>HYPERLINK("http://www.ncbi.nlm.nih.gov/sutils/blink.cgi?pid=KFB44850.1","0.0")</f>
        <v>0.0</v>
      </c>
      <c r="AV139" s="2" t="str">
        <f>HYPERLINK("http://www.ncbi.nlm.nih.gov/protein/KFB44850.1","KFB44850.1")</f>
        <v>KFB44850.1</v>
      </c>
      <c r="AW139" s="2">
        <v>81</v>
      </c>
      <c r="AX139" s="2">
        <v>85</v>
      </c>
      <c r="AY139" s="2">
        <v>99</v>
      </c>
      <c r="AZ139" s="2" t="s">
        <v>174</v>
      </c>
      <c r="BA139" s="9" t="str">
        <f>HYPERLINK(".\links\REFSEQ-INVERTEBRATE\AGAP009560-PA-REFSEQ-INVERTEBRATE.txt","breast cancer anti-estrogen resistance protein 3 homolog isoform X4")</f>
        <v>breast cancer anti-estrogen resistance protein 3 homolog isoform X4</v>
      </c>
      <c r="BB139" s="2" t="str">
        <f>HYPERLINK("http://www.ncbi.nlm.nih.gov/sutils/blink.cgi?pid=XP_019550563.1","0.0")</f>
        <v>0.0</v>
      </c>
      <c r="BC139" s="2" t="str">
        <f>HYPERLINK("http://www.ncbi.nlm.nih.gov/protein/XP_019550563.1","XP_019550563.1")</f>
        <v>XP_019550563.1</v>
      </c>
      <c r="BD139" s="2">
        <v>75</v>
      </c>
      <c r="BE139" s="2">
        <v>84</v>
      </c>
      <c r="BF139" s="2">
        <v>104</v>
      </c>
      <c r="BG139" s="2" t="s">
        <v>495</v>
      </c>
      <c r="BH139" s="9" t="str">
        <f>HYPERLINK(".\links\REFSEQ-PROTOZOA\AGAP009560-PA-REFSEQ-PROTOZOA.txt","proteophosphoglycan ppg4")</f>
        <v>proteophosphoglycan ppg4</v>
      </c>
      <c r="BI139" s="2" t="str">
        <f>HYPERLINK("http://www.ncbi.nlm.nih.gov/sutils/blink.cgi?pid=XP_001568166.1","6E-011")</f>
        <v>6E-011</v>
      </c>
      <c r="BJ139" s="2" t="str">
        <f>HYPERLINK("http://www.ncbi.nlm.nih.gov/protein/XP_001568166.1","XP_001568166.1")</f>
        <v>XP_001568166.1</v>
      </c>
      <c r="BK139" s="2">
        <v>25</v>
      </c>
      <c r="BL139" s="2">
        <v>37</v>
      </c>
      <c r="BM139" s="2">
        <v>6</v>
      </c>
      <c r="BN139" s="2" t="s">
        <v>653</v>
      </c>
      <c r="BO139" s="9" t="str">
        <f>HYPERLINK(".\links\SWISSP\AGAP009560-PA-SWISSP.txt","SH2 domain-containing protein 3C")</f>
        <v>SH2 domain-containing protein 3C</v>
      </c>
      <c r="BP139" s="2" t="str">
        <f>HYPERLINK("http://www.uniprot.org/uniprot/Q8N5H7","4E-085")</f>
        <v>4E-085</v>
      </c>
      <c r="BQ139" s="2" t="str">
        <f>HYPERLINK("http://www.uniprot.org/uniprot/Q8N5H7#expression","Q8N5H7")</f>
        <v>Q8N5H7</v>
      </c>
      <c r="BR139" s="2">
        <v>31</v>
      </c>
      <c r="BS139" s="2">
        <v>45</v>
      </c>
      <c r="BT139" s="2">
        <v>92</v>
      </c>
      <c r="BU139" s="2" t="s">
        <v>196</v>
      </c>
      <c r="BV139" s="9" t="str">
        <f>HYPERLINK(".\links\FLYBASE\AGAP009560-PA-FLYBASE.txt","FBpp0078859")</f>
        <v>FBpp0078859</v>
      </c>
      <c r="BW139" s="2" t="str">
        <f>HYPERLINK("http://flybase.org/reports/FBgn0031762#alliance_summary_container","1E-123")</f>
        <v>1E-123</v>
      </c>
      <c r="BX139" s="2">
        <v>944</v>
      </c>
      <c r="BY139" s="2">
        <v>51</v>
      </c>
      <c r="BZ139" s="2">
        <v>65</v>
      </c>
      <c r="CA139" s="2">
        <v>42</v>
      </c>
      <c r="CB139" s="9" t="str">
        <f>HYPERLINK(".\links\CDD\AGAP009560-PA-CDD.txt","SH2_BCAR3, Src homology 2 (SH2) domain in the Breast Cancer Anti-estrogen Resistance protein 3")</f>
        <v>SH2_BCAR3, Src homology 2 (SH2) domain in the Breast Cancer Anti-estrogen Resistance protein 3</v>
      </c>
      <c r="CC139" s="13">
        <v>3.0000000000000002E-53</v>
      </c>
      <c r="CD139" s="2">
        <v>97.8</v>
      </c>
      <c r="CE139" s="2" t="s">
        <v>1763</v>
      </c>
      <c r="CF139" s="2" t="s">
        <v>1764</v>
      </c>
      <c r="CG139" s="9" t="str">
        <f>HYPERLINK(".\links\KOG\AGAP009560-PA-KOG.txt","Crk family adapters")</f>
        <v>Crk family adapters</v>
      </c>
      <c r="CH139" s="13">
        <v>1.9999999999999999E-11</v>
      </c>
      <c r="CI139" s="2">
        <v>31.4</v>
      </c>
      <c r="CJ139" s="2" t="s">
        <v>1765</v>
      </c>
      <c r="CK139" s="2" t="s">
        <v>326</v>
      </c>
      <c r="CL139" s="9" t="str">
        <f>HYPERLINK(".\links\PFAM\AGAP009560-PA-PFAM.txt","SH2, SH2 domain")</f>
        <v>SH2, SH2 domain</v>
      </c>
      <c r="CM139" s="13">
        <v>1.0000000000000001E-15</v>
      </c>
      <c r="CN139" s="2">
        <v>109.1</v>
      </c>
      <c r="CO139" s="2" t="s">
        <v>1766</v>
      </c>
      <c r="CP139" s="9" t="str">
        <f>HYPERLINK(".\links\SMART\AGAP009560-PA-SMART.txt","RasGEF, Guanine nucleotide exchange factor for Ras-like small GTPases")</f>
        <v>RasGEF, Guanine nucleotide exchange factor for Ras-like small GTPases</v>
      </c>
      <c r="CQ139" s="13">
        <v>9.9999999999999998E-20</v>
      </c>
      <c r="CR139" s="2">
        <v>76</v>
      </c>
      <c r="CS139" s="2" t="s">
        <v>1767</v>
      </c>
      <c r="CT139" s="2" t="s">
        <v>1761</v>
      </c>
      <c r="CU139" s="2" t="s">
        <v>1761</v>
      </c>
      <c r="CV139" s="2" t="s">
        <v>1761</v>
      </c>
      <c r="CW139" s="2" t="str">
        <f>HYPERLINK(".\links\pep\AGAP009560-PA-pep.txt","AGAP009560-PA")</f>
        <v>AGAP009560-PA</v>
      </c>
      <c r="CX139" s="2" t="s">
        <v>88</v>
      </c>
      <c r="CY139" s="2">
        <v>974</v>
      </c>
      <c r="CZ139" s="2" t="s">
        <v>106</v>
      </c>
      <c r="DA139" s="2" t="s">
        <v>1768</v>
      </c>
      <c r="DB139" s="2">
        <v>0</v>
      </c>
      <c r="DC139" s="2">
        <v>4</v>
      </c>
      <c r="DD139" s="2" t="str">
        <f>HYPERLINK("https://www.kegg.jp/kegg-bin/search_pathway_text?map=aga&amp;keyword=AGAP009560&amp;mode=1&amp;viewImage=true","AGAP009560")</f>
        <v>AGAP009560</v>
      </c>
      <c r="DE139" s="2" t="s">
        <v>1759</v>
      </c>
      <c r="DF139" s="2" t="s">
        <v>167</v>
      </c>
      <c r="DG139" s="2" t="s">
        <v>87</v>
      </c>
      <c r="DH139" s="2" t="str">
        <f>HYPERLINK("https://vectorbase.org/vectorbase/app/record/gene/AGAP009560","AGAP009560-RA")</f>
        <v>AGAP009560-RA</v>
      </c>
      <c r="DI139" s="2" t="s">
        <v>108</v>
      </c>
      <c r="DJ139" s="2">
        <v>6508</v>
      </c>
      <c r="DK139" s="2" t="str">
        <f>HYPERLINK(".\links\netoglyc\AGAP009560-PA-netoglyc.txt","5")</f>
        <v>5</v>
      </c>
      <c r="DL139" s="2">
        <v>17.7</v>
      </c>
      <c r="DM139" s="2">
        <v>7.4</v>
      </c>
      <c r="DN139" s="2">
        <v>6.6</v>
      </c>
      <c r="DO139" s="2" t="s">
        <v>97</v>
      </c>
      <c r="DP139" s="2" t="s">
        <v>1769</v>
      </c>
      <c r="DQ139" s="2" t="str">
        <f>HYPERLINK(".\links\Sigp\AGAP009560-PA-SigP.txt","CYT")</f>
        <v>CYT</v>
      </c>
      <c r="DR139" s="2" t="s">
        <v>94</v>
      </c>
      <c r="DS139" s="2">
        <v>106.23399999999999</v>
      </c>
      <c r="DT139" s="2">
        <v>8.23</v>
      </c>
      <c r="DU139" s="2" t="s">
        <v>94</v>
      </c>
      <c r="DV139" s="2" t="s">
        <v>94</v>
      </c>
      <c r="DW139" s="2" t="s">
        <v>740</v>
      </c>
      <c r="DX139" s="2">
        <v>974</v>
      </c>
      <c r="DY139" s="8">
        <v>0</v>
      </c>
      <c r="DZ139" s="2" t="s">
        <v>94</v>
      </c>
      <c r="EA139" s="2" t="s">
        <v>94</v>
      </c>
      <c r="EB139" s="2" t="s">
        <v>94</v>
      </c>
      <c r="EC139" s="2" t="str">
        <f>HYPERLINK(".\links\gpi\AGAP009560-PA-gpi.txt","Y-NoSP")</f>
        <v>Y-NoSP</v>
      </c>
      <c r="ED139" s="2">
        <v>0.13</v>
      </c>
      <c r="EF139" s="2">
        <v>20</v>
      </c>
      <c r="EG139" s="2" t="str">
        <f>HYPERLINK(".\links\pep\AGAP009560-PA-sulf.txt","3")</f>
        <v>3</v>
      </c>
      <c r="EH139" s="2" t="s">
        <v>94</v>
      </c>
      <c r="EI139" s="2">
        <v>17.659137577002099</v>
      </c>
      <c r="EJ139" s="2">
        <v>6.5708418891170401</v>
      </c>
      <c r="EK139" s="2">
        <v>7.3921971252566703</v>
      </c>
      <c r="EL139" s="2">
        <v>13.963039014373701</v>
      </c>
      <c r="EM139" s="2" t="s">
        <v>94</v>
      </c>
      <c r="EN139" s="2">
        <v>2</v>
      </c>
      <c r="EO139" s="2">
        <v>2</v>
      </c>
      <c r="EP139" s="2" t="s">
        <v>94</v>
      </c>
      <c r="EQ139" s="2" t="s">
        <v>94</v>
      </c>
      <c r="ER139" s="2" t="s">
        <v>94</v>
      </c>
      <c r="ES139" s="2" t="s">
        <v>94</v>
      </c>
      <c r="ET139" s="2" t="str">
        <f>HYPERLINK(".\links\REFSEQ-INVERTEBRATE\AGAP009560-PA-REFSEQ-INVERTEBRATE.txt","breast cancer anti-estrogen resistance protein 3 homolog isoform X1")</f>
        <v>breast cancer anti-estrogen resistance protein 3 homolog isoform X1</v>
      </c>
      <c r="EU139" s="2" t="str">
        <f>HYPERLINK("http://www.ncbi.nlm.nih.gov/sutils/blink.cgi?pid=XP_035908653.1","0.0")</f>
        <v>0.0</v>
      </c>
      <c r="EV139" s="2" t="str">
        <f>HYPERLINK("http://www.ncbi.nlm.nih.gov/protein/XP_035908653.1","XP_035908653.1")</f>
        <v>XP_035908653.1</v>
      </c>
      <c r="EW139" s="2">
        <v>91</v>
      </c>
      <c r="EX139" s="2">
        <v>94</v>
      </c>
      <c r="EY139" s="2">
        <v>101</v>
      </c>
      <c r="EZ139" s="2" t="s">
        <v>184</v>
      </c>
    </row>
    <row r="140" spans="1:156" x14ac:dyDescent="0.25">
      <c r="A140" s="2" t="s">
        <v>1770</v>
      </c>
      <c r="B140" s="2">
        <v>0.66530782201072203</v>
      </c>
      <c r="C140" s="2">
        <v>1.5859066156095913</v>
      </c>
      <c r="D140" s="2">
        <v>4.0539572377659798</v>
      </c>
      <c r="E140" s="2">
        <v>10.853511258979699</v>
      </c>
      <c r="F140" s="2">
        <v>9.8608605125315402E-4</v>
      </c>
      <c r="G140" s="2">
        <v>4.1818008012112502E-2</v>
      </c>
      <c r="H140" s="2" t="s">
        <v>1771</v>
      </c>
      <c r="I140" s="2" t="s">
        <v>87</v>
      </c>
      <c r="J140" s="2" t="str">
        <f>HYPERLINK("https://vectorbase.org/vectorbase/app/record/gene/AGAP003643","AGAP003643-RA")</f>
        <v>AGAP003643-RA</v>
      </c>
      <c r="K140" s="2" t="str">
        <f>HYPERLINK(".\links\pep\AGAP003643-PA-pep.txt","AGAP003643-PA")</f>
        <v>AGAP003643-PA</v>
      </c>
      <c r="L140" s="8" t="s">
        <v>88</v>
      </c>
      <c r="M140" s="2">
        <v>4619</v>
      </c>
      <c r="N140" s="2">
        <v>0</v>
      </c>
      <c r="O140" s="2">
        <v>15</v>
      </c>
      <c r="P140" s="2" t="s">
        <v>1772</v>
      </c>
      <c r="Q140" s="9" t="s">
        <v>1773</v>
      </c>
      <c r="R140" s="2" t="s">
        <v>651</v>
      </c>
      <c r="S140" s="2" t="str">
        <f>HYPERLINK(".\links\REFSEQ-INVERTEBRATE\AGAP003643-PA-REFSEQ-INVERTEBRATE.txt","REFSEQ-INVERTEBRATE")</f>
        <v>REFSEQ-INVERTEBRATE</v>
      </c>
      <c r="T140" s="2">
        <v>0</v>
      </c>
      <c r="U140" s="2">
        <v>110.5</v>
      </c>
      <c r="V140" s="2" t="s">
        <v>1774</v>
      </c>
      <c r="W140" s="10" t="s">
        <v>1775</v>
      </c>
      <c r="X140" s="2" t="s">
        <v>651</v>
      </c>
      <c r="Y140" s="2" t="str">
        <f>HYPERLINK(".\links\REFSEQVERTEBRATE95\AGAP003643-PA-REFSEQVERTEBRATE95.txt","REFSEQVERTEBRATE95")</f>
        <v>REFSEQVERTEBRATE95</v>
      </c>
      <c r="Z140" s="13">
        <v>0</v>
      </c>
      <c r="AA140" s="2">
        <v>31.4</v>
      </c>
      <c r="AB140" s="11" t="str">
        <f>HYPERLINK(".\links\pep\AGAP003643-PA-sulf.txt","3")</f>
        <v>3</v>
      </c>
      <c r="AC140" s="11" t="str">
        <f>HYPERLINK(".\links\Sigp\AGAP003643-PA-SigP.txt","CYT")</f>
        <v>CYT</v>
      </c>
      <c r="AD140" s="2" t="s">
        <v>94</v>
      </c>
      <c r="AE140" s="2">
        <v>506.33600000000001</v>
      </c>
      <c r="AF140" s="2">
        <v>5.83</v>
      </c>
      <c r="AG140" s="2" t="s">
        <v>94</v>
      </c>
      <c r="AH140" s="2" t="s">
        <v>94</v>
      </c>
      <c r="AI140" s="2" t="s">
        <v>1776</v>
      </c>
      <c r="AJ140" s="11">
        <v>0</v>
      </c>
      <c r="AK140" s="2" t="s">
        <v>94</v>
      </c>
      <c r="AL140" s="2" t="s">
        <v>94</v>
      </c>
      <c r="AM140" s="2" t="s">
        <v>94</v>
      </c>
      <c r="AN140" s="11" t="str">
        <f>HYPERLINK(".\links\gpi\AGAP003643-PA-gpi.txt","N")</f>
        <v>N</v>
      </c>
      <c r="AO140" s="12" t="str">
        <f>HYPERLINK(".\links\netoglyc\AGAP003643-PA-netoglyc.txt","18")</f>
        <v>18</v>
      </c>
      <c r="AP140" s="11">
        <v>15.4</v>
      </c>
      <c r="AQ140" s="2">
        <v>6.3</v>
      </c>
      <c r="AR140" s="2">
        <v>5.6</v>
      </c>
      <c r="AS140" s="2" t="s">
        <v>97</v>
      </c>
      <c r="AT140" s="9" t="str">
        <f>HYPERLINK(".\links\NR-LIGHT\AGAP003643-PA-NR-LIGHT.txt","AGAP003643-PA")</f>
        <v>AGAP003643-PA</v>
      </c>
      <c r="AU140" s="2" t="str">
        <f>HYPERLINK("http://www.ncbi.nlm.nih.gov/sutils/blink.cgi?pid=XP_313408.5","0.0")</f>
        <v>0.0</v>
      </c>
      <c r="AV140" s="2" t="str">
        <f>HYPERLINK("http://www.ncbi.nlm.nih.gov/protein/XP_313408.5","XP_313408.5")</f>
        <v>XP_313408.5</v>
      </c>
      <c r="AW140" s="2">
        <v>100</v>
      </c>
      <c r="AX140" s="2">
        <v>100</v>
      </c>
      <c r="AY140" s="2">
        <v>100</v>
      </c>
      <c r="AZ140" s="2" t="s">
        <v>98</v>
      </c>
      <c r="BA140" s="9" t="str">
        <f>HYPERLINK(".\links\REFSEQ-INVERTEBRATE\AGAP003643-PA-REFSEQ-INVERTEBRATE.txt","AGAP003643-PA")</f>
        <v>AGAP003643-PA</v>
      </c>
      <c r="BB140" s="2" t="str">
        <f>HYPERLINK("http://www.ncbi.nlm.nih.gov/sutils/blink.cgi?pid=XP_313408.5","0.0")</f>
        <v>0.0</v>
      </c>
      <c r="BC140" s="2" t="str">
        <f>HYPERLINK("http://www.ncbi.nlm.nih.gov/protein/XP_313408.5","XP_313408.5")</f>
        <v>XP_313408.5</v>
      </c>
      <c r="BD140" s="2">
        <v>100</v>
      </c>
      <c r="BE140" s="2">
        <v>100</v>
      </c>
      <c r="BF140" s="2">
        <v>100</v>
      </c>
      <c r="BG140" s="2" t="s">
        <v>98</v>
      </c>
      <c r="BH140" s="9" t="str">
        <f>HYPERLINK(".\links\REFSEQ-PROTOZOA\AGAP003643-PA-REFSEQ-PROTOZOA.txt","hypothetical protein SAMD00019534_100160")</f>
        <v>hypothetical protein SAMD00019534_100160</v>
      </c>
      <c r="BI140" s="2" t="str">
        <f>HYPERLINK("http://www.ncbi.nlm.nih.gov/sutils/blink.cgi?pid=XP_012750109.1","9E-068")</f>
        <v>9E-068</v>
      </c>
      <c r="BJ140" s="2" t="str">
        <f>HYPERLINK("http://www.ncbi.nlm.nih.gov/protein/XP_012750109.1","XP_012750109.1")</f>
        <v>XP_012750109.1</v>
      </c>
      <c r="BK140" s="2">
        <v>28</v>
      </c>
      <c r="BL140" s="2">
        <v>47</v>
      </c>
      <c r="BM140" s="2">
        <v>23</v>
      </c>
      <c r="BN140" s="2" t="s">
        <v>136</v>
      </c>
      <c r="BO140" s="9" t="str">
        <f>HYPERLINK(".\links\SWISSP\AGAP003643-PA-SWISSP.txt","Ubiquitin carboxyl-terminal hydrolase puf")</f>
        <v>Ubiquitin carboxyl-terminal hydrolase puf</v>
      </c>
      <c r="BP140" s="2" t="str">
        <f>HYPERLINK("http://www.uniprot.org/uniprot/Q9VC56","0.0")</f>
        <v>0.0</v>
      </c>
      <c r="BQ140" s="2" t="str">
        <f>HYPERLINK("http://www.uniprot.org/uniprot/Q9VC56#expression","Q9VC56")</f>
        <v>Q9VC56</v>
      </c>
      <c r="BR140" s="2">
        <v>49</v>
      </c>
      <c r="BS140" s="2">
        <v>62</v>
      </c>
      <c r="BT140" s="2">
        <v>65</v>
      </c>
      <c r="BU140" s="2" t="s">
        <v>100</v>
      </c>
      <c r="BV140" s="9" t="str">
        <f>HYPERLINK(".\links\FLYBASE\AGAP003643-PA-FLYBASE.txt","FBpp0303341")</f>
        <v>FBpp0303341</v>
      </c>
      <c r="BW140" s="2" t="str">
        <f>HYPERLINK("http://flybase.org/reports/FBgn0039214#alliance_summary_container","0.0")</f>
        <v>0.0</v>
      </c>
      <c r="BX140" s="2">
        <v>3930</v>
      </c>
      <c r="BY140" s="2">
        <v>54</v>
      </c>
      <c r="BZ140" s="2">
        <v>65</v>
      </c>
      <c r="CA140" s="2">
        <v>40</v>
      </c>
      <c r="CB140" s="9" t="str">
        <f>HYPERLINK(".\links\CDD\AGAP003643-PA-CDD.txt","peptidase_C19C, A subfamily of Peptidase C19")</f>
        <v>peptidase_C19C, A subfamily of Peptidase C19</v>
      </c>
      <c r="CC140" s="13">
        <v>9.9999999999999993E-89</v>
      </c>
      <c r="CD140" s="2">
        <v>75.400000000000006</v>
      </c>
      <c r="CE140" s="2" t="s">
        <v>1777</v>
      </c>
      <c r="CF140" s="2" t="s">
        <v>1778</v>
      </c>
      <c r="CG140" s="9" t="str">
        <f>HYPERLINK(".\links\KOG\AGAP003643-PA-KOG.txt","Ubiquitin carboxyl-terminal hydrolase")</f>
        <v>Ubiquitin carboxyl-terminal hydrolase</v>
      </c>
      <c r="CH140" s="13">
        <v>2E-45</v>
      </c>
      <c r="CI140" s="2">
        <v>33.299999999999997</v>
      </c>
      <c r="CJ140" s="2" t="s">
        <v>1779</v>
      </c>
      <c r="CK140" s="2" t="s">
        <v>214</v>
      </c>
      <c r="CL140" s="9" t="str">
        <f>HYPERLINK(".\links\PFAM\AGAP003643-PA-PFAM.txt","UCH, Ubiquitin carboxyl-terminal hydrolase")</f>
        <v>UCH, Ubiquitin carboxyl-terminal hydrolase</v>
      </c>
      <c r="CM140" s="13">
        <v>3E-43</v>
      </c>
      <c r="CN140" s="2">
        <v>80.5</v>
      </c>
      <c r="CO140" s="2" t="s">
        <v>708</v>
      </c>
      <c r="CP140" s="9" t="str">
        <f>HYPERLINK(".\links\SMART\AGAP003643-PA-SMART.txt","UME, Domain in UVSB PI-3 kinase, MEI-41 and ESR-1")</f>
        <v>UME, Domain in UVSB PI-3 kinase, MEI-41 and ESR-1</v>
      </c>
      <c r="CQ140" s="13">
        <v>5.1999999999999998E-2</v>
      </c>
      <c r="CR140" s="2">
        <v>34.6</v>
      </c>
      <c r="CS140" s="2" t="s">
        <v>1780</v>
      </c>
      <c r="CT140" s="2" t="s">
        <v>1774</v>
      </c>
      <c r="CU140" s="2" t="s">
        <v>1774</v>
      </c>
      <c r="CV140" s="2" t="s">
        <v>1774</v>
      </c>
      <c r="CW140" s="2" t="str">
        <f>HYPERLINK(".\links\pep\AGAP003643-PA-pep.txt","AGAP003643-PA")</f>
        <v>AGAP003643-PA</v>
      </c>
      <c r="CX140" s="2" t="s">
        <v>88</v>
      </c>
      <c r="CY140" s="2">
        <v>4619</v>
      </c>
      <c r="CZ140" s="2" t="s">
        <v>106</v>
      </c>
      <c r="DA140" s="2" t="s">
        <v>1781</v>
      </c>
      <c r="DB140" s="2">
        <v>0</v>
      </c>
      <c r="DC140" s="2">
        <v>15</v>
      </c>
      <c r="DD140" s="2" t="str">
        <f>HYPERLINK("https://www.kegg.jp/kegg-bin/search_pathway_text?map=aga&amp;keyword=AGAP003643&amp;mode=1&amp;viewImage=true","AGAP003643")</f>
        <v>AGAP003643</v>
      </c>
      <c r="DE140" s="2" t="s">
        <v>1770</v>
      </c>
      <c r="DF140" s="2" t="s">
        <v>1771</v>
      </c>
      <c r="DG140" s="2" t="s">
        <v>87</v>
      </c>
      <c r="DH140" s="2" t="str">
        <f>HYPERLINK("https://vectorbase.org/vectorbase/app/record/gene/AGAP003643","AGAP003643-RA")</f>
        <v>AGAP003643-RA</v>
      </c>
      <c r="DI140" s="2" t="s">
        <v>108</v>
      </c>
      <c r="DJ140" s="2">
        <v>15478</v>
      </c>
      <c r="DK140" s="2" t="str">
        <f>HYPERLINK(".\links\netoglyc\AGAP003643-PA-netoglyc.txt","18")</f>
        <v>18</v>
      </c>
      <c r="DL140" s="2">
        <v>15.4</v>
      </c>
      <c r="DM140" s="2">
        <v>6.3</v>
      </c>
      <c r="DN140" s="2">
        <v>5.6</v>
      </c>
      <c r="DO140" s="2" t="s">
        <v>97</v>
      </c>
      <c r="DP140" s="2" t="s">
        <v>94</v>
      </c>
      <c r="DQ140" s="2" t="str">
        <f>HYPERLINK(".\links\Sigp\AGAP003643-PA-SigP.txt","CYT")</f>
        <v>CYT</v>
      </c>
      <c r="DR140" s="2" t="s">
        <v>94</v>
      </c>
      <c r="DS140" s="2">
        <v>506.33600000000001</v>
      </c>
      <c r="DT140" s="2">
        <v>5.83</v>
      </c>
      <c r="DU140" s="2" t="s">
        <v>94</v>
      </c>
      <c r="DV140" s="2" t="s">
        <v>94</v>
      </c>
      <c r="DW140" s="2" t="s">
        <v>1776</v>
      </c>
      <c r="DX140" s="2">
        <v>4619</v>
      </c>
      <c r="DY140" s="8">
        <v>0</v>
      </c>
      <c r="DZ140" s="2" t="s">
        <v>94</v>
      </c>
      <c r="EA140" s="2" t="s">
        <v>94</v>
      </c>
      <c r="EB140" s="2" t="s">
        <v>94</v>
      </c>
      <c r="EC140" s="2" t="str">
        <f>HYPERLINK(".\links\gpi\AGAP003643-PA-gpi.txt","N")</f>
        <v>N</v>
      </c>
      <c r="ED140" s="2">
        <v>0.11</v>
      </c>
      <c r="EF140" s="2">
        <v>104</v>
      </c>
      <c r="EG140" s="2" t="str">
        <f>HYPERLINK(".\links\pep\AGAP003643-PA-sulf.txt","3")</f>
        <v>3</v>
      </c>
      <c r="EH140" s="2" t="s">
        <v>94</v>
      </c>
      <c r="EI140" s="2">
        <v>15.3929421952804</v>
      </c>
      <c r="EJ140" s="2">
        <v>5.60727430179693</v>
      </c>
      <c r="EK140" s="2">
        <v>6.2784152413942396</v>
      </c>
      <c r="EL140" s="2">
        <v>11.8856895431912</v>
      </c>
      <c r="EM140" s="2">
        <v>9</v>
      </c>
      <c r="EN140" s="2">
        <v>9</v>
      </c>
      <c r="EO140" s="2">
        <v>9</v>
      </c>
      <c r="EP140" s="2" t="s">
        <v>94</v>
      </c>
      <c r="EQ140" s="2" t="s">
        <v>94</v>
      </c>
      <c r="ER140" s="2" t="s">
        <v>94</v>
      </c>
      <c r="ES140" s="2" t="s">
        <v>94</v>
      </c>
      <c r="ET140" s="2" t="str">
        <f>HYPERLINK(".\links\REFSEQ-INVERTEBRATE\AGAP003643-PA-REFSEQ-INVERTEBRATE.txt","AGAP003643-PA")</f>
        <v>AGAP003643-PA</v>
      </c>
      <c r="EU140" s="2" t="str">
        <f>HYPERLINK("http://www.ncbi.nlm.nih.gov/sutils/blink.cgi?pid=XP_313408.5","0.0")</f>
        <v>0.0</v>
      </c>
      <c r="EV140" s="2" t="str">
        <f>HYPERLINK("http://www.ncbi.nlm.nih.gov/protein/XP_313408.5","XP_313408.5")</f>
        <v>XP_313408.5</v>
      </c>
      <c r="EW140" s="2">
        <v>100</v>
      </c>
      <c r="EX140" s="2">
        <v>100</v>
      </c>
      <c r="EY140" s="2">
        <v>100</v>
      </c>
      <c r="EZ140" s="2" t="s">
        <v>98</v>
      </c>
    </row>
    <row r="141" spans="1:156" x14ac:dyDescent="0.25">
      <c r="A141" s="2" t="s">
        <v>1782</v>
      </c>
      <c r="B141" s="2">
        <v>0.66488442226200795</v>
      </c>
      <c r="C141" s="2">
        <v>1.5854412546553838</v>
      </c>
      <c r="D141" s="2">
        <v>5.4996097377742803</v>
      </c>
      <c r="E141" s="2">
        <v>14.3002974660139</v>
      </c>
      <c r="F141" s="2">
        <v>1.5584025011326999E-4</v>
      </c>
      <c r="G141" s="2">
        <v>1.01640085884221E-2</v>
      </c>
      <c r="H141" s="2" t="s">
        <v>1783</v>
      </c>
      <c r="I141" s="2" t="s">
        <v>87</v>
      </c>
      <c r="J141" s="2" t="str">
        <f>HYPERLINK("https://vectorbase.org/vectorbase/app/record/gene/AGAP002651","AGAP002651-RA")</f>
        <v>AGAP002651-RA</v>
      </c>
      <c r="K141" s="2" t="str">
        <f>HYPERLINK(".\links\pep\AGAP002651-PA-pep.txt","AGAP002651-PA")</f>
        <v>AGAP002651-PA</v>
      </c>
      <c r="L141" s="8" t="s">
        <v>88</v>
      </c>
      <c r="M141" s="2">
        <v>5494</v>
      </c>
      <c r="N141" s="2">
        <v>0</v>
      </c>
      <c r="O141" s="2">
        <v>5</v>
      </c>
      <c r="P141" s="2" t="s">
        <v>1784</v>
      </c>
      <c r="Q141" s="9" t="s">
        <v>1785</v>
      </c>
      <c r="R141" s="2" t="s">
        <v>651</v>
      </c>
      <c r="S141" s="2" t="str">
        <f>HYPERLINK(".\links\PFAM\AGAP002651-PA-PFAM.txt","PFAM")</f>
        <v>PFAM</v>
      </c>
      <c r="T141" s="2">
        <v>6.9999999999999998E-57</v>
      </c>
      <c r="U141" s="2">
        <v>107.5</v>
      </c>
      <c r="V141" s="2" t="s">
        <v>1786</v>
      </c>
      <c r="W141" s="10" t="s">
        <v>1787</v>
      </c>
      <c r="X141" s="2" t="s">
        <v>651</v>
      </c>
      <c r="Y141" s="2" t="str">
        <f>HYPERLINK(".\links\EC\AGAP002651-PA-EC.txt","EC")</f>
        <v>EC</v>
      </c>
      <c r="Z141" s="2">
        <v>0</v>
      </c>
      <c r="AA141" s="2">
        <v>50</v>
      </c>
      <c r="AB141" s="11" t="str">
        <f>HYPERLINK(".\links\pep\AGAP002651-PA-sulf.txt","6")</f>
        <v>6</v>
      </c>
      <c r="AC141" s="11" t="str">
        <f>HYPERLINK(".\links\Sigp\AGAP002651-PA-SigP.txt","CYT")</f>
        <v>CYT</v>
      </c>
      <c r="AD141" s="2" t="s">
        <v>94</v>
      </c>
      <c r="AE141" s="2">
        <v>592.33000000000004</v>
      </c>
      <c r="AF141" s="2">
        <v>5.25</v>
      </c>
      <c r="AG141" s="2" t="s">
        <v>94</v>
      </c>
      <c r="AH141" s="2" t="s">
        <v>94</v>
      </c>
      <c r="AI141" s="2" t="s">
        <v>1788</v>
      </c>
      <c r="AJ141" s="11">
        <v>0</v>
      </c>
      <c r="AK141" s="2" t="s">
        <v>94</v>
      </c>
      <c r="AL141" s="2" t="s">
        <v>94</v>
      </c>
      <c r="AM141" s="2" t="s">
        <v>94</v>
      </c>
      <c r="AN141" s="11" t="str">
        <f>HYPERLINK(".\links\gpi\AGAP002651-PA-gpi.txt","N")</f>
        <v>N</v>
      </c>
      <c r="AO141" s="12" t="str">
        <f>HYPERLINK(".\links\netoglyc\AGAP002651-PA-netoglyc.txt","31")</f>
        <v>31</v>
      </c>
      <c r="AP141" s="11">
        <v>17.899999999999999</v>
      </c>
      <c r="AQ141" s="2">
        <v>7.5</v>
      </c>
      <c r="AR141" s="2">
        <v>4.2</v>
      </c>
      <c r="AS141" s="2" t="s">
        <v>97</v>
      </c>
      <c r="AT141" s="9" t="str">
        <f>HYPERLINK(".\links\NR-LIGHT\AGAP002651-PA-NR-LIGHT.txt","AGAP002651-PA")</f>
        <v>AGAP002651-PA</v>
      </c>
      <c r="AU141" s="2" t="str">
        <f>HYPERLINK("http://www.ncbi.nlm.nih.gov/sutils/blink.cgi?pid=XP_312274.4","0.0")</f>
        <v>0.0</v>
      </c>
      <c r="AV141" s="2" t="str">
        <f>HYPERLINK("http://www.ncbi.nlm.nih.gov/protein/XP_312274.4","XP_312274.4")</f>
        <v>XP_312274.4</v>
      </c>
      <c r="AW141" s="2">
        <v>92</v>
      </c>
      <c r="AX141" s="2">
        <v>92</v>
      </c>
      <c r="AY141" s="2">
        <v>76</v>
      </c>
      <c r="AZ141" s="2" t="s">
        <v>98</v>
      </c>
      <c r="BA141" s="9" t="str">
        <f>HYPERLINK(".\links\REFSEQ-INVERTEBRATE\AGAP002651-PA-REFSEQ-INVERTEBRATE.txt","AGAP002651-PA")</f>
        <v>AGAP002651-PA</v>
      </c>
      <c r="BB141" s="2" t="str">
        <f>HYPERLINK("http://www.ncbi.nlm.nih.gov/sutils/blink.cgi?pid=XP_312274.4","0.0")</f>
        <v>0.0</v>
      </c>
      <c r="BC141" s="2" t="str">
        <f>HYPERLINK("http://www.ncbi.nlm.nih.gov/protein/XP_312274.4","XP_312274.4")</f>
        <v>XP_312274.4</v>
      </c>
      <c r="BD141" s="2">
        <v>92</v>
      </c>
      <c r="BE141" s="2">
        <v>92</v>
      </c>
      <c r="BF141" s="2">
        <v>76</v>
      </c>
      <c r="BG141" s="2" t="s">
        <v>98</v>
      </c>
      <c r="BH141" s="9" t="str">
        <f>HYPERLINK(".\links\REFSEQ-PROTOZOA\AGAP002651-PA-REFSEQ-PROTOZOA.txt","hypothetical protein SAMD00019534_122310")</f>
        <v>hypothetical protein SAMD00019534_122310</v>
      </c>
      <c r="BI141" s="2" t="str">
        <f>HYPERLINK("http://www.ncbi.nlm.nih.gov/sutils/blink.cgi?pid=XP_012748061.1","6E-079")</f>
        <v>6E-079</v>
      </c>
      <c r="BJ141" s="2" t="str">
        <f>HYPERLINK("http://www.ncbi.nlm.nih.gov/protein/XP_012748061.1","XP_012748061.1")</f>
        <v>XP_012748061.1</v>
      </c>
      <c r="BK141" s="2">
        <v>35</v>
      </c>
      <c r="BL141" s="2">
        <v>52</v>
      </c>
      <c r="BM141" s="2">
        <v>59</v>
      </c>
      <c r="BN141" s="2" t="s">
        <v>136</v>
      </c>
      <c r="BO141" s="9" t="str">
        <f>HYPERLINK(".\links\SWISSP\AGAP002651-PA-SWISSP.txt","Baculoviral IAP repeat-containing protein 6")</f>
        <v>Baculoviral IAP repeat-containing protein 6</v>
      </c>
      <c r="BP141" s="2" t="str">
        <f>HYPERLINK("http://www.uniprot.org/uniprot/Q9NR09","0.0")</f>
        <v>0.0</v>
      </c>
      <c r="BQ141" s="2" t="str">
        <f>HYPERLINK("http://www.uniprot.org/uniprot/Q9NR09#expression","Q9NR09")</f>
        <v>Q9NR09</v>
      </c>
      <c r="BR141" s="2">
        <v>28</v>
      </c>
      <c r="BS141" s="2">
        <v>45</v>
      </c>
      <c r="BT141" s="2">
        <v>51</v>
      </c>
      <c r="BU141" s="2" t="s">
        <v>196</v>
      </c>
      <c r="BV141" s="9" t="str">
        <f>HYPERLINK(".\links\FLYBASE\AGAP002651-PA-FLYBASE.txt","FBpp0304070")</f>
        <v>FBpp0304070</v>
      </c>
      <c r="BW141" s="2" t="str">
        <f>HYPERLINK("http://flybase.org/reports/FBgn0266717#alliance_summary_container","0.0")</f>
        <v>0.0</v>
      </c>
      <c r="BX141" s="2">
        <v>4976</v>
      </c>
      <c r="BY141" s="2">
        <v>40</v>
      </c>
      <c r="BZ141" s="2">
        <v>56</v>
      </c>
      <c r="CA141" s="2">
        <v>49</v>
      </c>
      <c r="CB141" s="9" t="str">
        <f>HYPERLINK(".\links\CDD\AGAP002651-PA-CDD.txt","BIRC6, Baculoviral IAP repeat-containing protein 6")</f>
        <v>BIRC6, Baculoviral IAP repeat-containing protein 6</v>
      </c>
      <c r="CC141" s="13">
        <v>4.0000000000000002E-56</v>
      </c>
      <c r="CD141" s="2">
        <v>107.6</v>
      </c>
      <c r="CE141" s="2" t="s">
        <v>1789</v>
      </c>
      <c r="CF141" s="2" t="s">
        <v>1790</v>
      </c>
      <c r="CG141" s="9" t="str">
        <f>HYPERLINK(".\links\KOG\AGAP002651-PA-KOG.txt","Ubiquitin-conjugating enzyme")</f>
        <v>Ubiquitin-conjugating enzyme</v>
      </c>
      <c r="CH141" s="13">
        <v>9.9999999999999999E-119</v>
      </c>
      <c r="CI141" s="2">
        <v>63.3</v>
      </c>
      <c r="CJ141" s="2" t="s">
        <v>1791</v>
      </c>
      <c r="CK141" s="2" t="s">
        <v>214</v>
      </c>
      <c r="CL141" s="9" t="str">
        <f>HYPERLINK(".\links\PFAM\AGAP002651-PA-PFAM.txt","BIRC6, Baculoviral IAP repeat-containing protein 6")</f>
        <v>BIRC6, Baculoviral IAP repeat-containing protein 6</v>
      </c>
      <c r="CM141" s="13">
        <v>6.9999999999999998E-57</v>
      </c>
      <c r="CN141" s="2">
        <v>107.6</v>
      </c>
      <c r="CO141" s="2" t="s">
        <v>1789</v>
      </c>
      <c r="CP141" s="9" t="str">
        <f>HYPERLINK(".\links\SMART\AGAP002651-PA-SMART.txt","BIR, Baculoviral inhibition of apoptosis protein repeat")</f>
        <v>BIR, Baculoviral inhibition of apoptosis protein repeat</v>
      </c>
      <c r="CQ141" s="13">
        <v>1.9999999999999998E-24</v>
      </c>
      <c r="CR141" s="2">
        <v>108.5</v>
      </c>
      <c r="CS141" s="2" t="s">
        <v>1792</v>
      </c>
      <c r="CT141" s="2" t="s">
        <v>1786</v>
      </c>
      <c r="CU141" s="2" t="s">
        <v>1786</v>
      </c>
      <c r="CV141" s="2" t="s">
        <v>1786</v>
      </c>
      <c r="CW141" s="2" t="str">
        <f>HYPERLINK(".\links\pep\AGAP002651-PA-pep.txt","AGAP002651-PA")</f>
        <v>AGAP002651-PA</v>
      </c>
      <c r="CX141" s="2" t="s">
        <v>88</v>
      </c>
      <c r="CY141" s="2">
        <v>5494</v>
      </c>
      <c r="CZ141" s="2" t="s">
        <v>106</v>
      </c>
      <c r="DA141" s="2" t="s">
        <v>1793</v>
      </c>
      <c r="DB141" s="2">
        <v>0</v>
      </c>
      <c r="DC141" s="2">
        <v>5</v>
      </c>
      <c r="DD141" s="2" t="str">
        <f>HYPERLINK("https://www.kegg.jp/kegg-bin/search_pathway_text?map=aga&amp;keyword=AGAP002651&amp;mode=1&amp;viewImage=true","AGAP002651")</f>
        <v>AGAP002651</v>
      </c>
      <c r="DE141" s="2" t="s">
        <v>1782</v>
      </c>
      <c r="DF141" s="2" t="s">
        <v>1783</v>
      </c>
      <c r="DG141" s="2" t="s">
        <v>87</v>
      </c>
      <c r="DH141" s="2" t="str">
        <f>HYPERLINK("https://vectorbase.org/vectorbase/app/record/gene/AGAP002651","AGAP002651-RA")</f>
        <v>AGAP002651-RA</v>
      </c>
      <c r="DI141" s="2" t="s">
        <v>143</v>
      </c>
      <c r="DJ141" s="2">
        <v>18904</v>
      </c>
      <c r="DK141" s="2" t="str">
        <f>HYPERLINK(".\links\netoglyc\AGAP002651-PA-netoglyc.txt","31")</f>
        <v>31</v>
      </c>
      <c r="DL141" s="2">
        <v>17.899999999999999</v>
      </c>
      <c r="DM141" s="2">
        <v>7.5</v>
      </c>
      <c r="DN141" s="2">
        <v>4.2</v>
      </c>
      <c r="DO141" s="2" t="s">
        <v>97</v>
      </c>
      <c r="DP141" s="2" t="s">
        <v>94</v>
      </c>
      <c r="DQ141" s="2" t="str">
        <f>HYPERLINK(".\links\Sigp\AGAP002651-PA-SigP.txt","CYT")</f>
        <v>CYT</v>
      </c>
      <c r="DR141" s="2" t="s">
        <v>94</v>
      </c>
      <c r="DS141" s="2">
        <v>592.33000000000004</v>
      </c>
      <c r="DT141" s="2">
        <v>5.25</v>
      </c>
      <c r="DU141" s="2" t="s">
        <v>94</v>
      </c>
      <c r="DV141" s="2" t="s">
        <v>94</v>
      </c>
      <c r="DW141" s="2" t="s">
        <v>1788</v>
      </c>
      <c r="DX141" s="2">
        <v>5494</v>
      </c>
      <c r="DY141" s="8">
        <v>0</v>
      </c>
      <c r="DZ141" s="2" t="s">
        <v>94</v>
      </c>
      <c r="EA141" s="2" t="s">
        <v>94</v>
      </c>
      <c r="EB141" s="2" t="s">
        <v>94</v>
      </c>
      <c r="EC141" s="2" t="str">
        <f>HYPERLINK(".\links\gpi\AGAP002651-PA-gpi.txt","Y-NoSP")</f>
        <v>Y-NoSP</v>
      </c>
      <c r="ED141" s="2">
        <v>0.17</v>
      </c>
      <c r="EF141" s="2">
        <v>118</v>
      </c>
      <c r="EG141" s="2" t="str">
        <f>HYPERLINK(".\links\pep\AGAP002651-PA-sulf.txt","6")</f>
        <v>6</v>
      </c>
      <c r="EH141" s="2" t="s">
        <v>94</v>
      </c>
      <c r="EI141" s="2">
        <v>17.910447761194</v>
      </c>
      <c r="EJ141" s="2">
        <v>4.2045868219876201</v>
      </c>
      <c r="EK141" s="2">
        <v>7.4990899162723004</v>
      </c>
      <c r="EL141" s="2">
        <v>11.703676738259899</v>
      </c>
      <c r="EM141" s="2">
        <v>3</v>
      </c>
      <c r="EN141" s="2">
        <v>10</v>
      </c>
      <c r="EO141" s="2">
        <v>12</v>
      </c>
      <c r="EP141" s="2" t="s">
        <v>94</v>
      </c>
      <c r="EQ141" s="2" t="s">
        <v>94</v>
      </c>
      <c r="ER141" s="2" t="s">
        <v>94</v>
      </c>
      <c r="ES141" s="2" t="s">
        <v>94</v>
      </c>
      <c r="ET141" s="2" t="str">
        <f>HYPERLINK(".\links\REFSEQ-INVERTEBRATE\AGAP002651-PA-REFSEQ-INVERTEBRATE.txt","baculoviral IAP repeat-containing protein 6 isoform X4")</f>
        <v>baculoviral IAP repeat-containing protein 6 isoform X4</v>
      </c>
      <c r="EU141" s="2" t="str">
        <f>HYPERLINK("http://www.ncbi.nlm.nih.gov/sutils/blink.cgi?pid=XP_035895990.1","0.0")</f>
        <v>0.0</v>
      </c>
      <c r="EV141" s="2" t="str">
        <f>HYPERLINK("http://www.ncbi.nlm.nih.gov/protein/XP_035895990.1","XP_035895990.1")</f>
        <v>XP_035895990.1</v>
      </c>
      <c r="EW141" s="2">
        <v>79</v>
      </c>
      <c r="EX141" s="2">
        <v>84</v>
      </c>
      <c r="EY141" s="2">
        <v>102</v>
      </c>
      <c r="EZ141" s="2" t="s">
        <v>184</v>
      </c>
    </row>
    <row r="142" spans="1:156" x14ac:dyDescent="0.25">
      <c r="A142" s="2" t="s">
        <v>1794</v>
      </c>
      <c r="B142" s="2">
        <v>0.66328067446703998</v>
      </c>
      <c r="C142" s="2">
        <v>1.5836798046457095</v>
      </c>
      <c r="D142" s="2">
        <v>5.7270203738688297</v>
      </c>
      <c r="E142" s="2">
        <v>11.2228896332793</v>
      </c>
      <c r="F142" s="2">
        <v>8.0794595901937803E-4</v>
      </c>
      <c r="G142" s="2">
        <v>3.6911811277518199E-2</v>
      </c>
      <c r="H142" s="2" t="s">
        <v>1795</v>
      </c>
      <c r="I142" s="2" t="s">
        <v>87</v>
      </c>
      <c r="J142" s="2" t="str">
        <f>HYPERLINK("https://vectorbase.org/vectorbase/app/record/gene/AGAP009511","AGAP009511-RB")</f>
        <v>AGAP009511-RB</v>
      </c>
      <c r="K142" s="2" t="str">
        <f>HYPERLINK(".\links\pep\AGAP009511-PB-pep.txt","AGAP009511-PB")</f>
        <v>AGAP009511-PB</v>
      </c>
      <c r="L142" s="8" t="s">
        <v>88</v>
      </c>
      <c r="M142" s="2">
        <v>3040</v>
      </c>
      <c r="N142" s="2">
        <v>0</v>
      </c>
      <c r="O142" s="2">
        <v>9</v>
      </c>
      <c r="P142" s="2" t="s">
        <v>1796</v>
      </c>
      <c r="Q142" s="9" t="s">
        <v>1797</v>
      </c>
      <c r="R142" s="2" t="s">
        <v>651</v>
      </c>
      <c r="S142" s="2" t="str">
        <f>HYPERLINK(".\links\REFSEQ-INVERTEBRATE\AGAP009511-PB-REFSEQ-INVERTEBRATE.txt","REFSEQ-INVERTEBRATE")</f>
        <v>REFSEQ-INVERTEBRATE</v>
      </c>
      <c r="T142" s="2">
        <v>0</v>
      </c>
      <c r="U142" s="2">
        <v>108.1</v>
      </c>
      <c r="V142" s="2" t="s">
        <v>1798</v>
      </c>
      <c r="W142" s="10" t="s">
        <v>1799</v>
      </c>
      <c r="X142" s="2" t="s">
        <v>651</v>
      </c>
      <c r="Y142" s="2" t="str">
        <f>HYPERLINK(".\links\REFSEQVERTEBRATE95\AGAP009511-PB-REFSEQVERTEBRATE95.txt","REFSEQVERTEBRATE95")</f>
        <v>REFSEQVERTEBRATE95</v>
      </c>
      <c r="Z142" s="13">
        <v>0</v>
      </c>
      <c r="AA142" s="2">
        <v>57</v>
      </c>
      <c r="AB142" s="11" t="str">
        <f>HYPERLINK(".\links\pep\AGAP009511-PB-sulf.txt","2")</f>
        <v>2</v>
      </c>
      <c r="AC142" s="11" t="str">
        <f>HYPERLINK(".\links\Sigp\AGAP009511-PB-SigP.txt","CYT")</f>
        <v>CYT</v>
      </c>
      <c r="AD142" s="2" t="s">
        <v>94</v>
      </c>
      <c r="AE142" s="2">
        <v>328.09300000000002</v>
      </c>
      <c r="AF142" s="2">
        <v>5.4</v>
      </c>
      <c r="AG142" s="2" t="s">
        <v>94</v>
      </c>
      <c r="AH142" s="2" t="s">
        <v>94</v>
      </c>
      <c r="AI142" s="2" t="s">
        <v>652</v>
      </c>
      <c r="AJ142" s="11">
        <v>0</v>
      </c>
      <c r="AK142" s="2" t="s">
        <v>94</v>
      </c>
      <c r="AL142" s="2" t="s">
        <v>94</v>
      </c>
      <c r="AM142" s="2" t="s">
        <v>94</v>
      </c>
      <c r="AN142" s="11" t="str">
        <f>HYPERLINK(".\links\gpi\AGAP009511-PB-gpi.txt","N")</f>
        <v>N</v>
      </c>
      <c r="AO142" s="12" t="str">
        <f>HYPERLINK(".\links\netoglyc\AGAP009511-PB-netoglyc.txt","13")</f>
        <v>13</v>
      </c>
      <c r="AP142" s="11">
        <v>17.899999999999999</v>
      </c>
      <c r="AQ142" s="2">
        <v>8.3000000000000007</v>
      </c>
      <c r="AR142" s="2">
        <v>4.4000000000000004</v>
      </c>
      <c r="AS142" s="2" t="s">
        <v>97</v>
      </c>
      <c r="AT142" s="9" t="str">
        <f>HYPERLINK(".\links\NR-LIGHT\AGAP009511-PB-NR-LIGHT.txt","AGAP009511-PA, partial")</f>
        <v>AGAP009511-PA, partial</v>
      </c>
      <c r="AU142" s="2" t="str">
        <f>HYPERLINK("http://www.ncbi.nlm.nih.gov/sutils/blink.cgi?pid=XP_310184.4","0.0")</f>
        <v>0.0</v>
      </c>
      <c r="AV142" s="2" t="str">
        <f>HYPERLINK("http://www.ncbi.nlm.nih.gov/protein/XP_310184.4","XP_310184.4")</f>
        <v>XP_310184.4</v>
      </c>
      <c r="AW142" s="2">
        <v>95</v>
      </c>
      <c r="AX142" s="2">
        <v>95</v>
      </c>
      <c r="AY142" s="2">
        <v>104</v>
      </c>
      <c r="AZ142" s="2" t="s">
        <v>98</v>
      </c>
      <c r="BA142" s="9" t="str">
        <f>HYPERLINK(".\links\REFSEQ-INVERTEBRATE\AGAP009511-PB-REFSEQ-INVERTEBRATE.txt","AGAP009511-PA, partial")</f>
        <v>AGAP009511-PA, partial</v>
      </c>
      <c r="BB142" s="2" t="str">
        <f>HYPERLINK("http://www.ncbi.nlm.nih.gov/sutils/blink.cgi?pid=XP_310184.4","0.0")</f>
        <v>0.0</v>
      </c>
      <c r="BC142" s="2" t="str">
        <f>HYPERLINK("http://www.ncbi.nlm.nih.gov/protein/XP_310184.4","XP_310184.4")</f>
        <v>XP_310184.4</v>
      </c>
      <c r="BD142" s="2">
        <v>95</v>
      </c>
      <c r="BE142" s="2">
        <v>95</v>
      </c>
      <c r="BF142" s="2">
        <v>104</v>
      </c>
      <c r="BG142" s="2" t="s">
        <v>98</v>
      </c>
      <c r="BH142" s="9" t="str">
        <f>HYPERLINK(".\links\REFSEQ-PROTOZOA\AGAP009511-PB-REFSEQ-PROTOZOA.txt","hypothetical protein")</f>
        <v>hypothetical protein</v>
      </c>
      <c r="BI142" s="2" t="str">
        <f>HYPERLINK("http://www.ncbi.nlm.nih.gov/sutils/blink.cgi?pid=XP_001749884.1","1E-132")</f>
        <v>1E-132</v>
      </c>
      <c r="BJ142" s="2" t="str">
        <f>HYPERLINK("http://www.ncbi.nlm.nih.gov/protein/XP_001749884.1","XP_001749884.1")</f>
        <v>XP_001749884.1</v>
      </c>
      <c r="BK142" s="2">
        <v>43</v>
      </c>
      <c r="BL142" s="2">
        <v>59</v>
      </c>
      <c r="BM142" s="2">
        <v>26</v>
      </c>
      <c r="BN142" s="2" t="s">
        <v>704</v>
      </c>
      <c r="BO142" s="9" t="str">
        <f>HYPERLINK(".\links\SWISSP\AGAP009511-PB-SWISSP.txt","E3 ubiquitin-protein ligase Ufd4")</f>
        <v>E3 ubiquitin-protein ligase Ufd4</v>
      </c>
      <c r="BP142" s="2" t="str">
        <f>HYPERLINK("http://www.uniprot.org/uniprot/Q9VL06","0.0")</f>
        <v>0.0</v>
      </c>
      <c r="BQ142" s="2" t="str">
        <f>HYPERLINK("http://www.uniprot.org/uniprot/Q9VL06#expression","Q9VL06")</f>
        <v>Q9VL06</v>
      </c>
      <c r="BR142" s="2">
        <v>56</v>
      </c>
      <c r="BS142" s="2">
        <v>68</v>
      </c>
      <c r="BT142" s="2">
        <v>113</v>
      </c>
      <c r="BU142" s="2" t="s">
        <v>100</v>
      </c>
      <c r="BV142" s="9" t="str">
        <f>HYPERLINK(".\links\FLYBASE\AGAP009511-PB-FLYBASE.txt","FBpp0079663")</f>
        <v>FBpp0079663</v>
      </c>
      <c r="BW142" s="2" t="str">
        <f>HYPERLINK("http://flybase.org/reports/FBgn0032208#alliance_summary_container","0.0")</f>
        <v>0.0</v>
      </c>
      <c r="BX142" s="2">
        <v>2727</v>
      </c>
      <c r="BY142" s="2">
        <v>61</v>
      </c>
      <c r="BZ142" s="2">
        <v>73</v>
      </c>
      <c r="CA142" s="2">
        <v>66</v>
      </c>
      <c r="CB142" s="9" t="str">
        <f>HYPERLINK(".\links\CDD\AGAP009511-PB-CDD.txt","HECTc, HECT domain")</f>
        <v>HECTc, HECT domain</v>
      </c>
      <c r="CC142" s="13">
        <v>1.9999999999999999E-94</v>
      </c>
      <c r="CD142" s="2">
        <v>134.4</v>
      </c>
      <c r="CE142" s="2" t="s">
        <v>1707</v>
      </c>
      <c r="CF142" s="2" t="s">
        <v>1800</v>
      </c>
      <c r="CG142" s="9" t="str">
        <f>HYPERLINK(".\links\KOG\AGAP009511-PB-KOG.txt","E3 ubiquitin protein ligase")</f>
        <v>E3 ubiquitin protein ligase</v>
      </c>
      <c r="CH142" s="13">
        <v>3E-57</v>
      </c>
      <c r="CI142" s="2">
        <v>39.299999999999997</v>
      </c>
      <c r="CJ142" s="2" t="s">
        <v>1801</v>
      </c>
      <c r="CK142" s="2" t="s">
        <v>214</v>
      </c>
      <c r="CL142" s="9" t="str">
        <f>HYPERLINK(".\links\PFAM\AGAP009511-PB-PFAM.txt","HECT, HECT-domain (ubiquitin-transferase)")</f>
        <v>HECT, HECT-domain (ubiquitin-transferase)</v>
      </c>
      <c r="CM142" s="13">
        <v>7.9999999999999997E-69</v>
      </c>
      <c r="CN142" s="2">
        <v>141.30000000000001</v>
      </c>
      <c r="CO142" s="2" t="s">
        <v>1581</v>
      </c>
      <c r="CP142" s="9" t="str">
        <f>HYPERLINK(".\links\SMART\AGAP009511-PB-SMART.txt","HECTc, Domain Homologous to E6-AP Carboxyl Terminus with")</f>
        <v>HECTc, Domain Homologous to E6-AP Carboxyl Terminus with</v>
      </c>
      <c r="CQ142" s="13">
        <v>8E-79</v>
      </c>
      <c r="CR142" s="2">
        <v>136.30000000000001</v>
      </c>
      <c r="CS142" s="2" t="s">
        <v>1584</v>
      </c>
      <c r="CT142" s="2" t="s">
        <v>1798</v>
      </c>
      <c r="CU142" s="2" t="s">
        <v>1798</v>
      </c>
      <c r="CV142" s="2" t="s">
        <v>1798</v>
      </c>
      <c r="CW142" s="2" t="str">
        <f>HYPERLINK(".\links\pep\AGAP009511-PB-pep.txt","AGAP009511-PB")</f>
        <v>AGAP009511-PB</v>
      </c>
      <c r="CX142" s="2" t="s">
        <v>88</v>
      </c>
      <c r="CY142" s="2">
        <v>3040</v>
      </c>
      <c r="CZ142" s="2" t="s">
        <v>106</v>
      </c>
      <c r="DA142" s="2" t="s">
        <v>1802</v>
      </c>
      <c r="DB142" s="2">
        <v>0</v>
      </c>
      <c r="DC142" s="2">
        <v>9</v>
      </c>
      <c r="DD142" s="2" t="str">
        <f>HYPERLINK("https://www.kegg.jp/kegg-bin/search_pathway_text?map=aga&amp;keyword=AGAP009511&amp;mode=1&amp;viewImage=true","AGAP009511")</f>
        <v>AGAP009511</v>
      </c>
      <c r="DE142" s="2" t="s">
        <v>1794</v>
      </c>
      <c r="DF142" s="2" t="s">
        <v>1795</v>
      </c>
      <c r="DG142" s="2" t="s">
        <v>87</v>
      </c>
      <c r="DH142" s="2" t="str">
        <f>HYPERLINK("https://vectorbase.org/vectorbase/app/record/gene/AGAP009511","AGAP009511-RB")</f>
        <v>AGAP009511-RB</v>
      </c>
      <c r="DI142" s="2" t="s">
        <v>143</v>
      </c>
      <c r="DJ142" s="2">
        <v>12910</v>
      </c>
      <c r="DK142" s="2" t="str">
        <f>HYPERLINK(".\links\netoglyc\AGAP009511-PB-netoglyc.txt","13")</f>
        <v>13</v>
      </c>
      <c r="DL142" s="2">
        <v>17.899999999999999</v>
      </c>
      <c r="DM142" s="2">
        <v>8.3000000000000007</v>
      </c>
      <c r="DN142" s="2">
        <v>4.4000000000000004</v>
      </c>
      <c r="DO142" s="2" t="s">
        <v>97</v>
      </c>
      <c r="DP142" s="2" t="s">
        <v>1803</v>
      </c>
      <c r="DQ142" s="2" t="str">
        <f>HYPERLINK(".\links\Sigp\AGAP009511-PB-SigP.txt","CYT")</f>
        <v>CYT</v>
      </c>
      <c r="DR142" s="2" t="s">
        <v>94</v>
      </c>
      <c r="DS142" s="2">
        <v>328.09300000000002</v>
      </c>
      <c r="DT142" s="2">
        <v>5.4</v>
      </c>
      <c r="DU142" s="2" t="s">
        <v>94</v>
      </c>
      <c r="DV142" s="2" t="s">
        <v>94</v>
      </c>
      <c r="DW142" s="2" t="s">
        <v>652</v>
      </c>
      <c r="DX142" s="2">
        <v>3040</v>
      </c>
      <c r="DY142" s="8">
        <v>0</v>
      </c>
      <c r="DZ142" s="2" t="s">
        <v>94</v>
      </c>
      <c r="EA142" s="2" t="s">
        <v>94</v>
      </c>
      <c r="EB142" s="2" t="s">
        <v>94</v>
      </c>
      <c r="EC142" s="2" t="str">
        <f>HYPERLINK(".\links\gpi\AGAP009511-PB-gpi.txt","N")</f>
        <v>N</v>
      </c>
      <c r="ED142" s="2">
        <v>0.15</v>
      </c>
      <c r="EF142" s="2">
        <v>48</v>
      </c>
      <c r="EG142" s="2" t="str">
        <f>HYPERLINK(".\links\pep\AGAP009511-PB-sulf.txt","2")</f>
        <v>2</v>
      </c>
      <c r="EH142" s="2" t="s">
        <v>94</v>
      </c>
      <c r="EI142" s="2">
        <v>17.927631578947398</v>
      </c>
      <c r="EJ142" s="2">
        <v>4.4407894736842097</v>
      </c>
      <c r="EK142" s="2">
        <v>8.2894736842105292</v>
      </c>
      <c r="EL142" s="2">
        <v>12.730263157894701</v>
      </c>
      <c r="EM142" s="2">
        <v>7</v>
      </c>
      <c r="EN142" s="2">
        <v>5</v>
      </c>
      <c r="EO142" s="2">
        <v>5</v>
      </c>
      <c r="EP142" s="2" t="s">
        <v>94</v>
      </c>
      <c r="EQ142" s="2" t="s">
        <v>94</v>
      </c>
      <c r="ER142" s="2" t="s">
        <v>94</v>
      </c>
      <c r="ES142" s="2" t="s">
        <v>94</v>
      </c>
      <c r="ET142" s="2" t="str">
        <f>HYPERLINK(".\links\REFSEQ-INVERTEBRATE\AGAP009511-PB-REFSEQ-INVERTEBRATE.txt","AGAP009511-PA, partial")</f>
        <v>AGAP009511-PA, partial</v>
      </c>
      <c r="EU142" s="2" t="str">
        <f>HYPERLINK("http://www.ncbi.nlm.nih.gov/sutils/blink.cgi?pid=XP_310184.4","0.0")</f>
        <v>0.0</v>
      </c>
      <c r="EV142" s="2" t="str">
        <f>HYPERLINK("http://www.ncbi.nlm.nih.gov/protein/XP_310184.4","XP_310184.4")</f>
        <v>XP_310184.4</v>
      </c>
      <c r="EW142" s="2">
        <v>95</v>
      </c>
      <c r="EX142" s="2">
        <v>95</v>
      </c>
      <c r="EY142" s="2">
        <v>104</v>
      </c>
      <c r="EZ142" s="2" t="s">
        <v>98</v>
      </c>
    </row>
    <row r="143" spans="1:156" x14ac:dyDescent="0.25">
      <c r="A143" s="2" t="s">
        <v>1804</v>
      </c>
      <c r="B143" s="2">
        <v>0.66217332610119495</v>
      </c>
      <c r="C143" s="2">
        <v>1.5824647090496988</v>
      </c>
      <c r="D143" s="2">
        <v>4.1305108092336003</v>
      </c>
      <c r="E143" s="2">
        <v>16.691172801638501</v>
      </c>
      <c r="F143" s="2">
        <v>4.3985187311069399E-5</v>
      </c>
      <c r="G143" s="2">
        <v>3.9615992038169899E-3</v>
      </c>
      <c r="H143" s="2" t="s">
        <v>167</v>
      </c>
      <c r="I143" s="2" t="s">
        <v>87</v>
      </c>
      <c r="J143" s="2" t="str">
        <f>HYPERLINK("https://vectorbase.org/vectorbase/app/record/gene/AGAP010981","AGAP010981-RA")</f>
        <v>AGAP010981-RA</v>
      </c>
      <c r="K143" s="2" t="str">
        <f>HYPERLINK(".\links\pep\AGAP010981-PA-pep.txt","AGAP010981-PA")</f>
        <v>AGAP010981-PA</v>
      </c>
      <c r="L143" s="8" t="s">
        <v>88</v>
      </c>
      <c r="M143" s="2">
        <v>2614</v>
      </c>
      <c r="N143" s="2">
        <v>0</v>
      </c>
      <c r="O143" s="2">
        <v>3</v>
      </c>
      <c r="P143" s="2" t="s">
        <v>94</v>
      </c>
      <c r="Q143" s="9" t="s">
        <v>1805</v>
      </c>
      <c r="R143" s="2" t="s">
        <v>289</v>
      </c>
      <c r="S143" s="2" t="str">
        <f>HYPERLINK(".\links\KOG\AGAP010981-PA-KOG.txt","KOG")</f>
        <v>KOG</v>
      </c>
      <c r="T143" s="2">
        <v>2.9999999999999998E-14</v>
      </c>
      <c r="U143" s="2">
        <v>60.9</v>
      </c>
      <c r="V143" s="2" t="s">
        <v>1806</v>
      </c>
      <c r="W143" s="10" t="s">
        <v>1807</v>
      </c>
      <c r="X143" s="2" t="s">
        <v>289</v>
      </c>
      <c r="Y143" s="2" t="str">
        <f>HYPERLINK(".\links\UNIPROTKB\AGAP010981-PA-UNIPROTKB.txt","UNIPROTKB")</f>
        <v>UNIPROTKB</v>
      </c>
      <c r="Z143" s="13">
        <v>1.0000000000000001E-18</v>
      </c>
      <c r="AA143" s="2">
        <v>64</v>
      </c>
      <c r="AB143" s="11" t="str">
        <f>HYPERLINK(".\links\pep\AGAP010981-PA-sulf.txt","9")</f>
        <v>9</v>
      </c>
      <c r="AC143" s="11" t="str">
        <f>HYPERLINK(".\links\Sigp\AGAP010981-PA-SigP.txt","CYT")</f>
        <v>CYT</v>
      </c>
      <c r="AD143" s="2" t="s">
        <v>94</v>
      </c>
      <c r="AE143" s="2">
        <v>285.10300000000001</v>
      </c>
      <c r="AF143" s="2">
        <v>5.53</v>
      </c>
      <c r="AG143" s="2" t="s">
        <v>94</v>
      </c>
      <c r="AH143" s="2" t="s">
        <v>94</v>
      </c>
      <c r="AI143" s="2" t="s">
        <v>390</v>
      </c>
      <c r="AJ143" s="11">
        <v>0</v>
      </c>
      <c r="AK143" s="2" t="s">
        <v>94</v>
      </c>
      <c r="AL143" s="2" t="s">
        <v>94</v>
      </c>
      <c r="AM143" s="2" t="s">
        <v>94</v>
      </c>
      <c r="AN143" s="11" t="str">
        <f>HYPERLINK(".\links\gpi\AGAP010981-PA-gpi.txt","N")</f>
        <v>N</v>
      </c>
      <c r="AO143" s="12" t="str">
        <f>HYPERLINK(".\links\netoglyc\AGAP010981-PA-netoglyc.txt","2")</f>
        <v>2</v>
      </c>
      <c r="AP143" s="11">
        <v>12.1</v>
      </c>
      <c r="AQ143" s="2">
        <v>10.4</v>
      </c>
      <c r="AR143" s="2">
        <v>4.7</v>
      </c>
      <c r="AS143" s="2">
        <v>0.1</v>
      </c>
      <c r="AT143" s="9" t="str">
        <f>HYPERLINK(".\links\NR-LIGHT\AGAP010981-PA-NR-LIGHT.txt","hypothetical protein ZHAS_00002474")</f>
        <v>hypothetical protein ZHAS_00002474</v>
      </c>
      <c r="AU143" s="2" t="str">
        <f>HYPERLINK("http://www.ncbi.nlm.nih.gov/sutils/blink.cgi?pid=KFB35605.1","0.0")</f>
        <v>0.0</v>
      </c>
      <c r="AV143" s="2" t="str">
        <f>HYPERLINK("http://www.ncbi.nlm.nih.gov/protein/KFB35605.1","KFB35605.1")</f>
        <v>KFB35605.1</v>
      </c>
      <c r="AW143" s="2">
        <v>52</v>
      </c>
      <c r="AX143" s="2">
        <v>61</v>
      </c>
      <c r="AY143" s="2">
        <v>93</v>
      </c>
      <c r="AZ143" s="2" t="s">
        <v>174</v>
      </c>
      <c r="BA143" s="9" t="str">
        <f>HYPERLINK(".\links\REFSEQ-INVERTEBRATE\AGAP010981-PA-REFSEQ-INVERTEBRATE.txt","zinc finger protein Xfin")</f>
        <v>zinc finger protein Xfin</v>
      </c>
      <c r="BB143" s="2" t="str">
        <f>HYPERLINK("http://www.ncbi.nlm.nih.gov/sutils/blink.cgi?pid=XP_021710307.1","1E-157")</f>
        <v>1E-157</v>
      </c>
      <c r="BC143" s="2" t="str">
        <f>HYPERLINK("http://www.ncbi.nlm.nih.gov/protein/XP_021710307.1","XP_021710307.1")</f>
        <v>XP_021710307.1</v>
      </c>
      <c r="BD143" s="2">
        <v>32</v>
      </c>
      <c r="BE143" s="2">
        <v>42</v>
      </c>
      <c r="BF143" s="2">
        <v>96</v>
      </c>
      <c r="BG143" s="2" t="s">
        <v>175</v>
      </c>
      <c r="BH143" s="9" t="str">
        <f>HYPERLINK(".\links\REFSEQ-PROTOZOA\AGAP010981-PA-REFSEQ-PROTOZOA.txt","hypothetical protein EMH_0022850")</f>
        <v>hypothetical protein EMH_0022850</v>
      </c>
      <c r="BI143" s="2" t="str">
        <f>HYPERLINK("http://www.ncbi.nlm.nih.gov/sutils/blink.cgi?pid=XP_013357483.1","7E-025")</f>
        <v>7E-025</v>
      </c>
      <c r="BJ143" s="2" t="str">
        <f>HYPERLINK("http://www.ncbi.nlm.nih.gov/protein/XP_013357483.1","XP_013357483.1")</f>
        <v>XP_013357483.1</v>
      </c>
      <c r="BK143" s="2">
        <v>24</v>
      </c>
      <c r="BL143" s="2">
        <v>38</v>
      </c>
      <c r="BM143" s="2">
        <v>60</v>
      </c>
      <c r="BN143" s="2" t="s">
        <v>383</v>
      </c>
      <c r="BO143" s="9" t="str">
        <f>HYPERLINK(".\links\SWISSP\AGAP010981-PA-SWISSP.txt","Zinc finger protein 91")</f>
        <v>Zinc finger protein 91</v>
      </c>
      <c r="BP143" s="2" t="str">
        <f>HYPERLINK("http://www.uniprot.org/uniprot/Q05481","9E-029")</f>
        <v>9E-029</v>
      </c>
      <c r="BQ143" s="2" t="str">
        <f>HYPERLINK("http://www.uniprot.org/uniprot/Q05481#expression","Q05481")</f>
        <v>Q05481</v>
      </c>
      <c r="BR143" s="2">
        <v>20</v>
      </c>
      <c r="BS143" s="2">
        <v>33</v>
      </c>
      <c r="BT143" s="2">
        <v>96</v>
      </c>
      <c r="BU143" s="2" t="s">
        <v>196</v>
      </c>
      <c r="BV143" s="9" t="str">
        <f>HYPERLINK(".\links\FLYBASE\AGAP010981-PA-FLYBASE.txt","FBpp0307449")</f>
        <v>FBpp0307449</v>
      </c>
      <c r="BW143" s="2" t="str">
        <f>HYPERLINK("http://flybase.org/reports/FBgn0020309#alliance_summary_container","1E-15")</f>
        <v>1E-15</v>
      </c>
      <c r="BX143" s="2">
        <v>878</v>
      </c>
      <c r="BY143" s="2">
        <v>24</v>
      </c>
      <c r="BZ143" s="2">
        <v>35</v>
      </c>
      <c r="CA143" s="2">
        <v>50</v>
      </c>
      <c r="CB143" s="9" t="str">
        <f>HYPERLINK(".\links\CDD\AGAP010981-PA-CDD.txt","ZF_C2H2, Zinc finger, C2H2 type")</f>
        <v>ZF_C2H2, Zinc finger, C2H2 type</v>
      </c>
      <c r="CC143" s="13">
        <v>7.9999999999999995E-11</v>
      </c>
      <c r="CD143" s="2">
        <v>152.6</v>
      </c>
      <c r="CE143" s="2" t="s">
        <v>1315</v>
      </c>
      <c r="CF143" s="2" t="s">
        <v>1808</v>
      </c>
      <c r="CG143" s="9" t="str">
        <f>HYPERLINK(".\links\KOG\AGAP010981-PA-KOG.txt","C2H2-type Zn-finger protein")</f>
        <v>C2H2-type Zn-finger protein</v>
      </c>
      <c r="CH143" s="13">
        <v>2.9999999999999998E-14</v>
      </c>
      <c r="CI143" s="2">
        <v>60.9</v>
      </c>
      <c r="CJ143" s="2" t="s">
        <v>1317</v>
      </c>
      <c r="CK143" s="2" t="s">
        <v>296</v>
      </c>
      <c r="CL143" s="9" t="str">
        <f>HYPERLINK(".\links\PFAM\AGAP010981-PA-PFAM.txt","Mpp10, Mpp10 protein")</f>
        <v>Mpp10, Mpp10 protein</v>
      </c>
      <c r="CM143" s="13">
        <v>6E-9</v>
      </c>
      <c r="CN143" s="2">
        <v>14</v>
      </c>
      <c r="CO143" s="2" t="s">
        <v>1809</v>
      </c>
      <c r="CP143" s="9" t="str">
        <f>HYPERLINK(".\links\SMART\AGAP010981-PA-SMART.txt","zf-AD, Zinc-finger associated domain (zf-AD)")</f>
        <v>zf-AD, Zinc-finger associated domain (zf-AD)</v>
      </c>
      <c r="CQ143" s="13">
        <v>1E-8</v>
      </c>
      <c r="CR143" s="2">
        <v>119.2</v>
      </c>
      <c r="CS143" s="2" t="s">
        <v>1810</v>
      </c>
      <c r="CT143" s="2" t="s">
        <v>1806</v>
      </c>
      <c r="CU143" s="2" t="s">
        <v>1806</v>
      </c>
      <c r="CV143" s="2" t="s">
        <v>1806</v>
      </c>
      <c r="CW143" s="2" t="str">
        <f>HYPERLINK(".\links\pep\AGAP010981-PA-pep.txt","AGAP010981-PA")</f>
        <v>AGAP010981-PA</v>
      </c>
      <c r="CX143" s="2" t="s">
        <v>88</v>
      </c>
      <c r="CY143" s="2">
        <v>2614</v>
      </c>
      <c r="CZ143" s="2" t="s">
        <v>106</v>
      </c>
      <c r="DA143" s="2" t="s">
        <v>1811</v>
      </c>
      <c r="DB143" s="2">
        <v>0</v>
      </c>
      <c r="DC143" s="2">
        <v>3</v>
      </c>
      <c r="DD143" s="2" t="str">
        <f>HYPERLINK("https://www.kegg.jp/kegg-bin/search_pathway_text?map=aga&amp;keyword=AGAP010981&amp;mode=1&amp;viewImage=true","AGAP010981")</f>
        <v>AGAP010981</v>
      </c>
      <c r="DE143" s="2" t="s">
        <v>1804</v>
      </c>
      <c r="DF143" s="2" t="s">
        <v>167</v>
      </c>
      <c r="DG143" s="2" t="s">
        <v>87</v>
      </c>
      <c r="DH143" s="2" t="str">
        <f>HYPERLINK("https://vectorbase.org/vectorbase/app/record/gene/AGAP010981","AGAP010981-RA")</f>
        <v>AGAP010981-RA</v>
      </c>
      <c r="DI143" s="2" t="s">
        <v>250</v>
      </c>
      <c r="DJ143" s="2">
        <v>12581</v>
      </c>
      <c r="DK143" s="2" t="str">
        <f>HYPERLINK(".\links\netoglyc\AGAP010981-PA-netoglyc.txt","2")</f>
        <v>2</v>
      </c>
      <c r="DL143" s="2">
        <v>12.1</v>
      </c>
      <c r="DM143" s="2">
        <v>10.4</v>
      </c>
      <c r="DN143" s="2">
        <v>4.7</v>
      </c>
      <c r="DO143" s="2">
        <v>0.1</v>
      </c>
      <c r="DP143" s="2" t="s">
        <v>1812</v>
      </c>
      <c r="DQ143" s="2" t="str">
        <f>HYPERLINK(".\links\Sigp\AGAP010981-PA-SigP.txt","CYT")</f>
        <v>CYT</v>
      </c>
      <c r="DR143" s="2" t="s">
        <v>94</v>
      </c>
      <c r="DS143" s="2">
        <v>285.10300000000001</v>
      </c>
      <c r="DT143" s="2">
        <v>5.53</v>
      </c>
      <c r="DU143" s="2" t="s">
        <v>94</v>
      </c>
      <c r="DV143" s="2" t="s">
        <v>94</v>
      </c>
      <c r="DW143" s="2" t="s">
        <v>390</v>
      </c>
      <c r="DX143" s="2">
        <v>2614</v>
      </c>
      <c r="DY143" s="8">
        <v>0</v>
      </c>
      <c r="DZ143" s="2" t="s">
        <v>94</v>
      </c>
      <c r="EA143" s="2" t="s">
        <v>94</v>
      </c>
      <c r="EB143" s="2" t="s">
        <v>94</v>
      </c>
      <c r="EC143" s="2" t="str">
        <f>HYPERLINK(".\links\gpi\AGAP010981-PA-gpi.txt","Y-NoSP")</f>
        <v>Y-NoSP</v>
      </c>
      <c r="ED143" s="2">
        <v>0.28999999999999998</v>
      </c>
      <c r="EF143" s="2">
        <v>70</v>
      </c>
      <c r="EG143" s="2" t="str">
        <f>HYPERLINK(".\links\pep\AGAP010981-PA-sulf.txt","9")</f>
        <v>9</v>
      </c>
      <c r="EH143" s="2" t="s">
        <v>94</v>
      </c>
      <c r="EI143" s="2">
        <v>12.1270084162204</v>
      </c>
      <c r="EJ143" s="2">
        <v>4.6671767406273901</v>
      </c>
      <c r="EK143" s="2">
        <v>10.4437643458301</v>
      </c>
      <c r="EL143" s="2">
        <v>15.110941086457499</v>
      </c>
      <c r="EM143" s="2">
        <v>2</v>
      </c>
      <c r="EN143" s="2">
        <v>7</v>
      </c>
      <c r="EO143" s="2">
        <v>7</v>
      </c>
      <c r="EP143" s="2" t="s">
        <v>94</v>
      </c>
      <c r="EQ143" s="2" t="s">
        <v>94</v>
      </c>
      <c r="ER143" s="2" t="s">
        <v>94</v>
      </c>
      <c r="ES143" s="2" t="s">
        <v>94</v>
      </c>
      <c r="ET143" s="2" t="str">
        <f>HYPERLINK(".\links\REFSEQ-INVERTEBRATE\AGAP010981-PA-REFSEQ-INVERTEBRATE.txt","uncharacterized protein LOC118508566")</f>
        <v>uncharacterized protein LOC118508566</v>
      </c>
      <c r="EU143" s="2" t="str">
        <f>HYPERLINK("http://www.ncbi.nlm.nih.gov/sutils/blink.cgi?pid=XP_035904358.1","0.0")</f>
        <v>0.0</v>
      </c>
      <c r="EV143" s="2" t="str">
        <f>HYPERLINK("http://www.ncbi.nlm.nih.gov/protein/XP_035904358.1","XP_035904358.1")</f>
        <v>XP_035904358.1</v>
      </c>
      <c r="EW143" s="2">
        <v>71</v>
      </c>
      <c r="EX143" s="2">
        <v>79</v>
      </c>
      <c r="EY143" s="2">
        <v>75</v>
      </c>
      <c r="EZ143" s="2" t="s">
        <v>184</v>
      </c>
    </row>
    <row r="144" spans="1:156" x14ac:dyDescent="0.25">
      <c r="A144" s="2" t="s">
        <v>1813</v>
      </c>
      <c r="B144" s="2">
        <v>0.66144316385639801</v>
      </c>
      <c r="C144" s="2">
        <v>1.5816640106297304</v>
      </c>
      <c r="D144" s="2">
        <v>4.1925574146767497</v>
      </c>
      <c r="E144" s="2">
        <v>16.986441941980601</v>
      </c>
      <c r="F144" s="2">
        <v>3.7647697970299301E-5</v>
      </c>
      <c r="G144" s="2">
        <v>3.4566434922827299E-3</v>
      </c>
      <c r="H144" s="2" t="s">
        <v>167</v>
      </c>
      <c r="I144" s="2" t="s">
        <v>87</v>
      </c>
      <c r="J144" s="2" t="str">
        <f>HYPERLINK("https://vectorbase.org/vectorbase/app/record/gene/AGAP002458","AGAP002458-RA")</f>
        <v>AGAP002458-RA</v>
      </c>
      <c r="K144" s="2" t="str">
        <f>HYPERLINK(".\links\pep\AGAP002458-PA-pep.txt","AGAP002458-PA")</f>
        <v>AGAP002458-PA</v>
      </c>
      <c r="L144" s="8" t="s">
        <v>88</v>
      </c>
      <c r="M144" s="2">
        <v>701</v>
      </c>
      <c r="N144" s="2">
        <v>0</v>
      </c>
      <c r="O144" s="2">
        <v>2</v>
      </c>
      <c r="P144" s="2" t="s">
        <v>94</v>
      </c>
      <c r="Q144" s="9" t="s">
        <v>1814</v>
      </c>
      <c r="R144" s="2" t="s">
        <v>253</v>
      </c>
      <c r="S144" s="2" t="str">
        <f>HYPERLINK(".\links\REFSEQ-INVERTEBRATE\AGAP002458-PA-REFSEQ-INVERTEBRATE.txt","REFSEQ-INVERTEBRATE")</f>
        <v>REFSEQ-INVERTEBRATE</v>
      </c>
      <c r="T144" s="2">
        <v>0</v>
      </c>
      <c r="U144" s="2">
        <v>100</v>
      </c>
      <c r="V144" s="2" t="s">
        <v>1814</v>
      </c>
      <c r="W144" s="10" t="s">
        <v>1815</v>
      </c>
      <c r="X144" s="2" t="s">
        <v>253</v>
      </c>
      <c r="Y144" s="2" t="str">
        <f>HYPERLINK(".\links\ARTHORPODA\AGAP002458-PA-ARTHORPODA.txt","ARTHORPODA")</f>
        <v>ARTHORPODA</v>
      </c>
      <c r="Z144" s="2">
        <v>0</v>
      </c>
      <c r="AA144" s="2">
        <v>100.3</v>
      </c>
      <c r="AB144" s="11" t="str">
        <f>HYPERLINK(".\links\pep\AGAP002458-PA-sulf.txt","1")</f>
        <v>1</v>
      </c>
      <c r="AC144" s="11" t="str">
        <f>HYPERLINK(".\links\Sigp\AGAP002458-PA-SigP.txt","CYT")</f>
        <v>CYT</v>
      </c>
      <c r="AD144" s="2" t="s">
        <v>94</v>
      </c>
      <c r="AE144" s="2">
        <v>74.274000000000001</v>
      </c>
      <c r="AF144" s="2">
        <v>9.82</v>
      </c>
      <c r="AG144" s="2" t="s">
        <v>94</v>
      </c>
      <c r="AH144" s="2" t="s">
        <v>94</v>
      </c>
      <c r="AI144" s="2" t="s">
        <v>1816</v>
      </c>
      <c r="AJ144" s="11">
        <v>0</v>
      </c>
      <c r="AK144" s="2" t="s">
        <v>94</v>
      </c>
      <c r="AL144" s="2" t="s">
        <v>94</v>
      </c>
      <c r="AM144" s="2" t="s">
        <v>94</v>
      </c>
      <c r="AN144" s="11" t="str">
        <f>HYPERLINK(".\links\gpi\AGAP002458-PA-gpi.txt","N")</f>
        <v>N</v>
      </c>
      <c r="AO144" s="12" t="str">
        <f>HYPERLINK(".\links\netoglyc\AGAP002458-PA-netoglyc.txt","6")</f>
        <v>6</v>
      </c>
      <c r="AP144" s="11">
        <v>21.8</v>
      </c>
      <c r="AQ144" s="2">
        <v>8</v>
      </c>
      <c r="AR144" s="2">
        <v>7.6</v>
      </c>
      <c r="AS144" s="2" t="s">
        <v>97</v>
      </c>
      <c r="AT144" s="9" t="str">
        <f>HYPERLINK(".\links\NR-LIGHT\AGAP002458-PA-NR-LIGHT.txt","AGAP002458-PA")</f>
        <v>AGAP002458-PA</v>
      </c>
      <c r="AU144" s="2" t="str">
        <f>HYPERLINK("http://www.ncbi.nlm.nih.gov/sutils/blink.cgi?pid=XP_001688386.2","0.0")</f>
        <v>0.0</v>
      </c>
      <c r="AV144" s="2" t="str">
        <f>HYPERLINK("http://www.ncbi.nlm.nih.gov/protein/XP_001688386.2","XP_001688386.2")</f>
        <v>XP_001688386.2</v>
      </c>
      <c r="AW144" s="2">
        <v>100</v>
      </c>
      <c r="AX144" s="2">
        <v>100</v>
      </c>
      <c r="AY144" s="2">
        <v>100</v>
      </c>
      <c r="AZ144" s="2" t="s">
        <v>98</v>
      </c>
      <c r="BA144" s="9" t="str">
        <f>HYPERLINK(".\links\REFSEQ-INVERTEBRATE\AGAP002458-PA-REFSEQ-INVERTEBRATE.txt","AGAP002458-PA")</f>
        <v>AGAP002458-PA</v>
      </c>
      <c r="BB144" s="2" t="str">
        <f>HYPERLINK("http://www.ncbi.nlm.nih.gov/sutils/blink.cgi?pid=XP_001688386.2","0.0")</f>
        <v>0.0</v>
      </c>
      <c r="BC144" s="2" t="str">
        <f>HYPERLINK("http://www.ncbi.nlm.nih.gov/protein/XP_001688386.2","XP_001688386.2")</f>
        <v>XP_001688386.2</v>
      </c>
      <c r="BD144" s="2">
        <v>100</v>
      </c>
      <c r="BE144" s="2">
        <v>100</v>
      </c>
      <c r="BF144" s="2">
        <v>100</v>
      </c>
      <c r="BG144" s="2" t="s">
        <v>98</v>
      </c>
      <c r="BH144" s="9" t="str">
        <f>HYPERLINK(".\links\REFSEQ-PROTOZOA\AGAP002458-PA-REFSEQ-PROTOZOA.txt","proteophosphoglycan ppg1")</f>
        <v>proteophosphoglycan ppg1</v>
      </c>
      <c r="BI144" s="2" t="str">
        <f>HYPERLINK("http://www.ncbi.nlm.nih.gov/sutils/blink.cgi?pid=XP_003879053.1","4E-016")</f>
        <v>4E-016</v>
      </c>
      <c r="BJ144" s="2" t="str">
        <f>HYPERLINK("http://www.ncbi.nlm.nih.gov/protein/XP_003879053.1","XP_003879053.1")</f>
        <v>XP_003879053.1</v>
      </c>
      <c r="BK144" s="2">
        <v>17</v>
      </c>
      <c r="BL144" s="2">
        <v>35</v>
      </c>
      <c r="BM144" s="2">
        <v>44</v>
      </c>
      <c r="BN144" s="2" t="s">
        <v>916</v>
      </c>
      <c r="BO144" s="9" t="str">
        <f>HYPERLINK(".\links\SWISSP\AGAP002458-PA-SWISSP.txt","Platelet binding protein GspB")</f>
        <v>Platelet binding protein GspB</v>
      </c>
      <c r="BP144" s="2" t="str">
        <f>HYPERLINK("http://www.uniprot.org/uniprot/Q939N5","9E-007")</f>
        <v>9E-007</v>
      </c>
      <c r="BQ144" s="2" t="str">
        <f>HYPERLINK("http://www.uniprot.org/uniprot/Q939N5#expression","Q939N5")</f>
        <v>Q939N5</v>
      </c>
      <c r="BR144" s="2">
        <v>19</v>
      </c>
      <c r="BS144" s="2">
        <v>35</v>
      </c>
      <c r="BT144" s="2">
        <v>23</v>
      </c>
      <c r="BU144" s="2" t="s">
        <v>1184</v>
      </c>
      <c r="BV144" s="9"/>
      <c r="CB144" s="9" t="str">
        <f>HYPERLINK(".\links\CDD\AGAP002458-PA-CDD.txt","Macoilin, Transmembrane protein")</f>
        <v>Macoilin, Transmembrane protein</v>
      </c>
      <c r="CC144" s="13">
        <v>1.7</v>
      </c>
      <c r="CD144" s="2">
        <v>22.7</v>
      </c>
      <c r="CE144" s="2" t="s">
        <v>1653</v>
      </c>
      <c r="CF144" s="2" t="s">
        <v>1817</v>
      </c>
      <c r="CG144" s="9" t="str">
        <f>HYPERLINK(".\links\KOG\AGAP002458-PA-KOG.txt","ARK protein kinase family")</f>
        <v>ARK protein kinase family</v>
      </c>
      <c r="CH144" s="13">
        <v>2.1000000000000001E-2</v>
      </c>
      <c r="CI144" s="2">
        <v>18</v>
      </c>
      <c r="CJ144" s="2" t="s">
        <v>1818</v>
      </c>
      <c r="CK144" s="2" t="s">
        <v>326</v>
      </c>
      <c r="CL144" s="9" t="str">
        <f>HYPERLINK(".\links\PFAM\AGAP002458-PA-PFAM.txt","Macoilin, Transmembrane protein")</f>
        <v>Macoilin, Transmembrane protein</v>
      </c>
      <c r="CM144" s="13">
        <v>0.33</v>
      </c>
      <c r="CN144" s="2">
        <v>22.7</v>
      </c>
      <c r="CO144" s="2" t="s">
        <v>1653</v>
      </c>
      <c r="CP144" s="9" t="str">
        <f>HYPERLINK(".\links\SMART\AGAP002458-PA-SMART.txt","Amelogenin, Amelogenins, cell adhesion proteins, play a role in the biomineralisation of teeth")</f>
        <v>Amelogenin, Amelogenins, cell adhesion proteins, play a role in the biomineralisation of teeth</v>
      </c>
      <c r="CQ144" s="13">
        <v>2.2000000000000002</v>
      </c>
      <c r="CR144" s="2">
        <v>30.9</v>
      </c>
      <c r="CS144" s="2" t="s">
        <v>421</v>
      </c>
      <c r="CT144" s="2" t="s">
        <v>1814</v>
      </c>
      <c r="CU144" s="2" t="s">
        <v>1814</v>
      </c>
      <c r="CV144" s="2" t="s">
        <v>1814</v>
      </c>
      <c r="CW144" s="2" t="str">
        <f>HYPERLINK(".\links\pep\AGAP002458-PA-pep.txt","AGAP002458-PA")</f>
        <v>AGAP002458-PA</v>
      </c>
      <c r="CX144" s="2" t="s">
        <v>88</v>
      </c>
      <c r="CY144" s="2">
        <v>701</v>
      </c>
      <c r="CZ144" s="2" t="s">
        <v>106</v>
      </c>
      <c r="DA144" s="2" t="s">
        <v>1819</v>
      </c>
      <c r="DB144" s="2">
        <v>0</v>
      </c>
      <c r="DC144" s="2">
        <v>2</v>
      </c>
      <c r="DD144" s="2" t="str">
        <f>HYPERLINK("https://www.kegg.jp/kegg-bin/search_pathway_text?map=aga&amp;keyword=AGAP002458&amp;mode=1&amp;viewImage=true","AGAP002458")</f>
        <v>AGAP002458</v>
      </c>
      <c r="DE144" s="2" t="s">
        <v>1813</v>
      </c>
      <c r="DF144" s="2" t="s">
        <v>167</v>
      </c>
      <c r="DG144" s="2" t="s">
        <v>87</v>
      </c>
      <c r="DH144" s="2" t="str">
        <f>HYPERLINK("https://vectorbase.org/vectorbase/app/record/gene/AGAP002458","AGAP002458-RA")</f>
        <v>AGAP002458-RA</v>
      </c>
      <c r="DI144" s="2" t="s">
        <v>250</v>
      </c>
      <c r="DJ144" s="2">
        <v>2106</v>
      </c>
      <c r="DK144" s="2" t="str">
        <f>HYPERLINK(".\links\netoglyc\AGAP002458-PA-netoglyc.txt","6")</f>
        <v>6</v>
      </c>
      <c r="DL144" s="2">
        <v>21.8</v>
      </c>
      <c r="DM144" s="2">
        <v>8</v>
      </c>
      <c r="DN144" s="2">
        <v>7.6</v>
      </c>
      <c r="DO144" s="2" t="s">
        <v>97</v>
      </c>
      <c r="DP144" s="2" t="s">
        <v>94</v>
      </c>
      <c r="DQ144" s="2" t="str">
        <f>HYPERLINK(".\links\Sigp\AGAP002458-PA-SigP.txt","CYT")</f>
        <v>CYT</v>
      </c>
      <c r="DR144" s="2" t="s">
        <v>94</v>
      </c>
      <c r="DS144" s="2">
        <v>74.275000000000006</v>
      </c>
      <c r="DT144" s="2">
        <v>9.82</v>
      </c>
      <c r="DU144" s="2" t="s">
        <v>94</v>
      </c>
      <c r="DV144" s="2" t="s">
        <v>94</v>
      </c>
      <c r="DW144" s="2" t="s">
        <v>1816</v>
      </c>
      <c r="DX144" s="2">
        <v>701</v>
      </c>
      <c r="DY144" s="8">
        <v>0</v>
      </c>
      <c r="DZ144" s="2" t="s">
        <v>94</v>
      </c>
      <c r="EA144" s="2" t="s">
        <v>94</v>
      </c>
      <c r="EB144" s="2" t="s">
        <v>94</v>
      </c>
      <c r="EC144" s="2" t="str">
        <f>HYPERLINK(".\links\gpi\AGAP002458-PA-gpi.txt","Y-NoSP")</f>
        <v>Y-NoSP</v>
      </c>
      <c r="ED144" s="2">
        <v>0.35</v>
      </c>
      <c r="EF144" s="2">
        <v>13</v>
      </c>
      <c r="EG144" s="2" t="str">
        <f>HYPERLINK(".\links\pep\AGAP002458-PA-sulf.txt","1")</f>
        <v>1</v>
      </c>
      <c r="EH144" s="2" t="s">
        <v>94</v>
      </c>
      <c r="EI144" s="2">
        <v>21.8259629101284</v>
      </c>
      <c r="EJ144" s="2">
        <v>7.5606276747503598</v>
      </c>
      <c r="EK144" s="2">
        <v>7.9885877318117</v>
      </c>
      <c r="EL144" s="2">
        <v>15.5492154065621</v>
      </c>
      <c r="EM144" s="2" t="s">
        <v>94</v>
      </c>
      <c r="EN144" s="2">
        <v>3</v>
      </c>
      <c r="EO144" s="2">
        <v>4</v>
      </c>
      <c r="EP144" s="2" t="s">
        <v>94</v>
      </c>
      <c r="EQ144" s="2" t="s">
        <v>94</v>
      </c>
      <c r="ER144" s="2" t="s">
        <v>94</v>
      </c>
      <c r="ES144" s="2" t="s">
        <v>94</v>
      </c>
      <c r="ET144" s="2" t="str">
        <f>HYPERLINK(".\links\REFSEQ-INVERTEBRATE\AGAP002458-PA-REFSEQ-INVERTEBRATE.txt","AGAP002458-PA")</f>
        <v>AGAP002458-PA</v>
      </c>
      <c r="EU144" s="2" t="str">
        <f>HYPERLINK("http://www.ncbi.nlm.nih.gov/sutils/blink.cgi?pid=XP_001688386.2","0.0")</f>
        <v>0.0</v>
      </c>
      <c r="EV144" s="2" t="str">
        <f>HYPERLINK("http://www.ncbi.nlm.nih.gov/protein/XP_001688386.2","XP_001688386.2")</f>
        <v>XP_001688386.2</v>
      </c>
      <c r="EW144" s="2">
        <v>100</v>
      </c>
      <c r="EX144" s="2">
        <v>100</v>
      </c>
      <c r="EY144" s="2">
        <v>100</v>
      </c>
      <c r="EZ144" s="2" t="s">
        <v>98</v>
      </c>
    </row>
    <row r="145" spans="1:156" x14ac:dyDescent="0.25">
      <c r="A145" s="2" t="s">
        <v>1820</v>
      </c>
      <c r="B145" s="2">
        <v>0.66007950206814903</v>
      </c>
      <c r="C145" s="2">
        <v>1.5801696991613949</v>
      </c>
      <c r="D145" s="2">
        <v>6.2774416505568</v>
      </c>
      <c r="E145" s="2">
        <v>13.973063686778801</v>
      </c>
      <c r="F145" s="2">
        <v>1.8544854436455699E-4</v>
      </c>
      <c r="G145" s="2">
        <v>1.1099916987693701E-2</v>
      </c>
      <c r="H145" s="2" t="s">
        <v>1821</v>
      </c>
      <c r="I145" s="2" t="s">
        <v>87</v>
      </c>
      <c r="J145" s="2" t="str">
        <f>HYPERLINK("https://vectorbase.org/vectorbase/app/record/gene/AGAP000577","AGAP000577-RD")</f>
        <v>AGAP000577-RD</v>
      </c>
      <c r="K145" s="2" t="str">
        <f>HYPERLINK(".\links\pep\AGAP000577-PD-pep.txt","AGAP000577-PD")</f>
        <v>AGAP000577-PD</v>
      </c>
      <c r="L145" s="8" t="s">
        <v>88</v>
      </c>
      <c r="M145" s="2">
        <v>782</v>
      </c>
      <c r="N145" s="2">
        <v>0</v>
      </c>
      <c r="O145" s="2">
        <v>2</v>
      </c>
      <c r="P145" s="2" t="s">
        <v>1822</v>
      </c>
      <c r="Q145" s="9" t="s">
        <v>1823</v>
      </c>
      <c r="R145" s="2" t="s">
        <v>1064</v>
      </c>
      <c r="S145" s="2" t="str">
        <f>HYPERLINK(".\links\KOG\AGAP000577-PD-KOG.txt","KOG")</f>
        <v>KOG</v>
      </c>
      <c r="T145" s="2">
        <v>0</v>
      </c>
      <c r="U145" s="2">
        <v>93.8</v>
      </c>
      <c r="V145" s="2" t="s">
        <v>1824</v>
      </c>
      <c r="W145" s="10" t="s">
        <v>1825</v>
      </c>
      <c r="X145" s="2" t="s">
        <v>1064</v>
      </c>
      <c r="Y145" s="2" t="str">
        <f>HYPERLINK(".\links\KOG\AGAP000577-PD-KOG.txt","KOG")</f>
        <v>KOG</v>
      </c>
      <c r="Z145" s="13">
        <v>0</v>
      </c>
      <c r="AA145" s="2">
        <v>83.8</v>
      </c>
      <c r="AB145" s="11" t="s">
        <v>94</v>
      </c>
      <c r="AC145" s="11" t="str">
        <f>HYPERLINK(".\links\Sigp\AGAP000577-PD-SigP.txt","CYT")</f>
        <v>CYT</v>
      </c>
      <c r="AD145" s="2" t="s">
        <v>94</v>
      </c>
      <c r="AE145" s="2">
        <v>89.113</v>
      </c>
      <c r="AF145" s="2">
        <v>5.72</v>
      </c>
      <c r="AG145" s="2" t="s">
        <v>94</v>
      </c>
      <c r="AH145" s="2" t="s">
        <v>94</v>
      </c>
      <c r="AI145" s="2" t="s">
        <v>1826</v>
      </c>
      <c r="AJ145" s="11">
        <v>0</v>
      </c>
      <c r="AK145" s="2" t="s">
        <v>94</v>
      </c>
      <c r="AL145" s="2" t="s">
        <v>94</v>
      </c>
      <c r="AM145" s="2" t="s">
        <v>94</v>
      </c>
      <c r="AN145" s="11" t="str">
        <f>HYPERLINK(".\links\gpi\AGAP000577-PD-gpi.txt","N")</f>
        <v>N</v>
      </c>
      <c r="AO145" s="12" t="str">
        <f>HYPERLINK(".\links\netoglyc\AGAP000577-PD-netoglyc.txt","0")</f>
        <v>0</v>
      </c>
      <c r="AP145" s="11">
        <v>11.6</v>
      </c>
      <c r="AQ145" s="2">
        <v>4.7</v>
      </c>
      <c r="AR145" s="2">
        <v>6.6</v>
      </c>
      <c r="AS145" s="2" t="s">
        <v>97</v>
      </c>
      <c r="AT145" s="9" t="str">
        <f>HYPERLINK(".\links\NR-LIGHT\AGAP000577-PD-NR-LIGHT.txt","AGAP000577-PD")</f>
        <v>AGAP000577-PD</v>
      </c>
      <c r="AU145" s="2" t="str">
        <f>HYPERLINK("http://www.ncbi.nlm.nih.gov/sutils/blink.cgi?pid=XP_003437037.1","0.0")</f>
        <v>0.0</v>
      </c>
      <c r="AV145" s="2" t="str">
        <f>HYPERLINK("http://www.ncbi.nlm.nih.gov/protein/XP_003437037.1","XP_003437037.1")</f>
        <v>XP_003437037.1</v>
      </c>
      <c r="AW145" s="2">
        <v>100</v>
      </c>
      <c r="AX145" s="2">
        <v>100</v>
      </c>
      <c r="AY145" s="2">
        <v>100</v>
      </c>
      <c r="AZ145" s="2" t="s">
        <v>98</v>
      </c>
      <c r="BA145" s="9" t="str">
        <f>HYPERLINK(".\links\REFSEQ-INVERTEBRATE\AGAP000577-PD-REFSEQ-INVERTEBRATE.txt","AGAP000577-PD")</f>
        <v>AGAP000577-PD</v>
      </c>
      <c r="BB145" s="2" t="str">
        <f>HYPERLINK("http://www.ncbi.nlm.nih.gov/sutils/blink.cgi?pid=XP_003437037.1","0.0")</f>
        <v>0.0</v>
      </c>
      <c r="BC145" s="2" t="str">
        <f>HYPERLINK("http://www.ncbi.nlm.nih.gov/protein/XP_003437037.1","XP_003437037.1")</f>
        <v>XP_003437037.1</v>
      </c>
      <c r="BD145" s="2">
        <v>100</v>
      </c>
      <c r="BE145" s="2">
        <v>100</v>
      </c>
      <c r="BF145" s="2">
        <v>100</v>
      </c>
      <c r="BG145" s="2" t="s">
        <v>98</v>
      </c>
      <c r="BH145" s="9" t="str">
        <f>HYPERLINK(".\links\REFSEQ-PROTOZOA\AGAP000577-PD-REFSEQ-PROTOZOA.txt","adenosine monophosphate deaminase 2 (isoform L) isoform 3")</f>
        <v>adenosine monophosphate deaminase 2 (isoform L) isoform 3</v>
      </c>
      <c r="BI145" s="2" t="str">
        <f>HYPERLINK("http://www.ncbi.nlm.nih.gov/sutils/blink.cgi?pid=XP_009691426.1","0.0")</f>
        <v>0.0</v>
      </c>
      <c r="BJ145" s="2" t="str">
        <f>HYPERLINK("http://www.ncbi.nlm.nih.gov/protein/XP_009691426.1","XP_009691426.1")</f>
        <v>XP_009691426.1</v>
      </c>
      <c r="BK145" s="2">
        <v>57</v>
      </c>
      <c r="BL145" s="2">
        <v>72</v>
      </c>
      <c r="BM145" s="2">
        <v>93</v>
      </c>
      <c r="BN145" s="2" t="s">
        <v>1827</v>
      </c>
      <c r="BO145" s="9" t="str">
        <f>HYPERLINK(".\links\SWISSP\AGAP000577-PD-SWISSP.txt","AMP deaminase 2")</f>
        <v>AMP deaminase 2</v>
      </c>
      <c r="BP145" s="2" t="str">
        <f>HYPERLINK("http://www.uniprot.org/uniprot/Q02356","0.0")</f>
        <v>0.0</v>
      </c>
      <c r="BQ145" s="2" t="str">
        <f>HYPERLINK("http://www.uniprot.org/uniprot/Q02356#expression","Q02356")</f>
        <v>Q02356</v>
      </c>
      <c r="BR145" s="2">
        <v>60</v>
      </c>
      <c r="BS145" s="2">
        <v>74</v>
      </c>
      <c r="BT145" s="2">
        <v>88</v>
      </c>
      <c r="BU145" s="2" t="s">
        <v>177</v>
      </c>
      <c r="BV145" s="9" t="str">
        <f>HYPERLINK(".\links\FLYBASE\AGAP000577-PD-FLYBASE.txt","FBpp0290268")</f>
        <v>FBpp0290268</v>
      </c>
      <c r="BW145" s="2" t="str">
        <f>HYPERLINK("http://flybase.org/reports/FBgn0052626#alliance_summary_container","0.0")</f>
        <v>0.0</v>
      </c>
      <c r="BX145" s="2">
        <v>774</v>
      </c>
      <c r="BY145" s="2">
        <v>72</v>
      </c>
      <c r="BZ145" s="2">
        <v>81</v>
      </c>
      <c r="CA145" s="2">
        <v>96</v>
      </c>
      <c r="CB145" s="9" t="str">
        <f>HYPERLINK(".\links\CDD\AGAP000577-PD-CDD.txt","AMPD, AMP deaminase (AMPD) catalyzes the hydrolytic deamination of adensosine monophosphate (AMP) at position 6 of the adenine nucleotide ring")</f>
        <v>AMPD, AMP deaminase (AMPD) catalyzes the hydrolytic deamination of adensosine monophosphate (AMP) at position 6 of the adenine nucleotide ring</v>
      </c>
      <c r="CC145" s="13">
        <v>0</v>
      </c>
      <c r="CD145" s="2">
        <v>100.2</v>
      </c>
      <c r="CE145" s="2" t="s">
        <v>1828</v>
      </c>
      <c r="CF145" s="2" t="s">
        <v>1829</v>
      </c>
      <c r="CG145" s="9" t="str">
        <f>HYPERLINK(".\links\KOG\AGAP000577-PD-KOG.txt","Adenosine monophosphate deaminase")</f>
        <v>Adenosine monophosphate deaminase</v>
      </c>
      <c r="CH145" s="13">
        <v>0</v>
      </c>
      <c r="CI145" s="2">
        <v>93.9</v>
      </c>
      <c r="CJ145" s="2" t="s">
        <v>1830</v>
      </c>
      <c r="CK145" s="2" t="s">
        <v>1071</v>
      </c>
      <c r="CL145" s="9" t="str">
        <f>HYPERLINK(".\links\PFAM\AGAP000577-PD-PFAM.txt","A_deaminase, Adenosine/AMP deaminase")</f>
        <v>A_deaminase, Adenosine/AMP deaminase</v>
      </c>
      <c r="CM145" s="13">
        <v>2.0000000000000001E-84</v>
      </c>
      <c r="CN145" s="2">
        <v>96</v>
      </c>
      <c r="CO145" s="2" t="s">
        <v>1831</v>
      </c>
      <c r="CP145" s="9" t="str">
        <f>HYPERLINK(".\links\SMART\AGAP000577-PD-SMART.txt","VHP, Villin headpiece domain")</f>
        <v>VHP, Villin headpiece domain</v>
      </c>
      <c r="CQ145" s="13">
        <v>0.18</v>
      </c>
      <c r="CR145" s="2">
        <v>66.7</v>
      </c>
      <c r="CS145" s="2" t="s">
        <v>1832</v>
      </c>
      <c r="CT145" s="2" t="s">
        <v>1824</v>
      </c>
      <c r="CU145" s="2" t="s">
        <v>1824</v>
      </c>
      <c r="CV145" s="2" t="s">
        <v>1824</v>
      </c>
      <c r="CW145" s="2" t="str">
        <f>HYPERLINK(".\links\pep\AGAP000577-PD-pep.txt","AGAP000577-PD")</f>
        <v>AGAP000577-PD</v>
      </c>
      <c r="CX145" s="2" t="s">
        <v>88</v>
      </c>
      <c r="CY145" s="2">
        <v>782</v>
      </c>
      <c r="CZ145" s="2" t="s">
        <v>106</v>
      </c>
      <c r="DA145" s="2" t="s">
        <v>1833</v>
      </c>
      <c r="DB145" s="2">
        <v>0</v>
      </c>
      <c r="DC145" s="2">
        <v>2</v>
      </c>
      <c r="DD145" s="2" t="str">
        <f>HYPERLINK("https://www.kegg.jp/kegg-bin/search_pathway_text?map=aga&amp;keyword=AGAP000577&amp;mode=1&amp;viewImage=true","AGAP000577")</f>
        <v>AGAP000577</v>
      </c>
      <c r="DE145" s="2" t="s">
        <v>1820</v>
      </c>
      <c r="DF145" s="2" t="s">
        <v>1821</v>
      </c>
      <c r="DG145" s="2" t="s">
        <v>87</v>
      </c>
      <c r="DH145" s="2" t="str">
        <f>HYPERLINK("https://vectorbase.org/vectorbase/app/record/gene/AGAP000577","AGAP000577-RD")</f>
        <v>AGAP000577-RD</v>
      </c>
      <c r="DI145" s="2" t="s">
        <v>125</v>
      </c>
      <c r="DJ145" s="2">
        <v>2803</v>
      </c>
      <c r="DK145" s="2" t="str">
        <f>HYPERLINK(".\links\netoglyc\AGAP000577-PD-netoglyc.txt","0")</f>
        <v>0</v>
      </c>
      <c r="DL145" s="2">
        <v>11.6</v>
      </c>
      <c r="DM145" s="2">
        <v>4.7</v>
      </c>
      <c r="DN145" s="2">
        <v>6.6</v>
      </c>
      <c r="DO145" s="2" t="s">
        <v>97</v>
      </c>
      <c r="DP145" s="2" t="s">
        <v>94</v>
      </c>
      <c r="DQ145" s="2" t="str">
        <f>HYPERLINK(".\links\Sigp\AGAP000577-PD-SigP.txt","CYT")</f>
        <v>CYT</v>
      </c>
      <c r="DR145" s="2" t="s">
        <v>94</v>
      </c>
      <c r="DS145" s="2">
        <v>89.113</v>
      </c>
      <c r="DT145" s="2">
        <v>5.72</v>
      </c>
      <c r="DU145" s="2" t="s">
        <v>94</v>
      </c>
      <c r="DV145" s="2" t="s">
        <v>94</v>
      </c>
      <c r="DW145" s="2" t="s">
        <v>1826</v>
      </c>
      <c r="DX145" s="2">
        <v>782</v>
      </c>
      <c r="DY145" s="8">
        <v>0</v>
      </c>
      <c r="DZ145" s="2" t="s">
        <v>94</v>
      </c>
      <c r="EA145" s="2" t="s">
        <v>94</v>
      </c>
      <c r="EB145" s="2" t="s">
        <v>94</v>
      </c>
      <c r="EC145" s="2" t="str">
        <f>HYPERLINK(".\links\gpi\AGAP000577-PD-gpi.txt","N")</f>
        <v>N</v>
      </c>
      <c r="ED145" s="2">
        <v>0.18</v>
      </c>
      <c r="EF145" s="2">
        <v>8</v>
      </c>
      <c r="EG145" s="2" t="s">
        <v>94</v>
      </c>
      <c r="EH145" s="2" t="s">
        <v>94</v>
      </c>
      <c r="EI145" s="2">
        <v>11.6368286445013</v>
      </c>
      <c r="EJ145" s="2">
        <v>6.6496163682864404</v>
      </c>
      <c r="EK145" s="2">
        <v>4.7314578005115102</v>
      </c>
      <c r="EL145" s="2">
        <v>11.381074168797999</v>
      </c>
      <c r="EM145" s="2" t="s">
        <v>94</v>
      </c>
      <c r="EN145" s="2">
        <v>1</v>
      </c>
      <c r="EO145" s="2">
        <v>1</v>
      </c>
      <c r="EP145" s="2" t="s">
        <v>94</v>
      </c>
      <c r="EQ145" s="2" t="s">
        <v>94</v>
      </c>
      <c r="ER145" s="2" t="s">
        <v>94</v>
      </c>
      <c r="ES145" s="2" t="s">
        <v>94</v>
      </c>
      <c r="ET145" s="2" t="str">
        <f>HYPERLINK(".\links\REFSEQ-INVERTEBRATE\AGAP000577-PD-REFSEQ-INVERTEBRATE.txt","AGAP000577-PD")</f>
        <v>AGAP000577-PD</v>
      </c>
      <c r="EU145" s="2" t="str">
        <f>HYPERLINK("http://www.ncbi.nlm.nih.gov/sutils/blink.cgi?pid=XP_003437037.1","0.0")</f>
        <v>0.0</v>
      </c>
      <c r="EV145" s="2" t="str">
        <f>HYPERLINK("http://www.ncbi.nlm.nih.gov/protein/XP_003437037.1","XP_003437037.1")</f>
        <v>XP_003437037.1</v>
      </c>
      <c r="EW145" s="2">
        <v>100</v>
      </c>
      <c r="EX145" s="2">
        <v>100</v>
      </c>
      <c r="EY145" s="2">
        <v>100</v>
      </c>
      <c r="EZ145" s="2" t="s">
        <v>98</v>
      </c>
    </row>
    <row r="146" spans="1:156" x14ac:dyDescent="0.25">
      <c r="A146" s="2" t="s">
        <v>1834</v>
      </c>
      <c r="B146" s="2">
        <v>0.65694425253148403</v>
      </c>
      <c r="C146" s="2">
        <v>1.5767394198311377</v>
      </c>
      <c r="D146" s="2">
        <v>3.6362507968698399</v>
      </c>
      <c r="E146" s="2">
        <v>14.271072277161901</v>
      </c>
      <c r="F146" s="2">
        <v>1.58278758568853E-4</v>
      </c>
      <c r="G146" s="2">
        <v>1.02216162128033E-2</v>
      </c>
      <c r="H146" s="2" t="s">
        <v>1835</v>
      </c>
      <c r="I146" s="2" t="s">
        <v>87</v>
      </c>
      <c r="J146" s="2" t="str">
        <f>HYPERLINK("https://vectorbase.org/vectorbase/app/record/gene/AGAP009278","AGAP009278-RA")</f>
        <v>AGAP009278-RA</v>
      </c>
      <c r="K146" s="2" t="str">
        <f>HYPERLINK(".\links\pep\AGAP009278-PA-pep.txt","AGAP009278-PA")</f>
        <v>AGAP009278-PA</v>
      </c>
      <c r="L146" s="8" t="s">
        <v>88</v>
      </c>
      <c r="M146" s="2">
        <v>1068</v>
      </c>
      <c r="N146" s="2">
        <v>0</v>
      </c>
      <c r="O146" s="2">
        <v>3</v>
      </c>
      <c r="P146" s="2" t="s">
        <v>1836</v>
      </c>
      <c r="Q146" s="9" t="s">
        <v>1837</v>
      </c>
      <c r="R146" s="2" t="s">
        <v>550</v>
      </c>
      <c r="S146" s="2" t="str">
        <f>HYPERLINK(".\links\KOG\AGAP009278-PA-KOG.txt","KOG")</f>
        <v>KOG</v>
      </c>
      <c r="T146" s="2">
        <v>0</v>
      </c>
      <c r="U146" s="2">
        <v>100.2</v>
      </c>
      <c r="V146" s="2" t="s">
        <v>1838</v>
      </c>
      <c r="W146" s="10" t="s">
        <v>1839</v>
      </c>
      <c r="X146" s="2" t="s">
        <v>318</v>
      </c>
      <c r="Y146" s="2" t="str">
        <f>HYPERLINK(".\links\REFSEQVERTEBRATE95\AGAP009278-PA-REFSEQVERTEBRATE95.txt","REFSEQVERTEBRATE95")</f>
        <v>REFSEQVERTEBRATE95</v>
      </c>
      <c r="Z146" s="13">
        <v>0</v>
      </c>
      <c r="AA146" s="2">
        <v>95.3</v>
      </c>
      <c r="AB146" s="11" t="str">
        <f>HYPERLINK(".\links\pep\AGAP009278-PA-sulf.txt","3")</f>
        <v>3</v>
      </c>
      <c r="AC146" s="11" t="str">
        <f>HYPERLINK(".\links\Sigp\AGAP009278-PA-SigP.txt","CYT")</f>
        <v>CYT</v>
      </c>
      <c r="AD146" s="2" t="s">
        <v>94</v>
      </c>
      <c r="AE146" s="2">
        <v>122.33199999999999</v>
      </c>
      <c r="AF146" s="2">
        <v>6.12</v>
      </c>
      <c r="AG146" s="2" t="s">
        <v>94</v>
      </c>
      <c r="AH146" s="2" t="s">
        <v>94</v>
      </c>
      <c r="AI146" s="2" t="s">
        <v>1840</v>
      </c>
      <c r="AJ146" s="11">
        <v>0</v>
      </c>
      <c r="AK146" s="2" t="s">
        <v>94</v>
      </c>
      <c r="AL146" s="2" t="s">
        <v>94</v>
      </c>
      <c r="AM146" s="2" t="s">
        <v>94</v>
      </c>
      <c r="AN146" s="11" t="str">
        <f>HYPERLINK(".\links\gpi\AGAP009278-PA-gpi.txt","N")</f>
        <v>N</v>
      </c>
      <c r="AO146" s="12" t="str">
        <f>HYPERLINK(".\links\netoglyc\AGAP009278-PA-netoglyc.txt","4")</f>
        <v>4</v>
      </c>
      <c r="AP146" s="11">
        <v>13</v>
      </c>
      <c r="AQ146" s="2">
        <v>5.5</v>
      </c>
      <c r="AR146" s="2">
        <v>3.8</v>
      </c>
      <c r="AS146" s="2" t="s">
        <v>97</v>
      </c>
      <c r="AT146" s="9" t="str">
        <f>HYPERLINK(".\links\NR-LIGHT\AGAP009278-PA-NR-LIGHT.txt","AGAP009278-PA")</f>
        <v>AGAP009278-PA</v>
      </c>
      <c r="AU146" s="2" t="str">
        <f>HYPERLINK("http://www.ncbi.nlm.nih.gov/sutils/blink.cgi?pid=XP_320073.4","0.0")</f>
        <v>0.0</v>
      </c>
      <c r="AV146" s="2" t="str">
        <f>HYPERLINK("http://www.ncbi.nlm.nih.gov/protein/XP_320073.4","XP_320073.4")</f>
        <v>XP_320073.4</v>
      </c>
      <c r="AW146" s="2">
        <v>100</v>
      </c>
      <c r="AX146" s="2">
        <v>100</v>
      </c>
      <c r="AY146" s="2">
        <v>100</v>
      </c>
      <c r="AZ146" s="2" t="s">
        <v>98</v>
      </c>
      <c r="BA146" s="9" t="str">
        <f>HYPERLINK(".\links\REFSEQ-INVERTEBRATE\AGAP009278-PA-REFSEQ-INVERTEBRATE.txt","AGAP009278-PA")</f>
        <v>AGAP009278-PA</v>
      </c>
      <c r="BB146" s="2" t="str">
        <f>HYPERLINK("http://www.ncbi.nlm.nih.gov/sutils/blink.cgi?pid=XP_320073.4","0.0")</f>
        <v>0.0</v>
      </c>
      <c r="BC146" s="2" t="str">
        <f>HYPERLINK("http://www.ncbi.nlm.nih.gov/protein/XP_320073.4","XP_320073.4")</f>
        <v>XP_320073.4</v>
      </c>
      <c r="BD146" s="2">
        <v>100</v>
      </c>
      <c r="BE146" s="2">
        <v>100</v>
      </c>
      <c r="BF146" s="2">
        <v>100</v>
      </c>
      <c r="BG146" s="2" t="s">
        <v>98</v>
      </c>
      <c r="BH146" s="9" t="str">
        <f>HYPERLINK(".\links\REFSEQ-PROTOZOA\AGAP009278-PA-REFSEQ-PROTOZOA.txt","hypothetical protein CAOG_08548")</f>
        <v>hypothetical protein CAOG_08548</v>
      </c>
      <c r="BI146" s="2" t="str">
        <f>HYPERLINK("http://www.ncbi.nlm.nih.gov/sutils/blink.cgi?pid=XP_011270130.1","1E-152")</f>
        <v>1E-152</v>
      </c>
      <c r="BJ146" s="2" t="str">
        <f>HYPERLINK("http://www.ncbi.nlm.nih.gov/protein/XP_011270130.1","XP_011270130.1")</f>
        <v>XP_011270130.1</v>
      </c>
      <c r="BK146" s="2">
        <v>36</v>
      </c>
      <c r="BL146" s="2">
        <v>55</v>
      </c>
      <c r="BM146" s="2">
        <v>69</v>
      </c>
      <c r="BN146" s="2" t="s">
        <v>227</v>
      </c>
      <c r="BO146" s="9" t="str">
        <f>HYPERLINK(".\links\SWISSP\AGAP009278-PA-SWISSP.txt","Probable phosphorylase b kinase regulatory subunit beta")</f>
        <v>Probable phosphorylase b kinase regulatory subunit beta</v>
      </c>
      <c r="BP146" s="2" t="str">
        <f>HYPERLINK("http://www.uniprot.org/uniprot/Q9VLS1","0.0")</f>
        <v>0.0</v>
      </c>
      <c r="BQ146" s="2" t="str">
        <f>HYPERLINK("http://www.uniprot.org/uniprot/Q9VLS1#expression","Q9VLS1")</f>
        <v>Q9VLS1</v>
      </c>
      <c r="BR146" s="2">
        <v>77</v>
      </c>
      <c r="BS146" s="2">
        <v>87</v>
      </c>
      <c r="BT146" s="2">
        <v>99</v>
      </c>
      <c r="BU146" s="2" t="s">
        <v>100</v>
      </c>
      <c r="BV146" s="9" t="str">
        <f>HYPERLINK(".\links\FLYBASE\AGAP009278-PA-FLYBASE.txt","FBpp0079254")</f>
        <v>FBpp0079254</v>
      </c>
      <c r="BW146" s="2" t="str">
        <f>HYPERLINK("http://flybase.org/reports/FBgn0031995#alliance_summary_container","0.0")</f>
        <v>0.0</v>
      </c>
      <c r="BX146" s="2">
        <v>1093</v>
      </c>
      <c r="BY146" s="2">
        <v>77</v>
      </c>
      <c r="BZ146" s="2">
        <v>87</v>
      </c>
      <c r="CA146" s="2">
        <v>99</v>
      </c>
      <c r="CB146" s="9" t="str">
        <f>HYPERLINK(".\links\CDD\AGAP009278-PA-CDD.txt","Glyco_hydro_15, Glycosyl hydrolases family 15")</f>
        <v>Glyco_hydro_15, Glycosyl hydrolases family 15</v>
      </c>
      <c r="CC146" s="13">
        <v>4E-50</v>
      </c>
      <c r="CD146" s="2">
        <v>76.2</v>
      </c>
      <c r="CE146" s="2" t="s">
        <v>1841</v>
      </c>
      <c r="CF146" s="2" t="s">
        <v>1842</v>
      </c>
      <c r="CG146" s="9" t="str">
        <f>HYPERLINK(".\links\KOG\AGAP009278-PA-KOG.txt","Phosphorylase kinase")</f>
        <v>Phosphorylase kinase</v>
      </c>
      <c r="CH146" s="13">
        <v>0</v>
      </c>
      <c r="CI146" s="2">
        <v>100.3</v>
      </c>
      <c r="CJ146" s="2" t="s">
        <v>1843</v>
      </c>
      <c r="CK146" s="2" t="s">
        <v>556</v>
      </c>
      <c r="CL146" s="9" t="str">
        <f>HYPERLINK(".\links\PFAM\AGAP009278-PA-PFAM.txt","Glyco_hydro_15, Glycosyl hydrolases family 15")</f>
        <v>Glyco_hydro_15, Glycosyl hydrolases family 15</v>
      </c>
      <c r="CM146" s="13">
        <v>6.9999999999999995E-51</v>
      </c>
      <c r="CN146" s="2">
        <v>76.2</v>
      </c>
      <c r="CO146" s="2" t="s">
        <v>1841</v>
      </c>
      <c r="CP146" s="9" t="str">
        <f>HYPERLINK(".\links\SMART\AGAP009278-PA-SMART.txt","Alpha-L-AF_C, Alpha-L-arabinofuranosidase C-terminus")</f>
        <v>Alpha-L-AF_C, Alpha-L-arabinofuranosidase C-terminus</v>
      </c>
      <c r="CQ146" s="13">
        <v>0.22</v>
      </c>
      <c r="CR146" s="2">
        <v>35.4</v>
      </c>
      <c r="CS146" s="2" t="s">
        <v>1844</v>
      </c>
      <c r="CT146" s="2" t="s">
        <v>1838</v>
      </c>
      <c r="CU146" s="2" t="s">
        <v>1838</v>
      </c>
      <c r="CV146" s="2" t="s">
        <v>1838</v>
      </c>
      <c r="CW146" s="2" t="str">
        <f>HYPERLINK(".\links\pep\AGAP009278-PA-pep.txt","AGAP009278-PA")</f>
        <v>AGAP009278-PA</v>
      </c>
      <c r="CX146" s="2" t="s">
        <v>88</v>
      </c>
      <c r="CY146" s="2">
        <v>1068</v>
      </c>
      <c r="CZ146" s="2" t="s">
        <v>106</v>
      </c>
      <c r="DA146" s="2" t="s">
        <v>1845</v>
      </c>
      <c r="DB146" s="2">
        <v>0</v>
      </c>
      <c r="DC146" s="2">
        <v>3</v>
      </c>
      <c r="DD146" s="2" t="str">
        <f>HYPERLINK("https://www.kegg.jp/kegg-bin/search_pathway_text?map=aga&amp;keyword=AGAP009278&amp;mode=1&amp;viewImage=true","AGAP009278")</f>
        <v>AGAP009278</v>
      </c>
      <c r="DE146" s="2" t="s">
        <v>1846</v>
      </c>
      <c r="DF146" s="2" t="s">
        <v>1835</v>
      </c>
      <c r="DG146" s="2" t="s">
        <v>87</v>
      </c>
      <c r="DH146" s="2" t="str">
        <f>HYPERLINK("https://vectorbase.org/vectorbase/app/record/gene/AGAP009278","AGAP009278-RA")</f>
        <v>AGAP009278-RA</v>
      </c>
      <c r="DI146" s="2" t="s">
        <v>108</v>
      </c>
      <c r="DJ146" s="2">
        <v>3968</v>
      </c>
      <c r="DK146" s="2" t="str">
        <f>HYPERLINK(".\links\netoglyc\AGAP009278-PA-netoglyc.txt","4")</f>
        <v>4</v>
      </c>
      <c r="DL146" s="2">
        <v>13</v>
      </c>
      <c r="DM146" s="2">
        <v>5.5</v>
      </c>
      <c r="DN146" s="2">
        <v>3.8</v>
      </c>
      <c r="DO146" s="2" t="s">
        <v>97</v>
      </c>
      <c r="DP146" s="2" t="s">
        <v>1847</v>
      </c>
      <c r="DQ146" s="2" t="str">
        <f>HYPERLINK(".\links\Sigp\AGAP009278-PA-SigP.txt","CYT")</f>
        <v>CYT</v>
      </c>
      <c r="DR146" s="2" t="s">
        <v>94</v>
      </c>
      <c r="DS146" s="2">
        <v>122.33199999999999</v>
      </c>
      <c r="DT146" s="2">
        <v>6.12</v>
      </c>
      <c r="DU146" s="2" t="s">
        <v>94</v>
      </c>
      <c r="DV146" s="2" t="s">
        <v>94</v>
      </c>
      <c r="DW146" s="2" t="s">
        <v>1840</v>
      </c>
      <c r="DX146" s="2">
        <v>1068</v>
      </c>
      <c r="DY146" s="8">
        <v>0</v>
      </c>
      <c r="DZ146" s="2" t="s">
        <v>94</v>
      </c>
      <c r="EA146" s="2" t="s">
        <v>94</v>
      </c>
      <c r="EB146" s="2" t="s">
        <v>94</v>
      </c>
      <c r="EC146" s="2" t="str">
        <f>HYPERLINK(".\links\gpi\AGAP009278-PA-gpi.txt","Y-NoSP")</f>
        <v>Y-NoSP</v>
      </c>
      <c r="ED146" s="2">
        <v>0.2</v>
      </c>
      <c r="EF146" s="2">
        <v>23</v>
      </c>
      <c r="EG146" s="2" t="str">
        <f>HYPERLINK(".\links\pep\AGAP009278-PA-sulf.txt","3")</f>
        <v>3</v>
      </c>
      <c r="EH146" s="2" t="s">
        <v>94</v>
      </c>
      <c r="EI146" s="2">
        <v>13.0149812734082</v>
      </c>
      <c r="EJ146" s="2">
        <v>3.8389513108614199</v>
      </c>
      <c r="EK146" s="2">
        <v>5.5243445692883899</v>
      </c>
      <c r="EL146" s="2">
        <v>9.3632958801498098</v>
      </c>
      <c r="EM146" s="2" t="s">
        <v>94</v>
      </c>
      <c r="EN146" s="2">
        <v>9</v>
      </c>
      <c r="EO146" s="2">
        <v>9</v>
      </c>
      <c r="EP146" s="2" t="s">
        <v>94</v>
      </c>
      <c r="EQ146" s="2" t="s">
        <v>94</v>
      </c>
      <c r="ER146" s="2" t="s">
        <v>94</v>
      </c>
      <c r="ES146" s="2" t="s">
        <v>94</v>
      </c>
      <c r="ET146" s="2" t="str">
        <f>HYPERLINK(".\links\REFSEQ-INVERTEBRATE\AGAP009278-PA-REFSEQ-INVERTEBRATE.txt","probable phosphorylase b kinase regulatory subunit beta isoform X7")</f>
        <v>probable phosphorylase b kinase regulatory subunit beta isoform X7</v>
      </c>
      <c r="EU146" s="2" t="str">
        <f>HYPERLINK("http://www.ncbi.nlm.nih.gov/sutils/blink.cgi?pid=XP_035907451.1","0.0")</f>
        <v>0.0</v>
      </c>
      <c r="EV146" s="2" t="str">
        <f>HYPERLINK("http://www.ncbi.nlm.nih.gov/protein/XP_035907451.1","XP_035907451.1")</f>
        <v>XP_035907451.1</v>
      </c>
      <c r="EW146" s="2">
        <v>99</v>
      </c>
      <c r="EX146" s="2">
        <v>100</v>
      </c>
      <c r="EY146" s="2">
        <v>100</v>
      </c>
      <c r="EZ146" s="2" t="s">
        <v>184</v>
      </c>
    </row>
    <row r="147" spans="1:156" x14ac:dyDescent="0.25">
      <c r="A147" s="2" t="s">
        <v>1848</v>
      </c>
      <c r="B147" s="2">
        <v>0.65636040823306596</v>
      </c>
      <c r="C147" s="2">
        <v>1.5761014582061346</v>
      </c>
      <c r="D147" s="2">
        <v>3.81566327368449</v>
      </c>
      <c r="E147" s="2">
        <v>13.535639591404999</v>
      </c>
      <c r="F147" s="2">
        <v>2.3407559843415299E-4</v>
      </c>
      <c r="G147" s="2">
        <v>1.33352586409143E-2</v>
      </c>
      <c r="H147" s="2" t="s">
        <v>167</v>
      </c>
      <c r="I147" s="2" t="s">
        <v>87</v>
      </c>
      <c r="J147" s="2" t="str">
        <f>HYPERLINK("https://vectorbase.org/vectorbase/app/record/gene/AGAP009662","AGAP009662-RA")</f>
        <v>AGAP009662-RA</v>
      </c>
      <c r="K147" s="2" t="str">
        <f>HYPERLINK(".\links\pep\AGAP009662-PA-pep.txt","AGAP009662-PA")</f>
        <v>AGAP009662-PA</v>
      </c>
      <c r="L147" s="8" t="s">
        <v>88</v>
      </c>
      <c r="M147" s="2">
        <v>901</v>
      </c>
      <c r="N147" s="2">
        <v>0</v>
      </c>
      <c r="O147" s="2">
        <v>1</v>
      </c>
      <c r="P147" s="2" t="s">
        <v>94</v>
      </c>
      <c r="Q147" s="9" t="s">
        <v>1849</v>
      </c>
      <c r="R147" s="2" t="s">
        <v>289</v>
      </c>
      <c r="S147" s="2" t="str">
        <f>HYPERLINK(".\links\KOG\AGAP009662-PA-KOG.txt","KOG")</f>
        <v>KOG</v>
      </c>
      <c r="T147" s="2">
        <v>3.9999999999999996E-21</v>
      </c>
      <c r="U147" s="2">
        <v>74.5</v>
      </c>
      <c r="V147" s="2" t="s">
        <v>1850</v>
      </c>
      <c r="W147" s="10" t="s">
        <v>1851</v>
      </c>
      <c r="X147" s="2" t="s">
        <v>289</v>
      </c>
      <c r="Y147" s="2" t="str">
        <f>HYPERLINK(".\links\UNIPROTKB\AGAP009662-PA-UNIPROTKB.txt","UNIPROTKB")</f>
        <v>UNIPROTKB</v>
      </c>
      <c r="Z147" s="13">
        <v>5.9999999999999998E-56</v>
      </c>
      <c r="AA147" s="2">
        <v>48.8</v>
      </c>
      <c r="AB147" s="11" t="s">
        <v>94</v>
      </c>
      <c r="AC147" s="11" t="str">
        <f>HYPERLINK(".\links\Sigp\AGAP009662-PA-SigP.txt","CYT")</f>
        <v>CYT</v>
      </c>
      <c r="AD147" s="2" t="s">
        <v>94</v>
      </c>
      <c r="AE147" s="2">
        <v>96.635999999999996</v>
      </c>
      <c r="AF147" s="2">
        <v>6.6</v>
      </c>
      <c r="AG147" s="2" t="s">
        <v>94</v>
      </c>
      <c r="AH147" s="2" t="s">
        <v>94</v>
      </c>
      <c r="AI147" s="2" t="s">
        <v>390</v>
      </c>
      <c r="AJ147" s="11">
        <v>0</v>
      </c>
      <c r="AK147" s="2" t="s">
        <v>94</v>
      </c>
      <c r="AL147" s="2" t="s">
        <v>94</v>
      </c>
      <c r="AM147" s="2" t="s">
        <v>94</v>
      </c>
      <c r="AN147" s="11" t="str">
        <f>HYPERLINK(".\links\gpi\AGAP009662-PA-gpi.txt","N")</f>
        <v>N</v>
      </c>
      <c r="AO147" s="12" t="str">
        <f>HYPERLINK(".\links\netoglyc\AGAP009662-PA-netoglyc.txt","31")</f>
        <v>31</v>
      </c>
      <c r="AP147" s="11">
        <v>20.100000000000001</v>
      </c>
      <c r="AQ147" s="2">
        <v>8.3000000000000007</v>
      </c>
      <c r="AR147" s="2">
        <v>7.5</v>
      </c>
      <c r="AS147" s="2" t="s">
        <v>97</v>
      </c>
      <c r="AT147" s="9" t="str">
        <f>HYPERLINK(".\links\NR-LIGHT\AGAP009662-PA-NR-LIGHT.txt","AGAP009662-PA, partial")</f>
        <v>AGAP009662-PA, partial</v>
      </c>
      <c r="AU147" s="2" t="str">
        <f>HYPERLINK("http://www.ncbi.nlm.nih.gov/sutils/blink.cgi?pid=XP_318706.4","0.0")</f>
        <v>0.0</v>
      </c>
      <c r="AV147" s="2" t="str">
        <f>HYPERLINK("http://www.ncbi.nlm.nih.gov/protein/XP_318706.4","XP_318706.4")</f>
        <v>XP_318706.4</v>
      </c>
      <c r="AW147" s="2">
        <v>90</v>
      </c>
      <c r="AX147" s="2">
        <v>90</v>
      </c>
      <c r="AY147" s="2">
        <v>110</v>
      </c>
      <c r="AZ147" s="2" t="s">
        <v>98</v>
      </c>
      <c r="BA147" s="9" t="str">
        <f>HYPERLINK(".\links\REFSEQ-INVERTEBRATE\AGAP009662-PA-REFSEQ-INVERTEBRATE.txt","AGAP009662-PA, partial")</f>
        <v>AGAP009662-PA, partial</v>
      </c>
      <c r="BB147" s="2" t="str">
        <f>HYPERLINK("http://www.ncbi.nlm.nih.gov/sutils/blink.cgi?pid=XP_318706.4","0.0")</f>
        <v>0.0</v>
      </c>
      <c r="BC147" s="2" t="str">
        <f>HYPERLINK("http://www.ncbi.nlm.nih.gov/protein/XP_318706.4","XP_318706.4")</f>
        <v>XP_318706.4</v>
      </c>
      <c r="BD147" s="2">
        <v>90</v>
      </c>
      <c r="BE147" s="2">
        <v>90</v>
      </c>
      <c r="BF147" s="2">
        <v>110</v>
      </c>
      <c r="BG147" s="2" t="s">
        <v>98</v>
      </c>
      <c r="BH147" s="9" t="str">
        <f>HYPERLINK(".\links\REFSEQ-PROTOZOA\AGAP009662-PA-REFSEQ-PROTOZOA.txt","zinc finger, c2h2 type family protein")</f>
        <v>zinc finger, c2h2 type family protein</v>
      </c>
      <c r="BI147" s="2" t="str">
        <f>HYPERLINK("http://www.ncbi.nlm.nih.gov/sutils/blink.cgi?pid=XP_002372116.1","2E-046")</f>
        <v>2E-046</v>
      </c>
      <c r="BJ147" s="2" t="str">
        <f>HYPERLINK("http://www.ncbi.nlm.nih.gov/protein/XP_002372116.1","XP_002372116.1")</f>
        <v>XP_002372116.1</v>
      </c>
      <c r="BK147" s="2">
        <v>35</v>
      </c>
      <c r="BL147" s="2">
        <v>49</v>
      </c>
      <c r="BM147" s="2">
        <v>99</v>
      </c>
      <c r="BN147" s="2" t="s">
        <v>1852</v>
      </c>
      <c r="BO147" s="9" t="str">
        <f>HYPERLINK(".\links\SWISSP\AGAP009662-PA-SWISSP.txt","Krueppel homolog 1")</f>
        <v>Krueppel homolog 1</v>
      </c>
      <c r="BP147" s="2" t="str">
        <f>HYPERLINK("http://www.uniprot.org/uniprot/P08155","1E-151")</f>
        <v>1E-151</v>
      </c>
      <c r="BQ147" s="2" t="str">
        <f>HYPERLINK("http://www.uniprot.org/uniprot/P08155#expression","P08155")</f>
        <v>P08155</v>
      </c>
      <c r="BR147" s="2">
        <v>47</v>
      </c>
      <c r="BS147" s="2">
        <v>58</v>
      </c>
      <c r="BT147" s="2">
        <v>79</v>
      </c>
      <c r="BU147" s="2" t="s">
        <v>100</v>
      </c>
      <c r="BV147" s="9" t="str">
        <f>HYPERLINK(".\links\FLYBASE\AGAP009662-PA-FLYBASE.txt","FBpp0310810")</f>
        <v>FBpp0310810</v>
      </c>
      <c r="BW147" s="2" t="str">
        <f>HYPERLINK("http://flybase.org/reports/FBgn0266450#alliance_summary_container","1E-157")</f>
        <v>1E-157</v>
      </c>
      <c r="BX147" s="2">
        <v>845</v>
      </c>
      <c r="BY147" s="2">
        <v>77</v>
      </c>
      <c r="BZ147" s="2">
        <v>84</v>
      </c>
      <c r="CA147" s="2">
        <v>33</v>
      </c>
      <c r="CB147" s="9" t="str">
        <f>HYPERLINK(".\links\CDD\AGAP009662-PA-CDD.txt","ZF_C2H2, Zinc finger, C2H2 type")</f>
        <v>ZF_C2H2, Zinc finger, C2H2 type</v>
      </c>
      <c r="CC147" s="13">
        <v>4.0000000000000003E-31</v>
      </c>
      <c r="CD147" s="2">
        <v>100</v>
      </c>
      <c r="CE147" s="2" t="s">
        <v>1315</v>
      </c>
      <c r="CF147" s="2" t="s">
        <v>1853</v>
      </c>
      <c r="CG147" s="9" t="str">
        <f>HYPERLINK(".\links\KOG\AGAP009662-PA-KOG.txt","C2H2-type Zn-finger protein")</f>
        <v>C2H2-type Zn-finger protein</v>
      </c>
      <c r="CH147" s="13">
        <v>3.9999999999999996E-21</v>
      </c>
      <c r="CI147" s="2">
        <v>74.599999999999994</v>
      </c>
      <c r="CJ147" s="2" t="s">
        <v>1317</v>
      </c>
      <c r="CK147" s="2" t="s">
        <v>296</v>
      </c>
      <c r="CL147" s="9" t="str">
        <f>HYPERLINK(".\links\PFAM\AGAP009662-PA-PFAM.txt","PAT1, Topoisomerase II-associated protein PAT1")</f>
        <v>PAT1, Topoisomerase II-associated protein PAT1</v>
      </c>
      <c r="CM147" s="13">
        <v>1.9999999999999999E-7</v>
      </c>
      <c r="CN147" s="2">
        <v>15.3</v>
      </c>
      <c r="CO147" s="2" t="s">
        <v>1055</v>
      </c>
      <c r="CP147" s="9" t="str">
        <f>HYPERLINK(".\links\SMART\AGAP009662-PA-SMART.txt","Amelogenin, Amelogenins, cell adhesion proteins, play a role in the biomineralisation of teeth")</f>
        <v>Amelogenin, Amelogenins, cell adhesion proteins, play a role in the biomineralisation of teeth</v>
      </c>
      <c r="CQ147" s="13">
        <v>1.0000000000000001E-5</v>
      </c>
      <c r="CR147" s="2">
        <v>68.5</v>
      </c>
      <c r="CS147" s="2" t="s">
        <v>421</v>
      </c>
      <c r="CT147" s="2" t="s">
        <v>1850</v>
      </c>
      <c r="CU147" s="2" t="s">
        <v>1850</v>
      </c>
      <c r="CV147" s="2" t="s">
        <v>1850</v>
      </c>
      <c r="CW147" s="2" t="str">
        <f>HYPERLINK(".\links\pep\AGAP009662-PA-pep.txt","AGAP009662-PA")</f>
        <v>AGAP009662-PA</v>
      </c>
      <c r="CX147" s="2" t="s">
        <v>88</v>
      </c>
      <c r="CY147" s="2">
        <v>901</v>
      </c>
      <c r="CZ147" s="2" t="s">
        <v>106</v>
      </c>
      <c r="DA147" s="2" t="s">
        <v>1854</v>
      </c>
      <c r="DB147" s="2">
        <v>0</v>
      </c>
      <c r="DC147" s="2">
        <v>1</v>
      </c>
      <c r="DD147" s="2" t="str">
        <f>HYPERLINK("https://www.kegg.jp/kegg-bin/search_pathway_text?map=aga&amp;keyword=AGAP009662&amp;mode=1&amp;viewImage=true","AGAP009662")</f>
        <v>AGAP009662</v>
      </c>
      <c r="DE147" s="2" t="s">
        <v>1848</v>
      </c>
      <c r="DF147" s="2" t="s">
        <v>167</v>
      </c>
      <c r="DG147" s="2" t="s">
        <v>87</v>
      </c>
      <c r="DH147" s="2" t="str">
        <f>HYPERLINK("https://vectorbase.org/vectorbase/app/record/gene/AGAP009662","AGAP009662-RA")</f>
        <v>AGAP009662-RA</v>
      </c>
      <c r="DI147" s="2" t="s">
        <v>108</v>
      </c>
      <c r="DJ147" s="2">
        <v>7855</v>
      </c>
      <c r="DK147" s="2" t="str">
        <f>HYPERLINK(".\links\netoglyc\AGAP009662-PA-netoglyc.txt","31")</f>
        <v>31</v>
      </c>
      <c r="DL147" s="2">
        <v>20.100000000000001</v>
      </c>
      <c r="DM147" s="2">
        <v>8.3000000000000007</v>
      </c>
      <c r="DN147" s="2">
        <v>7.5</v>
      </c>
      <c r="DO147" s="2" t="s">
        <v>97</v>
      </c>
      <c r="DP147" s="2" t="s">
        <v>94</v>
      </c>
      <c r="DQ147" s="2" t="str">
        <f>HYPERLINK(".\links\Sigp\AGAP009662-PA-SigP.txt","CYT")</f>
        <v>CYT</v>
      </c>
      <c r="DR147" s="2" t="s">
        <v>94</v>
      </c>
      <c r="DS147" s="2">
        <v>96.635999999999996</v>
      </c>
      <c r="DT147" s="2">
        <v>6.6</v>
      </c>
      <c r="DU147" s="2" t="s">
        <v>94</v>
      </c>
      <c r="DV147" s="2" t="s">
        <v>94</v>
      </c>
      <c r="DW147" s="2" t="s">
        <v>390</v>
      </c>
      <c r="DX147" s="2">
        <v>901</v>
      </c>
      <c r="DY147" s="8">
        <v>0</v>
      </c>
      <c r="DZ147" s="2" t="s">
        <v>94</v>
      </c>
      <c r="EA147" s="2" t="s">
        <v>94</v>
      </c>
      <c r="EB147" s="2" t="s">
        <v>94</v>
      </c>
      <c r="EC147" s="2" t="str">
        <f>HYPERLINK(".\links\gpi\AGAP009662-PA-gpi.txt","N")</f>
        <v>N</v>
      </c>
      <c r="ED147" s="2">
        <v>0.33</v>
      </c>
      <c r="EF147" s="2">
        <v>23</v>
      </c>
      <c r="EG147" s="2" t="s">
        <v>94</v>
      </c>
      <c r="EH147" s="2" t="s">
        <v>94</v>
      </c>
      <c r="EI147" s="2">
        <v>20.088790233074398</v>
      </c>
      <c r="EJ147" s="2">
        <v>7.5471698113207504</v>
      </c>
      <c r="EK147" s="2">
        <v>8.3240843507214208</v>
      </c>
      <c r="EL147" s="2">
        <v>15.871254162042201</v>
      </c>
      <c r="EM147" s="2">
        <v>1</v>
      </c>
      <c r="EN147" s="2">
        <v>2</v>
      </c>
      <c r="EO147" s="2">
        <v>2</v>
      </c>
      <c r="EP147" s="2" t="s">
        <v>94</v>
      </c>
      <c r="EQ147" s="2" t="s">
        <v>94</v>
      </c>
      <c r="ER147" s="2" t="s">
        <v>94</v>
      </c>
      <c r="ES147" s="2" t="s">
        <v>94</v>
      </c>
      <c r="ET147" s="2" t="str">
        <f>HYPERLINK(".\links\REFSEQ-INVERTEBRATE\AGAP009662-PA-REFSEQ-INVERTEBRATE.txt","Krueppel homolog 1 isoform X1")</f>
        <v>Krueppel homolog 1 isoform X1</v>
      </c>
      <c r="EU147" s="2" t="str">
        <f>HYPERLINK("http://www.ncbi.nlm.nih.gov/sutils/blink.cgi?pid=XP_035910775.1","0.0")</f>
        <v>0.0</v>
      </c>
      <c r="EV147" s="2" t="str">
        <f>HYPERLINK("http://www.ncbi.nlm.nih.gov/protein/XP_035910775.1","XP_035910775.1")</f>
        <v>XP_035910775.1</v>
      </c>
      <c r="EW147" s="2">
        <v>69</v>
      </c>
      <c r="EX147" s="2">
        <v>76</v>
      </c>
      <c r="EY147" s="2">
        <v>99</v>
      </c>
      <c r="EZ147" s="2" t="s">
        <v>184</v>
      </c>
    </row>
    <row r="148" spans="1:156" x14ac:dyDescent="0.25">
      <c r="A148" s="2" t="s">
        <v>1855</v>
      </c>
      <c r="B148" s="2">
        <v>0.65351211214549398</v>
      </c>
      <c r="C148" s="2">
        <v>1.5729928490312868</v>
      </c>
      <c r="D148" s="2">
        <v>3.7267870254592301</v>
      </c>
      <c r="E148" s="2">
        <v>10.682046255373001</v>
      </c>
      <c r="F148" s="2">
        <v>1.08180329567107E-3</v>
      </c>
      <c r="G148" s="2">
        <v>4.4675169288914199E-2</v>
      </c>
      <c r="H148" s="2" t="s">
        <v>1856</v>
      </c>
      <c r="I148" s="2" t="s">
        <v>87</v>
      </c>
      <c r="J148" s="2" t="str">
        <f>HYPERLINK("https://vectorbase.org/vectorbase/app/record/gene/AGAP011770","AGAP011770-RA")</f>
        <v>AGAP011770-RA</v>
      </c>
      <c r="K148" s="2" t="str">
        <f>HYPERLINK(".\links\pep\AGAP011770-PA-pep.txt","AGAP011770-PA")</f>
        <v>AGAP011770-PA</v>
      </c>
      <c r="L148" s="8" t="s">
        <v>88</v>
      </c>
      <c r="M148" s="2">
        <v>1846</v>
      </c>
      <c r="N148" s="2">
        <v>0</v>
      </c>
      <c r="O148" s="2">
        <v>6</v>
      </c>
      <c r="P148" s="2" t="s">
        <v>1857</v>
      </c>
      <c r="Q148" s="9" t="s">
        <v>1858</v>
      </c>
      <c r="R148" s="2" t="s">
        <v>1019</v>
      </c>
      <c r="S148" s="2" t="str">
        <f>HYPERLINK(".\links\KOG\AGAP011770-PA-KOG.txt","KOG")</f>
        <v>KOG</v>
      </c>
      <c r="T148" s="2">
        <v>0</v>
      </c>
      <c r="U148" s="2">
        <v>113</v>
      </c>
      <c r="V148" s="2" t="s">
        <v>1859</v>
      </c>
      <c r="W148" s="10" t="s">
        <v>1860</v>
      </c>
      <c r="X148" s="2" t="s">
        <v>1861</v>
      </c>
      <c r="Y148" s="2" t="str">
        <f>HYPERLINK(".\links\REFSEQVERTEBRATE95\AGAP011770-PA-REFSEQVERTEBRATE95.txt","REFSEQVERTEBRATE95")</f>
        <v>REFSEQVERTEBRATE95</v>
      </c>
      <c r="Z148" s="2">
        <v>0</v>
      </c>
      <c r="AA148" s="2">
        <v>95.4</v>
      </c>
      <c r="AB148" s="11" t="str">
        <f>HYPERLINK(".\links\pep\AGAP011770-PA-sulf.txt","1")</f>
        <v>1</v>
      </c>
      <c r="AC148" s="11" t="str">
        <f>HYPERLINK(".\links\Sigp\AGAP011770-PA-SigP.txt","CYT")</f>
        <v>CYT</v>
      </c>
      <c r="AD148" s="2" t="s">
        <v>94</v>
      </c>
      <c r="AE148" s="2">
        <v>203.58500000000001</v>
      </c>
      <c r="AF148" s="2">
        <v>6.56</v>
      </c>
      <c r="AG148" s="2" t="s">
        <v>94</v>
      </c>
      <c r="AH148" s="2" t="s">
        <v>94</v>
      </c>
      <c r="AI148" s="2" t="s">
        <v>1862</v>
      </c>
      <c r="AJ148" s="11" t="str">
        <f>HYPERLINK(".\links\tmhmm\AGAP011770-PA-tmhmm.txt","2")</f>
        <v>2</v>
      </c>
      <c r="AK148" s="2">
        <v>2.2000000000000002</v>
      </c>
      <c r="AL148" s="2">
        <v>82.7</v>
      </c>
      <c r="AM148" s="2">
        <v>15.1</v>
      </c>
      <c r="AN148" s="11" t="str">
        <f>HYPERLINK(".\links\gpi\AGAP011770-PA-gpi.txt","N")</f>
        <v>N</v>
      </c>
      <c r="AO148" s="12" t="str">
        <f>HYPERLINK(".\links\netoglyc\AGAP011770-PA-netoglyc.txt","12")</f>
        <v>12</v>
      </c>
      <c r="AP148" s="11">
        <v>14.6</v>
      </c>
      <c r="AQ148" s="2">
        <v>7.9</v>
      </c>
      <c r="AR148" s="2">
        <v>5.9</v>
      </c>
      <c r="AS148" s="2" t="s">
        <v>97</v>
      </c>
      <c r="AT148" s="9" t="str">
        <f>HYPERLINK(".\links\NR-LIGHT\AGAP011770-PA-NR-LIGHT.txt","AGAP011770-PA, partial")</f>
        <v>AGAP011770-PA, partial</v>
      </c>
      <c r="AU148" s="2" t="str">
        <f>HYPERLINK("http://www.ncbi.nlm.nih.gov/sutils/blink.cgi?pid=XP_320740.4","0.0")</f>
        <v>0.0</v>
      </c>
      <c r="AV148" s="2" t="str">
        <f>HYPERLINK("http://www.ncbi.nlm.nih.gov/protein/XP_320740.4","XP_320740.4")</f>
        <v>XP_320740.4</v>
      </c>
      <c r="AW148" s="2">
        <v>97</v>
      </c>
      <c r="AX148" s="2">
        <v>97</v>
      </c>
      <c r="AY148" s="2">
        <v>103</v>
      </c>
      <c r="AZ148" s="2" t="s">
        <v>98</v>
      </c>
      <c r="BA148" s="9" t="str">
        <f>HYPERLINK(".\links\REFSEQ-INVERTEBRATE\AGAP011770-PA-REFSEQ-INVERTEBRATE.txt","AGAP011770-PA, partial")</f>
        <v>AGAP011770-PA, partial</v>
      </c>
      <c r="BB148" s="2" t="str">
        <f>HYPERLINK("http://www.ncbi.nlm.nih.gov/sutils/blink.cgi?pid=XP_320740.4","0.0")</f>
        <v>0.0</v>
      </c>
      <c r="BC148" s="2" t="str">
        <f>HYPERLINK("http://www.ncbi.nlm.nih.gov/protein/XP_320740.4","XP_320740.4")</f>
        <v>XP_320740.4</v>
      </c>
      <c r="BD148" s="2">
        <v>97</v>
      </c>
      <c r="BE148" s="2">
        <v>97</v>
      </c>
      <c r="BF148" s="2">
        <v>103</v>
      </c>
      <c r="BG148" s="2" t="s">
        <v>98</v>
      </c>
      <c r="BH148" s="9" t="str">
        <f>HYPERLINK(".\links\REFSEQ-PROTOZOA\AGAP011770-PA-REFSEQ-PROTOZOA.txt","hypothetical protein EAH_00034350")</f>
        <v>hypothetical protein EAH_00034350</v>
      </c>
      <c r="BI148" s="2" t="str">
        <f>HYPERLINK("http://www.ncbi.nlm.nih.gov/sutils/blink.cgi?pid=XP_013247642.1","4E-007")</f>
        <v>4E-007</v>
      </c>
      <c r="BJ148" s="2" t="str">
        <f>HYPERLINK("http://www.ncbi.nlm.nih.gov/protein/XP_013247642.1","XP_013247642.1")</f>
        <v>XP_013247642.1</v>
      </c>
      <c r="BK148" s="2">
        <v>29</v>
      </c>
      <c r="BL148" s="2">
        <v>37</v>
      </c>
      <c r="BM148" s="2">
        <v>32</v>
      </c>
      <c r="BN148" s="2" t="s">
        <v>1091</v>
      </c>
      <c r="BO148" s="9" t="str">
        <f>HYPERLINK(".\links\SWISSP\AGAP011770-PA-SWISSP.txt","Low-density lipoprotein receptor-related protein 6")</f>
        <v>Low-density lipoprotein receptor-related protein 6</v>
      </c>
      <c r="BP148" s="2" t="str">
        <f>HYPERLINK("http://www.uniprot.org/uniprot/O75581","0.0")</f>
        <v>0.0</v>
      </c>
      <c r="BQ148" s="2" t="str">
        <f>HYPERLINK("http://www.uniprot.org/uniprot/O75581#expression","O75581")</f>
        <v>O75581</v>
      </c>
      <c r="BR148" s="2">
        <v>40</v>
      </c>
      <c r="BS148" s="2">
        <v>58</v>
      </c>
      <c r="BT148" s="2">
        <v>106</v>
      </c>
      <c r="BU148" s="2" t="s">
        <v>196</v>
      </c>
      <c r="BV148" s="9" t="str">
        <f>HYPERLINK(".\links\FLYBASE\AGAP011770-PA-FLYBASE.txt","FBpp0086821")</f>
        <v>FBpp0086821</v>
      </c>
      <c r="BW148" s="2" t="str">
        <f>HYPERLINK("http://flybase.org/reports/FBgn0000119#alliance_summary_container","0.0")</f>
        <v>0.0</v>
      </c>
      <c r="BX148" s="2">
        <v>1678</v>
      </c>
      <c r="BY148" s="2">
        <v>60</v>
      </c>
      <c r="BZ148" s="2">
        <v>74</v>
      </c>
      <c r="CA148" s="2">
        <v>103</v>
      </c>
      <c r="CB148" s="9" t="str">
        <f>HYPERLINK(".\links\CDD\AGAP011770-PA-CDD.txt","LDLa, Low Density Lipoprotein Receptor Class A domain, a cysteine-rich repeat that plays a central role in mammalian cholesterol metabolism")</f>
        <v>LDLa, Low Density Lipoprotein Receptor Class A domain, a cysteine-rich repeat that plays a central role in mammalian cholesterol metabolism</v>
      </c>
      <c r="CC148" s="13">
        <v>4.0000000000000001E-10</v>
      </c>
      <c r="CD148" s="2">
        <v>128.6</v>
      </c>
      <c r="CE148" s="2" t="s">
        <v>1863</v>
      </c>
      <c r="CF148" s="2" t="s">
        <v>1864</v>
      </c>
      <c r="CG148" s="9" t="str">
        <f>HYPERLINK(".\links\KOG\AGAP011770-PA-KOG.txt","Low-density lipoprotein receptors containing Ca2+-binding EGF-like domains")</f>
        <v>Low-density lipoprotein receptors containing Ca2+-binding EGF-like domains</v>
      </c>
      <c r="CH148" s="13">
        <v>1E-150</v>
      </c>
      <c r="CI148" s="2">
        <v>113</v>
      </c>
      <c r="CJ148" s="2" t="s">
        <v>1865</v>
      </c>
      <c r="CK148" s="2" t="s">
        <v>326</v>
      </c>
      <c r="CL148" s="9" t="str">
        <f>HYPERLINK(".\links\PFAM\AGAP011770-PA-PFAM.txt","FXa_inhibition, Coagulation Factor Xa inhibitory site")</f>
        <v>FXa_inhibition, Coagulation Factor Xa inhibitory site</v>
      </c>
      <c r="CM148" s="13">
        <v>1.0000000000000001E-9</v>
      </c>
      <c r="CN148" s="2">
        <v>100</v>
      </c>
      <c r="CO148" s="2" t="s">
        <v>1866</v>
      </c>
      <c r="CP148" s="9" t="str">
        <f>HYPERLINK(".\links\SMART\AGAP011770-PA-SMART.txt","LY, Low-density lipoprotein-receptor YWTD domain")</f>
        <v>LY, Low-density lipoprotein-receptor YWTD domain</v>
      </c>
      <c r="CQ148" s="13">
        <v>4.9999999999999997E-12</v>
      </c>
      <c r="CR148" s="2">
        <v>100</v>
      </c>
      <c r="CS148" s="2" t="s">
        <v>1867</v>
      </c>
      <c r="CT148" s="2" t="s">
        <v>1859</v>
      </c>
      <c r="CU148" s="2" t="s">
        <v>1859</v>
      </c>
      <c r="CV148" s="2" t="s">
        <v>1859</v>
      </c>
      <c r="CW148" s="2" t="str">
        <f>HYPERLINK(".\links\pep\AGAP011770-PA-pep.txt","AGAP011770-PA")</f>
        <v>AGAP011770-PA</v>
      </c>
      <c r="CX148" s="2" t="s">
        <v>88</v>
      </c>
      <c r="CY148" s="2">
        <v>1846</v>
      </c>
      <c r="CZ148" s="2" t="s">
        <v>106</v>
      </c>
      <c r="DA148" s="2" t="s">
        <v>1868</v>
      </c>
      <c r="DB148" s="2">
        <v>0</v>
      </c>
      <c r="DC148" s="2">
        <v>6</v>
      </c>
      <c r="DD148" s="2" t="str">
        <f>HYPERLINK("https://www.kegg.jp/kegg-bin/search_pathway_text?map=aga&amp;keyword=AGAP011770&amp;mode=1&amp;viewImage=true","AGAP011770")</f>
        <v>AGAP011770</v>
      </c>
      <c r="DE148" s="2" t="s">
        <v>1855</v>
      </c>
      <c r="DF148" s="2" t="s">
        <v>1856</v>
      </c>
      <c r="DG148" s="2" t="s">
        <v>87</v>
      </c>
      <c r="DH148" s="2" t="str">
        <f>HYPERLINK("https://vectorbase.org/vectorbase/app/record/gene/AGAP011770","AGAP011770-RA")</f>
        <v>AGAP011770-RA</v>
      </c>
      <c r="DI148" s="2" t="s">
        <v>143</v>
      </c>
      <c r="DJ148" s="2">
        <v>7487</v>
      </c>
      <c r="DK148" s="2" t="str">
        <f>HYPERLINK(".\links\netoglyc\AGAP011770-PA-netoglyc.txt","12")</f>
        <v>12</v>
      </c>
      <c r="DL148" s="2">
        <v>14.6</v>
      </c>
      <c r="DM148" s="2">
        <v>7.9</v>
      </c>
      <c r="DN148" s="2">
        <v>5.9</v>
      </c>
      <c r="DO148" s="2" t="s">
        <v>97</v>
      </c>
      <c r="DP148" s="2" t="s">
        <v>1869</v>
      </c>
      <c r="DQ148" s="2" t="str">
        <f>HYPERLINK(".\links\Sigp\AGAP011770-PA-SigP.txt","CYT")</f>
        <v>CYT</v>
      </c>
      <c r="DR148" s="2" t="s">
        <v>94</v>
      </c>
      <c r="DS148" s="2">
        <v>203.58500000000001</v>
      </c>
      <c r="DT148" s="2">
        <v>6.56</v>
      </c>
      <c r="DU148" s="2" t="s">
        <v>94</v>
      </c>
      <c r="DV148" s="2" t="s">
        <v>94</v>
      </c>
      <c r="DW148" s="2" t="s">
        <v>1862</v>
      </c>
      <c r="DX148" s="2">
        <v>1846</v>
      </c>
      <c r="DY148" s="8" t="str">
        <f>HYPERLINK(".\links\tmhmm\AGAP011770-PA-tmhmm.txt","2")</f>
        <v>2</v>
      </c>
      <c r="DZ148" s="2">
        <v>2.2000000000000002</v>
      </c>
      <c r="EA148" s="2">
        <v>82.7</v>
      </c>
      <c r="EB148" s="2">
        <v>15.1</v>
      </c>
      <c r="EC148" s="2" t="str">
        <f>HYPERLINK(".\links\gpi\AGAP011770-PA-gpi.txt","Y-NoSP")</f>
        <v>Y-NoSP</v>
      </c>
      <c r="ED148" s="2">
        <v>0.2</v>
      </c>
      <c r="EF148" s="2">
        <v>65</v>
      </c>
      <c r="EG148" s="2" t="str">
        <f>HYPERLINK(".\links\pep\AGAP011770-PA-sulf.txt","1")</f>
        <v>1</v>
      </c>
      <c r="EH148" s="2">
        <v>1</v>
      </c>
      <c r="EI148" s="2">
        <v>14.572047670639201</v>
      </c>
      <c r="EJ148" s="2">
        <v>5.8504875406283903</v>
      </c>
      <c r="EK148" s="2">
        <v>7.9089924160346703</v>
      </c>
      <c r="EL148" s="2">
        <v>13.7594799566631</v>
      </c>
      <c r="EM148" s="2" t="s">
        <v>94</v>
      </c>
      <c r="EN148" s="2">
        <v>4</v>
      </c>
      <c r="EO148" s="2">
        <v>5</v>
      </c>
      <c r="EP148" s="2" t="s">
        <v>94</v>
      </c>
      <c r="EQ148" s="2" t="s">
        <v>94</v>
      </c>
      <c r="ER148" s="2" t="s">
        <v>94</v>
      </c>
      <c r="ES148" s="2" t="s">
        <v>94</v>
      </c>
      <c r="ET148" s="2" t="str">
        <f>HYPERLINK(".\links\REFSEQ-INVERTEBRATE\AGAP011770-PA-REFSEQ-INVERTEBRATE.txt","low-density lipoprotein receptor-related protein 6")</f>
        <v>low-density lipoprotein receptor-related protein 6</v>
      </c>
      <c r="EU148" s="2" t="str">
        <f>HYPERLINK("http://www.ncbi.nlm.nih.gov/sutils/blink.cgi?pid=XP_035898467.1","0.0")</f>
        <v>0.0</v>
      </c>
      <c r="EV148" s="2" t="str">
        <f>HYPERLINK("http://www.ncbi.nlm.nih.gov/protein/XP_035898467.1","XP_035898467.1")</f>
        <v>XP_035898467.1</v>
      </c>
      <c r="EW148" s="2">
        <v>91</v>
      </c>
      <c r="EX148" s="2">
        <v>93</v>
      </c>
      <c r="EY148" s="2">
        <v>101</v>
      </c>
      <c r="EZ148" s="2" t="s">
        <v>184</v>
      </c>
    </row>
    <row r="149" spans="1:156" x14ac:dyDescent="0.25">
      <c r="A149" s="2" t="s">
        <v>1870</v>
      </c>
      <c r="B149" s="2">
        <v>0.64672291858953102</v>
      </c>
      <c r="C149" s="2">
        <v>1.5656078758083454</v>
      </c>
      <c r="D149" s="2">
        <v>4.2104931844408302</v>
      </c>
      <c r="E149" s="2">
        <v>12.503290029996</v>
      </c>
      <c r="F149" s="2">
        <v>4.0623599163492903E-4</v>
      </c>
      <c r="G149" s="2">
        <v>2.0326845359214401E-2</v>
      </c>
      <c r="H149" s="2" t="s">
        <v>1871</v>
      </c>
      <c r="I149" s="2" t="s">
        <v>87</v>
      </c>
      <c r="J149" s="2" t="str">
        <f>HYPERLINK("https://vectorbase.org/vectorbase/app/record/gene/AGAP005711","AGAP005711-RA")</f>
        <v>AGAP005711-RA</v>
      </c>
      <c r="K149" s="2" t="str">
        <f>HYPERLINK(".\links\pep\AGAP005711-PA-pep.txt","AGAP005711-PA")</f>
        <v>AGAP005711-PA</v>
      </c>
      <c r="L149" s="8" t="s">
        <v>88</v>
      </c>
      <c r="M149" s="2">
        <v>1030</v>
      </c>
      <c r="N149" s="2">
        <v>0</v>
      </c>
      <c r="O149" s="2">
        <v>3</v>
      </c>
      <c r="P149" s="2" t="s">
        <v>1872</v>
      </c>
      <c r="Q149" s="9" t="s">
        <v>1873</v>
      </c>
      <c r="R149" s="2" t="s">
        <v>289</v>
      </c>
      <c r="S149" s="2" t="str">
        <f>HYPERLINK(".\links\KOG\AGAP005711-PA-KOG.txt","KOG")</f>
        <v>KOG</v>
      </c>
      <c r="T149" s="2">
        <v>5.9999999999999998E-82</v>
      </c>
      <c r="U149" s="2">
        <v>105.9</v>
      </c>
      <c r="V149" s="2" t="s">
        <v>1874</v>
      </c>
      <c r="W149" s="10" t="s">
        <v>1875</v>
      </c>
      <c r="X149" s="2" t="s">
        <v>286</v>
      </c>
      <c r="Y149" s="2" t="str">
        <f>HYPERLINK(".\links\EC\AGAP005711-PA-EC.txt","EC")</f>
        <v>EC</v>
      </c>
      <c r="Z149" s="13">
        <v>0</v>
      </c>
      <c r="AA149" s="2">
        <v>44.2</v>
      </c>
      <c r="AB149" s="11" t="str">
        <f>HYPERLINK(".\links\pep\AGAP005711-PA-sulf.txt","1")</f>
        <v>1</v>
      </c>
      <c r="AC149" s="11" t="str">
        <f>HYPERLINK(".\links\Sigp\AGAP005711-PA-SigP.txt","CYT")</f>
        <v>CYT</v>
      </c>
      <c r="AD149" s="2" t="s">
        <v>94</v>
      </c>
      <c r="AE149" s="2">
        <v>115.64</v>
      </c>
      <c r="AF149" s="2">
        <v>6.54</v>
      </c>
      <c r="AG149" s="2" t="s">
        <v>94</v>
      </c>
      <c r="AH149" s="2" t="s">
        <v>94</v>
      </c>
      <c r="AI149" s="2" t="s">
        <v>478</v>
      </c>
      <c r="AJ149" s="11">
        <v>0</v>
      </c>
      <c r="AK149" s="2" t="s">
        <v>94</v>
      </c>
      <c r="AL149" s="2" t="s">
        <v>94</v>
      </c>
      <c r="AM149" s="2" t="s">
        <v>94</v>
      </c>
      <c r="AN149" s="11" t="str">
        <f>HYPERLINK(".\links\gpi\AGAP005711-PA-gpi.txt","N")</f>
        <v>N</v>
      </c>
      <c r="AO149" s="12" t="str">
        <f>HYPERLINK(".\links\netoglyc\AGAP005711-PA-netoglyc.txt","9")</f>
        <v>9</v>
      </c>
      <c r="AP149" s="11">
        <v>16.899999999999999</v>
      </c>
      <c r="AQ149" s="2">
        <v>6.4</v>
      </c>
      <c r="AR149" s="2">
        <v>7.8</v>
      </c>
      <c r="AS149" s="2" t="s">
        <v>97</v>
      </c>
      <c r="AT149" s="9" t="str">
        <f>HYPERLINK(".\links\NR-LIGHT\AGAP005711-PA-NR-LIGHT.txt","AGAP005711-PA")</f>
        <v>AGAP005711-PA</v>
      </c>
      <c r="AU149" s="2" t="str">
        <f>HYPERLINK("http://www.ncbi.nlm.nih.gov/sutils/blink.cgi?pid=XP_315720.4","0.0")</f>
        <v>0.0</v>
      </c>
      <c r="AV149" s="2" t="str">
        <f>HYPERLINK("http://www.ncbi.nlm.nih.gov/protein/XP_315720.4","XP_315720.4")</f>
        <v>XP_315720.4</v>
      </c>
      <c r="AW149" s="2">
        <v>100</v>
      </c>
      <c r="AX149" s="2">
        <v>100</v>
      </c>
      <c r="AY149" s="2">
        <v>100</v>
      </c>
      <c r="AZ149" s="2" t="s">
        <v>98</v>
      </c>
      <c r="BA149" s="9" t="str">
        <f>HYPERLINK(".\links\REFSEQ-INVERTEBRATE\AGAP005711-PA-REFSEQ-INVERTEBRATE.txt","AGAP005711-PA")</f>
        <v>AGAP005711-PA</v>
      </c>
      <c r="BB149" s="2" t="str">
        <f>HYPERLINK("http://www.ncbi.nlm.nih.gov/sutils/blink.cgi?pid=XP_315720.4","0.0")</f>
        <v>0.0</v>
      </c>
      <c r="BC149" s="2" t="str">
        <f>HYPERLINK("http://www.ncbi.nlm.nih.gov/protein/XP_315720.4","XP_315720.4")</f>
        <v>XP_315720.4</v>
      </c>
      <c r="BD149" s="2">
        <v>100</v>
      </c>
      <c r="BE149" s="2">
        <v>100</v>
      </c>
      <c r="BF149" s="2">
        <v>100</v>
      </c>
      <c r="BG149" s="2" t="s">
        <v>98</v>
      </c>
      <c r="BH149" s="9" t="str">
        <f>HYPERLINK(".\links\REFSEQ-PROTOZOA\AGAP005711-PA-REFSEQ-PROTOZOA.txt","hypothetical protein EMH_0052000")</f>
        <v>hypothetical protein EMH_0052000</v>
      </c>
      <c r="BI149" s="2" t="str">
        <f>HYPERLINK("http://www.ncbi.nlm.nih.gov/sutils/blink.cgi?pid=XP_013352276.1","7E-045")</f>
        <v>7E-045</v>
      </c>
      <c r="BJ149" s="2" t="str">
        <f>HYPERLINK("http://www.ncbi.nlm.nih.gov/protein/XP_013352276.1","XP_013352276.1")</f>
        <v>XP_013352276.1</v>
      </c>
      <c r="BK149" s="2">
        <v>33</v>
      </c>
      <c r="BL149" s="2">
        <v>40</v>
      </c>
      <c r="BM149" s="2">
        <v>34</v>
      </c>
      <c r="BN149" s="2" t="s">
        <v>383</v>
      </c>
      <c r="BO149" s="9" t="str">
        <f>HYPERLINK(".\links\SWISSP\AGAP005711-PA-SWISSP.txt","Circadian locomoter output cycles protein kaput")</f>
        <v>Circadian locomoter output cycles protein kaput</v>
      </c>
      <c r="BP149" s="2" t="str">
        <f>HYPERLINK("http://www.uniprot.org/uniprot/O61735","0.0")</f>
        <v>0.0</v>
      </c>
      <c r="BQ149" s="2" t="str">
        <f>HYPERLINK("http://www.uniprot.org/uniprot/O61735#expression","O61735")</f>
        <v>O61735</v>
      </c>
      <c r="BR149" s="2">
        <v>39</v>
      </c>
      <c r="BS149" s="2">
        <v>51</v>
      </c>
      <c r="BT149" s="2">
        <v>108</v>
      </c>
      <c r="BU149" s="2" t="s">
        <v>100</v>
      </c>
      <c r="BV149" s="9" t="str">
        <f>HYPERLINK(".\links\FLYBASE\AGAP005711-PA-FLYBASE.txt","FBpp0076500")</f>
        <v>FBpp0076500</v>
      </c>
      <c r="BW149" s="2" t="str">
        <f>HYPERLINK("http://flybase.org/reports/FBgn0023076#alliance_summary_container","1E-172")</f>
        <v>1E-172</v>
      </c>
      <c r="BX149" s="2">
        <v>1023</v>
      </c>
      <c r="BY149" s="2">
        <v>53</v>
      </c>
      <c r="BZ149" s="2">
        <v>68</v>
      </c>
      <c r="CA149" s="2">
        <v>50</v>
      </c>
      <c r="CB149" s="9" t="str">
        <f>HYPERLINK(".\links\CDD\AGAP005711-PA-CDD.txt","PAS_3, PAS fold")</f>
        <v>PAS_3, PAS fold</v>
      </c>
      <c r="CC149" s="13">
        <v>7.9999999999999998E-16</v>
      </c>
      <c r="CD149" s="2">
        <v>101.1</v>
      </c>
      <c r="CE149" s="2" t="s">
        <v>1876</v>
      </c>
      <c r="CF149" s="2" t="s">
        <v>1877</v>
      </c>
      <c r="CG149" s="9" t="str">
        <f>HYPERLINK(".\links\KOG\AGAP005711-PA-KOG.txt","Aryl-hydrocarbon receptor nuclear translocator")</f>
        <v>Aryl-hydrocarbon receptor nuclear translocator</v>
      </c>
      <c r="CH149" s="13">
        <v>5.9999999999999998E-82</v>
      </c>
      <c r="CI149" s="2">
        <v>106</v>
      </c>
      <c r="CJ149" s="2" t="s">
        <v>1878</v>
      </c>
      <c r="CK149" s="2" t="s">
        <v>296</v>
      </c>
      <c r="CL149" s="9" t="str">
        <f>HYPERLINK(".\links\PFAM\AGAP005711-PA-PFAM.txt","PAS_3, PAS fold")</f>
        <v>PAS_3, PAS fold</v>
      </c>
      <c r="CM149" s="13">
        <v>2E-16</v>
      </c>
      <c r="CN149" s="2">
        <v>101.1</v>
      </c>
      <c r="CO149" s="2" t="s">
        <v>1876</v>
      </c>
      <c r="CP149" s="9" t="str">
        <f>HYPERLINK(".\links\SMART\AGAP005711-PA-SMART.txt","PAS, PAS domain")</f>
        <v>PAS, PAS domain</v>
      </c>
      <c r="CQ149" s="13">
        <v>9.9999999999999995E-8</v>
      </c>
      <c r="CR149" s="2">
        <v>95.5</v>
      </c>
      <c r="CS149" s="2" t="s">
        <v>1879</v>
      </c>
      <c r="CT149" s="2" t="s">
        <v>1874</v>
      </c>
      <c r="CU149" s="2" t="s">
        <v>1874</v>
      </c>
      <c r="CV149" s="2" t="s">
        <v>1874</v>
      </c>
      <c r="CW149" s="2" t="str">
        <f>HYPERLINK(".\links\pep\AGAP005711-PA-pep.txt","AGAP005711-PA")</f>
        <v>AGAP005711-PA</v>
      </c>
      <c r="CX149" s="2" t="s">
        <v>88</v>
      </c>
      <c r="CY149" s="2">
        <v>1030</v>
      </c>
      <c r="CZ149" s="2" t="s">
        <v>106</v>
      </c>
      <c r="DA149" s="2" t="s">
        <v>1880</v>
      </c>
      <c r="DB149" s="2">
        <v>0</v>
      </c>
      <c r="DC149" s="2">
        <v>3</v>
      </c>
      <c r="DD149" s="2" t="str">
        <f>HYPERLINK("https://www.kegg.jp/kegg-bin/search_pathway_text?map=aga&amp;keyword=AGAP005711&amp;mode=1&amp;viewImage=true","AGAP005711")</f>
        <v>AGAP005711</v>
      </c>
      <c r="DE149" s="2" t="s">
        <v>1870</v>
      </c>
      <c r="DF149" s="2" t="s">
        <v>1871</v>
      </c>
      <c r="DG149" s="2" t="s">
        <v>87</v>
      </c>
      <c r="DH149" s="2" t="str">
        <f>HYPERLINK("https://vectorbase.org/vectorbase/app/record/gene/AGAP005711","AGAP005711-RA")</f>
        <v>AGAP005711-RA</v>
      </c>
      <c r="DI149" s="2" t="s">
        <v>108</v>
      </c>
      <c r="DJ149" s="2">
        <v>5071</v>
      </c>
      <c r="DK149" s="2" t="str">
        <f>HYPERLINK(".\links\netoglyc\AGAP005711-PA-netoglyc.txt","9")</f>
        <v>9</v>
      </c>
      <c r="DL149" s="2">
        <v>16.899999999999999</v>
      </c>
      <c r="DM149" s="2">
        <v>6.4</v>
      </c>
      <c r="DN149" s="2">
        <v>7.8</v>
      </c>
      <c r="DO149" s="2" t="s">
        <v>97</v>
      </c>
      <c r="DP149" s="2" t="s">
        <v>94</v>
      </c>
      <c r="DQ149" s="2" t="str">
        <f>HYPERLINK(".\links\Sigp\AGAP005711-PA-SigP.txt","CYT")</f>
        <v>CYT</v>
      </c>
      <c r="DR149" s="2" t="s">
        <v>94</v>
      </c>
      <c r="DS149" s="2">
        <v>115.64</v>
      </c>
      <c r="DT149" s="2">
        <v>6.54</v>
      </c>
      <c r="DU149" s="2" t="s">
        <v>94</v>
      </c>
      <c r="DV149" s="2" t="s">
        <v>94</v>
      </c>
      <c r="DW149" s="2" t="s">
        <v>478</v>
      </c>
      <c r="DX149" s="2">
        <v>1030</v>
      </c>
      <c r="DY149" s="8">
        <v>0</v>
      </c>
      <c r="DZ149" s="2" t="s">
        <v>94</v>
      </c>
      <c r="EA149" s="2" t="s">
        <v>94</v>
      </c>
      <c r="EB149" s="2" t="s">
        <v>94</v>
      </c>
      <c r="EC149" s="2" t="str">
        <f>HYPERLINK(".\links\gpi\AGAP005711-PA-gpi.txt","Y-NoSP")</f>
        <v>Y-NoSP</v>
      </c>
      <c r="ED149" s="2">
        <v>0.41</v>
      </c>
      <c r="EE149" s="2" t="s">
        <v>1881</v>
      </c>
      <c r="EF149" s="2">
        <v>7</v>
      </c>
      <c r="EG149" s="2" t="str">
        <f>HYPERLINK(".\links\pep\AGAP005711-PA-sulf.txt","1")</f>
        <v>1</v>
      </c>
      <c r="EH149" s="2" t="s">
        <v>94</v>
      </c>
      <c r="EI149" s="2">
        <v>16.893203883495101</v>
      </c>
      <c r="EJ149" s="2">
        <v>7.7669902912621396</v>
      </c>
      <c r="EK149" s="2">
        <v>6.4077669902912602</v>
      </c>
      <c r="EL149" s="2">
        <v>14.174757281553401</v>
      </c>
      <c r="EM149" s="2">
        <v>6</v>
      </c>
      <c r="EN149" s="2">
        <v>2</v>
      </c>
      <c r="EO149" s="2">
        <v>10</v>
      </c>
      <c r="EP149" s="2" t="s">
        <v>94</v>
      </c>
      <c r="EQ149" s="2" t="s">
        <v>94</v>
      </c>
      <c r="ER149" s="2" t="s">
        <v>94</v>
      </c>
      <c r="ES149" s="2" t="s">
        <v>94</v>
      </c>
      <c r="ET149" s="2" t="str">
        <f>HYPERLINK(".\links\REFSEQ-INVERTEBRATE\AGAP005711-PA-REFSEQ-INVERTEBRATE.txt","AGAP005711-PA")</f>
        <v>AGAP005711-PA</v>
      </c>
      <c r="EU149" s="2" t="str">
        <f>HYPERLINK("http://www.ncbi.nlm.nih.gov/sutils/blink.cgi?pid=XP_315720.4","0.0")</f>
        <v>0.0</v>
      </c>
      <c r="EV149" s="2" t="str">
        <f>HYPERLINK("http://www.ncbi.nlm.nih.gov/protein/XP_315720.4","XP_315720.4")</f>
        <v>XP_315720.4</v>
      </c>
      <c r="EW149" s="2">
        <v>100</v>
      </c>
      <c r="EX149" s="2">
        <v>100</v>
      </c>
      <c r="EY149" s="2">
        <v>100</v>
      </c>
      <c r="EZ149" s="2" t="s">
        <v>98</v>
      </c>
    </row>
    <row r="150" spans="1:156" x14ac:dyDescent="0.25">
      <c r="A150" s="2" t="s">
        <v>1882</v>
      </c>
      <c r="B150" s="2">
        <v>0.64467283920527596</v>
      </c>
      <c r="C150" s="2">
        <v>1.5633847163929651</v>
      </c>
      <c r="D150" s="2">
        <v>4.8212750233443202</v>
      </c>
      <c r="E150" s="2">
        <v>15.0356550385674</v>
      </c>
      <c r="F150" s="2">
        <v>1.05499055223332E-4</v>
      </c>
      <c r="G150" s="2">
        <v>7.5015380845643003E-3</v>
      </c>
      <c r="H150" s="2" t="s">
        <v>167</v>
      </c>
      <c r="I150" s="2" t="s">
        <v>87</v>
      </c>
      <c r="J150" s="2" t="str">
        <f>HYPERLINK("https://vectorbase.org/vectorbase/app/record/gene/AGAP029474","AGAP029474-RB")</f>
        <v>AGAP029474-RB</v>
      </c>
      <c r="K150" s="2" t="str">
        <f>HYPERLINK(".\links\pep\AGAP029474-PB-pep.txt","AGAP029474-PB")</f>
        <v>AGAP029474-PB</v>
      </c>
      <c r="L150" s="8" t="s">
        <v>88</v>
      </c>
      <c r="M150" s="2">
        <v>850</v>
      </c>
      <c r="N150" s="2">
        <v>0</v>
      </c>
      <c r="O150" s="2">
        <v>3</v>
      </c>
      <c r="P150" s="2" t="s">
        <v>94</v>
      </c>
      <c r="Q150" s="9" t="s">
        <v>1883</v>
      </c>
      <c r="R150" s="2" t="s">
        <v>289</v>
      </c>
      <c r="S150" s="2" t="str">
        <f>HYPERLINK(".\links\REFSEQ-INVERTEBRATE\AGAP029474-PB-REFSEQ-INVERTEBRATE.txt","REFSEQ-INVERTEBRATE")</f>
        <v>REFSEQ-INVERTEBRATE</v>
      </c>
      <c r="T150" s="2">
        <v>0</v>
      </c>
      <c r="U150" s="2">
        <v>121.5</v>
      </c>
      <c r="V150" s="2" t="s">
        <v>1884</v>
      </c>
      <c r="W150" s="10" t="s">
        <v>1885</v>
      </c>
      <c r="X150" s="2" t="s">
        <v>347</v>
      </c>
      <c r="Y150" s="2" t="str">
        <f>HYPERLINK(".\links\UNIPROTKB\AGAP029474-PB-UNIPROTKB.txt","UNIPROTKB")</f>
        <v>UNIPROTKB</v>
      </c>
      <c r="Z150" s="13">
        <v>8.0000000000000003E-10</v>
      </c>
      <c r="AA150" s="2">
        <v>25.9</v>
      </c>
      <c r="AB150" s="11" t="s">
        <v>94</v>
      </c>
      <c r="AC150" s="11" t="str">
        <f>HYPERLINK(".\links\Sigp\AGAP029474-PB-SigP.txt","CYT")</f>
        <v>CYT</v>
      </c>
      <c r="AD150" s="2" t="s">
        <v>94</v>
      </c>
      <c r="AE150" s="2">
        <v>89.513000000000005</v>
      </c>
      <c r="AF150" s="2">
        <v>6.82</v>
      </c>
      <c r="AG150" s="2" t="s">
        <v>94</v>
      </c>
      <c r="AH150" s="2" t="s">
        <v>94</v>
      </c>
      <c r="AI150" s="2" t="s">
        <v>463</v>
      </c>
      <c r="AJ150" s="11">
        <v>0</v>
      </c>
      <c r="AK150" s="2" t="s">
        <v>94</v>
      </c>
      <c r="AL150" s="2" t="s">
        <v>94</v>
      </c>
      <c r="AM150" s="2" t="s">
        <v>94</v>
      </c>
      <c r="AN150" s="9" t="str">
        <f>HYPERLINK(".\links\gpi\AGAP029474-PB-gpi.txt","N")</f>
        <v>N</v>
      </c>
      <c r="AO150" s="12" t="str">
        <f>HYPERLINK(".\links\netoglyc\AGAP029474-PB-netoglyc.txt","29")</f>
        <v>29</v>
      </c>
      <c r="AP150" s="11">
        <v>22.7</v>
      </c>
      <c r="AQ150" s="2">
        <v>8.6</v>
      </c>
      <c r="AR150" s="2">
        <v>9.5</v>
      </c>
      <c r="AS150" s="2" t="s">
        <v>97</v>
      </c>
      <c r="AT150" s="9" t="str">
        <f>HYPERLINK(".\links\NR-LIGHT\AGAP029474-PB-NR-LIGHT.txt","hypothetical protein ZHAS_00003828")</f>
        <v>hypothetical protein ZHAS_00003828</v>
      </c>
      <c r="AU150" s="2" t="str">
        <f>HYPERLINK("http://www.ncbi.nlm.nih.gov/sutils/blink.cgi?pid=KFB36674.1","0.0")</f>
        <v>0.0</v>
      </c>
      <c r="AV150" s="2" t="str">
        <f>HYPERLINK("http://www.ncbi.nlm.nih.gov/protein/KFB36674.1","KFB36674.1")</f>
        <v>KFB36674.1</v>
      </c>
      <c r="AW150" s="2">
        <v>62</v>
      </c>
      <c r="AX150" s="2">
        <v>69</v>
      </c>
      <c r="AY150" s="2">
        <v>105</v>
      </c>
      <c r="AZ150" s="2" t="s">
        <v>174</v>
      </c>
      <c r="BA150" s="9" t="str">
        <f>HYPERLINK(".\links\REFSEQ-INVERTEBRATE\AGAP029474-PB-REFSEQ-INVERTEBRATE.txt","AGAP008197-PA")</f>
        <v>AGAP008197-PA</v>
      </c>
      <c r="BB150" s="2" t="str">
        <f>HYPERLINK("http://www.ncbi.nlm.nih.gov/sutils/blink.cgi?pid=XP_001237906.2","0.0")</f>
        <v>0.0</v>
      </c>
      <c r="BC150" s="2" t="str">
        <f>HYPERLINK("http://www.ncbi.nlm.nih.gov/protein/XP_001237906.2","XP_001237906.2")</f>
        <v>XP_001237906.2</v>
      </c>
      <c r="BD150" s="2">
        <v>95</v>
      </c>
      <c r="BE150" s="2">
        <v>95</v>
      </c>
      <c r="BF150" s="2">
        <v>105</v>
      </c>
      <c r="BG150" s="2" t="s">
        <v>98</v>
      </c>
      <c r="BH150" s="9" t="str">
        <f>HYPERLINK(".\links\REFSEQ-PROTOZOA\AGAP029474-PB-REFSEQ-PROTOZOA.txt","proteophosphoglycan ppg4")</f>
        <v>proteophosphoglycan ppg4</v>
      </c>
      <c r="BI150" s="2" t="str">
        <f>HYPERLINK("http://www.ncbi.nlm.nih.gov/sutils/blink.cgi?pid=XP_003722448.1","2E-023")</f>
        <v>2E-023</v>
      </c>
      <c r="BJ150" s="2" t="str">
        <f>HYPERLINK("http://www.ncbi.nlm.nih.gov/protein/XP_003722448.1","XP_003722448.1")</f>
        <v>XP_003722448.1</v>
      </c>
      <c r="BK150" s="2">
        <v>19</v>
      </c>
      <c r="BL150" s="2">
        <v>34</v>
      </c>
      <c r="BM150" s="2">
        <v>12</v>
      </c>
      <c r="BN150" s="2" t="s">
        <v>1171</v>
      </c>
      <c r="BO150" s="9" t="str">
        <f>HYPERLINK(".\links\SWISSP\AGAP029474-PB-SWISSP.txt","Hormone receptor 4")</f>
        <v>Hormone receptor 4</v>
      </c>
      <c r="BP150" s="2" t="str">
        <f>HYPERLINK("http://www.uniprot.org/uniprot/Q9W539","2E-014")</f>
        <v>2E-014</v>
      </c>
      <c r="BQ150" s="2" t="str">
        <f>HYPERLINK("http://www.uniprot.org/uniprot/Q9W539#expression","Q9W539")</f>
        <v>Q9W539</v>
      </c>
      <c r="BR150" s="2">
        <v>20</v>
      </c>
      <c r="BS150" s="2">
        <v>35</v>
      </c>
      <c r="BT150" s="2">
        <v>50</v>
      </c>
      <c r="BU150" s="2" t="s">
        <v>100</v>
      </c>
      <c r="BV150" s="9" t="str">
        <f>HYPERLINK(".\links\FLYBASE\AGAP029474-PB-FLYBASE.txt","FBpp0084862")</f>
        <v>FBpp0084862</v>
      </c>
      <c r="BW150" s="2" t="str">
        <f>HYPERLINK("http://flybase.org/reports/FBgn0051038#alliance_summary_container","1E-34")</f>
        <v>1E-34</v>
      </c>
      <c r="BX150" s="2">
        <v>605</v>
      </c>
      <c r="BY150" s="2">
        <v>34</v>
      </c>
      <c r="BZ150" s="2">
        <v>47</v>
      </c>
      <c r="CA150" s="2">
        <v>61</v>
      </c>
      <c r="CB150" s="9" t="str">
        <f>HYPERLINK(".\links\CDD\AGAP029474-PB-CDD.txt","PAT1, Topoisomerase II-associated protein PAT1")</f>
        <v>PAT1, Topoisomerase II-associated protein PAT1</v>
      </c>
      <c r="CC150" s="13">
        <v>7.9999999999999996E-7</v>
      </c>
      <c r="CD150" s="2">
        <v>9.6999999999999993</v>
      </c>
      <c r="CE150" s="2" t="s">
        <v>1055</v>
      </c>
      <c r="CF150" s="2" t="s">
        <v>1886</v>
      </c>
      <c r="CG150" s="9" t="str">
        <f>HYPERLINK(".\links\KOG\AGAP029474-PB-KOG.txt","subunit 3")</f>
        <v>subunit 3</v>
      </c>
      <c r="CH150" s="13">
        <v>6.0000000000000002E-6</v>
      </c>
      <c r="CI150" s="2">
        <v>5.3</v>
      </c>
      <c r="CJ150" s="2" t="s">
        <v>1887</v>
      </c>
      <c r="CK150" s="2" t="s">
        <v>296</v>
      </c>
      <c r="CL150" s="9" t="str">
        <f>HYPERLINK(".\links\PFAM\AGAP029474-PB-PFAM.txt","PAT1, Topoisomerase II-associated protein PAT1")</f>
        <v>PAT1, Topoisomerase II-associated protein PAT1</v>
      </c>
      <c r="CM150" s="13">
        <v>9.9999999999999995E-8</v>
      </c>
      <c r="CN150" s="2">
        <v>9.6999999999999993</v>
      </c>
      <c r="CO150" s="2" t="s">
        <v>1055</v>
      </c>
      <c r="CP150" s="9" t="str">
        <f>HYPERLINK(".\links\SMART\AGAP029474-PB-SMART.txt","Amelogenin, Amelogenins, cell adhesion proteins, play a role in the biomineralisation of teeth")</f>
        <v>Amelogenin, Amelogenins, cell adhesion proteins, play a role in the biomineralisation of teeth</v>
      </c>
      <c r="CQ150" s="13">
        <v>3.0000000000000001E-3</v>
      </c>
      <c r="CR150" s="2">
        <v>58.2</v>
      </c>
      <c r="CS150" s="2" t="s">
        <v>421</v>
      </c>
      <c r="CT150" s="2" t="s">
        <v>1884</v>
      </c>
      <c r="CU150" s="2" t="s">
        <v>1884</v>
      </c>
      <c r="CV150" s="2" t="s">
        <v>1884</v>
      </c>
      <c r="CW150" s="2" t="str">
        <f>HYPERLINK(".\links\pep\AGAP029474-PB-pep.txt","AGAP029474-PB")</f>
        <v>AGAP029474-PB</v>
      </c>
      <c r="CX150" s="2" t="s">
        <v>88</v>
      </c>
      <c r="CY150" s="2">
        <v>850</v>
      </c>
      <c r="CZ150" s="2" t="s">
        <v>106</v>
      </c>
      <c r="DA150" s="2" t="s">
        <v>1888</v>
      </c>
      <c r="DB150" s="2">
        <v>0</v>
      </c>
      <c r="DC150" s="2">
        <v>3</v>
      </c>
      <c r="DD150" s="2" t="str">
        <f>HYPERLINK("https://www.kegg.jp/kegg-bin/search_pathway_text?map=aga&amp;keyword=AGAP029474&amp;mode=1&amp;viewImage=true","AGAP029474")</f>
        <v>AGAP029474</v>
      </c>
      <c r="DE150" s="2" t="s">
        <v>1882</v>
      </c>
      <c r="DF150" s="2" t="s">
        <v>167</v>
      </c>
      <c r="DG150" s="2" t="s">
        <v>87</v>
      </c>
      <c r="DH150" s="2" t="str">
        <f>HYPERLINK("https://vectorbase.org/vectorbase/app/record/gene/AGAP029474","AGAP029474-RB")</f>
        <v>AGAP029474-RB</v>
      </c>
      <c r="DI150" s="2" t="s">
        <v>108</v>
      </c>
      <c r="DJ150" s="2">
        <v>3833</v>
      </c>
      <c r="DK150" s="2" t="str">
        <f>HYPERLINK(".\links\netoglyc\AGAP029474-PB-netoglyc.txt","29")</f>
        <v>29</v>
      </c>
      <c r="DL150" s="2">
        <v>22.7</v>
      </c>
      <c r="DM150" s="2">
        <v>8.6</v>
      </c>
      <c r="DN150" s="2">
        <v>9.5</v>
      </c>
      <c r="DO150" s="2" t="s">
        <v>97</v>
      </c>
      <c r="DP150" s="2" t="s">
        <v>94</v>
      </c>
      <c r="DQ150" s="2" t="str">
        <f>HYPERLINK(".\links\Sigp\AGAP029474-PB-SigP.txt","CYT")</f>
        <v>CYT</v>
      </c>
      <c r="DR150" s="2" t="s">
        <v>94</v>
      </c>
      <c r="DS150" s="2">
        <v>89.513000000000005</v>
      </c>
      <c r="DT150" s="2">
        <v>6.82</v>
      </c>
      <c r="DU150" s="2" t="s">
        <v>94</v>
      </c>
      <c r="DV150" s="2" t="s">
        <v>94</v>
      </c>
      <c r="DW150" s="2" t="s">
        <v>463</v>
      </c>
      <c r="DX150" s="2">
        <v>850</v>
      </c>
      <c r="DY150" s="8">
        <v>0</v>
      </c>
      <c r="DZ150" s="2" t="s">
        <v>94</v>
      </c>
      <c r="EA150" s="2" t="s">
        <v>94</v>
      </c>
      <c r="EB150" s="2" t="s">
        <v>94</v>
      </c>
      <c r="EC150" s="2" t="str">
        <f>HYPERLINK(".\links\gpi\AGAP029474-PB-gpi.txt","Y-NoSP")</f>
        <v>Y-NoSP</v>
      </c>
      <c r="ED150" s="2">
        <v>0.37</v>
      </c>
      <c r="EF150" s="2">
        <v>7</v>
      </c>
      <c r="EG150" s="2" t="s">
        <v>94</v>
      </c>
      <c r="EH150" s="2">
        <v>1</v>
      </c>
      <c r="EI150" s="2">
        <v>22.705882352941199</v>
      </c>
      <c r="EJ150" s="2">
        <v>9.5294117647058805</v>
      </c>
      <c r="EK150" s="2">
        <v>8.5882352941176503</v>
      </c>
      <c r="EL150" s="2">
        <v>18.117647058823501</v>
      </c>
      <c r="EM150" s="2">
        <v>1</v>
      </c>
      <c r="EN150" s="2">
        <v>2</v>
      </c>
      <c r="EO150" s="2">
        <v>5</v>
      </c>
      <c r="EP150" s="2" t="s">
        <v>94</v>
      </c>
      <c r="EQ150" s="2" t="s">
        <v>94</v>
      </c>
      <c r="ER150" s="2" t="s">
        <v>94</v>
      </c>
      <c r="ES150" s="2" t="s">
        <v>94</v>
      </c>
      <c r="ET150" s="2" t="str">
        <f>HYPERLINK(".\links\REFSEQ-INVERTEBRATE\AGAP029474-PB-REFSEQ-INVERTEBRATE.txt","uncharacterized protein LOC118513658 isoform X1")</f>
        <v>uncharacterized protein LOC118513658 isoform X1</v>
      </c>
      <c r="EU150" s="2" t="str">
        <f>HYPERLINK("http://www.ncbi.nlm.nih.gov/sutils/blink.cgi?pid=XP_035915638.1","0.0")</f>
        <v>0.0</v>
      </c>
      <c r="EV150" s="2" t="str">
        <f>HYPERLINK("http://www.ncbi.nlm.nih.gov/protein/XP_035915638.1","XP_035915638.1")</f>
        <v>XP_035915638.1</v>
      </c>
      <c r="EW150" s="2">
        <v>75</v>
      </c>
      <c r="EX150" s="2">
        <v>80</v>
      </c>
      <c r="EY150" s="2">
        <v>105</v>
      </c>
      <c r="EZ150" s="2" t="s">
        <v>184</v>
      </c>
    </row>
    <row r="151" spans="1:156" x14ac:dyDescent="0.25">
      <c r="A151" s="2" t="s">
        <v>1889</v>
      </c>
      <c r="B151" s="2">
        <v>0.64158713938589595</v>
      </c>
      <c r="C151" s="2">
        <v>1.5600444535937181</v>
      </c>
      <c r="D151" s="2">
        <v>4.7137811156810496</v>
      </c>
      <c r="E151" s="2">
        <v>16.6294755882444</v>
      </c>
      <c r="F151" s="2">
        <v>4.5439339737483903E-5</v>
      </c>
      <c r="G151" s="2">
        <v>4.0091868101455198E-3</v>
      </c>
      <c r="H151" s="2" t="s">
        <v>1890</v>
      </c>
      <c r="I151" s="2" t="s">
        <v>87</v>
      </c>
      <c r="J151" s="2" t="str">
        <f>HYPERLINK("https://vectorbase.org/vectorbase/app/record/gene/AGAP003283","AGAP003283-RA")</f>
        <v>AGAP003283-RA</v>
      </c>
      <c r="K151" s="2" t="str">
        <f>HYPERLINK(".\links\pep\AGAP003283-PA-pep.txt","AGAP003283-PA")</f>
        <v>AGAP003283-PA</v>
      </c>
      <c r="L151" s="8" t="s">
        <v>88</v>
      </c>
      <c r="M151" s="2">
        <v>1348</v>
      </c>
      <c r="N151" s="2">
        <v>0</v>
      </c>
      <c r="O151" s="2">
        <v>3</v>
      </c>
      <c r="P151" s="2" t="s">
        <v>1891</v>
      </c>
      <c r="Q151" s="9" t="s">
        <v>1892</v>
      </c>
      <c r="R151" s="2" t="s">
        <v>1893</v>
      </c>
      <c r="S151" s="2" t="str">
        <f>HYPERLINK(".\links\CDD\AGAP003283-PA-CDD.txt","CDD")</f>
        <v>CDD</v>
      </c>
      <c r="T151" s="2">
        <v>0</v>
      </c>
      <c r="U151" s="2">
        <v>104.2</v>
      </c>
      <c r="V151" s="2" t="s">
        <v>1894</v>
      </c>
      <c r="W151" s="10" t="s">
        <v>1895</v>
      </c>
      <c r="X151" s="2" t="s">
        <v>1896</v>
      </c>
      <c r="Y151" s="2" t="str">
        <f>HYPERLINK(".\links\REFSEQ-PROTOZOA\AGAP003283-PA-REFSEQ-PROTOZOA.txt","REFSEQ-PROTOZOA")</f>
        <v>REFSEQ-PROTOZOA</v>
      </c>
      <c r="Z151" s="2">
        <v>0</v>
      </c>
      <c r="AA151" s="2">
        <v>32.799999999999997</v>
      </c>
      <c r="AB151" s="11" t="str">
        <f>HYPERLINK(".\links\pep\AGAP003283-PA-sulf.txt","3")</f>
        <v>3</v>
      </c>
      <c r="AC151" s="11" t="str">
        <f>HYPERLINK(".\links\Sigp\AGAP003283-PA-SigP.txt","SIG")</f>
        <v>SIG</v>
      </c>
      <c r="AD151" s="2" t="s">
        <v>1897</v>
      </c>
      <c r="AE151" s="2">
        <v>149.48599999999999</v>
      </c>
      <c r="AF151" s="2">
        <v>6.81</v>
      </c>
      <c r="AG151" s="2">
        <v>146.31399999999999</v>
      </c>
      <c r="AH151" s="2">
        <v>6.75</v>
      </c>
      <c r="AI151" s="2" t="s">
        <v>1898</v>
      </c>
      <c r="AJ151" s="11">
        <v>0</v>
      </c>
      <c r="AK151" s="2" t="s">
        <v>94</v>
      </c>
      <c r="AL151" s="2" t="s">
        <v>94</v>
      </c>
      <c r="AM151" s="2" t="s">
        <v>94</v>
      </c>
      <c r="AN151" s="11" t="str">
        <f>HYPERLINK(".\links\gpi\AGAP003283-PA-gpi.txt","N")</f>
        <v>N</v>
      </c>
      <c r="AO151" s="12" t="str">
        <f>HYPERLINK(".\links\netoglyc\AGAP003283-PA-netoglyc.txt","4")</f>
        <v>4</v>
      </c>
      <c r="AP151" s="11">
        <v>14.1</v>
      </c>
      <c r="AQ151" s="2">
        <v>6.6</v>
      </c>
      <c r="AR151" s="2">
        <v>5.3</v>
      </c>
      <c r="AS151" s="2" t="s">
        <v>97</v>
      </c>
      <c r="AT151" s="9" t="str">
        <f>HYPERLINK(".\links\NR-LIGHT\AGAP003283-PA-NR-LIGHT.txt","AGAP003283-PA")</f>
        <v>AGAP003283-PA</v>
      </c>
      <c r="AU151" s="2" t="str">
        <f>HYPERLINK("http://www.ncbi.nlm.nih.gov/sutils/blink.cgi?pid=XP_307791.5","0.0")</f>
        <v>0.0</v>
      </c>
      <c r="AV151" s="2" t="str">
        <f>HYPERLINK("http://www.ncbi.nlm.nih.gov/protein/XP_307791.5","XP_307791.5")</f>
        <v>XP_307791.5</v>
      </c>
      <c r="AW151" s="2">
        <v>100</v>
      </c>
      <c r="AX151" s="2">
        <v>100</v>
      </c>
      <c r="AY151" s="2">
        <v>100</v>
      </c>
      <c r="AZ151" s="2" t="s">
        <v>98</v>
      </c>
      <c r="BA151" s="9" t="str">
        <f>HYPERLINK(".\links\REFSEQ-INVERTEBRATE\AGAP003283-PA-REFSEQ-INVERTEBRATE.txt","AGAP003283-PA")</f>
        <v>AGAP003283-PA</v>
      </c>
      <c r="BB151" s="2" t="str">
        <f>HYPERLINK("http://www.ncbi.nlm.nih.gov/sutils/blink.cgi?pid=XP_307791.5","0.0")</f>
        <v>0.0</v>
      </c>
      <c r="BC151" s="2" t="str">
        <f>HYPERLINK("http://www.ncbi.nlm.nih.gov/protein/XP_307791.5","XP_307791.5")</f>
        <v>XP_307791.5</v>
      </c>
      <c r="BD151" s="2">
        <v>100</v>
      </c>
      <c r="BE151" s="2">
        <v>100</v>
      </c>
      <c r="BF151" s="2">
        <v>100</v>
      </c>
      <c r="BG151" s="2" t="s">
        <v>98</v>
      </c>
      <c r="BH151" s="9" t="str">
        <f>HYPERLINK(".\links\REFSEQ-PROTOZOA\AGAP003283-PA-REFSEQ-PROTOZOA.txt","RGC/RGC protein kinase")</f>
        <v>RGC/RGC protein kinase</v>
      </c>
      <c r="BI151" s="2" t="str">
        <f>HYPERLINK("http://www.ncbi.nlm.nih.gov/sutils/blink.cgi?pid=XP_004994364.1","1E-127")</f>
        <v>1E-127</v>
      </c>
      <c r="BJ151" s="2" t="str">
        <f>HYPERLINK("http://www.ncbi.nlm.nih.gov/protein/XP_004994364.1","XP_004994364.1")</f>
        <v>XP_004994364.1</v>
      </c>
      <c r="BK151" s="2">
        <v>41</v>
      </c>
      <c r="BL151" s="2">
        <v>60</v>
      </c>
      <c r="BM151" s="2">
        <v>33</v>
      </c>
      <c r="BN151" s="2" t="s">
        <v>117</v>
      </c>
      <c r="BO151" s="9" t="str">
        <f>HYPERLINK(".\links\SWISSP\AGAP003283-PA-SWISSP.txt","Atrial natriuretic peptide receptor 1")</f>
        <v>Atrial natriuretic peptide receptor 1</v>
      </c>
      <c r="BP151" s="2" t="str">
        <f>HYPERLINK("http://www.uniprot.org/uniprot/P16066","0.0")</f>
        <v>0.0</v>
      </c>
      <c r="BQ151" s="2" t="str">
        <f>HYPERLINK("http://www.uniprot.org/uniprot/P16066#expression","P16066")</f>
        <v>P16066</v>
      </c>
      <c r="BR151" s="2">
        <v>47</v>
      </c>
      <c r="BS151" s="2">
        <v>62</v>
      </c>
      <c r="BT151" s="2">
        <v>97</v>
      </c>
      <c r="BU151" s="2" t="s">
        <v>196</v>
      </c>
      <c r="BV151" s="9" t="str">
        <f>HYPERLINK(".\links\FLYBASE\AGAP003283-PA-FLYBASE.txt","FBpp0311979")</f>
        <v>FBpp0311979</v>
      </c>
      <c r="BW151" s="2" t="str">
        <f>HYPERLINK("http://flybase.org/reports/FBgn0051183#alliance_summary_container","0.0")</f>
        <v>0.0</v>
      </c>
      <c r="BX151" s="2">
        <v>1417</v>
      </c>
      <c r="BY151" s="2">
        <v>59</v>
      </c>
      <c r="BZ151" s="2">
        <v>74</v>
      </c>
      <c r="CA151" s="2">
        <v>76</v>
      </c>
      <c r="CB151" s="9" t="str">
        <f>HYPERLINK(".\links\CDD\AGAP003283-PA-CDD.txt","PBP1_NPR_like, Ligand binding domain of natriuretic peptide receptor (NPR) family")</f>
        <v>PBP1_NPR_like, Ligand binding domain of natriuretic peptide receptor (NPR) family</v>
      </c>
      <c r="CC151" s="13">
        <v>9.9999999999999998E-141</v>
      </c>
      <c r="CD151" s="2">
        <v>104.3</v>
      </c>
      <c r="CE151" s="2" t="s">
        <v>1899</v>
      </c>
      <c r="CF151" s="2" t="s">
        <v>1900</v>
      </c>
      <c r="CG151" s="9" t="str">
        <f>HYPERLINK(".\links\KOG\AGAP003283-PA-KOG.txt","guanylate cyclase")</f>
        <v>guanylate cyclase</v>
      </c>
      <c r="CH151" s="13">
        <v>0</v>
      </c>
      <c r="CI151" s="2">
        <v>100.2</v>
      </c>
      <c r="CJ151" s="2" t="s">
        <v>1901</v>
      </c>
      <c r="CK151" s="2" t="s">
        <v>326</v>
      </c>
      <c r="CL151" s="9" t="str">
        <f>HYPERLINK(".\links\PFAM\AGAP003283-PA-PFAM.txt","Guanylate_cyc, Adenylate and Guanylate cyclase catalytic domain")</f>
        <v>Guanylate_cyc, Adenylate and Guanylate cyclase catalytic domain</v>
      </c>
      <c r="CM151" s="13">
        <v>1.9999999999999999E-75</v>
      </c>
      <c r="CN151" s="2">
        <v>102.2</v>
      </c>
      <c r="CO151" s="2" t="s">
        <v>1902</v>
      </c>
      <c r="CP151" s="9" t="str">
        <f>HYPERLINK(".\links\SMART\AGAP003283-PA-SMART.txt","CYCc, Adenylyl- / guanylyl cyclase, catalytic domain")</f>
        <v>CYCc, Adenylyl- / guanylyl cyclase, catalytic domain</v>
      </c>
      <c r="CQ151" s="13">
        <v>6.9999999999999999E-78</v>
      </c>
      <c r="CR151" s="2">
        <v>100.5</v>
      </c>
      <c r="CS151" s="2" t="s">
        <v>1534</v>
      </c>
      <c r="CT151" s="2" t="s">
        <v>1894</v>
      </c>
      <c r="CU151" s="2" t="s">
        <v>1894</v>
      </c>
      <c r="CV151" s="2" t="s">
        <v>1894</v>
      </c>
      <c r="CW151" s="2" t="str">
        <f>HYPERLINK(".\links\pep\AGAP003283-PA-pep.txt","AGAP003283-PA")</f>
        <v>AGAP003283-PA</v>
      </c>
      <c r="CX151" s="2" t="s">
        <v>88</v>
      </c>
      <c r="CY151" s="2">
        <v>1348</v>
      </c>
      <c r="CZ151" s="2" t="s">
        <v>106</v>
      </c>
      <c r="DA151" s="2" t="s">
        <v>1903</v>
      </c>
      <c r="DB151" s="2">
        <v>0</v>
      </c>
      <c r="DC151" s="2">
        <v>3</v>
      </c>
      <c r="DD151" s="2" t="str">
        <f>HYPERLINK("https://www.kegg.jp/kegg-bin/search_pathway_text?map=aga&amp;keyword=AGAP003283&amp;mode=1&amp;viewImage=true","AGAP003283")</f>
        <v>AGAP003283</v>
      </c>
      <c r="DE151" s="2" t="s">
        <v>1889</v>
      </c>
      <c r="DF151" s="2" t="s">
        <v>1890</v>
      </c>
      <c r="DG151" s="2" t="s">
        <v>87</v>
      </c>
      <c r="DH151" s="2" t="str">
        <f>HYPERLINK("https://vectorbase.org/vectorbase/app/record/gene/AGAP003283","AGAP003283-RA")</f>
        <v>AGAP003283-RA</v>
      </c>
      <c r="DI151" s="2" t="s">
        <v>250</v>
      </c>
      <c r="DJ151" s="2">
        <v>6117</v>
      </c>
      <c r="DK151" s="2" t="str">
        <f>HYPERLINK(".\links\netoglyc\AGAP003283-PA-netoglyc.txt","4")</f>
        <v>4</v>
      </c>
      <c r="DL151" s="2">
        <v>14.1</v>
      </c>
      <c r="DM151" s="2">
        <v>6.6</v>
      </c>
      <c r="DN151" s="2">
        <v>5.3</v>
      </c>
      <c r="DO151" s="2" t="s">
        <v>97</v>
      </c>
      <c r="DP151" s="2" t="s">
        <v>1904</v>
      </c>
      <c r="DQ151" s="2" t="str">
        <f>HYPERLINK(".\links\Sigp\AGAP003283-PA-SigP.txt","SIG")</f>
        <v>SIG</v>
      </c>
      <c r="DR151" s="2" t="s">
        <v>1897</v>
      </c>
      <c r="DS151" s="2">
        <v>149.489</v>
      </c>
      <c r="DT151" s="2">
        <v>6.81</v>
      </c>
      <c r="DU151" s="2">
        <v>146.31399999999999</v>
      </c>
      <c r="DV151" s="2">
        <v>6.75</v>
      </c>
      <c r="DW151" s="2" t="s">
        <v>1898</v>
      </c>
      <c r="DX151" s="2">
        <v>1348</v>
      </c>
      <c r="DY151" s="8">
        <v>0</v>
      </c>
      <c r="DZ151" s="2" t="s">
        <v>94</v>
      </c>
      <c r="EA151" s="2" t="s">
        <v>94</v>
      </c>
      <c r="EB151" s="2" t="s">
        <v>94</v>
      </c>
      <c r="EC151" s="2" t="str">
        <f>HYPERLINK(".\links\gpi\AGAP003283-PA-gpi.txt","Y-NoSP")</f>
        <v>Y-NoSP</v>
      </c>
      <c r="ED151" s="2">
        <v>0.09</v>
      </c>
      <c r="EF151" s="2">
        <v>24</v>
      </c>
      <c r="EG151" s="2" t="str">
        <f>HYPERLINK(".\links\pep\AGAP003283-PA-sulf.txt","3")</f>
        <v>3</v>
      </c>
      <c r="EH151" s="2" t="s">
        <v>94</v>
      </c>
      <c r="EI151" s="2">
        <v>14.0949554896142</v>
      </c>
      <c r="EJ151" s="2">
        <v>5.2670623145400599</v>
      </c>
      <c r="EK151" s="2">
        <v>6.6023738872403603</v>
      </c>
      <c r="EL151" s="2">
        <v>11.869436201780401</v>
      </c>
      <c r="EM151" s="2">
        <v>5</v>
      </c>
      <c r="EN151" s="2">
        <v>7</v>
      </c>
      <c r="EO151" s="2">
        <v>8</v>
      </c>
      <c r="EP151" s="2" t="s">
        <v>94</v>
      </c>
      <c r="EQ151" s="2" t="s">
        <v>94</v>
      </c>
      <c r="ER151" s="2" t="s">
        <v>94</v>
      </c>
      <c r="ES151" s="2" t="s">
        <v>94</v>
      </c>
      <c r="ET151" s="2" t="str">
        <f>HYPERLINK(".\links\REFSEQ-INVERTEBRATE\AGAP003283-PA-REFSEQ-INVERTEBRATE.txt","AGAP003283-PA")</f>
        <v>AGAP003283-PA</v>
      </c>
      <c r="EU151" s="2" t="str">
        <f>HYPERLINK("http://www.ncbi.nlm.nih.gov/sutils/blink.cgi?pid=XP_307791.5","0.0")</f>
        <v>0.0</v>
      </c>
      <c r="EV151" s="2" t="str">
        <f>HYPERLINK("http://www.ncbi.nlm.nih.gov/protein/XP_307791.5","XP_307791.5")</f>
        <v>XP_307791.5</v>
      </c>
      <c r="EW151" s="2">
        <v>100</v>
      </c>
      <c r="EX151" s="2">
        <v>100</v>
      </c>
      <c r="EY151" s="2">
        <v>100</v>
      </c>
      <c r="EZ151" s="2" t="s">
        <v>98</v>
      </c>
    </row>
    <row r="152" spans="1:156" x14ac:dyDescent="0.25">
      <c r="A152" s="2" t="s">
        <v>1905</v>
      </c>
      <c r="B152" s="2">
        <v>0.64115500193316699</v>
      </c>
      <c r="C152" s="2">
        <v>1.5595772358789277</v>
      </c>
      <c r="D152" s="2">
        <v>7.8409500266693799</v>
      </c>
      <c r="E152" s="2">
        <v>21.789794501401101</v>
      </c>
      <c r="F152" s="2">
        <v>3.0421399336701301E-6</v>
      </c>
      <c r="G152" s="2">
        <v>5.1374138129854305E-4</v>
      </c>
      <c r="H152" s="2" t="s">
        <v>1906</v>
      </c>
      <c r="I152" s="2" t="s">
        <v>87</v>
      </c>
      <c r="J152" s="2" t="str">
        <f>HYPERLINK("https://vectorbase.org/vectorbase/app/record/gene/AGAP009798","AGAP009798-RA")</f>
        <v>AGAP009798-RA</v>
      </c>
      <c r="K152" s="2" t="str">
        <f>HYPERLINK(".\links\pep\AGAP009798-PA-pep.txt","AGAP009798-PA")</f>
        <v>AGAP009798-PA</v>
      </c>
      <c r="L152" s="8" t="s">
        <v>88</v>
      </c>
      <c r="M152" s="2">
        <v>1047</v>
      </c>
      <c r="N152" s="2">
        <v>0</v>
      </c>
      <c r="O152" s="2">
        <v>3</v>
      </c>
      <c r="P152" s="2" t="s">
        <v>1907</v>
      </c>
      <c r="Q152" s="9" t="s">
        <v>1908</v>
      </c>
      <c r="R152" s="2" t="s">
        <v>318</v>
      </c>
      <c r="S152" s="2" t="str">
        <f>HYPERLINK(".\links\CDD\AGAP009798-PA-CDD.txt","CDD")</f>
        <v>CDD</v>
      </c>
      <c r="T152" s="2">
        <v>0</v>
      </c>
      <c r="U152" s="2">
        <v>100</v>
      </c>
      <c r="V152" s="2" t="s">
        <v>1909</v>
      </c>
      <c r="W152" s="10" t="s">
        <v>1910</v>
      </c>
      <c r="X152" s="2" t="s">
        <v>318</v>
      </c>
      <c r="Y152" s="2" t="str">
        <f>HYPERLINK(".\links\REFSEQ-PROTOZOA\AGAP009798-PA-REFSEQ-PROTOZOA.txt","REFSEQ-PROTOZOA")</f>
        <v>REFSEQ-PROTOZOA</v>
      </c>
      <c r="Z152" s="2">
        <v>0</v>
      </c>
      <c r="AA152" s="2">
        <v>84.6</v>
      </c>
      <c r="AB152" s="11" t="str">
        <f>HYPERLINK(".\links\pep\AGAP009798-PA-sulf.txt","4")</f>
        <v>4</v>
      </c>
      <c r="AC152" s="11" t="str">
        <f>HYPERLINK(".\links\Sigp\AGAP009798-PA-SigP.txt","CYT")</f>
        <v>CYT</v>
      </c>
      <c r="AD152" s="2" t="s">
        <v>94</v>
      </c>
      <c r="AE152" s="2">
        <v>118.28400000000001</v>
      </c>
      <c r="AF152" s="2">
        <v>6.41</v>
      </c>
      <c r="AG152" s="2" t="s">
        <v>94</v>
      </c>
      <c r="AH152" s="2" t="s">
        <v>94</v>
      </c>
      <c r="AI152" s="2" t="s">
        <v>1911</v>
      </c>
      <c r="AJ152" s="11">
        <v>0</v>
      </c>
      <c r="AK152" s="2" t="s">
        <v>94</v>
      </c>
      <c r="AL152" s="2" t="s">
        <v>94</v>
      </c>
      <c r="AM152" s="2" t="s">
        <v>94</v>
      </c>
      <c r="AN152" s="11" t="str">
        <f>HYPERLINK(".\links\gpi\AGAP009798-PA-gpi.txt","N")</f>
        <v>N</v>
      </c>
      <c r="AO152" s="12" t="str">
        <f>HYPERLINK(".\links\netoglyc\AGAP009798-PA-netoglyc.txt","11")</f>
        <v>11</v>
      </c>
      <c r="AP152" s="11">
        <v>13.4</v>
      </c>
      <c r="AQ152" s="2">
        <v>5.7</v>
      </c>
      <c r="AR152" s="2">
        <v>7.4</v>
      </c>
      <c r="AS152" s="2" t="s">
        <v>97</v>
      </c>
      <c r="AT152" s="9" t="str">
        <f>HYPERLINK(".\links\NR-LIGHT\AGAP009798-PA-NR-LIGHT.txt","AGAP009798-PA, partial")</f>
        <v>AGAP009798-PA, partial</v>
      </c>
      <c r="AU152" s="2" t="str">
        <f>HYPERLINK("http://www.ncbi.nlm.nih.gov/sutils/blink.cgi?pid=XP_318891.4","0.0")</f>
        <v>0.0</v>
      </c>
      <c r="AV152" s="2" t="str">
        <f>HYPERLINK("http://www.ncbi.nlm.nih.gov/protein/XP_318891.4","XP_318891.4")</f>
        <v>XP_318891.4</v>
      </c>
      <c r="AW152" s="2">
        <v>97</v>
      </c>
      <c r="AX152" s="2">
        <v>97</v>
      </c>
      <c r="AY152" s="2">
        <v>103</v>
      </c>
      <c r="AZ152" s="2" t="s">
        <v>98</v>
      </c>
      <c r="BA152" s="9" t="str">
        <f>HYPERLINK(".\links\REFSEQ-INVERTEBRATE\AGAP009798-PA-REFSEQ-INVERTEBRATE.txt","AGAP009798-PA, partial")</f>
        <v>AGAP009798-PA, partial</v>
      </c>
      <c r="BB152" s="2" t="str">
        <f>HYPERLINK("http://www.ncbi.nlm.nih.gov/sutils/blink.cgi?pid=XP_318891.4","0.0")</f>
        <v>0.0</v>
      </c>
      <c r="BC152" s="2" t="str">
        <f>HYPERLINK("http://www.ncbi.nlm.nih.gov/protein/XP_318891.4","XP_318891.4")</f>
        <v>XP_318891.4</v>
      </c>
      <c r="BD152" s="2">
        <v>97</v>
      </c>
      <c r="BE152" s="2">
        <v>97</v>
      </c>
      <c r="BF152" s="2">
        <v>103</v>
      </c>
      <c r="BG152" s="2" t="s">
        <v>98</v>
      </c>
      <c r="BH152" s="9" t="str">
        <f>HYPERLINK(".\links\REFSEQ-PROTOZOA\AGAP009798-PA-REFSEQ-PROTOZOA.txt","AGC protein kinase")</f>
        <v>AGC protein kinase</v>
      </c>
      <c r="BI152" s="2" t="str">
        <f>HYPERLINK("http://www.ncbi.nlm.nih.gov/sutils/blink.cgi?pid=XP_008912577.1","1E-109")</f>
        <v>1E-109</v>
      </c>
      <c r="BJ152" s="2" t="str">
        <f>HYPERLINK("http://www.ncbi.nlm.nih.gov/protein/XP_008912577.1","XP_008912577.1")</f>
        <v>XP_008912577.1</v>
      </c>
      <c r="BK152" s="2">
        <v>32</v>
      </c>
      <c r="BL152" s="2">
        <v>53</v>
      </c>
      <c r="BM152" s="2">
        <v>101</v>
      </c>
      <c r="BN152" s="2" t="s">
        <v>1339</v>
      </c>
      <c r="BO152" s="9" t="str">
        <f>HYPERLINK(".\links\SWISSP\AGAP009798-PA-SWISSP.txt","cGMP-dependent protein kinase, isozyme 1")</f>
        <v>cGMP-dependent protein kinase, isozyme 1</v>
      </c>
      <c r="BP152" s="2" t="str">
        <f>HYPERLINK("http://www.uniprot.org/uniprot/Q03042","1E-173")</f>
        <v>1E-173</v>
      </c>
      <c r="BQ152" s="2" t="str">
        <f>HYPERLINK("http://www.uniprot.org/uniprot/Q03042#expression","Q03042")</f>
        <v>Q03042</v>
      </c>
      <c r="BR152" s="2">
        <v>50</v>
      </c>
      <c r="BS152" s="2">
        <v>67</v>
      </c>
      <c r="BT152" s="2">
        <v>82</v>
      </c>
      <c r="BU152" s="2" t="s">
        <v>100</v>
      </c>
      <c r="BV152" s="9" t="str">
        <f>HYPERLINK(".\links\FLYBASE\AGAP009798-PA-FLYBASE.txt","FBpp0079534")</f>
        <v>FBpp0079534</v>
      </c>
      <c r="BW152" s="2" t="str">
        <f>HYPERLINK("http://flybase.org/reports/FBgn0032187#alliance_summary_container","0.0")</f>
        <v>0.0</v>
      </c>
      <c r="BX152" s="2">
        <v>1003</v>
      </c>
      <c r="BY152" s="2">
        <v>53</v>
      </c>
      <c r="BZ152" s="2">
        <v>71</v>
      </c>
      <c r="CA152" s="2">
        <v>61</v>
      </c>
      <c r="CB152" s="9" t="str">
        <f>HYPERLINK(".\links\CDD\AGAP009798-PA-CDD.txt","STKc_cGK, Catalytic domain of the Serine/Threonine Kinase, cGMP-dependent protein kinase (cGK or PKG)")</f>
        <v>STKc_cGK, Catalytic domain of the Serine/Threonine Kinase, cGMP-dependent protein kinase (cGK or PKG)</v>
      </c>
      <c r="CC152" s="13">
        <v>1E-127</v>
      </c>
      <c r="CD152" s="2">
        <v>100</v>
      </c>
      <c r="CE152" s="2" t="s">
        <v>1912</v>
      </c>
      <c r="CF152" s="2" t="s">
        <v>1913</v>
      </c>
      <c r="CG152" s="9" t="str">
        <f>HYPERLINK(".\links\KOG\AGAP009798-PA-KOG.txt","cGMP-dependent protein kinase")</f>
        <v>cGMP-dependent protein kinase</v>
      </c>
      <c r="CH152" s="13">
        <v>0</v>
      </c>
      <c r="CI152" s="2">
        <v>98</v>
      </c>
      <c r="CJ152" s="2" t="s">
        <v>1914</v>
      </c>
      <c r="CK152" s="2" t="s">
        <v>326</v>
      </c>
      <c r="CL152" s="9" t="str">
        <f>HYPERLINK(".\links\PFAM\AGAP009798-PA-PFAM.txt","Pkinase, Protein kinase domain")</f>
        <v>Pkinase, Protein kinase domain</v>
      </c>
      <c r="CM152" s="13">
        <v>2.9999999999999999E-75</v>
      </c>
      <c r="CN152" s="2">
        <v>102.4</v>
      </c>
      <c r="CO152" s="2" t="s">
        <v>628</v>
      </c>
      <c r="CP152" s="9" t="str">
        <f>HYPERLINK(".\links\SMART\AGAP009798-PA-SMART.txt","S_TKc, Serine/Threonine protein kinases, catalytic domain")</f>
        <v>S_TKc, Serine/Threonine protein kinases, catalytic domain</v>
      </c>
      <c r="CQ152" s="13">
        <v>6.9999999999999999E-78</v>
      </c>
      <c r="CR152" s="2">
        <v>101.6</v>
      </c>
      <c r="CS152" s="2" t="s">
        <v>629</v>
      </c>
      <c r="CT152" s="2" t="s">
        <v>1909</v>
      </c>
      <c r="CU152" s="2" t="s">
        <v>1909</v>
      </c>
      <c r="CV152" s="2" t="s">
        <v>1909</v>
      </c>
      <c r="CW152" s="2" t="str">
        <f>HYPERLINK(".\links\pep\AGAP009798-PA-pep.txt","AGAP009798-PA")</f>
        <v>AGAP009798-PA</v>
      </c>
      <c r="CX152" s="2" t="s">
        <v>88</v>
      </c>
      <c r="CY152" s="2">
        <v>1047</v>
      </c>
      <c r="CZ152" s="2" t="s">
        <v>106</v>
      </c>
      <c r="DA152" s="2" t="s">
        <v>1915</v>
      </c>
      <c r="DB152" s="2">
        <v>0</v>
      </c>
      <c r="DC152" s="2">
        <v>3</v>
      </c>
      <c r="DD152" s="2" t="str">
        <f>HYPERLINK("https://www.kegg.jp/kegg-bin/search_pathway_text?map=aga&amp;keyword=AGAP009798&amp;mode=1&amp;viewImage=true","AGAP009798")</f>
        <v>AGAP009798</v>
      </c>
      <c r="DE152" s="2" t="s">
        <v>1905</v>
      </c>
      <c r="DF152" s="2" t="s">
        <v>1906</v>
      </c>
      <c r="DG152" s="2" t="s">
        <v>87</v>
      </c>
      <c r="DH152" s="2" t="str">
        <f>HYPERLINK("https://vectorbase.org/vectorbase/app/record/gene/AGAP009798","AGAP009798-RA")</f>
        <v>AGAP009798-RA</v>
      </c>
      <c r="DI152" s="2" t="s">
        <v>250</v>
      </c>
      <c r="DJ152" s="2">
        <v>3991</v>
      </c>
      <c r="DK152" s="2" t="str">
        <f>HYPERLINK(".\links\netoglyc\AGAP009798-PA-netoglyc.txt","11")</f>
        <v>11</v>
      </c>
      <c r="DL152" s="2">
        <v>13.4</v>
      </c>
      <c r="DM152" s="2">
        <v>5.7</v>
      </c>
      <c r="DN152" s="2">
        <v>7.4</v>
      </c>
      <c r="DO152" s="2" t="s">
        <v>97</v>
      </c>
      <c r="DP152" s="2" t="s">
        <v>94</v>
      </c>
      <c r="DQ152" s="2" t="str">
        <f>HYPERLINK(".\links\Sigp\AGAP009798-PA-SigP.txt","CYT")</f>
        <v>CYT</v>
      </c>
      <c r="DR152" s="2" t="s">
        <v>94</v>
      </c>
      <c r="DS152" s="2">
        <v>118.28400000000001</v>
      </c>
      <c r="DT152" s="2">
        <v>6.41</v>
      </c>
      <c r="DU152" s="2" t="s">
        <v>94</v>
      </c>
      <c r="DV152" s="2" t="s">
        <v>94</v>
      </c>
      <c r="DW152" s="2" t="s">
        <v>1911</v>
      </c>
      <c r="DX152" s="2">
        <v>1047</v>
      </c>
      <c r="DY152" s="8">
        <v>0</v>
      </c>
      <c r="DZ152" s="2" t="s">
        <v>94</v>
      </c>
      <c r="EA152" s="2" t="s">
        <v>94</v>
      </c>
      <c r="EB152" s="2" t="s">
        <v>94</v>
      </c>
      <c r="EC152" s="2" t="str">
        <f>HYPERLINK(".\links\gpi\AGAP009798-PA-gpi.txt","N")</f>
        <v>N</v>
      </c>
      <c r="ED152" s="2">
        <v>0.19</v>
      </c>
      <c r="EF152" s="2">
        <v>7</v>
      </c>
      <c r="EG152" s="2" t="str">
        <f>HYPERLINK(".\links\pep\AGAP009798-PA-sulf.txt","4")</f>
        <v>4</v>
      </c>
      <c r="EH152" s="2" t="s">
        <v>94</v>
      </c>
      <c r="EI152" s="2">
        <v>13.3715377268386</v>
      </c>
      <c r="EJ152" s="2">
        <v>7.44985673352436</v>
      </c>
      <c r="EK152" s="2">
        <v>5.7306590257879702</v>
      </c>
      <c r="EL152" s="2">
        <v>13.1805157593123</v>
      </c>
      <c r="EM152" s="2">
        <v>1</v>
      </c>
      <c r="EN152" s="2">
        <v>4</v>
      </c>
      <c r="EO152" s="2">
        <v>4</v>
      </c>
      <c r="EP152" s="2" t="s">
        <v>94</v>
      </c>
      <c r="EQ152" s="2" t="s">
        <v>94</v>
      </c>
      <c r="ER152" s="2" t="s">
        <v>94</v>
      </c>
      <c r="ES152" s="2" t="s">
        <v>94</v>
      </c>
      <c r="ET152" s="2" t="str">
        <f>HYPERLINK(".\links\REFSEQ-INVERTEBRATE\AGAP009798-PA-REFSEQ-INVERTEBRATE.txt","AGAP009798-PA, partial")</f>
        <v>AGAP009798-PA, partial</v>
      </c>
      <c r="EU152" s="2" t="str">
        <f>HYPERLINK("http://www.ncbi.nlm.nih.gov/sutils/blink.cgi?pid=XP_318891.4","0.0")</f>
        <v>0.0</v>
      </c>
      <c r="EV152" s="2" t="str">
        <f>HYPERLINK("http://www.ncbi.nlm.nih.gov/protein/XP_318891.4","XP_318891.4")</f>
        <v>XP_318891.4</v>
      </c>
      <c r="EW152" s="2">
        <v>97</v>
      </c>
      <c r="EX152" s="2">
        <v>97</v>
      </c>
      <c r="EY152" s="2">
        <v>103</v>
      </c>
      <c r="EZ152" s="2" t="s">
        <v>98</v>
      </c>
    </row>
    <row r="153" spans="1:156" x14ac:dyDescent="0.25">
      <c r="A153" s="2" t="s">
        <v>1916</v>
      </c>
      <c r="B153" s="2">
        <v>0.63077361231595797</v>
      </c>
      <c r="C153" s="2">
        <v>1.5483950625118554</v>
      </c>
      <c r="D153" s="2">
        <v>3.8128063164054899</v>
      </c>
      <c r="E153" s="2">
        <v>10.4622776160284</v>
      </c>
      <c r="F153" s="2">
        <v>1.2183696617899999E-3</v>
      </c>
      <c r="G153" s="2">
        <v>4.8008841214783299E-2</v>
      </c>
      <c r="H153" s="2" t="s">
        <v>1917</v>
      </c>
      <c r="I153" s="2" t="s">
        <v>87</v>
      </c>
      <c r="J153" s="2" t="str">
        <f>HYPERLINK("https://vectorbase.org/vectorbase/app/record/gene/AGAP000090","AGAP000090-RA")</f>
        <v>AGAP000090-RA</v>
      </c>
      <c r="K153" s="2" t="str">
        <f>HYPERLINK(".\links\pep\AGAP000090-PA-pep.txt","AGAP000090-PA")</f>
        <v>AGAP000090-PA</v>
      </c>
      <c r="L153" s="8" t="s">
        <v>88</v>
      </c>
      <c r="M153" s="2">
        <v>1688</v>
      </c>
      <c r="N153" s="2">
        <v>0</v>
      </c>
      <c r="O153" s="2">
        <v>4</v>
      </c>
      <c r="P153" s="2" t="s">
        <v>1918</v>
      </c>
      <c r="Q153" s="9" t="s">
        <v>1919</v>
      </c>
      <c r="R153" s="2" t="s">
        <v>1019</v>
      </c>
      <c r="S153" s="2" t="str">
        <f>HYPERLINK(".\links\SMART\AGAP000090-PA-SMART.txt","SMART")</f>
        <v>SMART</v>
      </c>
      <c r="T153" s="2">
        <v>7.9999999999999998E-60</v>
      </c>
      <c r="U153" s="2">
        <v>108.2</v>
      </c>
      <c r="V153" s="2" t="s">
        <v>1920</v>
      </c>
      <c r="W153" s="10" t="s">
        <v>1921</v>
      </c>
      <c r="X153" s="2" t="s">
        <v>1019</v>
      </c>
      <c r="Y153" s="2" t="str">
        <f>HYPERLINK(".\links\REFSEQVERTEBRATE95\AGAP000090-PA-REFSEQVERTEBRATE95.txt","REFSEQVERTEBRATE95")</f>
        <v>REFSEQVERTEBRATE95</v>
      </c>
      <c r="Z153" s="2">
        <v>0</v>
      </c>
      <c r="AA153" s="2">
        <v>40.6</v>
      </c>
      <c r="AB153" s="11" t="str">
        <f>HYPERLINK(".\links\pep\AGAP000090-PA-sulf.txt","2")</f>
        <v>2</v>
      </c>
      <c r="AC153" s="11" t="str">
        <f>HYPERLINK(".\links\Sigp\AGAP000090-PA-SigP.txt","CYT")</f>
        <v>CYT</v>
      </c>
      <c r="AD153" s="2" t="s">
        <v>94</v>
      </c>
      <c r="AE153" s="2">
        <v>184.405</v>
      </c>
      <c r="AF153" s="2">
        <v>7.5</v>
      </c>
      <c r="AG153" s="2" t="s">
        <v>94</v>
      </c>
      <c r="AH153" s="2" t="s">
        <v>94</v>
      </c>
      <c r="AI153" s="2" t="s">
        <v>1922</v>
      </c>
      <c r="AJ153" s="11" t="str">
        <f>HYPERLINK(".\links\tmhmm\AGAP000090-PA-tmhmm.txt","9")</f>
        <v>9</v>
      </c>
      <c r="AK153" s="2">
        <v>11.1</v>
      </c>
      <c r="AL153" s="2">
        <v>76.400000000000006</v>
      </c>
      <c r="AM153" s="2">
        <v>12.5</v>
      </c>
      <c r="AN153" s="11" t="str">
        <f>HYPERLINK(".\links\gpi\AGAP000090-PA-gpi.txt","N")</f>
        <v>N</v>
      </c>
      <c r="AO153" s="12" t="str">
        <f>HYPERLINK(".\links\netoglyc\AGAP000090-PA-netoglyc.txt","8")</f>
        <v>8</v>
      </c>
      <c r="AP153" s="11">
        <v>15.2</v>
      </c>
      <c r="AQ153" s="2">
        <v>8.1</v>
      </c>
      <c r="AR153" s="2">
        <v>5.6</v>
      </c>
      <c r="AS153" s="2" t="s">
        <v>97</v>
      </c>
      <c r="AT153" s="9" t="str">
        <f>HYPERLINK(".\links\NR-LIGHT\AGAP000090-PA-NR-LIGHT.txt","AGAP000090-PA")</f>
        <v>AGAP000090-PA</v>
      </c>
      <c r="AU153" s="2" t="str">
        <f>HYPERLINK("http://www.ncbi.nlm.nih.gov/sutils/blink.cgi?pid=XP_311062.5","0.0")</f>
        <v>0.0</v>
      </c>
      <c r="AV153" s="2" t="str">
        <f>HYPERLINK("http://www.ncbi.nlm.nih.gov/protein/XP_311062.5","XP_311062.5")</f>
        <v>XP_311062.5</v>
      </c>
      <c r="AW153" s="2">
        <v>98</v>
      </c>
      <c r="AX153" s="2">
        <v>98</v>
      </c>
      <c r="AY153" s="2">
        <v>102</v>
      </c>
      <c r="AZ153" s="2" t="s">
        <v>98</v>
      </c>
      <c r="BA153" s="9" t="str">
        <f>HYPERLINK(".\links\REFSEQ-INVERTEBRATE\AGAP000090-PA-REFSEQ-INVERTEBRATE.txt","AGAP000090-PA")</f>
        <v>AGAP000090-PA</v>
      </c>
      <c r="BB153" s="2" t="str">
        <f>HYPERLINK("http://www.ncbi.nlm.nih.gov/sutils/blink.cgi?pid=XP_311062.5","0.0")</f>
        <v>0.0</v>
      </c>
      <c r="BC153" s="2" t="str">
        <f>HYPERLINK("http://www.ncbi.nlm.nih.gov/protein/XP_311062.5","XP_311062.5")</f>
        <v>XP_311062.5</v>
      </c>
      <c r="BD153" s="2">
        <v>98</v>
      </c>
      <c r="BE153" s="2">
        <v>98</v>
      </c>
      <c r="BF153" s="2">
        <v>102</v>
      </c>
      <c r="BG153" s="2" t="s">
        <v>98</v>
      </c>
      <c r="BH153" s="9" t="str">
        <f>HYPERLINK(".\links\REFSEQ-PROTOZOA\AGAP000090-PA-REFSEQ-PROTOZOA.txt","hypothetical protein SAMD00019534_030370")</f>
        <v>hypothetical protein SAMD00019534_030370</v>
      </c>
      <c r="BI153" s="2" t="str">
        <f>HYPERLINK("http://www.ncbi.nlm.nih.gov/sutils/blink.cgi?pid=XP_012756624.1","2E-036")</f>
        <v>2E-036</v>
      </c>
      <c r="BJ153" s="2" t="str">
        <f>HYPERLINK("http://www.ncbi.nlm.nih.gov/protein/XP_012756624.1","XP_012756624.1")</f>
        <v>XP_012756624.1</v>
      </c>
      <c r="BK153" s="2">
        <v>42</v>
      </c>
      <c r="BL153" s="2">
        <v>60</v>
      </c>
      <c r="BM153" s="2">
        <v>15</v>
      </c>
      <c r="BN153" s="2" t="s">
        <v>136</v>
      </c>
      <c r="BO153" s="9" t="str">
        <f>HYPERLINK(".\links\SWISSP\AGAP000090-PA-SWISSP.txt","Adenylate cyclase type 9")</f>
        <v>Adenylate cyclase type 9</v>
      </c>
      <c r="BP153" s="2" t="str">
        <f>HYPERLINK("http://www.uniprot.org/uniprot/P51830","1E-101")</f>
        <v>1E-101</v>
      </c>
      <c r="BQ153" s="2" t="str">
        <f>HYPERLINK("http://www.uniprot.org/uniprot/P51830#expression","P51830")</f>
        <v>P51830</v>
      </c>
      <c r="BR153" s="2">
        <v>40</v>
      </c>
      <c r="BS153" s="2">
        <v>55</v>
      </c>
      <c r="BT153" s="2">
        <v>41</v>
      </c>
      <c r="BU153" s="2" t="s">
        <v>339</v>
      </c>
      <c r="BV153" s="9" t="str">
        <f>HYPERLINK(".\links\FLYBASE\AGAP000090-PA-FLYBASE.txt","FBpp0304773")</f>
        <v>FBpp0304773</v>
      </c>
      <c r="BW153" s="2" t="str">
        <f>HYPERLINK("http://flybase.org/reports/FBgn0022710#alliance_summary_container","0.0")</f>
        <v>0.0</v>
      </c>
      <c r="BX153" s="2">
        <v>1703</v>
      </c>
      <c r="BY153" s="2">
        <v>53</v>
      </c>
      <c r="BZ153" s="2">
        <v>64</v>
      </c>
      <c r="CA153" s="2">
        <v>53</v>
      </c>
      <c r="CB153" s="9" t="str">
        <f>HYPERLINK(".\links\CDD\AGAP000090-PA-CDD.txt","Guanylate_cyc, Adenylate and Guanylate cyclase catalytic domain")</f>
        <v>Guanylate_cyc, Adenylate and Guanylate cyclase catalytic domain</v>
      </c>
      <c r="CC153" s="13">
        <v>2.0000000000000001E-58</v>
      </c>
      <c r="CD153" s="2">
        <v>98.9</v>
      </c>
      <c r="CE153" s="2" t="s">
        <v>1902</v>
      </c>
      <c r="CF153" s="2" t="s">
        <v>1923</v>
      </c>
      <c r="CG153" s="9" t="str">
        <f>HYPERLINK(".\links\KOG\AGAP000090-PA-KOG.txt","Adenylyl cyclase")</f>
        <v>Adenylyl cyclase</v>
      </c>
      <c r="CH153" s="13">
        <v>0</v>
      </c>
      <c r="CI153" s="2">
        <v>42.6</v>
      </c>
      <c r="CJ153" s="2" t="s">
        <v>1924</v>
      </c>
      <c r="CK153" s="2" t="s">
        <v>122</v>
      </c>
      <c r="CL153" s="9" t="str">
        <f>HYPERLINK(".\links\PFAM\AGAP000090-PA-PFAM.txt","Guanylate_cyc, Adenylate and Guanylate cyclase catalytic domain")</f>
        <v>Guanylate_cyc, Adenylate and Guanylate cyclase catalytic domain</v>
      </c>
      <c r="CM153" s="13">
        <v>4.0000000000000001E-59</v>
      </c>
      <c r="CN153" s="2">
        <v>98.9</v>
      </c>
      <c r="CO153" s="2" t="s">
        <v>1902</v>
      </c>
      <c r="CP153" s="9" t="str">
        <f>HYPERLINK(".\links\SMART\AGAP000090-PA-SMART.txt","CYCc, Adenylyl- / guanylyl cyclase, catalytic domain")</f>
        <v>CYCc, Adenylyl- / guanylyl cyclase, catalytic domain</v>
      </c>
      <c r="CQ153" s="13">
        <v>7.9999999999999998E-60</v>
      </c>
      <c r="CR153" s="2">
        <v>108.2</v>
      </c>
      <c r="CS153" s="2" t="s">
        <v>1534</v>
      </c>
      <c r="CT153" s="2" t="s">
        <v>1920</v>
      </c>
      <c r="CU153" s="2" t="s">
        <v>1920</v>
      </c>
      <c r="CV153" s="2" t="s">
        <v>1920</v>
      </c>
      <c r="CW153" s="2" t="str">
        <f>HYPERLINK(".\links\pep\AGAP000090-PA-pep.txt","AGAP000090-PA")</f>
        <v>AGAP000090-PA</v>
      </c>
      <c r="CX153" s="2" t="s">
        <v>88</v>
      </c>
      <c r="CY153" s="2">
        <v>1688</v>
      </c>
      <c r="CZ153" s="2" t="s">
        <v>106</v>
      </c>
      <c r="DA153" s="2" t="s">
        <v>1925</v>
      </c>
      <c r="DB153" s="2">
        <v>0</v>
      </c>
      <c r="DC153" s="2">
        <v>4</v>
      </c>
      <c r="DD153" s="2" t="str">
        <f>HYPERLINK("https://www.kegg.jp/kegg-bin/search_pathway_text?map=aga&amp;keyword=AGAP000090&amp;mode=1&amp;viewImage=true","AGAP000090")</f>
        <v>AGAP000090</v>
      </c>
      <c r="DE153" s="2" t="s">
        <v>1916</v>
      </c>
      <c r="DF153" s="2" t="s">
        <v>1917</v>
      </c>
      <c r="DG153" s="2" t="s">
        <v>87</v>
      </c>
      <c r="DH153" s="2" t="str">
        <f>HYPERLINK("https://vectorbase.org/vectorbase/app/record/gene/AGAP000090","AGAP000090-RA")</f>
        <v>AGAP000090-RA</v>
      </c>
      <c r="DI153" s="2" t="s">
        <v>143</v>
      </c>
      <c r="DJ153" s="2">
        <v>10758</v>
      </c>
      <c r="DK153" s="2" t="str">
        <f>HYPERLINK(".\links\netoglyc\AGAP000090-PA-netoglyc.txt","8")</f>
        <v>8</v>
      </c>
      <c r="DL153" s="2">
        <v>15.2</v>
      </c>
      <c r="DM153" s="2">
        <v>8.1</v>
      </c>
      <c r="DN153" s="2">
        <v>5.6</v>
      </c>
      <c r="DO153" s="2" t="s">
        <v>97</v>
      </c>
      <c r="DP153" s="2" t="s">
        <v>1926</v>
      </c>
      <c r="DQ153" s="2" t="str">
        <f>HYPERLINK(".\links\Sigp\AGAP000090-PA-SigP.txt","CYT")</f>
        <v>CYT</v>
      </c>
      <c r="DR153" s="2" t="s">
        <v>94</v>
      </c>
      <c r="DS153" s="2">
        <v>184.405</v>
      </c>
      <c r="DT153" s="2">
        <v>7.5</v>
      </c>
      <c r="DU153" s="2" t="s">
        <v>94</v>
      </c>
      <c r="DV153" s="2" t="s">
        <v>94</v>
      </c>
      <c r="DW153" s="2" t="s">
        <v>1922</v>
      </c>
      <c r="DX153" s="2">
        <v>1688</v>
      </c>
      <c r="DY153" s="8" t="str">
        <f>HYPERLINK(".\links\tmhmm\AGAP000090-PA-tmhmm.txt","9")</f>
        <v>9</v>
      </c>
      <c r="DZ153" s="2">
        <v>11.1</v>
      </c>
      <c r="EA153" s="2">
        <v>76.400000000000006</v>
      </c>
      <c r="EB153" s="2">
        <v>12.5</v>
      </c>
      <c r="EC153" s="2" t="str">
        <f>HYPERLINK(".\links\gpi\AGAP000090-PA-gpi.txt","N")</f>
        <v>N</v>
      </c>
      <c r="ED153" s="2">
        <v>0.17</v>
      </c>
      <c r="EF153" s="2">
        <v>49</v>
      </c>
      <c r="EG153" s="2" t="str">
        <f>HYPERLINK(".\links\pep\AGAP000090-PA-sulf.txt","2")</f>
        <v>2</v>
      </c>
      <c r="EH153" s="2" t="s">
        <v>94</v>
      </c>
      <c r="EI153" s="2">
        <v>15.165876777251199</v>
      </c>
      <c r="EJ153" s="2">
        <v>5.56872037914692</v>
      </c>
      <c r="EK153" s="2">
        <v>8.1161137440758306</v>
      </c>
      <c r="EL153" s="2">
        <v>13.6848341232227</v>
      </c>
      <c r="EM153" s="2">
        <v>4</v>
      </c>
      <c r="EN153" s="2">
        <v>4</v>
      </c>
      <c r="EO153" s="2">
        <v>4</v>
      </c>
      <c r="EP153" s="2" t="s">
        <v>94</v>
      </c>
      <c r="EQ153" s="2" t="s">
        <v>94</v>
      </c>
      <c r="ER153" s="2" t="s">
        <v>94</v>
      </c>
      <c r="ES153" s="2" t="s">
        <v>94</v>
      </c>
      <c r="ET153" s="2" t="str">
        <f>HYPERLINK(".\links\REFSEQ-INVERTEBRATE\AGAP000090-PA-REFSEQ-INVERTEBRATE.txt","AGAP000090-PA")</f>
        <v>AGAP000090-PA</v>
      </c>
      <c r="EU153" s="2" t="str">
        <f>HYPERLINK("http://www.ncbi.nlm.nih.gov/sutils/blink.cgi?pid=XP_311062.5","0.0")</f>
        <v>0.0</v>
      </c>
      <c r="EV153" s="2" t="str">
        <f>HYPERLINK("http://www.ncbi.nlm.nih.gov/protein/XP_311062.5","XP_311062.5")</f>
        <v>XP_311062.5</v>
      </c>
      <c r="EW153" s="2">
        <v>98</v>
      </c>
      <c r="EX153" s="2">
        <v>98</v>
      </c>
      <c r="EY153" s="2">
        <v>102</v>
      </c>
      <c r="EZ153" s="2" t="s">
        <v>98</v>
      </c>
    </row>
    <row r="154" spans="1:156" x14ac:dyDescent="0.25">
      <c r="A154" s="2" t="s">
        <v>1927</v>
      </c>
      <c r="B154" s="2">
        <v>0.62593203276901799</v>
      </c>
      <c r="C154" s="2">
        <v>1.5432074708446804</v>
      </c>
      <c r="D154" s="2">
        <v>5.1604547156775302</v>
      </c>
      <c r="E154" s="2">
        <v>15.1987137396391</v>
      </c>
      <c r="F154" s="2">
        <v>9.6769311907198794E-5</v>
      </c>
      <c r="G154" s="2">
        <v>7.09416575741379E-3</v>
      </c>
      <c r="H154" s="2" t="s">
        <v>167</v>
      </c>
      <c r="I154" s="2" t="s">
        <v>87</v>
      </c>
      <c r="J154" s="2" t="str">
        <f>HYPERLINK("https://vectorbase.org/vectorbase/app/record/gene/AGAP029051","AGAP029051-RG")</f>
        <v>AGAP029051-RG</v>
      </c>
      <c r="K154" s="2" t="str">
        <f>HYPERLINK(".\links\pep\AGAP029051-PG-pep.txt","AGAP029051-PG")</f>
        <v>AGAP029051-PG</v>
      </c>
      <c r="L154" s="8" t="s">
        <v>88</v>
      </c>
      <c r="M154" s="2">
        <v>7448</v>
      </c>
      <c r="N154" s="2">
        <v>0</v>
      </c>
      <c r="O154" s="2">
        <v>43</v>
      </c>
      <c r="P154" s="2" t="s">
        <v>94</v>
      </c>
      <c r="Q154" s="9" t="s">
        <v>1928</v>
      </c>
      <c r="R154" s="2" t="s">
        <v>238</v>
      </c>
      <c r="S154" s="2" t="str">
        <f>HYPERLINK(".\links\KOG\AGAP029051-PG-KOG.txt","KOG")</f>
        <v>KOG</v>
      </c>
      <c r="T154" s="2">
        <v>1.9999999999999999E-48</v>
      </c>
      <c r="U154" s="2">
        <v>78.900000000000006</v>
      </c>
      <c r="V154" s="2" t="s">
        <v>1929</v>
      </c>
      <c r="W154" s="10" t="s">
        <v>1930</v>
      </c>
      <c r="X154" s="2" t="s">
        <v>238</v>
      </c>
      <c r="Y154" s="2" t="str">
        <f>HYPERLINK(".\links\REFSEQVERTEBRATE95\AGAP029051-PG-REFSEQVERTEBRATE95.txt","REFSEQVERTEBRATE95")</f>
        <v>REFSEQVERTEBRATE95</v>
      </c>
      <c r="Z154" s="13">
        <v>0</v>
      </c>
      <c r="AA154" s="2">
        <v>43.3</v>
      </c>
      <c r="AB154" s="11" t="str">
        <f>HYPERLINK(".\links\pep\AGAP029051-PG-sulf.txt","6")</f>
        <v>6</v>
      </c>
      <c r="AC154" s="11" t="s">
        <v>241</v>
      </c>
      <c r="AD154" s="2" t="s">
        <v>94</v>
      </c>
      <c r="AE154" s="2">
        <v>824.66099999999994</v>
      </c>
      <c r="AF154" s="2">
        <v>5.51</v>
      </c>
      <c r="AG154" s="2" t="s">
        <v>94</v>
      </c>
      <c r="AH154" s="2" t="s">
        <v>94</v>
      </c>
      <c r="AI154" s="2" t="s">
        <v>1931</v>
      </c>
      <c r="AJ154" s="11">
        <v>0</v>
      </c>
      <c r="AK154" s="2" t="s">
        <v>94</v>
      </c>
      <c r="AL154" s="2" t="s">
        <v>94</v>
      </c>
      <c r="AM154" s="2" t="s">
        <v>94</v>
      </c>
      <c r="AN154" s="9" t="str">
        <f>HYPERLINK(".\links\gpi\AGAP029051-PG-gpi.txt","N")</f>
        <v>N</v>
      </c>
      <c r="AO154" s="12" t="str">
        <f>HYPERLINK(".\links\netoglyc\AGAP029051-PG-netoglyc.txt","18")</f>
        <v>18</v>
      </c>
      <c r="AP154" s="11">
        <v>13.3</v>
      </c>
      <c r="AQ154" s="2">
        <v>6.1</v>
      </c>
      <c r="AR154" s="2">
        <v>4.5</v>
      </c>
      <c r="AS154" s="2" t="s">
        <v>97</v>
      </c>
      <c r="AT154" s="9" t="str">
        <f>HYPERLINK(".\links\NR-LIGHT\AGAP029051-PG-NR-LIGHT.txt","AGAP011396-PA, partial")</f>
        <v>AGAP011396-PA, partial</v>
      </c>
      <c r="AU154" s="2" t="str">
        <f>HYPERLINK("http://www.ncbi.nlm.nih.gov/sutils/blink.cgi?pid=XP_317924.4","0.0")</f>
        <v>0.0</v>
      </c>
      <c r="AV154" s="2" t="str">
        <f>HYPERLINK("http://www.ncbi.nlm.nih.gov/protein/XP_317924.4","XP_317924.4")</f>
        <v>XP_317924.4</v>
      </c>
      <c r="AW154" s="2">
        <v>98</v>
      </c>
      <c r="AX154" s="2">
        <v>98</v>
      </c>
      <c r="AY154" s="2">
        <v>86</v>
      </c>
      <c r="AZ154" s="2" t="s">
        <v>98</v>
      </c>
      <c r="BA154" s="9" t="str">
        <f>HYPERLINK(".\links\REFSEQ-INVERTEBRATE\AGAP029051-PG-REFSEQ-INVERTEBRATE.txt","AGAP011396-PA, partial")</f>
        <v>AGAP011396-PA, partial</v>
      </c>
      <c r="BB154" s="2" t="str">
        <f>HYPERLINK("http://www.ncbi.nlm.nih.gov/sutils/blink.cgi?pid=XP_317924.4","0.0")</f>
        <v>0.0</v>
      </c>
      <c r="BC154" s="2" t="str">
        <f>HYPERLINK("http://www.ncbi.nlm.nih.gov/protein/XP_317924.4","XP_317924.4")</f>
        <v>XP_317924.4</v>
      </c>
      <c r="BD154" s="2">
        <v>98</v>
      </c>
      <c r="BE154" s="2">
        <v>98</v>
      </c>
      <c r="BF154" s="2">
        <v>86</v>
      </c>
      <c r="BG154" s="2" t="s">
        <v>98</v>
      </c>
      <c r="BH154" s="9" t="str">
        <f>HYPERLINK(".\links\REFSEQ-PROTOZOA\AGAP029051-PG-REFSEQ-PROTOZOA.txt","DNA-directed RNA polymerase, omega subunit family protein")</f>
        <v>DNA-directed RNA polymerase, omega subunit family protein</v>
      </c>
      <c r="BI154" s="2" t="str">
        <f>HYPERLINK("http://www.ncbi.nlm.nih.gov/sutils/blink.cgi?pid=XP_001315529.1","2E-078")</f>
        <v>2E-078</v>
      </c>
      <c r="BJ154" s="2" t="str">
        <f>HYPERLINK("http://www.ncbi.nlm.nih.gov/protein/XP_001315529.1","XP_001315529.1")</f>
        <v>XP_001315529.1</v>
      </c>
      <c r="BK154" s="2">
        <v>18</v>
      </c>
      <c r="BL154" s="2">
        <v>40</v>
      </c>
      <c r="BM154" s="2">
        <v>69</v>
      </c>
      <c r="BN154" s="2" t="s">
        <v>496</v>
      </c>
      <c r="BO154" s="9" t="str">
        <f>HYPERLINK(".\links\SWISSP\AGAP029051-PG-SWISSP.txt","Dystonin")</f>
        <v>Dystonin</v>
      </c>
      <c r="BP154" s="2" t="str">
        <f>HYPERLINK("http://www.uniprot.org/uniprot/Q03001","0.0")</f>
        <v>0.0</v>
      </c>
      <c r="BQ154" s="2" t="str">
        <f>HYPERLINK("http://www.uniprot.org/uniprot/Q03001#expression","Q03001")</f>
        <v>Q03001</v>
      </c>
      <c r="BR154" s="2">
        <v>30</v>
      </c>
      <c r="BS154" s="2">
        <v>52</v>
      </c>
      <c r="BT154" s="2">
        <v>50</v>
      </c>
      <c r="BU154" s="2" t="s">
        <v>196</v>
      </c>
      <c r="BV154" s="9" t="str">
        <f>HYPERLINK(".\links\FLYBASE\AGAP029051-PG-FLYBASE.txt","FBpp0086747")</f>
        <v>FBpp0086747</v>
      </c>
      <c r="BW154" s="2" t="str">
        <f>HYPERLINK("http://flybase.org/reports/FBgn0013733#alliance_summary_container","0.0")</f>
        <v>0.0</v>
      </c>
      <c r="BX154" s="2">
        <v>8805</v>
      </c>
      <c r="BY154" s="2">
        <v>62</v>
      </c>
      <c r="BZ154" s="2">
        <v>78</v>
      </c>
      <c r="CA154" s="2">
        <v>62</v>
      </c>
      <c r="CB154" s="9" t="str">
        <f>HYPERLINK(".\links\CDD\AGAP029051-PG-CDD.txt","GAS2, Growth-Arrest-Specific Protein 2 Domain")</f>
        <v>GAS2, Growth-Arrest-Specific Protein 2 Domain</v>
      </c>
      <c r="CC154" s="13">
        <v>3E-34</v>
      </c>
      <c r="CD154" s="2">
        <v>100</v>
      </c>
      <c r="CE154" s="2" t="s">
        <v>247</v>
      </c>
      <c r="CF154" s="2" t="s">
        <v>1932</v>
      </c>
      <c r="CG154" s="9" t="str">
        <f>HYPERLINK(".\links\KOG\AGAP029051-PG-KOG.txt","Beta-spectrin")</f>
        <v>Beta-spectrin</v>
      </c>
      <c r="CH154" s="13">
        <v>1.9999999999999999E-57</v>
      </c>
      <c r="CI154" s="2">
        <v>81.400000000000006</v>
      </c>
      <c r="CJ154" s="2" t="s">
        <v>245</v>
      </c>
      <c r="CK154" s="2" t="s">
        <v>246</v>
      </c>
      <c r="CL154" s="9" t="str">
        <f>HYPERLINK(".\links\PFAM\AGAP029051-PG-PFAM.txt","GAS2, Growth-Arrest-Specific Protein 2 Domain")</f>
        <v>GAS2, Growth-Arrest-Specific Protein 2 Domain</v>
      </c>
      <c r="CM154" s="13">
        <v>4E-35</v>
      </c>
      <c r="CN154" s="2">
        <v>100</v>
      </c>
      <c r="CO154" s="2" t="s">
        <v>247</v>
      </c>
      <c r="CP154" s="9" t="str">
        <f>HYPERLINK(".\links\SMART\AGAP029051-PG-SMART.txt","GAS2, Growth-Arrest-Specific Protein 2 Domain")</f>
        <v>GAS2, Growth-Arrest-Specific Protein 2 Domain</v>
      </c>
      <c r="CQ154" s="13">
        <v>1.9999999999999999E-36</v>
      </c>
      <c r="CR154" s="2">
        <v>100</v>
      </c>
      <c r="CS154" s="2" t="s">
        <v>248</v>
      </c>
      <c r="CT154" s="2" t="s">
        <v>1929</v>
      </c>
      <c r="CU154" s="2" t="s">
        <v>1929</v>
      </c>
      <c r="CV154" s="2" t="s">
        <v>1929</v>
      </c>
      <c r="CW154" s="2" t="str">
        <f>HYPERLINK(".\links\pep\AGAP029051-PG-pep.txt","AGAP029051-PG")</f>
        <v>AGAP029051-PG</v>
      </c>
      <c r="CX154" s="2" t="s">
        <v>88</v>
      </c>
      <c r="CY154" s="2">
        <v>7448</v>
      </c>
      <c r="CZ154" s="2" t="s">
        <v>106</v>
      </c>
      <c r="DA154" s="2" t="s">
        <v>1933</v>
      </c>
      <c r="DB154" s="2">
        <v>0</v>
      </c>
      <c r="DC154" s="2">
        <v>43</v>
      </c>
      <c r="DD154" s="2" t="str">
        <f>HYPERLINK("https://www.kegg.jp/kegg-bin/search_pathway_text?map=aga&amp;keyword=AGAP029051&amp;mode=1&amp;viewImage=true","AGAP029051")</f>
        <v>AGAP029051</v>
      </c>
      <c r="DE154" s="2" t="s">
        <v>1927</v>
      </c>
      <c r="DF154" s="2" t="s">
        <v>167</v>
      </c>
      <c r="DG154" s="2" t="s">
        <v>87</v>
      </c>
      <c r="DH154" s="2" t="str">
        <f>HYPERLINK("https://vectorbase.org/vectorbase/app/record/gene/AGAP029051","AGAP029051-RG")</f>
        <v>AGAP029051-RG</v>
      </c>
      <c r="DI154" s="2" t="s">
        <v>125</v>
      </c>
      <c r="DJ154" s="2">
        <v>25707</v>
      </c>
      <c r="DK154" s="2" t="str">
        <f>HYPERLINK(".\links\netoglyc\AGAP029051-PG-netoglyc.txt","18")</f>
        <v>18</v>
      </c>
      <c r="DL154" s="2">
        <v>13.3</v>
      </c>
      <c r="DM154" s="2">
        <v>6.1</v>
      </c>
      <c r="DN154" s="2">
        <v>4.5</v>
      </c>
      <c r="DO154" s="2" t="s">
        <v>97</v>
      </c>
      <c r="DP154" s="2" t="s">
        <v>94</v>
      </c>
      <c r="DQ154" s="2" t="s">
        <v>241</v>
      </c>
      <c r="DR154" s="2" t="s">
        <v>94</v>
      </c>
      <c r="DS154" s="2">
        <v>824.66099999999994</v>
      </c>
      <c r="DT154" s="2">
        <v>5.51</v>
      </c>
      <c r="DU154" s="2" t="s">
        <v>94</v>
      </c>
      <c r="DV154" s="2" t="s">
        <v>94</v>
      </c>
      <c r="DW154" s="2" t="s">
        <v>1931</v>
      </c>
      <c r="DX154" s="2">
        <v>7448</v>
      </c>
      <c r="DY154" s="8">
        <v>0</v>
      </c>
      <c r="DZ154" s="2" t="s">
        <v>94</v>
      </c>
      <c r="EA154" s="2" t="s">
        <v>94</v>
      </c>
      <c r="EB154" s="2" t="s">
        <v>94</v>
      </c>
      <c r="EC154" s="2" t="str">
        <f>HYPERLINK(".\links\gpi\AGAP029051-PG-gpi.txt","Y-NoSP")</f>
        <v>Y-NoSP</v>
      </c>
      <c r="ED154" s="2">
        <v>0.19</v>
      </c>
      <c r="EF154" s="2">
        <v>44</v>
      </c>
      <c r="EG154" s="2" t="str">
        <f>HYPERLINK(".\links\pep\AGAP029051-PG-sulf.txt","6")</f>
        <v>6</v>
      </c>
      <c r="EH154" s="2" t="s">
        <v>94</v>
      </c>
      <c r="EI154" s="2">
        <v>13.305585392051601</v>
      </c>
      <c r="EJ154" s="2">
        <v>4.5247046186895803</v>
      </c>
      <c r="EK154" s="2">
        <v>6.0553168635875396</v>
      </c>
      <c r="EL154" s="2">
        <v>10.5800214822771</v>
      </c>
      <c r="EM154" s="2">
        <v>2</v>
      </c>
      <c r="EN154" s="2">
        <v>31</v>
      </c>
      <c r="EO154" s="2">
        <v>34</v>
      </c>
      <c r="EP154" s="2" t="s">
        <v>94</v>
      </c>
      <c r="EQ154" s="2" t="s">
        <v>94</v>
      </c>
      <c r="ER154" s="2" t="s">
        <v>94</v>
      </c>
      <c r="ES154" s="2" t="s">
        <v>94</v>
      </c>
      <c r="ET154" s="2" t="str">
        <f>HYPERLINK(".\links\REFSEQ-INVERTEBRATE\AGAP029051-PG-REFSEQ-INVERTEBRATE.txt","AGAP011396-PA, partial")</f>
        <v>AGAP011396-PA, partial</v>
      </c>
      <c r="EU154" s="2" t="str">
        <f>HYPERLINK("http://www.ncbi.nlm.nih.gov/sutils/blink.cgi?pid=XP_317924.4","0.0")</f>
        <v>0.0</v>
      </c>
      <c r="EV154" s="2" t="str">
        <f>HYPERLINK("http://www.ncbi.nlm.nih.gov/protein/XP_317924.4","XP_317924.4")</f>
        <v>XP_317924.4</v>
      </c>
      <c r="EW154" s="2">
        <v>98</v>
      </c>
      <c r="EX154" s="2">
        <v>98</v>
      </c>
      <c r="EY154" s="2">
        <v>86</v>
      </c>
      <c r="EZ154" s="2" t="s">
        <v>98</v>
      </c>
    </row>
    <row r="155" spans="1:156" x14ac:dyDescent="0.25">
      <c r="A155" s="2" t="s">
        <v>1934</v>
      </c>
      <c r="B155" s="2">
        <v>0.62517665027927605</v>
      </c>
      <c r="C155" s="2">
        <v>1.5423996724233444</v>
      </c>
      <c r="D155" s="2">
        <v>6.1921626098203699</v>
      </c>
      <c r="E155" s="2">
        <v>19.278049480663601</v>
      </c>
      <c r="F155" s="2">
        <v>1.12997996156223E-5</v>
      </c>
      <c r="G155" s="2">
        <v>1.25720241135224E-3</v>
      </c>
      <c r="H155" s="2" t="s">
        <v>1935</v>
      </c>
      <c r="I155" s="2" t="s">
        <v>87</v>
      </c>
      <c r="J155" s="2" t="str">
        <f>HYPERLINK("https://vectorbase.org/vectorbase/app/record/gene/AGAP001765","AGAP001765-RA")</f>
        <v>AGAP001765-RA</v>
      </c>
      <c r="K155" s="2" t="str">
        <f>HYPERLINK(".\links\pep\AGAP001765-PA-pep.txt","AGAP001765-PA")</f>
        <v>AGAP001765-PA</v>
      </c>
      <c r="L155" s="8" t="s">
        <v>88</v>
      </c>
      <c r="M155" s="2">
        <v>639</v>
      </c>
      <c r="N155" s="2">
        <v>0</v>
      </c>
      <c r="O155" s="2">
        <v>0</v>
      </c>
      <c r="P155" s="2" t="s">
        <v>1936</v>
      </c>
      <c r="Q155" s="9" t="s">
        <v>1936</v>
      </c>
      <c r="R155" s="2" t="s">
        <v>347</v>
      </c>
      <c r="S155" s="2" t="str">
        <f>HYPERLINK(".\links\REFSEQ-INVERTEBRATE\AGAP001765-PA-REFSEQ-INVERTEBRATE.txt","REFSEQ-INVERTEBRATE")</f>
        <v>REFSEQ-INVERTEBRATE</v>
      </c>
      <c r="T155" s="2">
        <v>0</v>
      </c>
      <c r="U155" s="2">
        <v>99.4</v>
      </c>
      <c r="V155" s="2" t="s">
        <v>1937</v>
      </c>
      <c r="W155" s="10" t="s">
        <v>1938</v>
      </c>
      <c r="X155" s="2" t="s">
        <v>347</v>
      </c>
      <c r="Y155" s="2" t="str">
        <f>HYPERLINK(".\links\ARTHORPODA\AGAP001765-PA-ARTHORPODA.txt","ARTHORPODA")</f>
        <v>ARTHORPODA</v>
      </c>
      <c r="Z155" s="13">
        <v>0</v>
      </c>
      <c r="AA155" s="2">
        <v>100</v>
      </c>
      <c r="AB155" s="11" t="s">
        <v>94</v>
      </c>
      <c r="AC155" s="11" t="str">
        <f>HYPERLINK(".\links\Sigp\AGAP001765-PA-SigP.txt","CYT")</f>
        <v>CYT</v>
      </c>
      <c r="AD155" s="2" t="s">
        <v>94</v>
      </c>
      <c r="AE155" s="2">
        <v>73.183000000000007</v>
      </c>
      <c r="AF155" s="2">
        <v>5.32</v>
      </c>
      <c r="AG155" s="2" t="s">
        <v>94</v>
      </c>
      <c r="AH155" s="2" t="s">
        <v>94</v>
      </c>
      <c r="AI155" s="2" t="s">
        <v>463</v>
      </c>
      <c r="AJ155" s="11">
        <v>0</v>
      </c>
      <c r="AK155" s="2" t="s">
        <v>94</v>
      </c>
      <c r="AL155" s="2" t="s">
        <v>94</v>
      </c>
      <c r="AM155" s="2" t="s">
        <v>94</v>
      </c>
      <c r="AN155" s="11" t="str">
        <f>HYPERLINK(".\links\gpi\AGAP001765-PA-gpi.txt","N")</f>
        <v>N</v>
      </c>
      <c r="AO155" s="12" t="str">
        <f>HYPERLINK(".\links\netoglyc\AGAP001765-PA-netoglyc.txt","2")</f>
        <v>2</v>
      </c>
      <c r="AP155" s="11">
        <v>14.1</v>
      </c>
      <c r="AQ155" s="2">
        <v>3.1</v>
      </c>
      <c r="AR155" s="2">
        <v>1.4</v>
      </c>
      <c r="AS155" s="2" t="s">
        <v>97</v>
      </c>
      <c r="AT155" s="9" t="str">
        <f>HYPERLINK(".\links\NR-LIGHT\AGAP001765-PA-NR-LIGHT.txt","AGAP001765-PA")</f>
        <v>AGAP001765-PA</v>
      </c>
      <c r="AU155" s="2" t="str">
        <f>HYPERLINK("http://www.ncbi.nlm.nih.gov/sutils/blink.cgi?pid=XP_321318.5","0.0")</f>
        <v>0.0</v>
      </c>
      <c r="AV155" s="2" t="str">
        <f>HYPERLINK("http://www.ncbi.nlm.nih.gov/protein/XP_321318.5","XP_321318.5")</f>
        <v>XP_321318.5</v>
      </c>
      <c r="AW155" s="2">
        <v>94</v>
      </c>
      <c r="AX155" s="2">
        <v>94</v>
      </c>
      <c r="AY155" s="2">
        <v>105</v>
      </c>
      <c r="AZ155" s="2" t="s">
        <v>98</v>
      </c>
      <c r="BA155" s="9" t="str">
        <f>HYPERLINK(".\links\REFSEQ-INVERTEBRATE\AGAP001765-PA-REFSEQ-INVERTEBRATE.txt","AGAP001765-PA")</f>
        <v>AGAP001765-PA</v>
      </c>
      <c r="BB155" s="2" t="str">
        <f>HYPERLINK("http://www.ncbi.nlm.nih.gov/sutils/blink.cgi?pid=XP_321318.5","0.0")</f>
        <v>0.0</v>
      </c>
      <c r="BC155" s="2" t="str">
        <f>HYPERLINK("http://www.ncbi.nlm.nih.gov/protein/XP_321318.5","XP_321318.5")</f>
        <v>XP_321318.5</v>
      </c>
      <c r="BD155" s="2">
        <v>94</v>
      </c>
      <c r="BE155" s="2">
        <v>94</v>
      </c>
      <c r="BF155" s="2">
        <v>105</v>
      </c>
      <c r="BG155" s="2" t="s">
        <v>98</v>
      </c>
      <c r="BH155" s="9" t="str">
        <f>HYPERLINK(".\links\REFSEQ-PROTOZOA\AGAP001765-PA-REFSEQ-PROTOZOA.txt","viral A-type inclusion protein")</f>
        <v>viral A-type inclusion protein</v>
      </c>
      <c r="BI155" s="2" t="str">
        <f>HYPERLINK("http://www.ncbi.nlm.nih.gov/sutils/blink.cgi?pid=XP_001323102.1","4E-025")</f>
        <v>4E-025</v>
      </c>
      <c r="BJ155" s="2" t="str">
        <f>HYPERLINK("http://www.ncbi.nlm.nih.gov/protein/XP_001323102.1","XP_001323102.1")</f>
        <v>XP_001323102.1</v>
      </c>
      <c r="BK155" s="2">
        <v>21</v>
      </c>
      <c r="BL155" s="2">
        <v>45</v>
      </c>
      <c r="BM155" s="2">
        <v>12</v>
      </c>
      <c r="BN155" s="2" t="s">
        <v>496</v>
      </c>
      <c r="BO155" s="9" t="str">
        <f>HYPERLINK(".\links\SWISSP\AGAP001765-PA-SWISSP.txt","Golgin subfamily A member 1")</f>
        <v>Golgin subfamily A member 1</v>
      </c>
      <c r="BP155" s="2" t="str">
        <f>HYPERLINK("http://www.uniprot.org/uniprot/Q9CW79","2E-038")</f>
        <v>2E-038</v>
      </c>
      <c r="BQ155" s="2" t="str">
        <f>HYPERLINK("http://www.uniprot.org/uniprot/Q9CW79#expression","Q9CW79")</f>
        <v>Q9CW79</v>
      </c>
      <c r="BR155" s="2">
        <v>25</v>
      </c>
      <c r="BS155" s="2">
        <v>39</v>
      </c>
      <c r="BT155" s="2">
        <v>105</v>
      </c>
      <c r="BU155" s="2" t="s">
        <v>339</v>
      </c>
      <c r="BV155" s="9" t="str">
        <f>HYPERLINK(".\links\FLYBASE\AGAP001765-PA-FLYBASE.txt","FBpp0086786")</f>
        <v>FBpp0086786</v>
      </c>
      <c r="BW155" s="2" t="str">
        <f>HYPERLINK("http://flybase.org/reports/FBgn0086757#alliance_summary_container","1E-160")</f>
        <v>1E-160</v>
      </c>
      <c r="BX155" s="2">
        <v>611</v>
      </c>
      <c r="BY155" s="2">
        <v>45</v>
      </c>
      <c r="BZ155" s="2">
        <v>63</v>
      </c>
      <c r="CA155" s="2">
        <v>106</v>
      </c>
      <c r="CB155" s="9" t="str">
        <f>HYPERLINK(".\links\CDD\AGAP001765-PA-CDD.txt","Smc, Chromosome segregation ATPases")</f>
        <v>Smc, Chromosome segregation ATPases</v>
      </c>
      <c r="CC155" s="13">
        <v>9.9999999999999994E-12</v>
      </c>
      <c r="CD155" s="2">
        <v>29.5</v>
      </c>
      <c r="CE155" s="2" t="s">
        <v>1651</v>
      </c>
      <c r="CF155" s="2" t="s">
        <v>1939</v>
      </c>
      <c r="CG155" s="9" t="str">
        <f>HYPERLINK(".\links\KOG\AGAP001765-PA-KOG.txt","Uncharacterized conserved protein")</f>
        <v>Uncharacterized conserved protein</v>
      </c>
      <c r="CH155" s="13">
        <v>1E-51</v>
      </c>
      <c r="CI155" s="2">
        <v>104.9</v>
      </c>
      <c r="CJ155" s="2" t="s">
        <v>1940</v>
      </c>
      <c r="CK155" s="2" t="s">
        <v>447</v>
      </c>
      <c r="CL155" s="9" t="str">
        <f>HYPERLINK(".\links\PFAM\AGAP001765-PA-PFAM.txt","GRIP, GRIP domain")</f>
        <v>GRIP, GRIP domain</v>
      </c>
      <c r="CM155" s="13">
        <v>1E-8</v>
      </c>
      <c r="CN155" s="2">
        <v>100</v>
      </c>
      <c r="CO155" s="2" t="s">
        <v>1941</v>
      </c>
      <c r="CP155" s="9" t="str">
        <f>HYPERLINK(".\links\SMART\AGAP001765-PA-SMART.txt","Grip, golgin-97, RanBP2alpha,Imh1p and p230/golgin-245")</f>
        <v>Grip, golgin-97, RanBP2alpha,Imh1p and p230/golgin-245</v>
      </c>
      <c r="CQ155" s="13">
        <v>3.0000000000000001E-12</v>
      </c>
      <c r="CR155" s="2">
        <v>100</v>
      </c>
      <c r="CS155" s="2" t="s">
        <v>1942</v>
      </c>
      <c r="CT155" s="2" t="s">
        <v>1937</v>
      </c>
      <c r="CU155" s="2" t="s">
        <v>1937</v>
      </c>
      <c r="CV155" s="2" t="s">
        <v>1937</v>
      </c>
      <c r="CW155" s="2" t="str">
        <f>HYPERLINK(".\links\pep\AGAP001765-PA-pep.txt","AGAP001765-PA")</f>
        <v>AGAP001765-PA</v>
      </c>
      <c r="CX155" s="2" t="s">
        <v>88</v>
      </c>
      <c r="CY155" s="2">
        <v>639</v>
      </c>
      <c r="CZ155" s="2" t="s">
        <v>106</v>
      </c>
      <c r="DA155" s="2" t="s">
        <v>1943</v>
      </c>
      <c r="DB155" s="2">
        <v>0</v>
      </c>
      <c r="DC155" s="2">
        <v>0</v>
      </c>
      <c r="DD155" s="2" t="str">
        <f>HYPERLINK("https://www.kegg.jp/kegg-bin/search_pathway_text?map=aga&amp;keyword=AGAP001765&amp;mode=1&amp;viewImage=true","AGAP001765")</f>
        <v>AGAP001765</v>
      </c>
      <c r="DE155" s="2" t="s">
        <v>1934</v>
      </c>
      <c r="DF155" s="2" t="s">
        <v>1935</v>
      </c>
      <c r="DG155" s="2" t="s">
        <v>87</v>
      </c>
      <c r="DH155" s="2" t="str">
        <f>HYPERLINK("https://vectorbase.org/vectorbase/app/record/gene/AGAP001765","AGAP001765-RA")</f>
        <v>AGAP001765-RA</v>
      </c>
      <c r="DI155" s="2" t="s">
        <v>143</v>
      </c>
      <c r="DJ155" s="2">
        <v>4086</v>
      </c>
      <c r="DK155" s="2" t="str">
        <f>HYPERLINK(".\links\netoglyc\AGAP001765-PA-netoglyc.txt","2")</f>
        <v>2</v>
      </c>
      <c r="DL155" s="2">
        <v>14.1</v>
      </c>
      <c r="DM155" s="2">
        <v>3.1</v>
      </c>
      <c r="DN155" s="2">
        <v>1.4</v>
      </c>
      <c r="DO155" s="2" t="s">
        <v>97</v>
      </c>
      <c r="DP155" s="2" t="s">
        <v>94</v>
      </c>
      <c r="DQ155" s="2" t="str">
        <f>HYPERLINK(".\links\Sigp\AGAP001765-PA-SigP.txt","CYT")</f>
        <v>CYT</v>
      </c>
      <c r="DR155" s="2" t="s">
        <v>94</v>
      </c>
      <c r="DS155" s="2">
        <v>73.183000000000007</v>
      </c>
      <c r="DT155" s="2">
        <v>5.32</v>
      </c>
      <c r="DU155" s="2" t="s">
        <v>94</v>
      </c>
      <c r="DV155" s="2" t="s">
        <v>94</v>
      </c>
      <c r="DW155" s="2" t="s">
        <v>463</v>
      </c>
      <c r="DX155" s="2">
        <v>639</v>
      </c>
      <c r="DY155" s="8">
        <v>0</v>
      </c>
      <c r="DZ155" s="2" t="s">
        <v>94</v>
      </c>
      <c r="EA155" s="2" t="s">
        <v>94</v>
      </c>
      <c r="EB155" s="2" t="s">
        <v>94</v>
      </c>
      <c r="EC155" s="2" t="str">
        <f>HYPERLINK(".\links\gpi\AGAP001765-PA-gpi.txt","N")</f>
        <v>N</v>
      </c>
      <c r="ED155" s="2">
        <v>0.41</v>
      </c>
      <c r="EF155" s="2">
        <v>5</v>
      </c>
      <c r="EG155" s="2" t="s">
        <v>94</v>
      </c>
      <c r="EH155" s="2" t="s">
        <v>94</v>
      </c>
      <c r="EI155" s="2">
        <v>14.084507042253501</v>
      </c>
      <c r="EJ155" s="2">
        <v>1.40845070422535</v>
      </c>
      <c r="EK155" s="2">
        <v>3.1298904538341201</v>
      </c>
      <c r="EL155" s="2">
        <v>4.5383411580594704</v>
      </c>
      <c r="EM155" s="2" t="s">
        <v>94</v>
      </c>
      <c r="EN155" s="2">
        <v>1</v>
      </c>
      <c r="EO155" s="2">
        <v>2</v>
      </c>
      <c r="EP155" s="2" t="s">
        <v>94</v>
      </c>
      <c r="EQ155" s="2" t="s">
        <v>94</v>
      </c>
      <c r="ER155" s="2" t="s">
        <v>94</v>
      </c>
      <c r="ES155" s="2" t="s">
        <v>94</v>
      </c>
      <c r="ET155" s="2" t="str">
        <f>HYPERLINK(".\links\REFSEQ-INVERTEBRATE\AGAP001765-PA-REFSEQ-INVERTEBRATE.txt","AGAP001765-PA")</f>
        <v>AGAP001765-PA</v>
      </c>
      <c r="EU155" s="2" t="str">
        <f>HYPERLINK("http://www.ncbi.nlm.nih.gov/sutils/blink.cgi?pid=XP_321318.5","0.0")</f>
        <v>0.0</v>
      </c>
      <c r="EV155" s="2" t="str">
        <f>HYPERLINK("http://www.ncbi.nlm.nih.gov/protein/XP_321318.5","XP_321318.5")</f>
        <v>XP_321318.5</v>
      </c>
      <c r="EW155" s="2">
        <v>94</v>
      </c>
      <c r="EX155" s="2">
        <v>94</v>
      </c>
      <c r="EY155" s="2">
        <v>105</v>
      </c>
      <c r="EZ155" s="2" t="s">
        <v>98</v>
      </c>
    </row>
    <row r="156" spans="1:156" x14ac:dyDescent="0.25">
      <c r="A156" s="2" t="s">
        <v>1944</v>
      </c>
      <c r="B156" s="2">
        <v>0.61321734320403498</v>
      </c>
      <c r="C156" s="2">
        <v>1.529666706082736</v>
      </c>
      <c r="D156" s="2">
        <v>4.4493861899363596</v>
      </c>
      <c r="E156" s="2">
        <v>13.6422678255558</v>
      </c>
      <c r="F156" s="2">
        <v>2.2115015929607E-4</v>
      </c>
      <c r="G156" s="2">
        <v>1.2752543027213001E-2</v>
      </c>
      <c r="H156" s="2" t="s">
        <v>1945</v>
      </c>
      <c r="I156" s="2" t="s">
        <v>94</v>
      </c>
      <c r="J156" s="2" t="str">
        <f>HYPERLINK("https://vectorbase.org/vectorbase/app/record/gene/AGAP003726","AGAP003726-RA")</f>
        <v>AGAP003726-RA</v>
      </c>
      <c r="K156" s="2" t="str">
        <f>HYPERLINK(".\links\pep\AGAP003726-PA-pep.txt","AGAP003726-PA")</f>
        <v>AGAP003726-PA</v>
      </c>
      <c r="L156" s="8" t="s">
        <v>88</v>
      </c>
      <c r="M156" s="2">
        <v>909</v>
      </c>
      <c r="N156" s="2">
        <v>0</v>
      </c>
      <c r="O156" s="2">
        <v>3</v>
      </c>
      <c r="P156" s="2" t="s">
        <v>94</v>
      </c>
      <c r="Q156" s="9" t="s">
        <v>1946</v>
      </c>
      <c r="R156" s="2" t="s">
        <v>318</v>
      </c>
      <c r="S156" s="2" t="str">
        <f>HYPERLINK(".\links\SWISSP\AGAP003726-PA-SWISSP.txt","SWISSP")</f>
        <v>SWISSP</v>
      </c>
      <c r="T156" s="2">
        <v>1E-41</v>
      </c>
      <c r="U156" s="2">
        <v>50</v>
      </c>
      <c r="V156" s="2" t="s">
        <v>1947</v>
      </c>
      <c r="W156" s="10" t="s">
        <v>1948</v>
      </c>
      <c r="X156" s="2" t="s">
        <v>289</v>
      </c>
      <c r="Y156" s="2" t="str">
        <f>HYPERLINK(".\links\UNIPROTKB\AGAP003726-PA-UNIPROTKB.txt","UNIPROTKB")</f>
        <v>UNIPROTKB</v>
      </c>
      <c r="Z156" s="13">
        <v>0</v>
      </c>
      <c r="AA156" s="2">
        <v>33.9</v>
      </c>
      <c r="AB156" s="11" t="str">
        <f>HYPERLINK(".\links\pep\AGAP003726-PA-sulf.txt","4")</f>
        <v>4</v>
      </c>
      <c r="AC156" s="11" t="str">
        <f>HYPERLINK(".\links\Sigp\AGAP003726-PA-SigP.txt","CYT")</f>
        <v>CYT</v>
      </c>
      <c r="AD156" s="2" t="s">
        <v>94</v>
      </c>
      <c r="AE156" s="2">
        <v>95.656999999999996</v>
      </c>
      <c r="AF156" s="2">
        <v>6.09</v>
      </c>
      <c r="AG156" s="2" t="s">
        <v>94</v>
      </c>
      <c r="AH156" s="2" t="s">
        <v>94</v>
      </c>
      <c r="AI156" s="2" t="s">
        <v>1949</v>
      </c>
      <c r="AJ156" s="11">
        <v>0</v>
      </c>
      <c r="AK156" s="2" t="s">
        <v>94</v>
      </c>
      <c r="AL156" s="2" t="s">
        <v>94</v>
      </c>
      <c r="AM156" s="2" t="s">
        <v>94</v>
      </c>
      <c r="AN156" s="11" t="str">
        <f>HYPERLINK(".\links\gpi\AGAP003726-PA-gpi.txt","N")</f>
        <v>N</v>
      </c>
      <c r="AO156" s="12" t="str">
        <f>HYPERLINK(".\links\netoglyc\AGAP003726-PA-netoglyc.txt","2")</f>
        <v>2</v>
      </c>
      <c r="AP156" s="11">
        <v>19.8</v>
      </c>
      <c r="AQ156" s="2">
        <v>11.2</v>
      </c>
      <c r="AR156" s="2">
        <v>4.5999999999999996</v>
      </c>
      <c r="AS156" s="2" t="s">
        <v>97</v>
      </c>
      <c r="AT156" s="9" t="str">
        <f>HYPERLINK(".\links\NR-LIGHT\AGAP003726-PA-NR-LIGHT.txt","AGAP003726-PA")</f>
        <v>AGAP003726-PA</v>
      </c>
      <c r="AU156" s="2" t="str">
        <f>HYPERLINK("http://www.ncbi.nlm.nih.gov/sutils/blink.cgi?pid=XP_310257.6","0.0")</f>
        <v>0.0</v>
      </c>
      <c r="AV156" s="2" t="str">
        <f>HYPERLINK("http://www.ncbi.nlm.nih.gov/protein/XP_310257.6","XP_310257.6")</f>
        <v>XP_310257.6</v>
      </c>
      <c r="AW156" s="2">
        <v>99</v>
      </c>
      <c r="AX156" s="2">
        <v>99</v>
      </c>
      <c r="AY156" s="2">
        <v>101</v>
      </c>
      <c r="AZ156" s="2" t="s">
        <v>98</v>
      </c>
      <c r="BA156" s="9" t="str">
        <f>HYPERLINK(".\links\REFSEQ-INVERTEBRATE\AGAP003726-PA-REFSEQ-INVERTEBRATE.txt","AGAP003726-PA")</f>
        <v>AGAP003726-PA</v>
      </c>
      <c r="BB156" s="2" t="str">
        <f>HYPERLINK("http://www.ncbi.nlm.nih.gov/sutils/blink.cgi?pid=XP_310257.6","0.0")</f>
        <v>0.0</v>
      </c>
      <c r="BC156" s="2" t="str">
        <f>HYPERLINK("http://www.ncbi.nlm.nih.gov/protein/XP_310257.6","XP_310257.6")</f>
        <v>XP_310257.6</v>
      </c>
      <c r="BD156" s="2">
        <v>99</v>
      </c>
      <c r="BE156" s="2">
        <v>99</v>
      </c>
      <c r="BF156" s="2">
        <v>101</v>
      </c>
      <c r="BG156" s="2" t="s">
        <v>98</v>
      </c>
      <c r="BH156" s="9" t="str">
        <f>HYPERLINK(".\links\REFSEQ-PROTOZOA\AGAP003726-PA-REFSEQ-PROTOZOA.txt","proteophosphoglycan 5")</f>
        <v>proteophosphoglycan 5</v>
      </c>
      <c r="BI156" s="2" t="str">
        <f>HYPERLINK("http://www.ncbi.nlm.nih.gov/sutils/blink.cgi?pid=XP_003722449.1","5E-014")</f>
        <v>5E-014</v>
      </c>
      <c r="BJ156" s="2" t="str">
        <f>HYPERLINK("http://www.ncbi.nlm.nih.gov/protein/XP_003722449.1","XP_003722449.1")</f>
        <v>XP_003722449.1</v>
      </c>
      <c r="BK156" s="2">
        <v>22</v>
      </c>
      <c r="BL156" s="2">
        <v>39</v>
      </c>
      <c r="BM156" s="2">
        <v>2</v>
      </c>
      <c r="BN156" s="2" t="s">
        <v>1171</v>
      </c>
      <c r="BO156" s="9" t="str">
        <f>HYPERLINK(".\links\SWISSP\AGAP003726-PA-SWISSP.txt","Protein CREBRF homolog")</f>
        <v>Protein CREBRF homolog</v>
      </c>
      <c r="BP156" s="2" t="str">
        <f>HYPERLINK("http://www.uniprot.org/uniprot/Q9VC61","1E-096")</f>
        <v>1E-096</v>
      </c>
      <c r="BQ156" s="2" t="str">
        <f>HYPERLINK("http://www.uniprot.org/uniprot/Q9VC61#expression","Q9VC61")</f>
        <v>Q9VC61</v>
      </c>
      <c r="BR156" s="2">
        <v>42</v>
      </c>
      <c r="BS156" s="2">
        <v>54</v>
      </c>
      <c r="BT156" s="2">
        <v>79</v>
      </c>
      <c r="BU156" s="2" t="s">
        <v>100</v>
      </c>
      <c r="BV156" s="9" t="str">
        <f>HYPERLINK(".\links\FLYBASE\AGAP003726-PA-FLYBASE.txt","FBpp0110093")</f>
        <v>FBpp0110093</v>
      </c>
      <c r="BW156" s="2" t="str">
        <f>HYPERLINK("http://flybase.org/reports/FBgn0039209#alliance_summary_container","1E-129")</f>
        <v>1E-129</v>
      </c>
      <c r="BX156" s="2">
        <v>814</v>
      </c>
      <c r="BY156" s="2">
        <v>66</v>
      </c>
      <c r="BZ156" s="2">
        <v>75</v>
      </c>
      <c r="CA156" s="2">
        <v>40</v>
      </c>
      <c r="CB156" s="9" t="str">
        <f>HYPERLINK(".\links\CDD\AGAP003726-PA-CDD.txt","bZIP_AUREO-like, Basic leucine zipper (bZIP) domain of blue light (BL) receptor aureochrome (AUREO) and similar bZIP domains")</f>
        <v>bZIP_AUREO-like, Basic leucine zipper (bZIP) domain of blue light (BL) receptor aureochrome (AUREO) and similar bZIP domains</v>
      </c>
      <c r="CC156" s="13">
        <v>2.0000000000000001E-9</v>
      </c>
      <c r="CD156" s="2">
        <v>107.7</v>
      </c>
      <c r="CE156" s="2" t="s">
        <v>1950</v>
      </c>
      <c r="CF156" s="2" t="s">
        <v>1951</v>
      </c>
      <c r="CG156" s="9" t="str">
        <f>HYPERLINK(".\links\KOG\AGAP003726-PA-KOG.txt","Uncharacterized conserved protein")</f>
        <v>Uncharacterized conserved protein</v>
      </c>
      <c r="CH156" s="13">
        <v>0.12</v>
      </c>
      <c r="CI156" s="2">
        <v>17.7</v>
      </c>
      <c r="CJ156" s="2" t="s">
        <v>1952</v>
      </c>
      <c r="CK156" s="2" t="s">
        <v>447</v>
      </c>
      <c r="CL156" s="9" t="str">
        <f>HYPERLINK(".\links\PFAM\AGAP003726-PA-PFAM.txt","NOA36, NOA36 protein")</f>
        <v>NOA36, NOA36 protein</v>
      </c>
      <c r="CM156" s="13">
        <v>3.0000000000000001E-3</v>
      </c>
      <c r="CN156" s="2">
        <v>11.4</v>
      </c>
      <c r="CO156" s="2" t="s">
        <v>1953</v>
      </c>
      <c r="CP156" s="9" t="str">
        <f>HYPERLINK(".\links\SMART\AGAP003726-PA-SMART.txt","BRLZ, basic region leucin zipper")</f>
        <v>BRLZ, basic region leucin zipper</v>
      </c>
      <c r="CQ156" s="13">
        <v>2.9999999999999999E-7</v>
      </c>
      <c r="CR156" s="2">
        <v>70.8</v>
      </c>
      <c r="CS156" s="2" t="s">
        <v>313</v>
      </c>
      <c r="CT156" s="2" t="s">
        <v>1947</v>
      </c>
      <c r="CU156" s="2" t="s">
        <v>1947</v>
      </c>
      <c r="CV156" s="2" t="s">
        <v>1947</v>
      </c>
      <c r="CW156" s="2" t="str">
        <f>HYPERLINK(".\links\pep\AGAP003726-PA-pep.txt","AGAP003726-PA")</f>
        <v>AGAP003726-PA</v>
      </c>
      <c r="CX156" s="2" t="s">
        <v>88</v>
      </c>
      <c r="CY156" s="2">
        <v>909</v>
      </c>
      <c r="CZ156" s="2" t="s">
        <v>106</v>
      </c>
      <c r="DA156" s="2">
        <v>0</v>
      </c>
      <c r="DB156" s="2">
        <v>3</v>
      </c>
      <c r="DD156" s="2" t="str">
        <f>HYPERLINK("https://www.kegg.jp/kegg-bin/search_pathway_text?map=aga&amp;keyword=AGAP003726&amp;mode=1&amp;viewImage=true","AGAP003726")</f>
        <v>AGAP003726</v>
      </c>
      <c r="DE156" s="2" t="s">
        <v>1944</v>
      </c>
      <c r="DF156" s="2" t="s">
        <v>1945</v>
      </c>
      <c r="DG156" s="2" t="s">
        <v>94</v>
      </c>
      <c r="DH156" s="2" t="str">
        <f>HYPERLINK("https://vectorbase.org/vectorbase/app/record/gene/AGAP003726","AGAP003726-RA")</f>
        <v>AGAP003726-RA</v>
      </c>
      <c r="DI156" s="2" t="s">
        <v>108</v>
      </c>
      <c r="DJ156" s="2">
        <v>5907</v>
      </c>
      <c r="DK156" s="2" t="str">
        <f>HYPERLINK(".\links\netoglyc\AGAP003726-PA-netoglyc.txt","2")</f>
        <v>2</v>
      </c>
      <c r="DL156" s="2">
        <v>19.8</v>
      </c>
      <c r="DM156" s="2">
        <v>11.2</v>
      </c>
      <c r="DN156" s="2">
        <v>4.5999999999999996</v>
      </c>
      <c r="DO156" s="2" t="s">
        <v>97</v>
      </c>
      <c r="DP156" s="2" t="s">
        <v>94</v>
      </c>
      <c r="DQ156" s="2" t="str">
        <f>HYPERLINK(".\links\Sigp\AGAP003726-PA-SigP.txt","CYT")</f>
        <v>CYT</v>
      </c>
      <c r="DR156" s="2" t="s">
        <v>94</v>
      </c>
      <c r="DS156" s="2">
        <v>95.656999999999996</v>
      </c>
      <c r="DT156" s="2">
        <v>6.09</v>
      </c>
      <c r="DU156" s="2" t="s">
        <v>94</v>
      </c>
      <c r="DV156" s="2" t="s">
        <v>94</v>
      </c>
      <c r="DW156" s="2" t="s">
        <v>1949</v>
      </c>
      <c r="DX156" s="2">
        <v>909</v>
      </c>
      <c r="DY156" s="8">
        <v>0</v>
      </c>
      <c r="DZ156" s="2" t="s">
        <v>94</v>
      </c>
      <c r="EA156" s="2" t="s">
        <v>94</v>
      </c>
      <c r="EB156" s="2" t="s">
        <v>94</v>
      </c>
      <c r="EC156" s="2" t="str">
        <f>HYPERLINK(".\links\gpi\AGAP003726-PA-gpi.txt","Y-NoSP")</f>
        <v>Y-NoSP</v>
      </c>
      <c r="ED156" s="2">
        <v>0.32</v>
      </c>
      <c r="EF156" s="2">
        <v>5</v>
      </c>
      <c r="EG156" s="2" t="str">
        <f>HYPERLINK(".\links\pep\AGAP003726-PA-sulf.txt","4")</f>
        <v>4</v>
      </c>
      <c r="EH156" s="2" t="s">
        <v>94</v>
      </c>
      <c r="EI156" s="2">
        <v>19.801980198019798</v>
      </c>
      <c r="EJ156" s="2">
        <v>4.6204620462046204</v>
      </c>
      <c r="EK156" s="2">
        <v>11.2211221122112</v>
      </c>
      <c r="EL156" s="2">
        <v>15.841584158415801</v>
      </c>
      <c r="EM156" s="2" t="s">
        <v>94</v>
      </c>
      <c r="EN156" s="2">
        <v>2</v>
      </c>
      <c r="EO156" s="2">
        <v>2</v>
      </c>
      <c r="EP156" s="2" t="s">
        <v>94</v>
      </c>
      <c r="EQ156" s="2" t="s">
        <v>94</v>
      </c>
      <c r="ER156" s="2" t="s">
        <v>94</v>
      </c>
      <c r="ES156" s="2" t="s">
        <v>94</v>
      </c>
      <c r="ET156" s="2" t="str">
        <f>HYPERLINK(".\links\REFSEQ-INVERTEBRATE\AGAP003726-PA-REFSEQ-INVERTEBRATE.txt","AGAP003726-PA")</f>
        <v>AGAP003726-PA</v>
      </c>
      <c r="EU156" s="2" t="str">
        <f>HYPERLINK("http://www.ncbi.nlm.nih.gov/sutils/blink.cgi?pid=XP_310257.6","0.0")</f>
        <v>0.0</v>
      </c>
      <c r="EV156" s="2" t="str">
        <f>HYPERLINK("http://www.ncbi.nlm.nih.gov/protein/XP_310257.6","XP_310257.6")</f>
        <v>XP_310257.6</v>
      </c>
      <c r="EW156" s="2">
        <v>99</v>
      </c>
      <c r="EX156" s="2">
        <v>99</v>
      </c>
      <c r="EY156" s="2">
        <v>101</v>
      </c>
      <c r="EZ156" s="2" t="s">
        <v>98</v>
      </c>
    </row>
    <row r="157" spans="1:156" x14ac:dyDescent="0.25">
      <c r="A157" s="2" t="s">
        <v>1954</v>
      </c>
      <c r="B157" s="2">
        <v>0.61260153304086995</v>
      </c>
      <c r="C157" s="2">
        <v>1.5290139116499928</v>
      </c>
      <c r="D157" s="2">
        <v>4.3810340398429801</v>
      </c>
      <c r="E157" s="2">
        <v>10.392676331494</v>
      </c>
      <c r="F157" s="2">
        <v>1.26516111884497E-3</v>
      </c>
      <c r="G157" s="2">
        <v>4.9237155147806001E-2</v>
      </c>
      <c r="H157" s="2" t="s">
        <v>1955</v>
      </c>
      <c r="I157" s="2" t="s">
        <v>87</v>
      </c>
      <c r="J157" s="2" t="str">
        <f>HYPERLINK("https://vectorbase.org/vectorbase/app/record/gene/AGAP003997","AGAP003997-RA")</f>
        <v>AGAP003997-RA</v>
      </c>
      <c r="K157" s="2" t="str">
        <f>HYPERLINK(".\links\pep\AGAP003997-PA-pep.txt","AGAP003997-PA")</f>
        <v>AGAP003997-PA</v>
      </c>
      <c r="L157" s="8" t="s">
        <v>88</v>
      </c>
      <c r="M157" s="2">
        <v>476</v>
      </c>
      <c r="N157" s="2">
        <v>0</v>
      </c>
      <c r="O157" s="2">
        <v>1</v>
      </c>
      <c r="P157" s="2" t="s">
        <v>1956</v>
      </c>
      <c r="Q157" s="9" t="s">
        <v>1957</v>
      </c>
      <c r="R157" s="2" t="s">
        <v>318</v>
      </c>
      <c r="S157" s="2" t="str">
        <f>HYPERLINK(".\links\CDD\AGAP003997-PA-CDD.txt","CDD")</f>
        <v>CDD</v>
      </c>
      <c r="T157" s="2">
        <v>0</v>
      </c>
      <c r="U157" s="2">
        <v>102.4</v>
      </c>
      <c r="V157" s="2" t="s">
        <v>1958</v>
      </c>
      <c r="W157" s="10" t="s">
        <v>1959</v>
      </c>
      <c r="X157" s="2" t="s">
        <v>318</v>
      </c>
      <c r="Y157" s="2" t="str">
        <f>HYPERLINK(".\links\REFSEQ-PROTOZOA\AGAP003997-PA-REFSEQ-PROTOZOA.txt","REFSEQ-PROTOZOA")</f>
        <v>REFSEQ-PROTOZOA</v>
      </c>
      <c r="Z157" s="13">
        <v>0</v>
      </c>
      <c r="AA157" s="2">
        <v>84.4</v>
      </c>
      <c r="AB157" s="11" t="str">
        <f>HYPERLINK(".\links\pep\AGAP003997-PA-sulf.txt","1")</f>
        <v>1</v>
      </c>
      <c r="AC157" s="11" t="str">
        <f>HYPERLINK(".\links\Sigp\AGAP003997-PA-SigP.txt","CYT")</f>
        <v>CYT</v>
      </c>
      <c r="AD157" s="2" t="s">
        <v>94</v>
      </c>
      <c r="AE157" s="2">
        <v>52.963000000000001</v>
      </c>
      <c r="AF157" s="2">
        <v>9.23</v>
      </c>
      <c r="AG157" s="2" t="s">
        <v>94</v>
      </c>
      <c r="AH157" s="2" t="s">
        <v>94</v>
      </c>
      <c r="AI157" s="2" t="s">
        <v>1960</v>
      </c>
      <c r="AJ157" s="11">
        <v>0</v>
      </c>
      <c r="AK157" s="2" t="s">
        <v>94</v>
      </c>
      <c r="AL157" s="2" t="s">
        <v>94</v>
      </c>
      <c r="AM157" s="2" t="s">
        <v>94</v>
      </c>
      <c r="AN157" s="11" t="str">
        <f>HYPERLINK(".\links\gpi\AGAP003997-PA-gpi.txt","N")</f>
        <v>N</v>
      </c>
      <c r="AO157" s="12" t="str">
        <f>HYPERLINK(".\links\netoglyc\AGAP003997-PA-netoglyc.txt","1")</f>
        <v>1</v>
      </c>
      <c r="AP157" s="11">
        <v>12</v>
      </c>
      <c r="AQ157" s="2">
        <v>11.6</v>
      </c>
      <c r="AR157" s="2">
        <v>4.5999999999999996</v>
      </c>
      <c r="AS157" s="2" t="s">
        <v>97</v>
      </c>
      <c r="AT157" s="9" t="str">
        <f>HYPERLINK(".\links\NR-LIGHT\AGAP003997-PA-NR-LIGHT.txt","AGAP003997-PA")</f>
        <v>AGAP003997-PA</v>
      </c>
      <c r="AU157" s="2" t="str">
        <f>HYPERLINK("http://www.ncbi.nlm.nih.gov/sutils/blink.cgi?pid=XP_318454.5","0.0")</f>
        <v>0.0</v>
      </c>
      <c r="AV157" s="2" t="str">
        <f>HYPERLINK("http://www.ncbi.nlm.nih.gov/protein/XP_318454.5","XP_318454.5")</f>
        <v>XP_318454.5</v>
      </c>
      <c r="AW157" s="2">
        <v>100</v>
      </c>
      <c r="AX157" s="2">
        <v>100</v>
      </c>
      <c r="AY157" s="2">
        <v>100</v>
      </c>
      <c r="AZ157" s="2" t="s">
        <v>98</v>
      </c>
      <c r="BA157" s="9" t="str">
        <f>HYPERLINK(".\links\REFSEQ-INVERTEBRATE\AGAP003997-PA-REFSEQ-INVERTEBRATE.txt","AGAP003997-PA")</f>
        <v>AGAP003997-PA</v>
      </c>
      <c r="BB157" s="2" t="str">
        <f>HYPERLINK("http://www.ncbi.nlm.nih.gov/sutils/blink.cgi?pid=XP_318454.5","0.0")</f>
        <v>0.0</v>
      </c>
      <c r="BC157" s="2" t="str">
        <f>HYPERLINK("http://www.ncbi.nlm.nih.gov/protein/XP_318454.5","XP_318454.5")</f>
        <v>XP_318454.5</v>
      </c>
      <c r="BD157" s="2">
        <v>100</v>
      </c>
      <c r="BE157" s="2">
        <v>100</v>
      </c>
      <c r="BF157" s="2">
        <v>100</v>
      </c>
      <c r="BG157" s="2" t="s">
        <v>98</v>
      </c>
      <c r="BH157" s="9" t="str">
        <f>HYPERLINK(".\links\REFSEQ-PROTOZOA\AGAP003997-PA-REFSEQ-PROTOZOA.txt","CK1/CK1/CK1-G protein kinase")</f>
        <v>CK1/CK1/CK1-G protein kinase</v>
      </c>
      <c r="BI157" s="2" t="str">
        <f>HYPERLINK("http://www.ncbi.nlm.nih.gov/sutils/blink.cgi?pid=XP_004998915.1","1E-122")</f>
        <v>1E-122</v>
      </c>
      <c r="BJ157" s="2" t="str">
        <f>HYPERLINK("http://www.ncbi.nlm.nih.gov/protein/XP_004998915.1","XP_004998915.1")</f>
        <v>XP_004998915.1</v>
      </c>
      <c r="BK157" s="2">
        <v>67</v>
      </c>
      <c r="BL157" s="2">
        <v>79</v>
      </c>
      <c r="BM157" s="2">
        <v>83</v>
      </c>
      <c r="BN157" s="2" t="s">
        <v>117</v>
      </c>
      <c r="BO157" s="9" t="str">
        <f>HYPERLINK(".\links\SWISSP\AGAP003997-PA-SWISSP.txt","Casein kinase I isoform gamma-3")</f>
        <v>Casein kinase I isoform gamma-3</v>
      </c>
      <c r="BP157" s="2" t="str">
        <f>HYPERLINK("http://www.uniprot.org/uniprot/Q62763","1E-175")</f>
        <v>1E-175</v>
      </c>
      <c r="BQ157" s="2" t="str">
        <f>HYPERLINK("http://www.uniprot.org/uniprot/Q62763#expression","Q62763")</f>
        <v>Q62763</v>
      </c>
      <c r="BR157" s="2">
        <v>72</v>
      </c>
      <c r="BS157" s="2">
        <v>80</v>
      </c>
      <c r="BT157" s="2">
        <v>97</v>
      </c>
      <c r="BU157" s="2" t="s">
        <v>177</v>
      </c>
      <c r="BV157" s="9" t="str">
        <f>HYPERLINK(".\links\FLYBASE\AGAP003997-PA-FLYBASE.txt","FBpp0099737")</f>
        <v>FBpp0099737</v>
      </c>
      <c r="BW157" s="2" t="str">
        <f>HYPERLINK("http://flybase.org/reports/FBgn0250823#alliance_summary_container","0.0")</f>
        <v>0.0</v>
      </c>
      <c r="BX157" s="2">
        <v>476</v>
      </c>
      <c r="BY157" s="2">
        <v>84</v>
      </c>
      <c r="BZ157" s="2">
        <v>89</v>
      </c>
      <c r="CA157" s="2">
        <v>97</v>
      </c>
      <c r="CB157" s="9" t="str">
        <f>HYPERLINK(".\links\CDD\AGAP003997-PA-CDD.txt","STKc_CK1_gamma, Catalytic domain of the Serine/Threonine protein kinase, Casein Kinase 1 gamma")</f>
        <v>STKc_CK1_gamma, Catalytic domain of the Serine/Threonine protein kinase, Casein Kinase 1 gamma</v>
      </c>
      <c r="CC157" s="13">
        <v>9.9999999999999995E-178</v>
      </c>
      <c r="CD157" s="2">
        <v>102.4</v>
      </c>
      <c r="CE157" s="2" t="s">
        <v>1961</v>
      </c>
      <c r="CF157" s="2" t="s">
        <v>1962</v>
      </c>
      <c r="CG157" s="9" t="str">
        <f>HYPERLINK(".\links\KOG\AGAP003997-PA-KOG.txt","Casein kinase (serine/threonine/tyrosine protein kinase)")</f>
        <v>Casein kinase (serine/threonine/tyrosine protein kinase)</v>
      </c>
      <c r="CH157" s="13">
        <v>0</v>
      </c>
      <c r="CI157" s="2">
        <v>99.3</v>
      </c>
      <c r="CJ157" s="2" t="s">
        <v>1963</v>
      </c>
      <c r="CK157" s="2" t="s">
        <v>326</v>
      </c>
      <c r="CL157" s="9" t="str">
        <f>HYPERLINK(".\links\PFAM\AGAP003997-PA-PFAM.txt","CK1gamma_C, Casein kinase 1 gamma C terminal")</f>
        <v>CK1gamma_C, Casein kinase 1 gamma C terminal</v>
      </c>
      <c r="CM157" s="13">
        <v>1.9999999999999999E-23</v>
      </c>
      <c r="CN157" s="2">
        <v>102.3</v>
      </c>
      <c r="CO157" s="2" t="s">
        <v>1964</v>
      </c>
      <c r="CP157" s="9" t="str">
        <f>HYPERLINK(".\links\SMART\AGAP003997-PA-SMART.txt","S_TKc, Serine/Threonine protein kinases, catalytic domain")</f>
        <v>S_TKc, Serine/Threonine protein kinases, catalytic domain</v>
      </c>
      <c r="CQ157" s="13">
        <v>5.0000000000000002E-27</v>
      </c>
      <c r="CR157" s="2">
        <v>95.7</v>
      </c>
      <c r="CS157" s="2" t="s">
        <v>629</v>
      </c>
      <c r="CT157" s="2" t="s">
        <v>1958</v>
      </c>
      <c r="CU157" s="2" t="s">
        <v>1958</v>
      </c>
      <c r="CV157" s="2" t="s">
        <v>1958</v>
      </c>
      <c r="CW157" s="2" t="str">
        <f>HYPERLINK(".\links\pep\AGAP003997-PA-pep.txt","AGAP003997-PA")</f>
        <v>AGAP003997-PA</v>
      </c>
      <c r="CX157" s="2" t="s">
        <v>88</v>
      </c>
      <c r="CY157" s="2">
        <v>476</v>
      </c>
      <c r="CZ157" s="2" t="s">
        <v>106</v>
      </c>
      <c r="DA157" s="2" t="s">
        <v>1965</v>
      </c>
      <c r="DB157" s="2">
        <v>0</v>
      </c>
      <c r="DC157" s="2">
        <v>1</v>
      </c>
      <c r="DD157" s="2" t="str">
        <f>HYPERLINK("https://www.kegg.jp/kegg-bin/search_pathway_text?map=aga&amp;keyword=AGAP003997&amp;mode=1&amp;viewImage=true","AGAP003997")</f>
        <v>AGAP003997</v>
      </c>
      <c r="DE157" s="2" t="s">
        <v>1954</v>
      </c>
      <c r="DF157" s="2" t="s">
        <v>1955</v>
      </c>
      <c r="DG157" s="2" t="s">
        <v>87</v>
      </c>
      <c r="DH157" s="2" t="str">
        <f>HYPERLINK("https://vectorbase.org/vectorbase/app/record/gene/AGAP003997","AGAP003997-RA")</f>
        <v>AGAP003997-RA</v>
      </c>
      <c r="DI157" s="2" t="s">
        <v>250</v>
      </c>
      <c r="DJ157" s="2">
        <v>1431</v>
      </c>
      <c r="DK157" s="2" t="str">
        <f>HYPERLINK(".\links\netoglyc\AGAP003997-PA-netoglyc.txt","1")</f>
        <v>1</v>
      </c>
      <c r="DL157" s="2">
        <v>12</v>
      </c>
      <c r="DM157" s="2">
        <v>11.6</v>
      </c>
      <c r="DN157" s="2">
        <v>4.5999999999999996</v>
      </c>
      <c r="DO157" s="2" t="s">
        <v>97</v>
      </c>
      <c r="DP157" s="2" t="s">
        <v>94</v>
      </c>
      <c r="DQ157" s="2" t="str">
        <f>HYPERLINK(".\links\Sigp\AGAP003997-PA-SigP.txt","CYT")</f>
        <v>CYT</v>
      </c>
      <c r="DR157" s="2" t="s">
        <v>94</v>
      </c>
      <c r="DS157" s="2">
        <v>52.963000000000001</v>
      </c>
      <c r="DT157" s="2">
        <v>9.23</v>
      </c>
      <c r="DU157" s="2" t="s">
        <v>94</v>
      </c>
      <c r="DV157" s="2" t="s">
        <v>94</v>
      </c>
      <c r="DW157" s="2" t="s">
        <v>1960</v>
      </c>
      <c r="DX157" s="2">
        <v>476</v>
      </c>
      <c r="DY157" s="8">
        <v>0</v>
      </c>
      <c r="DZ157" s="2" t="s">
        <v>94</v>
      </c>
      <c r="EA157" s="2" t="s">
        <v>94</v>
      </c>
      <c r="EB157" s="2" t="s">
        <v>94</v>
      </c>
      <c r="EC157" s="2" t="str">
        <f>HYPERLINK(".\links\gpi\AGAP003997-PA-gpi.txt","N")</f>
        <v>N</v>
      </c>
      <c r="ED157" s="2">
        <v>0.22</v>
      </c>
      <c r="EF157" s="2">
        <v>7</v>
      </c>
      <c r="EG157" s="2" t="str">
        <f>HYPERLINK(".\links\pep\AGAP003997-PA-sulf.txt","1")</f>
        <v>1</v>
      </c>
      <c r="EH157" s="2" t="s">
        <v>94</v>
      </c>
      <c r="EI157" s="2">
        <v>11.974789915966401</v>
      </c>
      <c r="EJ157" s="2">
        <v>4.6218487394957997</v>
      </c>
      <c r="EK157" s="2">
        <v>11.554621848739499</v>
      </c>
      <c r="EL157" s="2">
        <v>16.176470588235301</v>
      </c>
      <c r="EM157" s="2" t="s">
        <v>94</v>
      </c>
      <c r="EN157" s="2">
        <v>2</v>
      </c>
      <c r="EO157" s="2">
        <v>2</v>
      </c>
      <c r="EP157" s="2" t="s">
        <v>94</v>
      </c>
      <c r="EQ157" s="2" t="s">
        <v>94</v>
      </c>
      <c r="ER157" s="2" t="s">
        <v>94</v>
      </c>
      <c r="ES157" s="2" t="s">
        <v>94</v>
      </c>
      <c r="ET157" s="2" t="str">
        <f>HYPERLINK(".\links\REFSEQ-INVERTEBRATE\AGAP003997-PA-REFSEQ-INVERTEBRATE.txt","AGAP003997-PA")</f>
        <v>AGAP003997-PA</v>
      </c>
      <c r="EU157" s="2" t="str">
        <f>HYPERLINK("http://www.ncbi.nlm.nih.gov/sutils/blink.cgi?pid=XP_318454.5","0.0")</f>
        <v>0.0</v>
      </c>
      <c r="EV157" s="2" t="str">
        <f>HYPERLINK("http://www.ncbi.nlm.nih.gov/protein/XP_318454.5","XP_318454.5")</f>
        <v>XP_318454.5</v>
      </c>
      <c r="EW157" s="2">
        <v>100</v>
      </c>
      <c r="EX157" s="2">
        <v>100</v>
      </c>
      <c r="EY157" s="2">
        <v>100</v>
      </c>
      <c r="EZ157" s="2" t="s">
        <v>98</v>
      </c>
    </row>
    <row r="158" spans="1:156" x14ac:dyDescent="0.25">
      <c r="A158" s="2" t="s">
        <v>1966</v>
      </c>
      <c r="B158" s="2">
        <v>0.60750762909635603</v>
      </c>
      <c r="C158" s="2">
        <v>1.5236247505566038</v>
      </c>
      <c r="D158" s="2">
        <v>5.8214624256787504</v>
      </c>
      <c r="E158" s="2">
        <v>11.5402649363353</v>
      </c>
      <c r="F158" s="2">
        <v>6.8104934151672698E-4</v>
      </c>
      <c r="G158" s="2">
        <v>3.1417968891335003E-2</v>
      </c>
      <c r="H158" s="2" t="s">
        <v>1967</v>
      </c>
      <c r="I158" s="2" t="s">
        <v>87</v>
      </c>
      <c r="J158" s="2" t="str">
        <f>HYPERLINK("https://vectorbase.org/vectorbase/app/record/gene/AGAP007181","AGAP007181-RA")</f>
        <v>AGAP007181-RA</v>
      </c>
      <c r="K158" s="2" t="str">
        <f>HYPERLINK(".\links\pep\AGAP007181-PA-pep.txt","AGAP007181-PA")</f>
        <v>AGAP007181-PA</v>
      </c>
      <c r="L158" s="8" t="s">
        <v>88</v>
      </c>
      <c r="M158" s="2">
        <v>735</v>
      </c>
      <c r="N158" s="2">
        <v>0</v>
      </c>
      <c r="O158" s="2">
        <v>1</v>
      </c>
      <c r="P158" s="2" t="s">
        <v>1968</v>
      </c>
      <c r="Q158" s="9" t="s">
        <v>1969</v>
      </c>
      <c r="R158" s="2" t="s">
        <v>238</v>
      </c>
      <c r="S158" s="2" t="str">
        <f>HYPERLINK(".\links\KOG\AGAP007181-PA-KOG.txt","KOG")</f>
        <v>KOG</v>
      </c>
      <c r="T158" s="2">
        <v>1.9999999999999999E-80</v>
      </c>
      <c r="U158" s="2">
        <v>63.2</v>
      </c>
      <c r="V158" s="2" t="s">
        <v>1970</v>
      </c>
      <c r="W158" s="10" t="s">
        <v>1971</v>
      </c>
      <c r="X158" s="2" t="s">
        <v>238</v>
      </c>
      <c r="Y158" s="2" t="str">
        <f>HYPERLINK(".\links\KOG\AGAP007181-PA-KOG.txt","KOG")</f>
        <v>KOG</v>
      </c>
      <c r="Z158" s="13">
        <v>4.0000000000000003E-68</v>
      </c>
      <c r="AA158" s="2">
        <v>37.299999999999997</v>
      </c>
      <c r="AB158" s="11" t="str">
        <f>HYPERLINK(".\links\pep\AGAP007181-PA-sulf.txt","2")</f>
        <v>2</v>
      </c>
      <c r="AC158" s="11" t="str">
        <f>HYPERLINK(".\links\Sigp\AGAP007181-PA-SigP.txt","CYT")</f>
        <v>CYT</v>
      </c>
      <c r="AD158" s="2" t="s">
        <v>94</v>
      </c>
      <c r="AE158" s="2">
        <v>79.811000000000007</v>
      </c>
      <c r="AF158" s="2">
        <v>9.49</v>
      </c>
      <c r="AG158" s="2" t="s">
        <v>94</v>
      </c>
      <c r="AH158" s="2" t="s">
        <v>94</v>
      </c>
      <c r="AI158" s="2" t="s">
        <v>463</v>
      </c>
      <c r="AJ158" s="11">
        <v>0</v>
      </c>
      <c r="AK158" s="2" t="s">
        <v>94</v>
      </c>
      <c r="AL158" s="2" t="s">
        <v>94</v>
      </c>
      <c r="AM158" s="2" t="s">
        <v>94</v>
      </c>
      <c r="AN158" s="11" t="str">
        <f>HYPERLINK(".\links\gpi\AGAP007181-PA-gpi.txt","N")</f>
        <v>N</v>
      </c>
      <c r="AO158" s="12" t="str">
        <f>HYPERLINK(".\links\netoglyc\AGAP007181-PA-netoglyc.txt","9")</f>
        <v>9</v>
      </c>
      <c r="AP158" s="11">
        <v>14.6</v>
      </c>
      <c r="AQ158" s="2">
        <v>8</v>
      </c>
      <c r="AR158" s="2">
        <v>6.7</v>
      </c>
      <c r="AS158" s="2">
        <v>0.4</v>
      </c>
      <c r="AT158" s="9" t="str">
        <f>HYPERLINK(".\links\NR-LIGHT\AGAP007181-PA-NR-LIGHT.txt","AGAP007181-PB")</f>
        <v>AGAP007181-PB</v>
      </c>
      <c r="AU158" s="2" t="str">
        <f>HYPERLINK("http://www.ncbi.nlm.nih.gov/sutils/blink.cgi?pid=XP_565017.3","0.0")</f>
        <v>0.0</v>
      </c>
      <c r="AV158" s="2" t="str">
        <f>HYPERLINK("http://www.ncbi.nlm.nih.gov/protein/XP_565017.3","XP_565017.3")</f>
        <v>XP_565017.3</v>
      </c>
      <c r="AW158" s="2">
        <v>99</v>
      </c>
      <c r="AX158" s="2">
        <v>99</v>
      </c>
      <c r="AY158" s="2">
        <v>61</v>
      </c>
      <c r="AZ158" s="2" t="s">
        <v>98</v>
      </c>
      <c r="BA158" s="9" t="str">
        <f>HYPERLINK(".\links\REFSEQ-INVERTEBRATE\AGAP007181-PA-REFSEQ-INVERTEBRATE.txt","AGAP007181-PB")</f>
        <v>AGAP007181-PB</v>
      </c>
      <c r="BB158" s="2" t="str">
        <f>HYPERLINK("http://www.ncbi.nlm.nih.gov/sutils/blink.cgi?pid=XP_565017.3","0.0")</f>
        <v>0.0</v>
      </c>
      <c r="BC158" s="2" t="str">
        <f>HYPERLINK("http://www.ncbi.nlm.nih.gov/protein/XP_565017.3","XP_565017.3")</f>
        <v>XP_565017.3</v>
      </c>
      <c r="BD158" s="2">
        <v>99</v>
      </c>
      <c r="BE158" s="2">
        <v>99</v>
      </c>
      <c r="BF158" s="2">
        <v>61</v>
      </c>
      <c r="BG158" s="2" t="s">
        <v>98</v>
      </c>
      <c r="BH158" s="9" t="str">
        <f>HYPERLINK(".\links\REFSEQ-PROTOZOA\AGAP007181-PA-REFSEQ-PROTOZOA.txt","villin headpiece domain containing protein")</f>
        <v>villin headpiece domain containing protein</v>
      </c>
      <c r="BI158" s="2" t="str">
        <f>HYPERLINK("http://www.ncbi.nlm.nih.gov/sutils/blink.cgi?pid=XP_004336986.1","4E-014")</f>
        <v>4E-014</v>
      </c>
      <c r="BJ158" s="2" t="str">
        <f>HYPERLINK("http://www.ncbi.nlm.nih.gov/protein/XP_004336986.1","XP_004336986.1")</f>
        <v>XP_004336986.1</v>
      </c>
      <c r="BK158" s="2">
        <v>24</v>
      </c>
      <c r="BL158" s="2">
        <v>43</v>
      </c>
      <c r="BM158" s="2">
        <v>18</v>
      </c>
      <c r="BN158" s="2" t="s">
        <v>527</v>
      </c>
      <c r="BO158" s="9" t="str">
        <f>HYPERLINK(".\links\SWISSP\AGAP007181-PA-SWISSP.txt","Supervillin")</f>
        <v>Supervillin</v>
      </c>
      <c r="BP158" s="2" t="str">
        <f>HYPERLINK("http://www.uniprot.org/uniprot/O95425","5E-074")</f>
        <v>5E-074</v>
      </c>
      <c r="BQ158" s="2" t="str">
        <f>HYPERLINK("http://www.uniprot.org/uniprot/O95425#expression","O95425")</f>
        <v>O95425</v>
      </c>
      <c r="BR158" s="2">
        <v>43</v>
      </c>
      <c r="BS158" s="2">
        <v>63</v>
      </c>
      <c r="BT158" s="2">
        <v>15</v>
      </c>
      <c r="BU158" s="2" t="s">
        <v>196</v>
      </c>
      <c r="BV158" s="9" t="str">
        <f>HYPERLINK(".\links\FLYBASE\AGAP007181-PA-FLYBASE.txt","FBpp0311332")</f>
        <v>FBpp0311332</v>
      </c>
      <c r="BW158" s="2" t="str">
        <f>HYPERLINK("http://flybase.org/reports/FBgn0266696#alliance_summary_container","0.0")</f>
        <v>0.0</v>
      </c>
      <c r="BX158" s="2">
        <v>1156</v>
      </c>
      <c r="BY158" s="2">
        <v>47</v>
      </c>
      <c r="BZ158" s="2">
        <v>64</v>
      </c>
      <c r="CA158" s="2">
        <v>56</v>
      </c>
      <c r="CB158" s="9" t="str">
        <f>HYPERLINK(".\links\CDD\AGAP007181-PA-CDD.txt","gelsolin_S2_like, Gelsolin sub-domain 2-like domain found in gelsolin, severin, villin, and related proteins")</f>
        <v>gelsolin_S2_like, Gelsolin sub-domain 2-like domain found in gelsolin, severin, villin, and related proteins</v>
      </c>
      <c r="CC158" s="13">
        <v>2.0000000000000001E-17</v>
      </c>
      <c r="CD158" s="2">
        <v>105.4</v>
      </c>
      <c r="CE158" s="2" t="s">
        <v>1972</v>
      </c>
      <c r="CF158" s="2" t="s">
        <v>1973</v>
      </c>
      <c r="CG158" s="9" t="str">
        <f>HYPERLINK(".\links\KOG\AGAP007181-PA-KOG.txt","Actin regulatory protein supervillin (gelsolin/villin family)")</f>
        <v>Actin regulatory protein supervillin (gelsolin/villin family)</v>
      </c>
      <c r="CH158" s="13">
        <v>1.9999999999999999E-80</v>
      </c>
      <c r="CI158" s="2">
        <v>63.2</v>
      </c>
      <c r="CJ158" s="2" t="s">
        <v>1974</v>
      </c>
      <c r="CK158" s="2" t="s">
        <v>246</v>
      </c>
      <c r="CL158" s="9" t="str">
        <f>HYPERLINK(".\links\PFAM\AGAP007181-PA-PFAM.txt","PAT1, Topoisomerase II-associated protein PAT1")</f>
        <v>PAT1, Topoisomerase II-associated protein PAT1</v>
      </c>
      <c r="CM158" s="13">
        <v>1.6E-2</v>
      </c>
      <c r="CN158" s="2">
        <v>6.8</v>
      </c>
      <c r="CO158" s="2" t="s">
        <v>1055</v>
      </c>
      <c r="CP158" s="9" t="str">
        <f>HYPERLINK(".\links\SMART\AGAP007181-PA-SMART.txt","GEL, Gelsolin homology domain")</f>
        <v>GEL, Gelsolin homology domain</v>
      </c>
      <c r="CQ158" s="13">
        <v>2E-8</v>
      </c>
      <c r="CR158" s="2">
        <v>104.4</v>
      </c>
      <c r="CS158" s="2" t="s">
        <v>1295</v>
      </c>
      <c r="CT158" s="2" t="s">
        <v>1970</v>
      </c>
      <c r="CU158" s="2" t="s">
        <v>1970</v>
      </c>
      <c r="CV158" s="2" t="s">
        <v>1970</v>
      </c>
      <c r="CW158" s="2" t="str">
        <f>HYPERLINK(".\links\pep\AGAP007181-PA-pep.txt","AGAP007181-PA")</f>
        <v>AGAP007181-PA</v>
      </c>
      <c r="CX158" s="2" t="s">
        <v>88</v>
      </c>
      <c r="CY158" s="2">
        <v>735</v>
      </c>
      <c r="CZ158" s="2" t="s">
        <v>106</v>
      </c>
      <c r="DA158" s="2" t="s">
        <v>1975</v>
      </c>
      <c r="DB158" s="2">
        <v>0</v>
      </c>
      <c r="DC158" s="2">
        <v>1</v>
      </c>
      <c r="DD158" s="2" t="str">
        <f>HYPERLINK("https://www.kegg.jp/kegg-bin/search_pathway_text?map=aga&amp;keyword=AGAP007181&amp;mode=1&amp;viewImage=true","AGAP007181")</f>
        <v>AGAP007181</v>
      </c>
      <c r="DE158" s="2" t="s">
        <v>1966</v>
      </c>
      <c r="DF158" s="2" t="s">
        <v>1967</v>
      </c>
      <c r="DG158" s="2" t="s">
        <v>87</v>
      </c>
      <c r="DH158" s="2" t="str">
        <f>HYPERLINK("https://vectorbase.org/vectorbase/app/record/gene/AGAP007181","AGAP007181-RA")</f>
        <v>AGAP007181-RA</v>
      </c>
      <c r="DI158" s="2" t="s">
        <v>125</v>
      </c>
      <c r="DJ158" s="2">
        <v>6887</v>
      </c>
      <c r="DK158" s="2" t="str">
        <f>HYPERLINK(".\links\netoglyc\AGAP007181-PA-netoglyc.txt","9")</f>
        <v>9</v>
      </c>
      <c r="DL158" s="2">
        <v>14.6</v>
      </c>
      <c r="DM158" s="2">
        <v>8</v>
      </c>
      <c r="DN158" s="2">
        <v>6.7</v>
      </c>
      <c r="DO158" s="2">
        <v>0.4</v>
      </c>
      <c r="DP158" s="2" t="s">
        <v>1976</v>
      </c>
      <c r="DQ158" s="2" t="str">
        <f>HYPERLINK(".\links\Sigp\AGAP007181-PA-SigP.txt","CYT")</f>
        <v>CYT</v>
      </c>
      <c r="DR158" s="2" t="s">
        <v>94</v>
      </c>
      <c r="DS158" s="2">
        <v>79.811000000000007</v>
      </c>
      <c r="DT158" s="2">
        <v>9.49</v>
      </c>
      <c r="DU158" s="2" t="s">
        <v>94</v>
      </c>
      <c r="DV158" s="2" t="s">
        <v>94</v>
      </c>
      <c r="DW158" s="2" t="s">
        <v>463</v>
      </c>
      <c r="DX158" s="2">
        <v>735</v>
      </c>
      <c r="DY158" s="8">
        <v>0</v>
      </c>
      <c r="DZ158" s="2" t="s">
        <v>94</v>
      </c>
      <c r="EA158" s="2" t="s">
        <v>94</v>
      </c>
      <c r="EB158" s="2" t="s">
        <v>94</v>
      </c>
      <c r="EC158" s="2" t="str">
        <f>HYPERLINK(".\links\gpi\AGAP007181-PA-gpi.txt","Y-NoSP")</f>
        <v>Y-NoSP</v>
      </c>
      <c r="ED158" s="2">
        <v>0.23</v>
      </c>
      <c r="EF158" s="2">
        <v>9</v>
      </c>
      <c r="EG158" s="2" t="str">
        <f>HYPERLINK(".\links\pep\AGAP007181-PA-sulf.txt","2")</f>
        <v>2</v>
      </c>
      <c r="EH158" s="2" t="s">
        <v>94</v>
      </c>
      <c r="EI158" s="2">
        <v>14.5578231292517</v>
      </c>
      <c r="EJ158" s="2">
        <v>6.6666666666666696</v>
      </c>
      <c r="EK158" s="2">
        <v>8.0272108843537406</v>
      </c>
      <c r="EL158" s="2">
        <v>14.6938775510204</v>
      </c>
      <c r="EM158" s="2" t="s">
        <v>94</v>
      </c>
      <c r="EN158" s="2">
        <v>1</v>
      </c>
      <c r="EO158" s="2">
        <v>6</v>
      </c>
      <c r="EP158" s="2" t="s">
        <v>94</v>
      </c>
      <c r="EQ158" s="2" t="s">
        <v>94</v>
      </c>
      <c r="ER158" s="2" t="s">
        <v>94</v>
      </c>
      <c r="ES158" s="2" t="s">
        <v>94</v>
      </c>
      <c r="ET158" s="2" t="str">
        <f>HYPERLINK(".\links\REFSEQ-INVERTEBRATE\AGAP007181-PA-REFSEQ-INVERTEBRATE.txt","AGAP007181-PB")</f>
        <v>AGAP007181-PB</v>
      </c>
      <c r="EU158" s="2" t="str">
        <f>HYPERLINK("http://www.ncbi.nlm.nih.gov/sutils/blink.cgi?pid=XP_565017.3","0.0")</f>
        <v>0.0</v>
      </c>
      <c r="EV158" s="2" t="str">
        <f>HYPERLINK("http://www.ncbi.nlm.nih.gov/protein/XP_565017.3","XP_565017.3")</f>
        <v>XP_565017.3</v>
      </c>
      <c r="EW158" s="2">
        <v>99</v>
      </c>
      <c r="EX158" s="2">
        <v>99</v>
      </c>
      <c r="EY158" s="2">
        <v>61</v>
      </c>
      <c r="EZ158" s="2" t="s">
        <v>98</v>
      </c>
    </row>
    <row r="159" spans="1:156" x14ac:dyDescent="0.25">
      <c r="A159" s="2" t="s">
        <v>1977</v>
      </c>
      <c r="B159" s="2">
        <v>0.60504047311687403</v>
      </c>
      <c r="C159" s="2">
        <v>1.5210214231141186</v>
      </c>
      <c r="D159" s="2">
        <v>5.3788876746950098</v>
      </c>
      <c r="E159" s="2">
        <v>14.667717826914901</v>
      </c>
      <c r="F159" s="2">
        <v>1.28223651990956E-4</v>
      </c>
      <c r="G159" s="2">
        <v>8.7238206969673902E-3</v>
      </c>
      <c r="H159" s="2" t="s">
        <v>1978</v>
      </c>
      <c r="I159" s="2" t="s">
        <v>87</v>
      </c>
      <c r="J159" s="2" t="str">
        <f>HYPERLINK("https://vectorbase.org/vectorbase/app/record/gene/AGAP002161","AGAP002161-RA")</f>
        <v>AGAP002161-RA</v>
      </c>
      <c r="K159" s="2" t="str">
        <f>HYPERLINK(".\links\pep\AGAP002161-PA-pep.txt","AGAP002161-PA")</f>
        <v>AGAP002161-PA</v>
      </c>
      <c r="L159" s="8" t="s">
        <v>88</v>
      </c>
      <c r="M159" s="2">
        <v>571</v>
      </c>
      <c r="N159" s="2">
        <v>0</v>
      </c>
      <c r="O159" s="2">
        <v>1</v>
      </c>
      <c r="P159" s="2" t="s">
        <v>1979</v>
      </c>
      <c r="Q159" s="9" t="s">
        <v>1980</v>
      </c>
      <c r="R159" s="2" t="s">
        <v>318</v>
      </c>
      <c r="S159" s="2" t="str">
        <f>HYPERLINK(".\links\KOG\AGAP002161-PA-KOG.txt","KOG")</f>
        <v>KOG</v>
      </c>
      <c r="T159" s="2">
        <v>0</v>
      </c>
      <c r="U159" s="2">
        <v>47.8</v>
      </c>
      <c r="V159" s="2" t="s">
        <v>1981</v>
      </c>
      <c r="W159" s="10" t="s">
        <v>1982</v>
      </c>
      <c r="X159" s="2" t="s">
        <v>318</v>
      </c>
      <c r="Y159" s="2" t="str">
        <f>HYPERLINK(".\links\REFSEQ-PROTOZOA\AGAP002161-PA-REFSEQ-PROTOZOA.txt","REFSEQ-PROTOZOA")</f>
        <v>REFSEQ-PROTOZOA</v>
      </c>
      <c r="Z159" s="2">
        <v>0</v>
      </c>
      <c r="AA159" s="2">
        <v>101.2</v>
      </c>
      <c r="AB159" s="11" t="str">
        <f>HYPERLINK(".\links\pep\AGAP002161-PA-sulf.txt","2")</f>
        <v>2</v>
      </c>
      <c r="AC159" s="11" t="str">
        <f>HYPERLINK(".\links\Sigp\AGAP002161-PA-SigP.txt","CYT")</f>
        <v>CYT</v>
      </c>
      <c r="AD159" s="2" t="s">
        <v>94</v>
      </c>
      <c r="AE159" s="2">
        <v>64.427000000000007</v>
      </c>
      <c r="AF159" s="2">
        <v>5.97</v>
      </c>
      <c r="AG159" s="2" t="s">
        <v>94</v>
      </c>
      <c r="AH159" s="2" t="s">
        <v>94</v>
      </c>
      <c r="AI159" s="2" t="s">
        <v>1983</v>
      </c>
      <c r="AJ159" s="11">
        <v>0</v>
      </c>
      <c r="AK159" s="2" t="s">
        <v>94</v>
      </c>
      <c r="AL159" s="2" t="s">
        <v>94</v>
      </c>
      <c r="AM159" s="2" t="s">
        <v>94</v>
      </c>
      <c r="AN159" s="11" t="str">
        <f>HYPERLINK(".\links\gpi\AGAP002161-PA-gpi.txt","N")</f>
        <v>N</v>
      </c>
      <c r="AO159" s="12" t="str">
        <f>HYPERLINK(".\links\netoglyc\AGAP002161-PA-netoglyc.txt","7")</f>
        <v>7</v>
      </c>
      <c r="AP159" s="11">
        <v>16.100000000000001</v>
      </c>
      <c r="AQ159" s="2">
        <v>6</v>
      </c>
      <c r="AR159" s="2">
        <v>5.0999999999999996</v>
      </c>
      <c r="AS159" s="2" t="s">
        <v>97</v>
      </c>
      <c r="AT159" s="9" t="str">
        <f>HYPERLINK(".\links\NR-LIGHT\AGAP002161-PA-NR-LIGHT.txt","AGAP002161-PA")</f>
        <v>AGAP002161-PA</v>
      </c>
      <c r="AU159" s="2" t="str">
        <f>HYPERLINK("http://www.ncbi.nlm.nih.gov/sutils/blink.cgi?pid=XP_308030.5","0.0")</f>
        <v>0.0</v>
      </c>
      <c r="AV159" s="2" t="str">
        <f>HYPERLINK("http://www.ncbi.nlm.nih.gov/protein/XP_308030.5","XP_308030.5")</f>
        <v>XP_308030.5</v>
      </c>
      <c r="AW159" s="2">
        <v>100</v>
      </c>
      <c r="AX159" s="2">
        <v>100</v>
      </c>
      <c r="AY159" s="2">
        <v>100</v>
      </c>
      <c r="AZ159" s="2" t="s">
        <v>98</v>
      </c>
      <c r="BA159" s="9" t="str">
        <f>HYPERLINK(".\links\REFSEQ-INVERTEBRATE\AGAP002161-PA-REFSEQ-INVERTEBRATE.txt","AGAP002161-PB")</f>
        <v>AGAP002161-PB</v>
      </c>
      <c r="BB159" s="2" t="str">
        <f>HYPERLINK("http://www.ncbi.nlm.nih.gov/sutils/blink.cgi?pid=XP_003436044.1","0.0")</f>
        <v>0.0</v>
      </c>
      <c r="BC159" s="2" t="str">
        <f>HYPERLINK("http://www.ncbi.nlm.nih.gov/protein/XP_003436044.1","XP_003436044.1")</f>
        <v>XP_003436044.1</v>
      </c>
      <c r="BD159" s="2">
        <v>100</v>
      </c>
      <c r="BE159" s="2">
        <v>100</v>
      </c>
      <c r="BF159" s="2">
        <v>100</v>
      </c>
      <c r="BG159" s="2" t="s">
        <v>98</v>
      </c>
      <c r="BH159" s="9" t="str">
        <f>HYPERLINK(".\links\REFSEQ-PROTOZOA\AGAP002161-PA-REFSEQ-PROTOZOA.txt","akt protein")</f>
        <v>akt protein</v>
      </c>
      <c r="BI159" s="2" t="str">
        <f>HYPERLINK("http://www.ncbi.nlm.nih.gov/sutils/blink.cgi?pid=XP_004347512.2","1E-155")</f>
        <v>1E-155</v>
      </c>
      <c r="BJ159" s="2" t="str">
        <f>HYPERLINK("http://www.ncbi.nlm.nih.gov/protein/XP_004347512.2","XP_004347512.2")</f>
        <v>XP_004347512.2</v>
      </c>
      <c r="BK159" s="2">
        <v>58</v>
      </c>
      <c r="BL159" s="2">
        <v>73</v>
      </c>
      <c r="BM159" s="2">
        <v>98</v>
      </c>
      <c r="BN159" s="2" t="s">
        <v>227</v>
      </c>
      <c r="BO159" s="9" t="str">
        <f>HYPERLINK(".\links\SWISSP\AGAP002161-PA-SWISSP.txt","RAC serine/threonine-protein kinase")</f>
        <v>RAC serine/threonine-protein kinase</v>
      </c>
      <c r="BP159" s="2" t="str">
        <f>HYPERLINK("http://www.uniprot.org/uniprot/Q8INB9","0.0")</f>
        <v>0.0</v>
      </c>
      <c r="BQ159" s="2" t="str">
        <f>HYPERLINK("http://www.uniprot.org/uniprot/Q8INB9#expression","Q8INB9")</f>
        <v>Q8INB9</v>
      </c>
      <c r="BR159" s="2">
        <v>70</v>
      </c>
      <c r="BS159" s="2">
        <v>80</v>
      </c>
      <c r="BT159" s="2">
        <v>92</v>
      </c>
      <c r="BU159" s="2" t="s">
        <v>100</v>
      </c>
      <c r="BV159" s="9" t="str">
        <f>HYPERLINK(".\links\FLYBASE\AGAP002161-PA-FLYBASE.txt","FBpp0082682")</f>
        <v>FBpp0082682</v>
      </c>
      <c r="BW159" s="2" t="str">
        <f>HYPERLINK("http://flybase.org/reports/FBgn0010379#alliance_summary_container","0.0")</f>
        <v>0.0</v>
      </c>
      <c r="BX159" s="2">
        <v>611</v>
      </c>
      <c r="BY159" s="2">
        <v>71</v>
      </c>
      <c r="BZ159" s="2">
        <v>81</v>
      </c>
      <c r="CA159" s="2">
        <v>90</v>
      </c>
      <c r="CB159" s="9" t="str">
        <f>HYPERLINK(".\links\CDD\AGAP002161-PA-CDD.txt","STKc_PKB, Catalytic domain of the Serine/Threonine Kinase, Protein Kinase B")</f>
        <v>STKc_PKB, Catalytic domain of the Serine/Threonine Kinase, Protein Kinase B</v>
      </c>
      <c r="CC159" s="13">
        <v>0</v>
      </c>
      <c r="CD159" s="2">
        <v>99.4</v>
      </c>
      <c r="CE159" s="2" t="s">
        <v>1984</v>
      </c>
      <c r="CF159" s="2" t="s">
        <v>1985</v>
      </c>
      <c r="CG159" s="9" t="str">
        <f>HYPERLINK(".\links\KOG\AGAP002161-PA-KOG.txt","Serine/threonine protein kinase")</f>
        <v>Serine/threonine protein kinase</v>
      </c>
      <c r="CH159" s="13">
        <v>0</v>
      </c>
      <c r="CI159" s="2">
        <v>97.3</v>
      </c>
      <c r="CJ159" s="2" t="s">
        <v>1986</v>
      </c>
      <c r="CK159" s="2" t="s">
        <v>326</v>
      </c>
      <c r="CL159" s="9" t="str">
        <f>HYPERLINK(".\links\PFAM\AGAP002161-PA-PFAM.txt","Pkinase, Protein kinase domain")</f>
        <v>Pkinase, Protein kinase domain</v>
      </c>
      <c r="CM159" s="13">
        <v>8.0000000000000001E-87</v>
      </c>
      <c r="CN159" s="2">
        <v>102.8</v>
      </c>
      <c r="CO159" s="2" t="s">
        <v>628</v>
      </c>
      <c r="CP159" s="9" t="str">
        <f>HYPERLINK(".\links\SMART\AGAP002161-PA-SMART.txt","S_TKc, Serine/Threonine protein kinases, catalytic domain")</f>
        <v>S_TKc, Serine/Threonine protein kinases, catalytic domain</v>
      </c>
      <c r="CQ159" s="13">
        <v>9.9999999999999996E-95</v>
      </c>
      <c r="CR159" s="2">
        <v>103.1</v>
      </c>
      <c r="CS159" s="2" t="s">
        <v>629</v>
      </c>
      <c r="CT159" s="2" t="s">
        <v>1981</v>
      </c>
      <c r="CU159" s="2" t="s">
        <v>1981</v>
      </c>
      <c r="CV159" s="2" t="s">
        <v>1981</v>
      </c>
      <c r="CW159" s="2" t="str">
        <f>HYPERLINK(".\links\pep\AGAP002161-PA-pep.txt","AGAP002161-PA")</f>
        <v>AGAP002161-PA</v>
      </c>
      <c r="CX159" s="2" t="s">
        <v>88</v>
      </c>
      <c r="CY159" s="2">
        <v>571</v>
      </c>
      <c r="CZ159" s="2" t="s">
        <v>106</v>
      </c>
      <c r="DA159" s="2" t="s">
        <v>1987</v>
      </c>
      <c r="DB159" s="2">
        <v>0</v>
      </c>
      <c r="DC159" s="2">
        <v>1</v>
      </c>
      <c r="DD159" s="2" t="str">
        <f>HYPERLINK("https://www.kegg.jp/kegg-bin/search_pathway_text?map=aga&amp;keyword=AGAP002161&amp;mode=1&amp;viewImage=true","AGAP002161")</f>
        <v>AGAP002161</v>
      </c>
      <c r="DE159" s="2" t="s">
        <v>1977</v>
      </c>
      <c r="DF159" s="2" t="s">
        <v>1978</v>
      </c>
      <c r="DG159" s="2" t="s">
        <v>87</v>
      </c>
      <c r="DH159" s="2" t="str">
        <f>HYPERLINK("https://vectorbase.org/vectorbase/app/record/gene/AGAP002161","AGAP002161-RA")</f>
        <v>AGAP002161-RA</v>
      </c>
      <c r="DI159" s="2" t="s">
        <v>250</v>
      </c>
      <c r="DJ159" s="2">
        <v>3187</v>
      </c>
      <c r="DK159" s="2" t="str">
        <f>HYPERLINK(".\links\netoglyc\AGAP002161-PA-netoglyc.txt","7")</f>
        <v>7</v>
      </c>
      <c r="DL159" s="2">
        <v>16.100000000000001</v>
      </c>
      <c r="DM159" s="2">
        <v>6</v>
      </c>
      <c r="DN159" s="2">
        <v>5.0999999999999996</v>
      </c>
      <c r="DO159" s="2" t="s">
        <v>97</v>
      </c>
      <c r="DP159" s="2" t="s">
        <v>94</v>
      </c>
      <c r="DQ159" s="2" t="str">
        <f>HYPERLINK(".\links\Sigp\AGAP002161-PA-SigP.txt","CYT")</f>
        <v>CYT</v>
      </c>
      <c r="DR159" s="2" t="s">
        <v>94</v>
      </c>
      <c r="DS159" s="2">
        <v>64.427000000000007</v>
      </c>
      <c r="DT159" s="2">
        <v>5.97</v>
      </c>
      <c r="DU159" s="2" t="s">
        <v>94</v>
      </c>
      <c r="DV159" s="2" t="s">
        <v>94</v>
      </c>
      <c r="DW159" s="2" t="s">
        <v>1983</v>
      </c>
      <c r="DX159" s="2">
        <v>571</v>
      </c>
      <c r="DY159" s="8">
        <v>0</v>
      </c>
      <c r="DZ159" s="2" t="s">
        <v>94</v>
      </c>
      <c r="EA159" s="2" t="s">
        <v>94</v>
      </c>
      <c r="EB159" s="2" t="s">
        <v>94</v>
      </c>
      <c r="EC159" s="2" t="str">
        <f>HYPERLINK(".\links\gpi\AGAP002161-PA-gpi.txt","N")</f>
        <v>N</v>
      </c>
      <c r="ED159" s="2">
        <v>0.19</v>
      </c>
      <c r="EF159" s="2">
        <v>8</v>
      </c>
      <c r="EG159" s="2" t="str">
        <f>HYPERLINK(".\links\pep\AGAP002161-PA-sulf.txt","2")</f>
        <v>2</v>
      </c>
      <c r="EH159" s="2" t="s">
        <v>94</v>
      </c>
      <c r="EI159" s="2">
        <v>16.112084063047298</v>
      </c>
      <c r="EJ159" s="2">
        <v>5.0788091068301204</v>
      </c>
      <c r="EK159" s="2">
        <v>5.9544658493870397</v>
      </c>
      <c r="EL159" s="2">
        <v>11.0332749562172</v>
      </c>
      <c r="EM159" s="2" t="s">
        <v>94</v>
      </c>
      <c r="EN159" s="2">
        <v>1</v>
      </c>
      <c r="EO159" s="2">
        <v>1</v>
      </c>
      <c r="EP159" s="2" t="s">
        <v>94</v>
      </c>
      <c r="EQ159" s="2" t="s">
        <v>94</v>
      </c>
      <c r="ER159" s="2" t="s">
        <v>94</v>
      </c>
      <c r="ES159" s="2" t="s">
        <v>94</v>
      </c>
      <c r="ET159" s="2" t="str">
        <f>HYPERLINK(".\links\REFSEQ-INVERTEBRATE\AGAP002161-PA-REFSEQ-INVERTEBRATE.txt","AGAP002161-PB")</f>
        <v>AGAP002161-PB</v>
      </c>
      <c r="EU159" s="2" t="str">
        <f>HYPERLINK("http://www.ncbi.nlm.nih.gov/sutils/blink.cgi?pid=XP_003436044.1","0.0")</f>
        <v>0.0</v>
      </c>
      <c r="EV159" s="2" t="str">
        <f>HYPERLINK("http://www.ncbi.nlm.nih.gov/protein/XP_003436044.1","XP_003436044.1")</f>
        <v>XP_003436044.1</v>
      </c>
      <c r="EW159" s="2">
        <v>100</v>
      </c>
      <c r="EX159" s="2">
        <v>100</v>
      </c>
      <c r="EY159" s="2">
        <v>100</v>
      </c>
      <c r="EZ159" s="2" t="s">
        <v>98</v>
      </c>
    </row>
    <row r="160" spans="1:156" x14ac:dyDescent="0.25">
      <c r="A160" s="2" t="s">
        <v>1988</v>
      </c>
      <c r="B160" s="2">
        <v>0.592642580045316</v>
      </c>
      <c r="C160" s="2">
        <v>1.5080064299031546</v>
      </c>
      <c r="D160" s="2">
        <v>5.9030396858159504</v>
      </c>
      <c r="E160" s="2">
        <v>11.5725205491467</v>
      </c>
      <c r="F160" s="2">
        <v>6.6933626327534898E-4</v>
      </c>
      <c r="G160" s="2">
        <v>3.1028985498995E-2</v>
      </c>
      <c r="H160" s="2" t="s">
        <v>1989</v>
      </c>
      <c r="I160" s="2" t="s">
        <v>87</v>
      </c>
      <c r="J160" s="2" t="str">
        <f>HYPERLINK("https://vectorbase.org/vectorbase/app/record/gene/AGAP005563","AGAP005563-RB")</f>
        <v>AGAP005563-RB</v>
      </c>
      <c r="K160" s="2" t="str">
        <f>HYPERLINK(".\links\pep\AGAP005563-PB-pep.txt","AGAP005563-PB")</f>
        <v>AGAP005563-PB</v>
      </c>
      <c r="L160" s="8" t="s">
        <v>88</v>
      </c>
      <c r="M160" s="2">
        <v>807</v>
      </c>
      <c r="N160" s="2">
        <v>0</v>
      </c>
      <c r="O160" s="2">
        <v>1</v>
      </c>
      <c r="P160" s="2" t="s">
        <v>1990</v>
      </c>
      <c r="Q160" s="9" t="s">
        <v>1991</v>
      </c>
      <c r="R160" s="2" t="s">
        <v>113</v>
      </c>
      <c r="S160" s="2" t="str">
        <f>HYPERLINK(".\links\CDD\AGAP005563-PB-CDD.txt","CDD")</f>
        <v>CDD</v>
      </c>
      <c r="T160" s="2">
        <v>1.9999999999999999E-81</v>
      </c>
      <c r="U160" s="2">
        <v>98.1</v>
      </c>
      <c r="V160" s="2" t="s">
        <v>1992</v>
      </c>
      <c r="W160" s="10" t="s">
        <v>115</v>
      </c>
      <c r="X160" s="2" t="s">
        <v>113</v>
      </c>
      <c r="Y160" s="2" t="str">
        <f>HYPERLINK(".\links\REFSEQVERTEBRATE95\AGAP005563-PB-REFSEQVERTEBRATE95.txt","REFSEQVERTEBRATE95")</f>
        <v>REFSEQVERTEBRATE95</v>
      </c>
      <c r="Z160" s="13">
        <v>0</v>
      </c>
      <c r="AA160" s="2">
        <v>91.8</v>
      </c>
      <c r="AB160" s="11" t="s">
        <v>94</v>
      </c>
      <c r="AC160" s="11" t="str">
        <f>HYPERLINK(".\links\Sigp\AGAP005563-PB-SigP.txt","CYT")</f>
        <v>CYT</v>
      </c>
      <c r="AD160" s="2" t="s">
        <v>94</v>
      </c>
      <c r="AE160" s="2">
        <v>88.825000000000003</v>
      </c>
      <c r="AF160" s="2">
        <v>7.65</v>
      </c>
      <c r="AG160" s="2" t="s">
        <v>94</v>
      </c>
      <c r="AH160" s="2" t="s">
        <v>94</v>
      </c>
      <c r="AI160" s="2" t="s">
        <v>1993</v>
      </c>
      <c r="AJ160" s="11" t="str">
        <f>HYPERLINK(".\links\tmhmm\AGAP005563-PB-tmhmm.txt","12")</f>
        <v>12</v>
      </c>
      <c r="AK160" s="2">
        <v>30.7</v>
      </c>
      <c r="AL160" s="2">
        <v>9.9</v>
      </c>
      <c r="AM160" s="2">
        <v>59.4</v>
      </c>
      <c r="AN160" s="11" t="str">
        <f>HYPERLINK(".\links\gpi\AGAP005563-PB-gpi.txt","N")</f>
        <v>N</v>
      </c>
      <c r="AO160" s="12" t="str">
        <f>HYPERLINK(".\links\netoglyc\AGAP005563-PB-netoglyc.txt","1")</f>
        <v>1</v>
      </c>
      <c r="AP160" s="11">
        <v>16.399999999999999</v>
      </c>
      <c r="AQ160" s="2">
        <v>8.3000000000000007</v>
      </c>
      <c r="AR160" s="2">
        <v>4.3</v>
      </c>
      <c r="AS160" s="2" t="s">
        <v>97</v>
      </c>
      <c r="AT160" s="9" t="str">
        <f>HYPERLINK(".\links\NR-LIGHT\AGAP005563-PB-NR-LIGHT.txt","AGAP005563-PA")</f>
        <v>AGAP005563-PA</v>
      </c>
      <c r="AU160" s="2" t="str">
        <f>HYPERLINK("http://www.ncbi.nlm.nih.gov/sutils/blink.cgi?pid=XP_315568.3","0.0")</f>
        <v>0.0</v>
      </c>
      <c r="AV160" s="2" t="str">
        <f>HYPERLINK("http://www.ncbi.nlm.nih.gov/protein/XP_315568.3","XP_315568.3")</f>
        <v>XP_315568.3</v>
      </c>
      <c r="AW160" s="2">
        <v>100</v>
      </c>
      <c r="AX160" s="2">
        <v>100</v>
      </c>
      <c r="AY160" s="2">
        <v>97</v>
      </c>
      <c r="AZ160" s="2" t="s">
        <v>98</v>
      </c>
      <c r="BA160" s="9" t="str">
        <f>HYPERLINK(".\links\REFSEQ-INVERTEBRATE\AGAP005563-PB-REFSEQ-INVERTEBRATE.txt","AGAP005563-PA")</f>
        <v>AGAP005563-PA</v>
      </c>
      <c r="BB160" s="2" t="str">
        <f>HYPERLINK("http://www.ncbi.nlm.nih.gov/sutils/blink.cgi?pid=XP_315568.3","0.0")</f>
        <v>0.0</v>
      </c>
      <c r="BC160" s="2" t="str">
        <f>HYPERLINK("http://www.ncbi.nlm.nih.gov/protein/XP_315568.3","XP_315568.3")</f>
        <v>XP_315568.3</v>
      </c>
      <c r="BD160" s="2">
        <v>100</v>
      </c>
      <c r="BE160" s="2">
        <v>100</v>
      </c>
      <c r="BF160" s="2">
        <v>97</v>
      </c>
      <c r="BG160" s="2" t="s">
        <v>98</v>
      </c>
      <c r="BH160" s="9" t="str">
        <f>HYPERLINK(".\links\REFSEQ-PROTOZOA\AGAP005563-PB-REFSEQ-PROTOZOA.txt","hypothetical protein PTSG_06943")</f>
        <v>hypothetical protein PTSG_06943</v>
      </c>
      <c r="BI160" s="2" t="str">
        <f>HYPERLINK("http://www.ncbi.nlm.nih.gov/sutils/blink.cgi?pid=XP_004992344.1","6E-084")</f>
        <v>6E-084</v>
      </c>
      <c r="BJ160" s="2" t="str">
        <f>HYPERLINK("http://www.ncbi.nlm.nih.gov/protein/XP_004992344.1","XP_004992344.1")</f>
        <v>XP_004992344.1</v>
      </c>
      <c r="BK160" s="2">
        <v>37</v>
      </c>
      <c r="BL160" s="2">
        <v>60</v>
      </c>
      <c r="BM160" s="2">
        <v>84</v>
      </c>
      <c r="BN160" s="2" t="s">
        <v>117</v>
      </c>
      <c r="BO160" s="9" t="str">
        <f>HYPERLINK(".\links\SWISSP\AGAP005563-PB-SWISSP.txt","Facilitated trehalose transporter Tret1")</f>
        <v>Facilitated trehalose transporter Tret1</v>
      </c>
      <c r="BP160" s="2" t="str">
        <f>HYPERLINK("http://www.uniprot.org/uniprot/Q7PIR5","0.0")</f>
        <v>0.0</v>
      </c>
      <c r="BQ160" s="2" t="str">
        <f>HYPERLINK("http://www.uniprot.org/uniprot/Q7PIR5#expression","Q7PIR5")</f>
        <v>Q7PIR5</v>
      </c>
      <c r="BR160" s="2">
        <v>100</v>
      </c>
      <c r="BS160" s="2">
        <v>100</v>
      </c>
      <c r="BT160" s="2">
        <v>97</v>
      </c>
      <c r="BU160" s="2" t="s">
        <v>274</v>
      </c>
      <c r="BV160" s="9" t="str">
        <f>HYPERLINK(".\links\FLYBASE\AGAP005563-PB-FLYBASE.txt","FBpp0087178")</f>
        <v>FBpp0087178</v>
      </c>
      <c r="BW160" s="2" t="str">
        <f>HYPERLINK("http://flybase.org/reports/FBgn0050035#alliance_summary_container","0.0")</f>
        <v>0.0</v>
      </c>
      <c r="BX160" s="2">
        <v>857</v>
      </c>
      <c r="BY160" s="2">
        <v>64</v>
      </c>
      <c r="BZ160" s="2">
        <v>74</v>
      </c>
      <c r="CA160" s="2">
        <v>101</v>
      </c>
      <c r="CB160" s="9" t="str">
        <f>HYPERLINK(".\links\CDD\AGAP005563-PB-CDD.txt","Sugar_tr, Sugar (and other) transporter")</f>
        <v>Sugar_tr, Sugar (and other) transporter</v>
      </c>
      <c r="CC160" s="13">
        <v>2E-85</v>
      </c>
      <c r="CD160" s="2">
        <v>100.4</v>
      </c>
      <c r="CE160" s="2" t="s">
        <v>119</v>
      </c>
      <c r="CF160" s="2" t="s">
        <v>1994</v>
      </c>
      <c r="CG160" s="9" t="str">
        <f>HYPERLINK(".\links\KOG\AGAP005563-PB-KOG.txt","Predicted transporter (major facilitator superfamily)")</f>
        <v>Predicted transporter (major facilitator superfamily)</v>
      </c>
      <c r="CH160" s="13">
        <v>9.9999999999999995E-113</v>
      </c>
      <c r="CI160" s="2">
        <v>100</v>
      </c>
      <c r="CJ160" s="2" t="s">
        <v>121</v>
      </c>
      <c r="CK160" s="2" t="s">
        <v>122</v>
      </c>
      <c r="CL160" s="9" t="str">
        <f>HYPERLINK(".\links\PFAM\AGAP005563-PB-PFAM.txt","Sugar_tr, Sugar (and other) transporter")</f>
        <v>Sugar_tr, Sugar (and other) transporter</v>
      </c>
      <c r="CM160" s="13">
        <v>3.0000000000000001E-86</v>
      </c>
      <c r="CN160" s="2">
        <v>100.4</v>
      </c>
      <c r="CO160" s="2" t="s">
        <v>119</v>
      </c>
      <c r="CP160" s="9" t="str">
        <f>HYPERLINK(".\links\SMART\AGAP005563-PB-SMART.txt","OmpH, Outer membrane protein (OmpH-like)")</f>
        <v>OmpH, Outer membrane protein (OmpH-like)</v>
      </c>
      <c r="CQ160" s="13">
        <v>1</v>
      </c>
      <c r="CR160" s="2">
        <v>55</v>
      </c>
      <c r="CS160" s="2" t="s">
        <v>1995</v>
      </c>
      <c r="CT160" s="2" t="s">
        <v>1992</v>
      </c>
      <c r="CU160" s="2" t="s">
        <v>1992</v>
      </c>
      <c r="CV160" s="2" t="s">
        <v>1992</v>
      </c>
      <c r="CW160" s="2" t="str">
        <f>HYPERLINK(".\links\pep\AGAP005563-PB-pep.txt","AGAP005563-PB")</f>
        <v>AGAP005563-PB</v>
      </c>
      <c r="CX160" s="2" t="s">
        <v>88</v>
      </c>
      <c r="CY160" s="2">
        <v>807</v>
      </c>
      <c r="CZ160" s="2" t="s">
        <v>106</v>
      </c>
      <c r="DA160" s="2" t="s">
        <v>1996</v>
      </c>
      <c r="DB160" s="2">
        <v>0</v>
      </c>
      <c r="DC160" s="2">
        <v>1</v>
      </c>
      <c r="DD160" s="2" t="str">
        <f>HYPERLINK("https://www.kegg.jp/kegg-bin/search_pathway_text?map=aga&amp;keyword=AGAP005563&amp;mode=1&amp;viewImage=true","AGAP005563")</f>
        <v>AGAP005563</v>
      </c>
      <c r="DE160" s="2" t="s">
        <v>1988</v>
      </c>
      <c r="DF160" s="2" t="s">
        <v>1989</v>
      </c>
      <c r="DG160" s="2" t="s">
        <v>87</v>
      </c>
      <c r="DH160" s="2" t="str">
        <f>HYPERLINK("https://vectorbase.org/vectorbase/app/record/gene/AGAP005563","AGAP005563-RB")</f>
        <v>AGAP005563-RB</v>
      </c>
      <c r="DI160" s="2" t="s">
        <v>250</v>
      </c>
      <c r="DJ160" s="2">
        <v>4796</v>
      </c>
      <c r="DK160" s="2" t="str">
        <f>HYPERLINK(".\links\netoglyc\AGAP005563-PB-netoglyc.txt","1")</f>
        <v>1</v>
      </c>
      <c r="DL160" s="2">
        <v>16.399999999999999</v>
      </c>
      <c r="DM160" s="2">
        <v>8.3000000000000007</v>
      </c>
      <c r="DN160" s="2">
        <v>4.3</v>
      </c>
      <c r="DO160" s="2" t="s">
        <v>97</v>
      </c>
      <c r="DP160" s="2" t="s">
        <v>1997</v>
      </c>
      <c r="DQ160" s="2" t="str">
        <f>HYPERLINK(".\links\Sigp\AGAP005563-PB-SigP.txt","CYT")</f>
        <v>CYT</v>
      </c>
      <c r="DR160" s="2" t="s">
        <v>94</v>
      </c>
      <c r="DS160" s="2">
        <v>88.825000000000003</v>
      </c>
      <c r="DT160" s="2">
        <v>7.65</v>
      </c>
      <c r="DU160" s="2" t="s">
        <v>94</v>
      </c>
      <c r="DV160" s="2" t="s">
        <v>94</v>
      </c>
      <c r="DW160" s="2" t="s">
        <v>1993</v>
      </c>
      <c r="DX160" s="2">
        <v>807</v>
      </c>
      <c r="DY160" s="8" t="str">
        <f>HYPERLINK(".\links\tmhmm\AGAP005563-PB-tmhmm.txt","12")</f>
        <v>12</v>
      </c>
      <c r="DZ160" s="2">
        <v>30.7</v>
      </c>
      <c r="EA160" s="2">
        <v>9.9</v>
      </c>
      <c r="EB160" s="2">
        <v>59.4</v>
      </c>
      <c r="EC160" s="2" t="str">
        <f>HYPERLINK(".\links\gpi\AGAP005563-PB-gpi.txt","N")</f>
        <v>N</v>
      </c>
      <c r="ED160" s="2">
        <v>0.21</v>
      </c>
      <c r="EF160" s="2">
        <v>6</v>
      </c>
      <c r="EG160" s="2" t="s">
        <v>94</v>
      </c>
      <c r="EH160" s="2" t="s">
        <v>94</v>
      </c>
      <c r="EI160" s="2">
        <v>16.3568773234201</v>
      </c>
      <c r="EJ160" s="2">
        <v>4.3370508054522903</v>
      </c>
      <c r="EK160" s="2">
        <v>8.3023543990086708</v>
      </c>
      <c r="EL160" s="2">
        <v>12.639405204460999</v>
      </c>
      <c r="EM160" s="2">
        <v>1</v>
      </c>
      <c r="EN160" s="2">
        <v>1</v>
      </c>
      <c r="EO160" s="2">
        <v>2</v>
      </c>
      <c r="EP160" s="2" t="s">
        <v>94</v>
      </c>
      <c r="EQ160" s="2" t="s">
        <v>94</v>
      </c>
      <c r="ER160" s="2" t="s">
        <v>94</v>
      </c>
      <c r="ES160" s="2" t="s">
        <v>94</v>
      </c>
      <c r="ET160" s="2" t="str">
        <f>HYPERLINK(".\links\REFSEQ-INVERTEBRATE\AGAP005563-PB-REFSEQ-INVERTEBRATE.txt","AGAP005563-PA")</f>
        <v>AGAP005563-PA</v>
      </c>
      <c r="EU160" s="2" t="str">
        <f>HYPERLINK("http://www.ncbi.nlm.nih.gov/sutils/blink.cgi?pid=XP_315568.3","0.0")</f>
        <v>0.0</v>
      </c>
      <c r="EV160" s="2" t="str">
        <f>HYPERLINK("http://www.ncbi.nlm.nih.gov/protein/XP_315568.3","XP_315568.3")</f>
        <v>XP_315568.3</v>
      </c>
      <c r="EW160" s="2">
        <v>100</v>
      </c>
      <c r="EX160" s="2">
        <v>100</v>
      </c>
      <c r="EY160" s="2">
        <v>97</v>
      </c>
      <c r="EZ160" s="2" t="s">
        <v>98</v>
      </c>
    </row>
    <row r="161" spans="1:156" x14ac:dyDescent="0.25">
      <c r="A161" s="2" t="s">
        <v>1998</v>
      </c>
      <c r="B161" s="2">
        <v>0.575745368447662</v>
      </c>
      <c r="C161" s="2">
        <v>1.4904473038926027</v>
      </c>
      <c r="D161" s="2">
        <v>4.7659747922253102</v>
      </c>
      <c r="E161" s="2">
        <v>10.8554826946714</v>
      </c>
      <c r="F161" s="2">
        <v>9.8503683796900398E-4</v>
      </c>
      <c r="G161" s="2">
        <v>4.1818008012112502E-2</v>
      </c>
      <c r="H161" s="2" t="s">
        <v>1999</v>
      </c>
      <c r="I161" s="2" t="s">
        <v>87</v>
      </c>
      <c r="J161" s="2" t="str">
        <f>HYPERLINK("https://vectorbase.org/vectorbase/app/record/gene/AGAP006652","AGAP006652-RA")</f>
        <v>AGAP006652-RA</v>
      </c>
      <c r="K161" s="2" t="str">
        <f>HYPERLINK(".\links\pep\AGAP006652-PA-pep.txt","AGAP006652-PA")</f>
        <v>AGAP006652-PA</v>
      </c>
      <c r="L161" s="8" t="s">
        <v>88</v>
      </c>
      <c r="M161" s="2">
        <v>1846</v>
      </c>
      <c r="N161" s="2">
        <v>0</v>
      </c>
      <c r="O161" s="2">
        <v>2</v>
      </c>
      <c r="P161" s="2" t="s">
        <v>2000</v>
      </c>
      <c r="Q161" s="9" t="s">
        <v>2001</v>
      </c>
      <c r="R161" s="2" t="s">
        <v>651</v>
      </c>
      <c r="S161" s="2" t="str">
        <f>HYPERLINK(".\links\KOG\AGAP006652-PA-KOG.txt","KOG")</f>
        <v>KOG</v>
      </c>
      <c r="T161" s="2">
        <v>6.0000000000000003E-95</v>
      </c>
      <c r="U161" s="2">
        <v>99.2</v>
      </c>
      <c r="V161" s="2" t="s">
        <v>2002</v>
      </c>
      <c r="W161" s="10" t="s">
        <v>2003</v>
      </c>
      <c r="X161" s="2" t="s">
        <v>651</v>
      </c>
      <c r="Y161" s="2" t="str">
        <f>HYPERLINK(".\links\REFSEQVERTEBRATE95\AGAP006652-PA-REFSEQVERTEBRATE95.txt","REFSEQVERTEBRATE95")</f>
        <v>REFSEQVERTEBRATE95</v>
      </c>
      <c r="Z161" s="2">
        <v>0</v>
      </c>
      <c r="AA161" s="2">
        <v>51.4</v>
      </c>
      <c r="AB161" s="11" t="str">
        <f>HYPERLINK(".\links\pep\AGAP006652-PA-sulf.txt","2")</f>
        <v>2</v>
      </c>
      <c r="AC161" s="11" t="str">
        <f>HYPERLINK(".\links\Sigp\AGAP006652-PA-SigP.txt","CYT")</f>
        <v>CYT</v>
      </c>
      <c r="AD161" s="2" t="s">
        <v>94</v>
      </c>
      <c r="AE161" s="2">
        <v>193.01499999999999</v>
      </c>
      <c r="AF161" s="2">
        <v>7.1</v>
      </c>
      <c r="AG161" s="2" t="s">
        <v>94</v>
      </c>
      <c r="AH161" s="2" t="s">
        <v>94</v>
      </c>
      <c r="AI161" s="2" t="s">
        <v>390</v>
      </c>
      <c r="AJ161" s="11">
        <v>0</v>
      </c>
      <c r="AK161" s="2" t="s">
        <v>94</v>
      </c>
      <c r="AL161" s="2" t="s">
        <v>94</v>
      </c>
      <c r="AM161" s="2" t="s">
        <v>94</v>
      </c>
      <c r="AN161" s="11" t="str">
        <f>HYPERLINK(".\links\gpi\AGAP006652-PA-gpi.txt","N")</f>
        <v>N</v>
      </c>
      <c r="AO161" s="12" t="str">
        <f>HYPERLINK(".\links\netoglyc\AGAP006652-PA-netoglyc.txt","33")</f>
        <v>33</v>
      </c>
      <c r="AP161" s="11">
        <v>14.4</v>
      </c>
      <c r="AQ161" s="2">
        <v>11.1</v>
      </c>
      <c r="AR161" s="2">
        <v>10.5</v>
      </c>
      <c r="AS161" s="2">
        <v>0.5</v>
      </c>
      <c r="AT161" s="9" t="str">
        <f>HYPERLINK(".\links\NR-LIGHT\AGAP006652-PA-NR-LIGHT.txt","AGAP006652-PA")</f>
        <v>AGAP006652-PA</v>
      </c>
      <c r="AU161" s="2" t="str">
        <f>HYPERLINK("http://www.ncbi.nlm.nih.gov/sutils/blink.cgi?pid=XP_316682.4","0.0")</f>
        <v>0.0</v>
      </c>
      <c r="AV161" s="2" t="str">
        <f>HYPERLINK("http://www.ncbi.nlm.nih.gov/protein/XP_316682.4","XP_316682.4")</f>
        <v>XP_316682.4</v>
      </c>
      <c r="AW161" s="2">
        <v>100</v>
      </c>
      <c r="AX161" s="2">
        <v>100</v>
      </c>
      <c r="AY161" s="2">
        <v>85</v>
      </c>
      <c r="AZ161" s="2" t="s">
        <v>98</v>
      </c>
      <c r="BA161" s="9" t="str">
        <f>HYPERLINK(".\links\REFSEQ-INVERTEBRATE\AGAP006652-PA-REFSEQ-INVERTEBRATE.txt","AGAP006652-PA")</f>
        <v>AGAP006652-PA</v>
      </c>
      <c r="BB161" s="2" t="str">
        <f>HYPERLINK("http://www.ncbi.nlm.nih.gov/sutils/blink.cgi?pid=XP_316682.4","0.0")</f>
        <v>0.0</v>
      </c>
      <c r="BC161" s="2" t="str">
        <f>HYPERLINK("http://www.ncbi.nlm.nih.gov/protein/XP_316682.4","XP_316682.4")</f>
        <v>XP_316682.4</v>
      </c>
      <c r="BD161" s="2">
        <v>100</v>
      </c>
      <c r="BE161" s="2">
        <v>100</v>
      </c>
      <c r="BF161" s="2">
        <v>85</v>
      </c>
      <c r="BG161" s="2" t="s">
        <v>98</v>
      </c>
      <c r="BH161" s="9" t="str">
        <f>HYPERLINK(".\links\REFSEQ-PROTOZOA\AGAP006652-PA-REFSEQ-PROTOZOA.txt","hypothetical protein SARC_04831")</f>
        <v>hypothetical protein SARC_04831</v>
      </c>
      <c r="BI161" s="2" t="str">
        <f>HYPERLINK("http://www.ncbi.nlm.nih.gov/sutils/blink.cgi?pid=XP_014156790.1","3E-063")</f>
        <v>3E-063</v>
      </c>
      <c r="BJ161" s="2" t="str">
        <f>HYPERLINK("http://www.ncbi.nlm.nih.gov/protein/XP_014156790.1","XP_014156790.1")</f>
        <v>XP_014156790.1</v>
      </c>
      <c r="BK161" s="2">
        <v>24</v>
      </c>
      <c r="BL161" s="2">
        <v>37</v>
      </c>
      <c r="BM161" s="2">
        <v>87</v>
      </c>
      <c r="BN161" s="2" t="s">
        <v>368</v>
      </c>
      <c r="BO161" s="9" t="str">
        <f>HYPERLINK(".\links\SWISSP\AGAP006652-PA-SWISSP.txt","Ubiquitin carboxyl-terminal hydrolase 10")</f>
        <v>Ubiquitin carboxyl-terminal hydrolase 10</v>
      </c>
      <c r="BP161" s="2" t="str">
        <f>HYPERLINK("http://www.uniprot.org/uniprot/Q14694","1E-087")</f>
        <v>1E-087</v>
      </c>
      <c r="BQ161" s="2" t="str">
        <f>HYPERLINK("http://www.uniprot.org/uniprot/Q14694#expression","Q14694")</f>
        <v>Q14694</v>
      </c>
      <c r="BR161" s="2">
        <v>34</v>
      </c>
      <c r="BS161" s="2">
        <v>50</v>
      </c>
      <c r="BT161" s="2">
        <v>82</v>
      </c>
      <c r="BU161" s="2" t="s">
        <v>196</v>
      </c>
      <c r="BV161" s="9" t="str">
        <f>HYPERLINK(".\links\FLYBASE\AGAP006652-PA-FLYBASE.txt","FBpp0305465")</f>
        <v>FBpp0305465</v>
      </c>
      <c r="BW161" s="2" t="str">
        <f>HYPERLINK("http://flybase.org/reports/FBgn0052479#alliance_summary_container","1E-134")</f>
        <v>1E-134</v>
      </c>
      <c r="BX161" s="2">
        <v>1517</v>
      </c>
      <c r="BY161" s="2">
        <v>45</v>
      </c>
      <c r="BZ161" s="2">
        <v>56</v>
      </c>
      <c r="CA161" s="2">
        <v>40</v>
      </c>
      <c r="CB161" s="9" t="str">
        <f>HYPERLINK(".\links\CDD\AGAP006652-PA-CDD.txt","UCH, Ubiquitin carboxyl-terminal hydrolase")</f>
        <v>UCH, Ubiquitin carboxyl-terminal hydrolase</v>
      </c>
      <c r="CC161" s="13">
        <v>7.0000000000000001E-49</v>
      </c>
      <c r="CD161" s="2">
        <v>124</v>
      </c>
      <c r="CE161" s="2" t="s">
        <v>708</v>
      </c>
      <c r="CF161" s="2" t="s">
        <v>2004</v>
      </c>
      <c r="CG161" s="9" t="str">
        <f>HYPERLINK(".\links\KOG\AGAP006652-PA-KOG.txt","Ubiquitin-specific protease")</f>
        <v>Ubiquitin-specific protease</v>
      </c>
      <c r="CH161" s="13">
        <v>6.0000000000000003E-95</v>
      </c>
      <c r="CI161" s="2">
        <v>99.3</v>
      </c>
      <c r="CJ161" s="2" t="s">
        <v>2005</v>
      </c>
      <c r="CK161" s="2" t="s">
        <v>214</v>
      </c>
      <c r="CL161" s="9" t="str">
        <f>HYPERLINK(".\links\PFAM\AGAP006652-PA-PFAM.txt","UCH, Ubiquitin carboxyl-terminal hydrolase")</f>
        <v>UCH, Ubiquitin carboxyl-terminal hydrolase</v>
      </c>
      <c r="CM161" s="13">
        <v>9.9999999999999994E-50</v>
      </c>
      <c r="CN161" s="2">
        <v>124</v>
      </c>
      <c r="CO161" s="2" t="s">
        <v>708</v>
      </c>
      <c r="CP161" s="9" t="str">
        <f>HYPERLINK(".\links\SMART\AGAP006652-PA-SMART.txt","Autotransporter, Autotransporter beta-domain")</f>
        <v>Autotransporter, Autotransporter beta-domain</v>
      </c>
      <c r="CQ161" s="13">
        <v>1E-4</v>
      </c>
      <c r="CR161" s="2">
        <v>29.1</v>
      </c>
      <c r="CS161" s="2" t="s">
        <v>2006</v>
      </c>
      <c r="CT161" s="2" t="s">
        <v>2002</v>
      </c>
      <c r="CU161" s="2" t="s">
        <v>2002</v>
      </c>
      <c r="CV161" s="2" t="s">
        <v>2002</v>
      </c>
      <c r="CW161" s="2" t="str">
        <f>HYPERLINK(".\links\pep\AGAP006652-PA-pep.txt","AGAP006652-PA")</f>
        <v>AGAP006652-PA</v>
      </c>
      <c r="CX161" s="2" t="s">
        <v>88</v>
      </c>
      <c r="CY161" s="2">
        <v>1846</v>
      </c>
      <c r="CZ161" s="2" t="s">
        <v>106</v>
      </c>
      <c r="DA161" s="2" t="s">
        <v>2007</v>
      </c>
      <c r="DB161" s="2">
        <v>0</v>
      </c>
      <c r="DC161" s="2">
        <v>2</v>
      </c>
      <c r="DD161" s="2" t="str">
        <f>HYPERLINK("https://www.kegg.jp/kegg-bin/search_pathway_text?map=aga&amp;keyword=AGAP006652&amp;mode=1&amp;viewImage=true","AGAP006652")</f>
        <v>AGAP006652</v>
      </c>
      <c r="DE161" s="2" t="s">
        <v>1998</v>
      </c>
      <c r="DF161" s="2" t="s">
        <v>1999</v>
      </c>
      <c r="DG161" s="2" t="s">
        <v>87</v>
      </c>
      <c r="DH161" s="2" t="str">
        <f>HYPERLINK("https://vectorbase.org/vectorbase/app/record/gene/AGAP006652","AGAP006652-RA")</f>
        <v>AGAP006652-RA</v>
      </c>
      <c r="DI161" s="2" t="s">
        <v>143</v>
      </c>
      <c r="DJ161" s="2">
        <v>15580</v>
      </c>
      <c r="DK161" s="2" t="str">
        <f>HYPERLINK(".\links\netoglyc\AGAP006652-PA-netoglyc.txt","33")</f>
        <v>33</v>
      </c>
      <c r="DL161" s="2">
        <v>14.4</v>
      </c>
      <c r="DM161" s="2">
        <v>11.1</v>
      </c>
      <c r="DN161" s="2">
        <v>10.5</v>
      </c>
      <c r="DO161" s="2">
        <v>0.5</v>
      </c>
      <c r="DP161" s="2" t="s">
        <v>94</v>
      </c>
      <c r="DQ161" s="2" t="str">
        <f>HYPERLINK(".\links\Sigp\AGAP006652-PA-SigP.txt","CYT")</f>
        <v>CYT</v>
      </c>
      <c r="DR161" s="2" t="s">
        <v>94</v>
      </c>
      <c r="DS161" s="2">
        <v>193.01499999999999</v>
      </c>
      <c r="DT161" s="2">
        <v>7.1</v>
      </c>
      <c r="DU161" s="2" t="s">
        <v>94</v>
      </c>
      <c r="DV161" s="2" t="s">
        <v>94</v>
      </c>
      <c r="DW161" s="2" t="s">
        <v>390</v>
      </c>
      <c r="DX161" s="2">
        <v>1846</v>
      </c>
      <c r="DY161" s="8">
        <v>0</v>
      </c>
      <c r="DZ161" s="2" t="s">
        <v>94</v>
      </c>
      <c r="EA161" s="2" t="s">
        <v>94</v>
      </c>
      <c r="EB161" s="2" t="s">
        <v>94</v>
      </c>
      <c r="EC161" s="2" t="str">
        <f>HYPERLINK(".\links\gpi\AGAP006652-PA-gpi.txt","Y-NoSP")</f>
        <v>Y-NoSP</v>
      </c>
      <c r="ED161" s="2">
        <v>0.43</v>
      </c>
      <c r="EF161" s="2">
        <v>8</v>
      </c>
      <c r="EG161" s="2" t="str">
        <f>HYPERLINK(".\links\pep\AGAP006652-PA-sulf.txt","2")</f>
        <v>2</v>
      </c>
      <c r="EH161" s="2" t="s">
        <v>94</v>
      </c>
      <c r="EI161" s="2">
        <v>14.3553629469122</v>
      </c>
      <c r="EJ161" s="2">
        <v>10.509209100758399</v>
      </c>
      <c r="EK161" s="2">
        <v>11.050920910075799</v>
      </c>
      <c r="EL161" s="2">
        <v>21.5601300108342</v>
      </c>
      <c r="EM161" s="2">
        <v>3</v>
      </c>
      <c r="EN161" s="2">
        <v>9</v>
      </c>
      <c r="EO161" s="2">
        <v>9</v>
      </c>
      <c r="EP161" s="2" t="s">
        <v>94</v>
      </c>
      <c r="EQ161" s="2" t="s">
        <v>94</v>
      </c>
      <c r="ER161" s="2" t="s">
        <v>94</v>
      </c>
      <c r="ES161" s="2" t="s">
        <v>94</v>
      </c>
      <c r="ET161" s="2" t="str">
        <f>HYPERLINK(".\links\REFSEQ-INVERTEBRATE\AGAP006652-PA-REFSEQ-INVERTEBRATE.txt","AGAP006652-PA")</f>
        <v>AGAP006652-PA</v>
      </c>
      <c r="EU161" s="2" t="str">
        <f>HYPERLINK("http://www.ncbi.nlm.nih.gov/sutils/blink.cgi?pid=XP_316682.4","0.0")</f>
        <v>0.0</v>
      </c>
      <c r="EV161" s="2" t="str">
        <f>HYPERLINK("http://www.ncbi.nlm.nih.gov/protein/XP_316682.4","XP_316682.4")</f>
        <v>XP_316682.4</v>
      </c>
      <c r="EW161" s="2">
        <v>100</v>
      </c>
      <c r="EX161" s="2">
        <v>100</v>
      </c>
      <c r="EY161" s="2">
        <v>85</v>
      </c>
      <c r="EZ161" s="2" t="s">
        <v>98</v>
      </c>
    </row>
    <row r="162" spans="1:156" x14ac:dyDescent="0.25">
      <c r="A162" s="2" t="s">
        <v>2008</v>
      </c>
      <c r="B162" s="2">
        <v>0.57500563426522999</v>
      </c>
      <c r="C162" s="2">
        <v>1.4896832808832725</v>
      </c>
      <c r="D162" s="2">
        <v>6.1583605097821703</v>
      </c>
      <c r="E162" s="2">
        <v>12.2002427771874</v>
      </c>
      <c r="F162" s="2">
        <v>4.77832969626925E-4</v>
      </c>
      <c r="G162" s="2">
        <v>2.32931257410403E-2</v>
      </c>
      <c r="H162" s="2" t="s">
        <v>167</v>
      </c>
      <c r="I162" s="2" t="s">
        <v>87</v>
      </c>
      <c r="J162" s="2" t="str">
        <f>HYPERLINK("https://vectorbase.org/vectorbase/app/record/gene/AGAP011253","AGAP011253-RA")</f>
        <v>AGAP011253-RA</v>
      </c>
      <c r="K162" s="2" t="str">
        <f>HYPERLINK(".\links\pep\AGAP011253-PA-pep.txt","AGAP011253-PA")</f>
        <v>AGAP011253-PA</v>
      </c>
      <c r="L162" s="8" t="s">
        <v>88</v>
      </c>
      <c r="M162" s="2">
        <v>507</v>
      </c>
      <c r="N162" s="2">
        <v>0</v>
      </c>
      <c r="O162" s="2">
        <v>2</v>
      </c>
      <c r="P162" s="2" t="s">
        <v>94</v>
      </c>
      <c r="Q162" s="9" t="s">
        <v>2009</v>
      </c>
      <c r="R162" s="2" t="s">
        <v>380</v>
      </c>
      <c r="S162" s="2" t="str">
        <f>HYPERLINK(".\links\KOG\AGAP011253-PA-KOG.txt","KOG")</f>
        <v>KOG</v>
      </c>
      <c r="T162" s="2">
        <v>3.9999999999999997E-39</v>
      </c>
      <c r="U162" s="2">
        <v>84.6</v>
      </c>
      <c r="V162" s="2" t="s">
        <v>2010</v>
      </c>
      <c r="W162" s="10" t="s">
        <v>2011</v>
      </c>
      <c r="X162" s="2" t="s">
        <v>380</v>
      </c>
      <c r="Y162" s="2" t="str">
        <f>HYPERLINK(".\links\KOG\AGAP011253-PA-KOG.txt","KOG")</f>
        <v>KOG</v>
      </c>
      <c r="Z162" s="13">
        <v>1.0000000000000001E-32</v>
      </c>
      <c r="AA162" s="2">
        <v>29.6</v>
      </c>
      <c r="AB162" s="11" t="str">
        <f>HYPERLINK(".\links\pep\AGAP011253-PA-sulf.txt","3")</f>
        <v>3</v>
      </c>
      <c r="AC162" s="11" t="str">
        <f>HYPERLINK(".\links\Sigp\AGAP011253-PA-SigP.txt","CYT")</f>
        <v>CYT</v>
      </c>
      <c r="AD162" s="2" t="s">
        <v>94</v>
      </c>
      <c r="AE162" s="2">
        <v>54.997999999999998</v>
      </c>
      <c r="AF162" s="2">
        <v>6.49</v>
      </c>
      <c r="AG162" s="2" t="s">
        <v>94</v>
      </c>
      <c r="AH162" s="2" t="s">
        <v>94</v>
      </c>
      <c r="AI162" s="2" t="s">
        <v>463</v>
      </c>
      <c r="AJ162" s="11">
        <v>0</v>
      </c>
      <c r="AK162" s="2" t="s">
        <v>94</v>
      </c>
      <c r="AL162" s="2" t="s">
        <v>94</v>
      </c>
      <c r="AM162" s="2" t="s">
        <v>94</v>
      </c>
      <c r="AN162" s="11" t="str">
        <f>HYPERLINK(".\links\gpi\AGAP011253-PA-gpi.txt","N")</f>
        <v>N</v>
      </c>
      <c r="AO162" s="12" t="str">
        <f>HYPERLINK(".\links\netoglyc\AGAP011253-PA-netoglyc.txt","8")</f>
        <v>8</v>
      </c>
      <c r="AP162" s="11">
        <v>17.600000000000001</v>
      </c>
      <c r="AQ162" s="2">
        <v>7.7</v>
      </c>
      <c r="AR162" s="2">
        <v>11</v>
      </c>
      <c r="AS162" s="2" t="s">
        <v>97</v>
      </c>
      <c r="AT162" s="9" t="str">
        <f>HYPERLINK(".\links\NR-LIGHT\AGAP011253-PA-NR-LIGHT.txt","AGAP011253-PA, partial")</f>
        <v>AGAP011253-PA, partial</v>
      </c>
      <c r="AU162" s="2" t="str">
        <f>HYPERLINK("http://www.ncbi.nlm.nih.gov/sutils/blink.cgi?pid=XP_001688185.1","0.0")</f>
        <v>0.0</v>
      </c>
      <c r="AV162" s="2" t="str">
        <f>HYPERLINK("http://www.ncbi.nlm.nih.gov/protein/XP_001688185.1","XP_001688185.1")</f>
        <v>XP_001688185.1</v>
      </c>
      <c r="AW162" s="2">
        <v>92</v>
      </c>
      <c r="AX162" s="2">
        <v>92</v>
      </c>
      <c r="AY162" s="2">
        <v>108</v>
      </c>
      <c r="AZ162" s="2" t="s">
        <v>98</v>
      </c>
      <c r="BA162" s="9" t="str">
        <f>HYPERLINK(".\links\REFSEQ-INVERTEBRATE\AGAP011253-PA-REFSEQ-INVERTEBRATE.txt","AGAP011253-PA, partial")</f>
        <v>AGAP011253-PA, partial</v>
      </c>
      <c r="BB162" s="2" t="str">
        <f>HYPERLINK("http://www.ncbi.nlm.nih.gov/sutils/blink.cgi?pid=XP_001688185.1","0.0")</f>
        <v>0.0</v>
      </c>
      <c r="BC162" s="2" t="str">
        <f>HYPERLINK("http://www.ncbi.nlm.nih.gov/protein/XP_001688185.1","XP_001688185.1")</f>
        <v>XP_001688185.1</v>
      </c>
      <c r="BD162" s="2">
        <v>92</v>
      </c>
      <c r="BE162" s="2">
        <v>92</v>
      </c>
      <c r="BF162" s="2">
        <v>108</v>
      </c>
      <c r="BG162" s="2" t="s">
        <v>98</v>
      </c>
      <c r="BH162" s="9" t="str">
        <f>HYPERLINK(".\links\REFSEQ-PROTOZOA\AGAP011253-PA-REFSEQ-PROTOZOA.txt","hypothetical protein PPL_10761")</f>
        <v>hypothetical protein PPL_10761</v>
      </c>
      <c r="BI162" s="2" t="str">
        <f>HYPERLINK("http://www.ncbi.nlm.nih.gov/sutils/blink.cgi?pid=XP_020427842.1","3E-014")</f>
        <v>3E-014</v>
      </c>
      <c r="BJ162" s="2" t="str">
        <f>HYPERLINK("http://www.ncbi.nlm.nih.gov/protein/XP_020427842.1","XP_020427842.1")</f>
        <v>XP_020427842.1</v>
      </c>
      <c r="BK162" s="2">
        <v>23</v>
      </c>
      <c r="BL162" s="2">
        <v>37</v>
      </c>
      <c r="BM162" s="2">
        <v>58</v>
      </c>
      <c r="BN162" s="2" t="s">
        <v>2012</v>
      </c>
      <c r="BO162" s="9" t="str">
        <f>HYPERLINK(".\links\SWISSP\AGAP011253-PA-SWISSP.txt","Homeobox protein vnd")</f>
        <v>Homeobox protein vnd</v>
      </c>
      <c r="BP162" s="2" t="str">
        <f>HYPERLINK("http://www.uniprot.org/uniprot/P22808","2E-038")</f>
        <v>2E-038</v>
      </c>
      <c r="BQ162" s="2" t="str">
        <f>HYPERLINK("http://www.uniprot.org/uniprot/P22808#expression","P22808")</f>
        <v>P22808</v>
      </c>
      <c r="BR162" s="2">
        <v>30</v>
      </c>
      <c r="BS162" s="2">
        <v>41</v>
      </c>
      <c r="BT162" s="2">
        <v>79</v>
      </c>
      <c r="BU162" s="2" t="s">
        <v>100</v>
      </c>
      <c r="BV162" s="9" t="str">
        <f>HYPERLINK(".\links\FLYBASE\AGAP011253-PA-FLYBASE.txt","FBpp0308955")</f>
        <v>FBpp0308955</v>
      </c>
      <c r="BW162" s="2" t="str">
        <f>HYPERLINK("http://flybase.org/reports/FBgn0287186#alliance_summary_container","8E-35")</f>
        <v>8E-35</v>
      </c>
      <c r="BX162" s="2">
        <v>307</v>
      </c>
      <c r="BY162" s="2">
        <v>61</v>
      </c>
      <c r="BZ162" s="2">
        <v>76</v>
      </c>
      <c r="CA162" s="2">
        <v>33</v>
      </c>
      <c r="CB162" s="9" t="str">
        <f>HYPERLINK(".\links\CDD\AGAP011253-PA-CDD.txt","homeodomain, Homeodomain")</f>
        <v>homeodomain, Homeodomain</v>
      </c>
      <c r="CC162" s="13">
        <v>2.0000000000000001E-18</v>
      </c>
      <c r="CD162" s="2">
        <v>100</v>
      </c>
      <c r="CE162" s="2" t="s">
        <v>2013</v>
      </c>
      <c r="CF162" s="2" t="s">
        <v>2014</v>
      </c>
      <c r="CG162" s="9" t="str">
        <f>HYPERLINK(".\links\KOG\AGAP011253-PA-KOG.txt","contains HOX domain")</f>
        <v>contains HOX domain</v>
      </c>
      <c r="CH162" s="13">
        <v>3.9999999999999997E-39</v>
      </c>
      <c r="CI162" s="2">
        <v>84.7</v>
      </c>
      <c r="CJ162" s="2" t="s">
        <v>2015</v>
      </c>
      <c r="CK162" s="2" t="s">
        <v>296</v>
      </c>
      <c r="CL162" s="9" t="str">
        <f>HYPERLINK(".\links\PFAM\AGAP011253-PA-PFAM.txt","Homeobox, Homeobox domain")</f>
        <v>Homeobox, Homeobox domain</v>
      </c>
      <c r="CM162" s="13">
        <v>7.9999999999999998E-19</v>
      </c>
      <c r="CN162" s="2">
        <v>100</v>
      </c>
      <c r="CO162" s="2" t="s">
        <v>918</v>
      </c>
      <c r="CP162" s="9" t="str">
        <f>HYPERLINK(".\links\SMART\AGAP011253-PA-SMART.txt","HOX, Homeodomain")</f>
        <v>HOX, Homeodomain</v>
      </c>
      <c r="CQ162" s="13">
        <v>3.0000000000000003E-20</v>
      </c>
      <c r="CR162" s="2">
        <v>100</v>
      </c>
      <c r="CS162" s="2" t="s">
        <v>921</v>
      </c>
      <c r="CT162" s="2" t="s">
        <v>2010</v>
      </c>
      <c r="CU162" s="2" t="s">
        <v>2010</v>
      </c>
      <c r="CV162" s="2" t="s">
        <v>2010</v>
      </c>
      <c r="CW162" s="2" t="str">
        <f>HYPERLINK(".\links\pep\AGAP011253-PA-pep.txt","AGAP011253-PA")</f>
        <v>AGAP011253-PA</v>
      </c>
      <c r="CX162" s="2" t="s">
        <v>88</v>
      </c>
      <c r="CY162" s="2">
        <v>507</v>
      </c>
      <c r="CZ162" s="2" t="s">
        <v>106</v>
      </c>
      <c r="DA162" s="2" t="s">
        <v>2016</v>
      </c>
      <c r="DB162" s="2">
        <v>0</v>
      </c>
      <c r="DC162" s="2">
        <v>2</v>
      </c>
      <c r="DD162" s="2" t="str">
        <f>HYPERLINK("https://www.kegg.jp/kegg-bin/search_pathway_text?map=aga&amp;keyword=AGAP011253&amp;mode=1&amp;viewImage=true","AGAP011253")</f>
        <v>AGAP011253</v>
      </c>
      <c r="DE162" s="2" t="s">
        <v>2008</v>
      </c>
      <c r="DF162" s="2" t="s">
        <v>167</v>
      </c>
      <c r="DG162" s="2" t="s">
        <v>87</v>
      </c>
      <c r="DH162" s="2" t="str">
        <f>HYPERLINK("https://vectorbase.org/vectorbase/app/record/gene/AGAP011253","AGAP011253-RA")</f>
        <v>AGAP011253-RA</v>
      </c>
      <c r="DI162" s="2" t="s">
        <v>125</v>
      </c>
      <c r="DJ162" s="2">
        <v>1960</v>
      </c>
      <c r="DK162" s="2" t="str">
        <f>HYPERLINK(".\links\netoglyc\AGAP011253-PA-netoglyc.txt","8")</f>
        <v>8</v>
      </c>
      <c r="DL162" s="2">
        <v>17.600000000000001</v>
      </c>
      <c r="DM162" s="2">
        <v>7.7</v>
      </c>
      <c r="DN162" s="2">
        <v>11</v>
      </c>
      <c r="DO162" s="2" t="s">
        <v>97</v>
      </c>
      <c r="DP162" s="2" t="s">
        <v>2017</v>
      </c>
      <c r="DQ162" s="2" t="str">
        <f>HYPERLINK(".\links\Sigp\AGAP011253-PA-SigP.txt","CYT")</f>
        <v>CYT</v>
      </c>
      <c r="DR162" s="2" t="s">
        <v>94</v>
      </c>
      <c r="DS162" s="2">
        <v>54.997999999999998</v>
      </c>
      <c r="DT162" s="2">
        <v>6.49</v>
      </c>
      <c r="DU162" s="2" t="s">
        <v>94</v>
      </c>
      <c r="DV162" s="2" t="s">
        <v>94</v>
      </c>
      <c r="DW162" s="2" t="s">
        <v>463</v>
      </c>
      <c r="DX162" s="2">
        <v>507</v>
      </c>
      <c r="DY162" s="8">
        <v>0</v>
      </c>
      <c r="DZ162" s="2" t="s">
        <v>94</v>
      </c>
      <c r="EA162" s="2" t="s">
        <v>94</v>
      </c>
      <c r="EB162" s="2" t="s">
        <v>94</v>
      </c>
      <c r="EC162" s="2" t="str">
        <f>HYPERLINK(".\links\gpi\AGAP011253-PA-gpi.txt","Y-NoSP")</f>
        <v>Y-NoSP</v>
      </c>
      <c r="ED162" s="2">
        <v>0.38</v>
      </c>
      <c r="EF162" s="2">
        <v>6</v>
      </c>
      <c r="EG162" s="2" t="str">
        <f>HYPERLINK(".\links\pep\AGAP011253-PA-sulf.txt","3")</f>
        <v>3</v>
      </c>
      <c r="EH162" s="2" t="s">
        <v>94</v>
      </c>
      <c r="EI162" s="2">
        <v>17.554240631163701</v>
      </c>
      <c r="EJ162" s="2">
        <v>11.0453648915187</v>
      </c>
      <c r="EK162" s="2">
        <v>7.6923076923076898</v>
      </c>
      <c r="EL162" s="2">
        <v>18.737672583826399</v>
      </c>
      <c r="EM162" s="2">
        <v>1</v>
      </c>
      <c r="EN162" s="2" t="s">
        <v>94</v>
      </c>
      <c r="EO162" s="2">
        <v>4</v>
      </c>
      <c r="EP162" s="2" t="s">
        <v>94</v>
      </c>
      <c r="EQ162" s="2" t="s">
        <v>94</v>
      </c>
      <c r="ER162" s="2" t="s">
        <v>94</v>
      </c>
      <c r="ES162" s="2" t="s">
        <v>94</v>
      </c>
      <c r="ET162" s="2" t="str">
        <f>HYPERLINK(".\links\REFSEQ-INVERTEBRATE\AGAP011253-PA-REFSEQ-INVERTEBRATE.txt","muscle-specific homeobox protein tinman-like isoform X1")</f>
        <v>muscle-specific homeobox protein tinman-like isoform X1</v>
      </c>
      <c r="EU162" s="2" t="str">
        <f>HYPERLINK("http://www.ncbi.nlm.nih.gov/sutils/blink.cgi?pid=XP_035903605.1","0.0")</f>
        <v>0.0</v>
      </c>
      <c r="EV162" s="2" t="str">
        <f>HYPERLINK("http://www.ncbi.nlm.nih.gov/protein/XP_035903605.1","XP_035903605.1")</f>
        <v>XP_035903605.1</v>
      </c>
      <c r="EW162" s="2">
        <v>77</v>
      </c>
      <c r="EX162" s="2">
        <v>82</v>
      </c>
      <c r="EY162" s="2">
        <v>103</v>
      </c>
      <c r="EZ162" s="2" t="s">
        <v>184</v>
      </c>
    </row>
    <row r="163" spans="1:156" x14ac:dyDescent="0.25">
      <c r="A163" s="2" t="s">
        <v>2018</v>
      </c>
      <c r="B163" s="2">
        <v>0.57259762201777398</v>
      </c>
      <c r="C163" s="2">
        <v>1.4871989141538149</v>
      </c>
      <c r="D163" s="2">
        <v>3.1910069636393499</v>
      </c>
      <c r="E163" s="2">
        <v>11.801491928267099</v>
      </c>
      <c r="F163" s="2">
        <v>5.9183274614831895E-4</v>
      </c>
      <c r="G163" s="2">
        <v>2.7707734061013099E-2</v>
      </c>
      <c r="H163" s="2" t="s">
        <v>2019</v>
      </c>
      <c r="I163" s="2" t="s">
        <v>87</v>
      </c>
      <c r="J163" s="2" t="str">
        <f>HYPERLINK("https://vectorbase.org/vectorbase/app/record/gene/AGAP004244","AGAP004244-RA")</f>
        <v>AGAP004244-RA</v>
      </c>
      <c r="K163" s="2" t="str">
        <f>HYPERLINK(".\links\pep\AGAP004244-PA-pep.txt","AGAP004244-PA")</f>
        <v>AGAP004244-PA</v>
      </c>
      <c r="L163" s="8" t="s">
        <v>88</v>
      </c>
      <c r="M163" s="2">
        <v>1550</v>
      </c>
      <c r="N163" s="2">
        <v>0</v>
      </c>
      <c r="O163" s="2">
        <v>3</v>
      </c>
      <c r="P163" s="2" t="s">
        <v>2020</v>
      </c>
      <c r="Q163" s="9" t="s">
        <v>2021</v>
      </c>
      <c r="R163" s="2" t="s">
        <v>253</v>
      </c>
      <c r="S163" s="2" t="str">
        <f>HYPERLINK(".\links\REFSEQ-INVERTEBRATE\AGAP004244-PA-REFSEQ-INVERTEBRATE.txt","REFSEQ-INVERTEBRATE")</f>
        <v>REFSEQ-INVERTEBRATE</v>
      </c>
      <c r="T163" s="2">
        <v>0</v>
      </c>
      <c r="U163" s="2">
        <v>88.5</v>
      </c>
      <c r="V163" s="2" t="s">
        <v>2021</v>
      </c>
      <c r="W163" s="10" t="s">
        <v>2022</v>
      </c>
      <c r="X163" s="2" t="s">
        <v>253</v>
      </c>
      <c r="Y163" s="2" t="str">
        <f>HYPERLINK(".\links\REFSEQVERTEBRATE95\AGAP004244-PA-REFSEQVERTEBRATE95.txt","REFSEQVERTEBRATE95")</f>
        <v>REFSEQVERTEBRATE95</v>
      </c>
      <c r="Z163" s="13">
        <v>0</v>
      </c>
      <c r="AA163" s="2">
        <v>0.6</v>
      </c>
      <c r="AB163" s="11" t="str">
        <f>HYPERLINK(".\links\pep\AGAP004244-PA-sulf.txt","1")</f>
        <v>1</v>
      </c>
      <c r="AC163" s="11" t="str">
        <f>HYPERLINK(".\links\Sigp\AGAP004244-PA-SigP.txt","CYT")</f>
        <v>CYT</v>
      </c>
      <c r="AD163" s="2" t="s">
        <v>94</v>
      </c>
      <c r="AE163" s="2">
        <v>167.964</v>
      </c>
      <c r="AF163" s="2">
        <v>8.85</v>
      </c>
      <c r="AG163" s="2" t="s">
        <v>94</v>
      </c>
      <c r="AH163" s="2" t="s">
        <v>94</v>
      </c>
      <c r="AI163" s="2" t="s">
        <v>2023</v>
      </c>
      <c r="AJ163" s="11">
        <v>0</v>
      </c>
      <c r="AK163" s="2" t="s">
        <v>94</v>
      </c>
      <c r="AL163" s="2" t="s">
        <v>94</v>
      </c>
      <c r="AM163" s="2" t="s">
        <v>94</v>
      </c>
      <c r="AN163" s="11" t="str">
        <f>HYPERLINK(".\links\gpi\AGAP004244-PA-gpi.txt","N")</f>
        <v>N</v>
      </c>
      <c r="AO163" s="12" t="str">
        <f>HYPERLINK(".\links\netoglyc\AGAP004244-PA-netoglyc.txt","2")</f>
        <v>2</v>
      </c>
      <c r="AP163" s="11">
        <v>15.8</v>
      </c>
      <c r="AQ163" s="2">
        <v>7.7</v>
      </c>
      <c r="AR163" s="2">
        <v>4.5999999999999996</v>
      </c>
      <c r="AS163" s="2" t="s">
        <v>97</v>
      </c>
      <c r="AT163" s="9" t="str">
        <f>HYPERLINK(".\links\NR-LIGHT\AGAP004244-PA-NR-LIGHT.txt","AGAP004244-PA")</f>
        <v>AGAP004244-PA</v>
      </c>
      <c r="AU163" s="2" t="str">
        <f>HYPERLINK("http://www.ncbi.nlm.nih.gov/sutils/blink.cgi?pid=XP_313161.5","0.0")</f>
        <v>0.0</v>
      </c>
      <c r="AV163" s="2" t="str">
        <f>HYPERLINK("http://www.ncbi.nlm.nih.gov/protein/XP_313161.5","XP_313161.5")</f>
        <v>XP_313161.5</v>
      </c>
      <c r="AW163" s="2">
        <v>100</v>
      </c>
      <c r="AX163" s="2">
        <v>100</v>
      </c>
      <c r="AY163" s="2">
        <v>89</v>
      </c>
      <c r="AZ163" s="2" t="s">
        <v>98</v>
      </c>
      <c r="BA163" s="9" t="str">
        <f>HYPERLINK(".\links\REFSEQ-INVERTEBRATE\AGAP004244-PA-REFSEQ-INVERTEBRATE.txt","AGAP004244-PA")</f>
        <v>AGAP004244-PA</v>
      </c>
      <c r="BB163" s="2" t="str">
        <f>HYPERLINK("http://www.ncbi.nlm.nih.gov/sutils/blink.cgi?pid=XP_313161.5","0.0")</f>
        <v>0.0</v>
      </c>
      <c r="BC163" s="2" t="str">
        <f>HYPERLINK("http://www.ncbi.nlm.nih.gov/protein/XP_313161.5","XP_313161.5")</f>
        <v>XP_313161.5</v>
      </c>
      <c r="BD163" s="2">
        <v>100</v>
      </c>
      <c r="BE163" s="2">
        <v>100</v>
      </c>
      <c r="BF163" s="2">
        <v>89</v>
      </c>
      <c r="BG163" s="2" t="s">
        <v>98</v>
      </c>
      <c r="BH163" s="9" t="str">
        <f>HYPERLINK(".\links\REFSEQ-PROTOZOA\AGAP004244-PA-REFSEQ-PROTOZOA.txt","inversin protein alternative isoform")</f>
        <v>inversin protein alternative isoform</v>
      </c>
      <c r="BI163" s="2" t="str">
        <f>HYPERLINK("http://www.ncbi.nlm.nih.gov/sutils/blink.cgi?pid=XP_001299982.1","2E-042")</f>
        <v>2E-042</v>
      </c>
      <c r="BJ163" s="2" t="str">
        <f>HYPERLINK("http://www.ncbi.nlm.nih.gov/protein/XP_001299982.1","XP_001299982.1")</f>
        <v>XP_001299982.1</v>
      </c>
      <c r="BK163" s="2">
        <v>31</v>
      </c>
      <c r="BL163" s="2">
        <v>50</v>
      </c>
      <c r="BM163" s="2">
        <v>25</v>
      </c>
      <c r="BN163" s="2" t="s">
        <v>496</v>
      </c>
      <c r="BO163" s="9" t="str">
        <f>HYPERLINK(".\links\SWISSP\AGAP004244-PA-SWISSP.txt","Protein TANC2")</f>
        <v>Protein TANC2</v>
      </c>
      <c r="BP163" s="2" t="str">
        <f>HYPERLINK("http://www.uniprot.org/uniprot/Q9HCD6","0.0")</f>
        <v>0.0</v>
      </c>
      <c r="BQ163" s="2" t="str">
        <f>HYPERLINK("http://www.uniprot.org/uniprot/Q9HCD6#expression","Q9HCD6")</f>
        <v>Q9HCD6</v>
      </c>
      <c r="BR163" s="2">
        <v>40</v>
      </c>
      <c r="BS163" s="2">
        <v>57</v>
      </c>
      <c r="BT163" s="2">
        <v>65</v>
      </c>
      <c r="BU163" s="2" t="s">
        <v>196</v>
      </c>
      <c r="BV163" s="9" t="str">
        <f>HYPERLINK(".\links\FLYBASE\AGAP004244-PA-FLYBASE.txt","FBpp0075785")</f>
        <v>FBpp0075785</v>
      </c>
      <c r="BW163" s="2" t="str">
        <f>HYPERLINK("http://flybase.org/reports/FBgn0041096#alliance_summary_container","0.0")</f>
        <v>0.0</v>
      </c>
      <c r="BX163" s="2">
        <v>1900</v>
      </c>
      <c r="BY163" s="2">
        <v>53</v>
      </c>
      <c r="BZ163" s="2">
        <v>67</v>
      </c>
      <c r="CA163" s="2">
        <v>69</v>
      </c>
      <c r="CB163" s="9" t="str">
        <f>HYPERLINK(".\links\CDD\AGAP004244-PA-CDD.txt","ANK, ankyrin repeats")</f>
        <v>ANK, ankyrin repeats</v>
      </c>
      <c r="CC163" s="13">
        <v>2.0000000000000001E-27</v>
      </c>
      <c r="CD163" s="2">
        <v>96</v>
      </c>
      <c r="CE163" s="2" t="s">
        <v>2024</v>
      </c>
      <c r="CF163" s="2" t="s">
        <v>2025</v>
      </c>
      <c r="CG163" s="9" t="str">
        <f>HYPERLINK(".\links\KOG\AGAP004244-PA-KOG.txt","Ankyrin")</f>
        <v>Ankyrin</v>
      </c>
      <c r="CH163" s="13">
        <v>6.9999999999999997E-32</v>
      </c>
      <c r="CI163" s="2">
        <v>29.9</v>
      </c>
      <c r="CJ163" s="2" t="s">
        <v>499</v>
      </c>
      <c r="CK163" s="2" t="s">
        <v>200</v>
      </c>
      <c r="CL163" s="9" t="str">
        <f>HYPERLINK(".\links\PFAM\AGAP004244-PA-PFAM.txt","Ank_2, Ankyrin repeats (3 copies)")</f>
        <v>Ank_2, Ankyrin repeats (3 copies)</v>
      </c>
      <c r="CM163" s="13">
        <v>1.0000000000000001E-17</v>
      </c>
      <c r="CN163" s="2">
        <v>101.1</v>
      </c>
      <c r="CO163" s="2" t="s">
        <v>1493</v>
      </c>
      <c r="CP163" s="9" t="str">
        <f>HYPERLINK(".\links\SMART\AGAP004244-PA-SMART.txt","ANK, ankyrin repeats")</f>
        <v>ANK, ankyrin repeats</v>
      </c>
      <c r="CQ163" s="13">
        <v>4.0000000000000002E-4</v>
      </c>
      <c r="CR163" s="2">
        <v>93.3</v>
      </c>
      <c r="CS163" s="2" t="s">
        <v>500</v>
      </c>
      <c r="CT163" s="2" t="s">
        <v>2021</v>
      </c>
      <c r="CU163" s="2" t="s">
        <v>2021</v>
      </c>
      <c r="CV163" s="2" t="s">
        <v>2021</v>
      </c>
      <c r="CW163" s="2" t="str">
        <f>HYPERLINK(".\links\pep\AGAP004244-PA-pep.txt","AGAP004244-PA")</f>
        <v>AGAP004244-PA</v>
      </c>
      <c r="CX163" s="2" t="s">
        <v>88</v>
      </c>
      <c r="CY163" s="2">
        <v>1550</v>
      </c>
      <c r="CZ163" s="2" t="s">
        <v>106</v>
      </c>
      <c r="DA163" s="2" t="s">
        <v>2026</v>
      </c>
      <c r="DB163" s="2">
        <v>0</v>
      </c>
      <c r="DC163" s="2">
        <v>3</v>
      </c>
      <c r="DD163" s="2" t="str">
        <f>HYPERLINK("https://www.kegg.jp/kegg-bin/search_pathway_text?map=aga&amp;keyword=AGAP004244&amp;mode=1&amp;viewImage=true","AGAP004244")</f>
        <v>AGAP004244</v>
      </c>
      <c r="DE163" s="2" t="s">
        <v>2018</v>
      </c>
      <c r="DF163" s="2" t="s">
        <v>2019</v>
      </c>
      <c r="DG163" s="2" t="s">
        <v>87</v>
      </c>
      <c r="DH163" s="2" t="str">
        <f>HYPERLINK("https://vectorbase.org/vectorbase/app/record/gene/AGAP004244","AGAP004244-RA")</f>
        <v>AGAP004244-RA</v>
      </c>
      <c r="DI163" s="2" t="s">
        <v>250</v>
      </c>
      <c r="DJ163" s="2">
        <v>6064</v>
      </c>
      <c r="DK163" s="2" t="str">
        <f>HYPERLINK(".\links\netoglyc\AGAP004244-PA-netoglyc.txt","2")</f>
        <v>2</v>
      </c>
      <c r="DL163" s="2">
        <v>15.8</v>
      </c>
      <c r="DM163" s="2">
        <v>7.7</v>
      </c>
      <c r="DN163" s="2">
        <v>4.5999999999999996</v>
      </c>
      <c r="DO163" s="2" t="s">
        <v>97</v>
      </c>
      <c r="DP163" s="2" t="s">
        <v>2027</v>
      </c>
      <c r="DQ163" s="2" t="str">
        <f>HYPERLINK(".\links\Sigp\AGAP004244-PA-SigP.txt","CYT")</f>
        <v>CYT</v>
      </c>
      <c r="DR163" s="2" t="s">
        <v>94</v>
      </c>
      <c r="DS163" s="2">
        <v>167.964</v>
      </c>
      <c r="DT163" s="2">
        <v>8.85</v>
      </c>
      <c r="DU163" s="2" t="s">
        <v>94</v>
      </c>
      <c r="DV163" s="2" t="s">
        <v>94</v>
      </c>
      <c r="DW163" s="2" t="s">
        <v>2023</v>
      </c>
      <c r="DX163" s="2">
        <v>1550</v>
      </c>
      <c r="DY163" s="8">
        <v>0</v>
      </c>
      <c r="DZ163" s="2" t="s">
        <v>94</v>
      </c>
      <c r="EA163" s="2" t="s">
        <v>94</v>
      </c>
      <c r="EB163" s="2" t="s">
        <v>94</v>
      </c>
      <c r="EC163" s="2" t="str">
        <f>HYPERLINK(".\links\gpi\AGAP004244-PA-gpi.txt","Y-NoSP")</f>
        <v>Y-NoSP</v>
      </c>
      <c r="ED163" s="2">
        <v>0.18</v>
      </c>
      <c r="EF163" s="2">
        <v>29</v>
      </c>
      <c r="EG163" s="2" t="str">
        <f>HYPERLINK(".\links\pep\AGAP004244-PA-sulf.txt","1")</f>
        <v>1</v>
      </c>
      <c r="EH163" s="2" t="s">
        <v>94</v>
      </c>
      <c r="EI163" s="2">
        <v>15.806451612903199</v>
      </c>
      <c r="EJ163" s="2">
        <v>4.5806451612903203</v>
      </c>
      <c r="EK163" s="2">
        <v>7.7419354838709697</v>
      </c>
      <c r="EL163" s="2">
        <v>12.322580645161301</v>
      </c>
      <c r="EM163" s="2">
        <v>1</v>
      </c>
      <c r="EN163" s="2">
        <v>2</v>
      </c>
      <c r="EO163" s="2">
        <v>2</v>
      </c>
      <c r="EP163" s="2" t="s">
        <v>94</v>
      </c>
      <c r="EQ163" s="2" t="s">
        <v>94</v>
      </c>
      <c r="ER163" s="2" t="s">
        <v>94</v>
      </c>
      <c r="ES163" s="2" t="s">
        <v>94</v>
      </c>
      <c r="ET163" s="2" t="str">
        <f>HYPERLINK(".\links\REFSEQ-INVERTEBRATE\AGAP004244-PA-REFSEQ-INVERTEBRATE.txt","AGAP004244-PA")</f>
        <v>AGAP004244-PA</v>
      </c>
      <c r="EU163" s="2" t="str">
        <f>HYPERLINK("http://www.ncbi.nlm.nih.gov/sutils/blink.cgi?pid=XP_313161.5","0.0")</f>
        <v>0.0</v>
      </c>
      <c r="EV163" s="2" t="str">
        <f>HYPERLINK("http://www.ncbi.nlm.nih.gov/protein/XP_313161.5","XP_313161.5")</f>
        <v>XP_313161.5</v>
      </c>
      <c r="EW163" s="2">
        <v>100</v>
      </c>
      <c r="EX163" s="2">
        <v>100</v>
      </c>
      <c r="EY163" s="2">
        <v>89</v>
      </c>
      <c r="EZ163" s="2" t="s">
        <v>98</v>
      </c>
    </row>
    <row r="164" spans="1:156" x14ac:dyDescent="0.25">
      <c r="A164" s="2" t="s">
        <v>2028</v>
      </c>
      <c r="B164" s="2">
        <v>0.55605624630388395</v>
      </c>
      <c r="C164" s="2">
        <v>1.4702446556514859</v>
      </c>
      <c r="D164" s="2">
        <v>6.6347611558019599</v>
      </c>
      <c r="E164" s="2">
        <v>10.425629292958099</v>
      </c>
      <c r="F164" s="2">
        <v>1.2427850390174899E-3</v>
      </c>
      <c r="G164" s="2">
        <v>4.8767710016549302E-2</v>
      </c>
      <c r="H164" s="2" t="s">
        <v>2029</v>
      </c>
      <c r="I164" s="2" t="s">
        <v>87</v>
      </c>
      <c r="J164" s="2" t="str">
        <f>HYPERLINK("https://vectorbase.org/vectorbase/app/record/gene/AGAP007474","AGAP007474-RA")</f>
        <v>AGAP007474-RA</v>
      </c>
      <c r="K164" s="2" t="str">
        <f>HYPERLINK(".\links\pep\AGAP007474-PA-pep.txt","AGAP007474-PA")</f>
        <v>AGAP007474-PA</v>
      </c>
      <c r="L164" s="8" t="s">
        <v>88</v>
      </c>
      <c r="M164" s="2">
        <v>2936</v>
      </c>
      <c r="N164" s="2">
        <v>0</v>
      </c>
      <c r="O164" s="2">
        <v>14</v>
      </c>
      <c r="P164" s="2" t="s">
        <v>2030</v>
      </c>
      <c r="Q164" s="9" t="s">
        <v>2031</v>
      </c>
      <c r="R164" s="2" t="s">
        <v>238</v>
      </c>
      <c r="S164" s="2" t="str">
        <f>HYPERLINK(".\links\KOG\AGAP007474-PA-KOG.txt","KOG")</f>
        <v>KOG</v>
      </c>
      <c r="T164" s="2">
        <v>0</v>
      </c>
      <c r="U164" s="2">
        <v>103.1</v>
      </c>
      <c r="V164" s="2" t="s">
        <v>2032</v>
      </c>
      <c r="W164" s="10" t="s">
        <v>2033</v>
      </c>
      <c r="X164" s="2" t="s">
        <v>238</v>
      </c>
      <c r="Y164" s="2" t="str">
        <f>HYPERLINK(".\links\KOG\AGAP007474-PA-KOG.txt","KOG")</f>
        <v>KOG</v>
      </c>
      <c r="Z164" s="13">
        <v>0</v>
      </c>
      <c r="AA164" s="2">
        <v>103.1</v>
      </c>
      <c r="AB164" s="11" t="str">
        <f>HYPERLINK(".\links\pep\AGAP007474-PA-sulf.txt","2")</f>
        <v>2</v>
      </c>
      <c r="AC164" s="11" t="str">
        <f>HYPERLINK(".\links\Sigp\AGAP007474-PA-SigP.txt","CYT")</f>
        <v>CYT</v>
      </c>
      <c r="AD164" s="2" t="s">
        <v>94</v>
      </c>
      <c r="AE164" s="2">
        <v>316.61099999999999</v>
      </c>
      <c r="AF164" s="2">
        <v>5.99</v>
      </c>
      <c r="AG164" s="2" t="s">
        <v>94</v>
      </c>
      <c r="AH164" s="2" t="s">
        <v>94</v>
      </c>
      <c r="AI164" s="2" t="s">
        <v>463</v>
      </c>
      <c r="AJ164" s="11">
        <v>0</v>
      </c>
      <c r="AK164" s="2" t="s">
        <v>94</v>
      </c>
      <c r="AL164" s="2" t="s">
        <v>94</v>
      </c>
      <c r="AM164" s="2" t="s">
        <v>94</v>
      </c>
      <c r="AN164" s="11" t="str">
        <f>HYPERLINK(".\links\gpi\AGAP007474-PA-gpi.txt","N")</f>
        <v>N</v>
      </c>
      <c r="AO164" s="12" t="str">
        <f>HYPERLINK(".\links\netoglyc\AGAP007474-PA-netoglyc.txt","7")</f>
        <v>7</v>
      </c>
      <c r="AP164" s="11">
        <v>15.9</v>
      </c>
      <c r="AQ164" s="2">
        <v>5.7</v>
      </c>
      <c r="AR164" s="2">
        <v>3.8</v>
      </c>
      <c r="AS164" s="2" t="s">
        <v>97</v>
      </c>
      <c r="AT164" s="9" t="str">
        <f>HYPERLINK(".\links\NR-LIGHT\AGAP007474-PA-NR-LIGHT.txt","AGAP007474-PA")</f>
        <v>AGAP007474-PA</v>
      </c>
      <c r="AU164" s="2" t="str">
        <f>HYPERLINK("http://www.ncbi.nlm.nih.gov/sutils/blink.cgi?pid=XP_308398.3","0.0")</f>
        <v>0.0</v>
      </c>
      <c r="AV164" s="2" t="str">
        <f>HYPERLINK("http://www.ncbi.nlm.nih.gov/protein/XP_308398.3","XP_308398.3")</f>
        <v>XP_308398.3</v>
      </c>
      <c r="AW164" s="2">
        <v>100</v>
      </c>
      <c r="AX164" s="2">
        <v>100</v>
      </c>
      <c r="AY164" s="2">
        <v>100</v>
      </c>
      <c r="AZ164" s="2" t="s">
        <v>98</v>
      </c>
      <c r="BA164" s="9" t="str">
        <f>HYPERLINK(".\links\REFSEQ-INVERTEBRATE\AGAP007474-PA-REFSEQ-INVERTEBRATE.txt","AGAP007474-PA")</f>
        <v>AGAP007474-PA</v>
      </c>
      <c r="BB164" s="2" t="str">
        <f>HYPERLINK("http://www.ncbi.nlm.nih.gov/sutils/blink.cgi?pid=XP_308398.3","0.0")</f>
        <v>0.0</v>
      </c>
      <c r="BC164" s="2" t="str">
        <f>HYPERLINK("http://www.ncbi.nlm.nih.gov/protein/XP_308398.3","XP_308398.3")</f>
        <v>XP_308398.3</v>
      </c>
      <c r="BD164" s="2">
        <v>100</v>
      </c>
      <c r="BE164" s="2">
        <v>100</v>
      </c>
      <c r="BF164" s="2">
        <v>100</v>
      </c>
      <c r="BG164" s="2" t="s">
        <v>98</v>
      </c>
      <c r="BH164" s="9" t="str">
        <f>HYPERLINK(".\links\REFSEQ-PROTOZOA\AGAP007474-PA-REFSEQ-PROTOZOA.txt","Tln1 protein")</f>
        <v>Tln1 protein</v>
      </c>
      <c r="BI164" s="2" t="str">
        <f>HYPERLINK("http://www.ncbi.nlm.nih.gov/sutils/blink.cgi?pid=XP_004997176.1","0.0")</f>
        <v>0.0</v>
      </c>
      <c r="BJ164" s="2" t="str">
        <f>HYPERLINK("http://www.ncbi.nlm.nih.gov/protein/XP_004997176.1","XP_004997176.1")</f>
        <v>XP_004997176.1</v>
      </c>
      <c r="BK164" s="2">
        <v>34</v>
      </c>
      <c r="BL164" s="2">
        <v>53</v>
      </c>
      <c r="BM164" s="2">
        <v>102</v>
      </c>
      <c r="BN164" s="2" t="s">
        <v>117</v>
      </c>
      <c r="BO164" s="9" t="str">
        <f>HYPERLINK(".\links\SWISSP\AGAP007474-PA-SWISSP.txt","Talin-2")</f>
        <v>Talin-2</v>
      </c>
      <c r="BP164" s="2" t="str">
        <f>HYPERLINK("http://www.uniprot.org/uniprot/Q9Y4G6","0.0")</f>
        <v>0.0</v>
      </c>
      <c r="BQ164" s="2" t="str">
        <f>HYPERLINK("http://www.uniprot.org/uniprot/Q9Y4G6#expression","Q9Y4G6")</f>
        <v>Q9Y4G6</v>
      </c>
      <c r="BR164" s="2">
        <v>50</v>
      </c>
      <c r="BS164" s="2">
        <v>68</v>
      </c>
      <c r="BT164" s="2">
        <v>101</v>
      </c>
      <c r="BU164" s="2" t="s">
        <v>196</v>
      </c>
      <c r="BV164" s="9" t="str">
        <f>HYPERLINK(".\links\FLYBASE\AGAP007474-PA-FLYBASE.txt","FBpp0305318")</f>
        <v>FBpp0305318</v>
      </c>
      <c r="BW164" s="2" t="str">
        <f>HYPERLINK("http://flybase.org/reports/FBgn0260442#alliance_summary_container","0.0")</f>
        <v>0.0</v>
      </c>
      <c r="BX164" s="2">
        <v>2836</v>
      </c>
      <c r="BY164" s="2">
        <v>65</v>
      </c>
      <c r="BZ164" s="2">
        <v>78</v>
      </c>
      <c r="CA164" s="2">
        <v>99</v>
      </c>
      <c r="CB164" s="9" t="str">
        <f>HYPERLINK(".\links\CDD\AGAP007474-PA-CDD.txt","talin-RS, rod-segment of the talin C-terminal domain")</f>
        <v>talin-RS, rod-segment of the talin C-terminal domain</v>
      </c>
      <c r="CC164" s="13">
        <v>4.0000000000000002E-62</v>
      </c>
      <c r="CD164" s="2">
        <v>100</v>
      </c>
      <c r="CE164" s="2" t="s">
        <v>2034</v>
      </c>
      <c r="CF164" s="2" t="s">
        <v>2035</v>
      </c>
      <c r="CG164" s="9" t="str">
        <f>HYPERLINK(".\links\KOG\AGAP007474-PA-KOG.txt","Talin")</f>
        <v>Talin</v>
      </c>
      <c r="CH164" s="13">
        <v>0</v>
      </c>
      <c r="CI164" s="2">
        <v>103.2</v>
      </c>
      <c r="CJ164" s="2" t="s">
        <v>2036</v>
      </c>
      <c r="CK164" s="2" t="s">
        <v>246</v>
      </c>
      <c r="CL164" s="9" t="str">
        <f>HYPERLINK(".\links\PFAM\AGAP007474-PA-PFAM.txt","Talin_middle, Talin, middle domain")</f>
        <v>Talin_middle, Talin, middle domain</v>
      </c>
      <c r="CM164" s="13">
        <v>1E-61</v>
      </c>
      <c r="CN164" s="2">
        <v>100.6</v>
      </c>
      <c r="CO164" s="2" t="s">
        <v>2037</v>
      </c>
      <c r="CP164" s="9" t="str">
        <f>HYPERLINK(".\links\SMART\AGAP007474-PA-SMART.txt","B41, Band 4")</f>
        <v>B41, Band 4</v>
      </c>
      <c r="CQ164" s="13">
        <v>2.9999999999999999E-48</v>
      </c>
      <c r="CR164" s="2">
        <v>119.9</v>
      </c>
      <c r="CS164" s="2" t="s">
        <v>2038</v>
      </c>
      <c r="CT164" s="2" t="s">
        <v>2032</v>
      </c>
      <c r="CU164" s="2" t="s">
        <v>2032</v>
      </c>
      <c r="CV164" s="2" t="s">
        <v>2032</v>
      </c>
      <c r="CW164" s="2" t="str">
        <f>HYPERLINK(".\links\pep\AGAP007474-PA-pep.txt","AGAP007474-PA")</f>
        <v>AGAP007474-PA</v>
      </c>
      <c r="CX164" s="2" t="s">
        <v>88</v>
      </c>
      <c r="CY164" s="2">
        <v>2936</v>
      </c>
      <c r="CZ164" s="2" t="s">
        <v>106</v>
      </c>
      <c r="DA164" s="2" t="s">
        <v>2039</v>
      </c>
      <c r="DB164" s="2">
        <v>0</v>
      </c>
      <c r="DC164" s="2">
        <v>14</v>
      </c>
      <c r="DD164" s="2" t="str">
        <f>HYPERLINK("https://www.kegg.jp/kegg-bin/search_pathway_text?map=aga&amp;keyword=AGAP007474&amp;mode=1&amp;viewImage=true","AGAP007474")</f>
        <v>AGAP007474</v>
      </c>
      <c r="DE164" s="2" t="s">
        <v>2028</v>
      </c>
      <c r="DF164" s="2" t="s">
        <v>2029</v>
      </c>
      <c r="DG164" s="2" t="s">
        <v>87</v>
      </c>
      <c r="DH164" s="2" t="str">
        <f>HYPERLINK("https://vectorbase.org/vectorbase/app/record/gene/AGAP007474","AGAP007474-RA")</f>
        <v>AGAP007474-RA</v>
      </c>
      <c r="DI164" s="2" t="s">
        <v>250</v>
      </c>
      <c r="DJ164" s="2">
        <v>11862</v>
      </c>
      <c r="DK164" s="2" t="str">
        <f>HYPERLINK(".\links\netoglyc\AGAP007474-PA-netoglyc.txt","7")</f>
        <v>7</v>
      </c>
      <c r="DL164" s="2">
        <v>15.9</v>
      </c>
      <c r="DM164" s="2">
        <v>5.7</v>
      </c>
      <c r="DN164" s="2">
        <v>3.8</v>
      </c>
      <c r="DO164" s="2" t="s">
        <v>97</v>
      </c>
      <c r="DP164" s="2" t="s">
        <v>2040</v>
      </c>
      <c r="DQ164" s="2" t="str">
        <f>HYPERLINK(".\links\Sigp\AGAP007474-PA-SigP.txt","CYT")</f>
        <v>CYT</v>
      </c>
      <c r="DR164" s="2" t="s">
        <v>94</v>
      </c>
      <c r="DS164" s="2">
        <v>316.61099999999999</v>
      </c>
      <c r="DT164" s="2">
        <v>5.99</v>
      </c>
      <c r="DU164" s="2" t="s">
        <v>94</v>
      </c>
      <c r="DV164" s="2" t="s">
        <v>94</v>
      </c>
      <c r="DW164" s="2" t="s">
        <v>463</v>
      </c>
      <c r="DX164" s="2">
        <v>2936</v>
      </c>
      <c r="DY164" s="8">
        <v>0</v>
      </c>
      <c r="DZ164" s="2" t="s">
        <v>94</v>
      </c>
      <c r="EA164" s="2" t="s">
        <v>94</v>
      </c>
      <c r="EB164" s="2" t="s">
        <v>94</v>
      </c>
      <c r="EC164" s="2" t="str">
        <f>HYPERLINK(".\links\gpi\AGAP007474-PA-gpi.txt","Y-NoSP")</f>
        <v>Y-NoSP</v>
      </c>
      <c r="ED164" s="2">
        <v>0.19</v>
      </c>
      <c r="EF164" s="2">
        <v>39</v>
      </c>
      <c r="EG164" s="2" t="str">
        <f>HYPERLINK(".\links\pep\AGAP007474-PA-sulf.txt","2")</f>
        <v>2</v>
      </c>
      <c r="EH164" s="2" t="s">
        <v>94</v>
      </c>
      <c r="EI164" s="2">
        <v>15.871934604904601</v>
      </c>
      <c r="EJ164" s="2">
        <v>3.7806539509536798</v>
      </c>
      <c r="EK164" s="2">
        <v>5.6880108991825598</v>
      </c>
      <c r="EL164" s="2">
        <v>9.4686648501362392</v>
      </c>
      <c r="EM164" s="2">
        <v>4</v>
      </c>
      <c r="EN164" s="2">
        <v>4</v>
      </c>
      <c r="EO164" s="2">
        <v>7</v>
      </c>
      <c r="EP164" s="2" t="s">
        <v>94</v>
      </c>
      <c r="EQ164" s="2" t="s">
        <v>94</v>
      </c>
      <c r="ER164" s="2" t="s">
        <v>94</v>
      </c>
      <c r="ES164" s="2" t="s">
        <v>94</v>
      </c>
      <c r="ET164" s="2" t="str">
        <f>HYPERLINK(".\links\REFSEQ-INVERTEBRATE\AGAP007474-PA-REFSEQ-INVERTEBRATE.txt","AGAP007474-PA")</f>
        <v>AGAP007474-PA</v>
      </c>
      <c r="EU164" s="2" t="str">
        <f>HYPERLINK("http://www.ncbi.nlm.nih.gov/sutils/blink.cgi?pid=XP_308398.3","0.0")</f>
        <v>0.0</v>
      </c>
      <c r="EV164" s="2" t="str">
        <f>HYPERLINK("http://www.ncbi.nlm.nih.gov/protein/XP_308398.3","XP_308398.3")</f>
        <v>XP_308398.3</v>
      </c>
      <c r="EW164" s="2">
        <v>100</v>
      </c>
      <c r="EX164" s="2">
        <v>100</v>
      </c>
      <c r="EY164" s="2">
        <v>100</v>
      </c>
      <c r="EZ164" s="2" t="s">
        <v>98</v>
      </c>
    </row>
    <row r="165" spans="1:156" x14ac:dyDescent="0.25">
      <c r="A165" s="2" t="s">
        <v>2041</v>
      </c>
      <c r="B165" s="2">
        <v>0.54031837343400402</v>
      </c>
      <c r="C165" s="2">
        <v>1.4542934148703224</v>
      </c>
      <c r="D165" s="2">
        <v>4.9434275529708298</v>
      </c>
      <c r="E165" s="2">
        <v>13.104167106419199</v>
      </c>
      <c r="F165" s="2">
        <v>2.9463964286359598E-4</v>
      </c>
      <c r="G165" s="2">
        <v>1.5831858537278601E-2</v>
      </c>
      <c r="H165" s="2" t="s">
        <v>2042</v>
      </c>
      <c r="I165" s="2" t="s">
        <v>87</v>
      </c>
      <c r="J165" s="2" t="str">
        <f>HYPERLINK("https://vectorbase.org/vectorbase/app/record/gene/AGAP001604","AGAP001604-RA")</f>
        <v>AGAP001604-RA</v>
      </c>
      <c r="K165" s="2" t="str">
        <f>HYPERLINK(".\links\pep\AGAP001604-PA-pep.txt","AGAP001604-PA")</f>
        <v>AGAP001604-PA</v>
      </c>
      <c r="L165" s="8" t="s">
        <v>88</v>
      </c>
      <c r="M165" s="2">
        <v>1939</v>
      </c>
      <c r="N165" s="2">
        <v>0</v>
      </c>
      <c r="O165" s="2">
        <v>6</v>
      </c>
      <c r="P165" s="2" t="s">
        <v>2043</v>
      </c>
      <c r="Q165" s="9" t="s">
        <v>2044</v>
      </c>
      <c r="R165" s="2" t="s">
        <v>131</v>
      </c>
      <c r="S165" s="2" t="str">
        <f>HYPERLINK(".\links\KOG\AGAP001604-PA-KOG.txt","KOG")</f>
        <v>KOG</v>
      </c>
      <c r="T165" s="2">
        <v>0</v>
      </c>
      <c r="U165" s="2">
        <v>85.6</v>
      </c>
      <c r="V165" s="2" t="s">
        <v>2045</v>
      </c>
      <c r="W165" s="10" t="s">
        <v>2046</v>
      </c>
      <c r="X165" s="2" t="s">
        <v>131</v>
      </c>
      <c r="Y165" s="2" t="str">
        <f>HYPERLINK(".\links\CDD\AGAP001604-PA-CDD.txt","CDD")</f>
        <v>CDD</v>
      </c>
      <c r="Z165" s="13">
        <v>0</v>
      </c>
      <c r="AA165" s="2">
        <v>118.3</v>
      </c>
      <c r="AB165" s="11" t="str">
        <f>HYPERLINK(".\links\pep\AGAP001604-PA-sulf.txt","4")</f>
        <v>4</v>
      </c>
      <c r="AC165" s="11" t="str">
        <f>HYPERLINK(".\links\Sigp\AGAP001604-PA-SigP.txt","CYT")</f>
        <v>CYT</v>
      </c>
      <c r="AD165" s="2" t="s">
        <v>94</v>
      </c>
      <c r="AE165" s="2">
        <v>207.20699999999999</v>
      </c>
      <c r="AF165" s="2">
        <v>5.13</v>
      </c>
      <c r="AG165" s="2" t="s">
        <v>94</v>
      </c>
      <c r="AH165" s="2" t="s">
        <v>94</v>
      </c>
      <c r="AI165" s="2" t="s">
        <v>348</v>
      </c>
      <c r="AJ165" s="11">
        <v>0</v>
      </c>
      <c r="AK165" s="2" t="s">
        <v>94</v>
      </c>
      <c r="AL165" s="2" t="s">
        <v>94</v>
      </c>
      <c r="AM165" s="2" t="s">
        <v>94</v>
      </c>
      <c r="AN165" s="11" t="str">
        <f>HYPERLINK(".\links\gpi\AGAP001604-PA-gpi.txt","N")</f>
        <v>N</v>
      </c>
      <c r="AO165" s="12" t="str">
        <f>HYPERLINK(".\links\netoglyc\AGAP001604-PA-netoglyc.txt","7")</f>
        <v>7</v>
      </c>
      <c r="AP165" s="11">
        <v>20</v>
      </c>
      <c r="AQ165" s="2">
        <v>8.8000000000000007</v>
      </c>
      <c r="AR165" s="2">
        <v>5.3</v>
      </c>
      <c r="AS165" s="2">
        <v>0.2</v>
      </c>
      <c r="AT165" s="9" t="str">
        <f>HYPERLINK(".\links\NR-LIGHT\AGAP001604-PA-NR-LIGHT.txt","AGAP001604-PA")</f>
        <v>AGAP001604-PA</v>
      </c>
      <c r="AU165" s="2" t="str">
        <f>HYPERLINK("http://www.ncbi.nlm.nih.gov/sutils/blink.cgi?pid=XP_321498.4","0.0")</f>
        <v>0.0</v>
      </c>
      <c r="AV165" s="2" t="str">
        <f>HYPERLINK("http://www.ncbi.nlm.nih.gov/protein/XP_321498.4","XP_321498.4")</f>
        <v>XP_321498.4</v>
      </c>
      <c r="AW165" s="2">
        <v>100</v>
      </c>
      <c r="AX165" s="2">
        <v>100</v>
      </c>
      <c r="AY165" s="2">
        <v>100</v>
      </c>
      <c r="AZ165" s="2" t="s">
        <v>98</v>
      </c>
      <c r="BA165" s="9" t="str">
        <f>HYPERLINK(".\links\REFSEQ-INVERTEBRATE\AGAP001604-PA-REFSEQ-INVERTEBRATE.txt","AGAP001604-PA")</f>
        <v>AGAP001604-PA</v>
      </c>
      <c r="BB165" s="2" t="str">
        <f>HYPERLINK("http://www.ncbi.nlm.nih.gov/sutils/blink.cgi?pid=XP_321498.4","0.0")</f>
        <v>0.0</v>
      </c>
      <c r="BC165" s="2" t="str">
        <f>HYPERLINK("http://www.ncbi.nlm.nih.gov/protein/XP_321498.4","XP_321498.4")</f>
        <v>XP_321498.4</v>
      </c>
      <c r="BD165" s="2">
        <v>100</v>
      </c>
      <c r="BE165" s="2">
        <v>100</v>
      </c>
      <c r="BF165" s="2">
        <v>100</v>
      </c>
      <c r="BG165" s="2" t="s">
        <v>98</v>
      </c>
      <c r="BH165" s="9" t="str">
        <f>HYPERLINK(".\links\REFSEQ-PROTOZOA\AGAP001604-PA-REFSEQ-PROTOZOA.txt","myotubularin-like protein")</f>
        <v>myotubularin-like protein</v>
      </c>
      <c r="BI165" s="2" t="str">
        <f>HYPERLINK("http://www.ncbi.nlm.nih.gov/sutils/blink.cgi?pid=XP_002904906.1","2E-086")</f>
        <v>2E-086</v>
      </c>
      <c r="BJ165" s="2" t="str">
        <f>HYPERLINK("http://www.ncbi.nlm.nih.gov/protein/XP_002904906.1","XP_002904906.1")</f>
        <v>XP_002904906.1</v>
      </c>
      <c r="BK165" s="2">
        <v>32</v>
      </c>
      <c r="BL165" s="2">
        <v>48</v>
      </c>
      <c r="BM165" s="2">
        <v>63</v>
      </c>
      <c r="BN165" s="2" t="s">
        <v>2047</v>
      </c>
      <c r="BO165" s="9" t="str">
        <f>HYPERLINK(".\links\SWISSP\AGAP001604-PA-SWISSP.txt","Myotubularin-related protein 3")</f>
        <v>Myotubularin-related protein 3</v>
      </c>
      <c r="BP165" s="2" t="str">
        <f>HYPERLINK("http://www.uniprot.org/uniprot/Q5PQT2","1E-175")</f>
        <v>1E-175</v>
      </c>
      <c r="BQ165" s="2" t="str">
        <f>HYPERLINK("http://www.uniprot.org/uniprot/Q5PQT2#expression","Q5PQT2")</f>
        <v>Q5PQT2</v>
      </c>
      <c r="BR165" s="2">
        <v>45</v>
      </c>
      <c r="BS165" s="2">
        <v>58</v>
      </c>
      <c r="BT165" s="2">
        <v>65</v>
      </c>
      <c r="BU165" s="2" t="s">
        <v>177</v>
      </c>
      <c r="BV165" s="9" t="str">
        <f>HYPERLINK(".\links\FLYBASE\AGAP001604-PA-FLYBASE.txt","FBpp0310622")</f>
        <v>FBpp0310622</v>
      </c>
      <c r="BW165" s="2" t="str">
        <f>HYPERLINK("http://flybase.org/reports/FBgn0030735#alliance_summary_container","0.0")</f>
        <v>0.0</v>
      </c>
      <c r="BX165" s="2">
        <v>1119</v>
      </c>
      <c r="BY165" s="2">
        <v>63</v>
      </c>
      <c r="BZ165" s="2">
        <v>74</v>
      </c>
      <c r="CA165" s="2">
        <v>57</v>
      </c>
      <c r="CB165" s="9" t="str">
        <f>HYPERLINK(".\links\CDD\AGAP001604-PA-CDD.txt","Myotub-related, Myotubularin-like phosphatase domain")</f>
        <v>Myotub-related, Myotubularin-like phosphatase domain</v>
      </c>
      <c r="CC165" s="13">
        <v>1E-150</v>
      </c>
      <c r="CD165" s="2">
        <v>114</v>
      </c>
      <c r="CE165" s="2" t="s">
        <v>2048</v>
      </c>
      <c r="CF165" s="2" t="s">
        <v>2049</v>
      </c>
      <c r="CG165" s="9" t="str">
        <f>HYPERLINK(".\links\KOG\AGAP001604-PA-KOG.txt","Phosphatidylinositol 3-phosphate 3-phosphatase myotubularin MTM1")</f>
        <v>Phosphatidylinositol 3-phosphate 3-phosphatase myotubularin MTM1</v>
      </c>
      <c r="CH165" s="13">
        <v>0</v>
      </c>
      <c r="CI165" s="2">
        <v>85.6</v>
      </c>
      <c r="CJ165" s="2" t="s">
        <v>2050</v>
      </c>
      <c r="CK165" s="2" t="s">
        <v>2051</v>
      </c>
      <c r="CL165" s="9" t="str">
        <f>HYPERLINK(".\links\PFAM\AGAP001604-PA-PFAM.txt","Myotub-related, Myotubularin-like phosphatase domain")</f>
        <v>Myotub-related, Myotubularin-like phosphatase domain</v>
      </c>
      <c r="CM165" s="13">
        <v>9.9999999999999994E-152</v>
      </c>
      <c r="CN165" s="2">
        <v>114</v>
      </c>
      <c r="CO165" s="2" t="s">
        <v>2048</v>
      </c>
      <c r="CP165" s="9" t="str">
        <f>HYPERLINK(".\links\SMART\AGAP001604-PA-SMART.txt","FYVE, Protein present in Fab1, YOTB, Vac1, and EEA1")</f>
        <v>FYVE, Protein present in Fab1, YOTB, Vac1, and EEA1</v>
      </c>
      <c r="CQ165" s="13">
        <v>5.9999999999999998E-22</v>
      </c>
      <c r="CR165" s="2">
        <v>94.1</v>
      </c>
      <c r="CS165" s="2" t="s">
        <v>2052</v>
      </c>
      <c r="CT165" s="2" t="s">
        <v>2045</v>
      </c>
      <c r="CU165" s="2" t="s">
        <v>2045</v>
      </c>
      <c r="CV165" s="2" t="s">
        <v>2045</v>
      </c>
      <c r="CW165" s="2" t="str">
        <f>HYPERLINK(".\links\pep\AGAP001604-PA-pep.txt","AGAP001604-PA")</f>
        <v>AGAP001604-PA</v>
      </c>
      <c r="CX165" s="2" t="s">
        <v>88</v>
      </c>
      <c r="CY165" s="2">
        <v>1939</v>
      </c>
      <c r="CZ165" s="2" t="s">
        <v>106</v>
      </c>
      <c r="DA165" s="2" t="s">
        <v>2053</v>
      </c>
      <c r="DB165" s="2">
        <v>0</v>
      </c>
      <c r="DC165" s="2">
        <v>6</v>
      </c>
      <c r="DD165" s="2" t="str">
        <f>HYPERLINK("https://www.kegg.jp/kegg-bin/search_pathway_text?map=aga&amp;keyword=AGAP001604&amp;mode=1&amp;viewImage=true","AGAP001604")</f>
        <v>AGAP001604</v>
      </c>
      <c r="DE165" s="2" t="s">
        <v>2054</v>
      </c>
      <c r="DF165" s="2" t="s">
        <v>2042</v>
      </c>
      <c r="DG165" s="2" t="s">
        <v>87</v>
      </c>
      <c r="DH165" s="2" t="str">
        <f>HYPERLINK("https://vectorbase.org/vectorbase/app/record/gene/AGAP001604","AGAP001604-RA")</f>
        <v>AGAP001604-RA</v>
      </c>
      <c r="DI165" s="2" t="s">
        <v>108</v>
      </c>
      <c r="DJ165" s="2">
        <v>6260</v>
      </c>
      <c r="DK165" s="2" t="str">
        <f>HYPERLINK(".\links\netoglyc\AGAP001604-PA-netoglyc.txt","7")</f>
        <v>7</v>
      </c>
      <c r="DL165" s="2">
        <v>20</v>
      </c>
      <c r="DM165" s="2">
        <v>8.8000000000000007</v>
      </c>
      <c r="DN165" s="2">
        <v>5.3</v>
      </c>
      <c r="DO165" s="2">
        <v>0.2</v>
      </c>
      <c r="DP165" s="2" t="s">
        <v>2055</v>
      </c>
      <c r="DQ165" s="2" t="str">
        <f>HYPERLINK(".\links\Sigp\AGAP001604-PA-SigP.txt","CYT")</f>
        <v>CYT</v>
      </c>
      <c r="DR165" s="2" t="s">
        <v>94</v>
      </c>
      <c r="DS165" s="2">
        <v>207.20699999999999</v>
      </c>
      <c r="DT165" s="2">
        <v>5.13</v>
      </c>
      <c r="DU165" s="2" t="s">
        <v>94</v>
      </c>
      <c r="DV165" s="2" t="s">
        <v>94</v>
      </c>
      <c r="DW165" s="2" t="s">
        <v>348</v>
      </c>
      <c r="DX165" s="2">
        <v>1939</v>
      </c>
      <c r="DY165" s="8">
        <v>0</v>
      </c>
      <c r="DZ165" s="2" t="s">
        <v>94</v>
      </c>
      <c r="EA165" s="2" t="s">
        <v>94</v>
      </c>
      <c r="EB165" s="2" t="s">
        <v>94</v>
      </c>
      <c r="EC165" s="2" t="str">
        <f>HYPERLINK(".\links\gpi\AGAP001604-PA-gpi.txt","Y-NoSP")</f>
        <v>Y-NoSP</v>
      </c>
      <c r="ED165" s="2">
        <v>0.2</v>
      </c>
      <c r="EF165" s="2">
        <v>50</v>
      </c>
      <c r="EG165" s="2" t="str">
        <f>HYPERLINK(".\links\pep\AGAP001604-PA-sulf.txt","4")</f>
        <v>4</v>
      </c>
      <c r="EH165" s="2" t="s">
        <v>94</v>
      </c>
      <c r="EI165" s="2">
        <v>20.010314595152099</v>
      </c>
      <c r="EJ165" s="2">
        <v>5.3120165033522397</v>
      </c>
      <c r="EK165" s="2">
        <v>8.8189788550799406</v>
      </c>
      <c r="EL165" s="2">
        <v>14.1309953584322</v>
      </c>
      <c r="EM165" s="2">
        <v>3</v>
      </c>
      <c r="EN165" s="2">
        <v>2</v>
      </c>
      <c r="EO165" s="2">
        <v>2</v>
      </c>
      <c r="EP165" s="2" t="s">
        <v>94</v>
      </c>
      <c r="EQ165" s="2" t="s">
        <v>94</v>
      </c>
      <c r="ER165" s="2" t="s">
        <v>94</v>
      </c>
      <c r="ES165" s="2" t="s">
        <v>94</v>
      </c>
      <c r="ET165" s="2" t="str">
        <f>HYPERLINK(".\links\REFSEQ-INVERTEBRATE\AGAP001604-PA-REFSEQ-INVERTEBRATE.txt","AGAP001604-PA")</f>
        <v>AGAP001604-PA</v>
      </c>
      <c r="EU165" s="2" t="str">
        <f>HYPERLINK("http://www.ncbi.nlm.nih.gov/sutils/blink.cgi?pid=XP_321498.4","0.0")</f>
        <v>0.0</v>
      </c>
      <c r="EV165" s="2" t="str">
        <f>HYPERLINK("http://www.ncbi.nlm.nih.gov/protein/XP_321498.4","XP_321498.4")</f>
        <v>XP_321498.4</v>
      </c>
      <c r="EW165" s="2">
        <v>100</v>
      </c>
      <c r="EX165" s="2">
        <v>100</v>
      </c>
      <c r="EY165" s="2">
        <v>100</v>
      </c>
      <c r="EZ165" s="2" t="s">
        <v>98</v>
      </c>
    </row>
    <row r="166" spans="1:156" x14ac:dyDescent="0.25">
      <c r="A166" s="2" t="s">
        <v>2056</v>
      </c>
      <c r="B166" s="2">
        <v>0.534162559626436</v>
      </c>
      <c r="C166" s="2">
        <v>1.4481013319822928</v>
      </c>
      <c r="D166" s="2">
        <v>5.7024212190940302</v>
      </c>
      <c r="E166" s="2">
        <v>12.010337146777699</v>
      </c>
      <c r="F166" s="2">
        <v>5.2906285955367201E-4</v>
      </c>
      <c r="G166" s="2">
        <v>2.5397702856848101E-2</v>
      </c>
      <c r="H166" s="2" t="s">
        <v>2057</v>
      </c>
      <c r="I166" s="2" t="s">
        <v>87</v>
      </c>
      <c r="J166" s="2" t="str">
        <f>HYPERLINK("https://vectorbase.org/vectorbase/app/record/gene/AGAP002647","AGAP002647-RA")</f>
        <v>AGAP002647-RA</v>
      </c>
      <c r="K166" s="2" t="str">
        <f>HYPERLINK(".\links\pep\AGAP002647-PA-pep.txt","AGAP002647-PA")</f>
        <v>AGAP002647-PA</v>
      </c>
      <c r="L166" s="8" t="s">
        <v>88</v>
      </c>
      <c r="M166" s="2">
        <v>416</v>
      </c>
      <c r="N166" s="2">
        <v>0</v>
      </c>
      <c r="O166" s="2">
        <v>3</v>
      </c>
      <c r="P166" s="2" t="s">
        <v>2058</v>
      </c>
      <c r="Q166" s="9" t="s">
        <v>2059</v>
      </c>
      <c r="R166" s="2" t="s">
        <v>318</v>
      </c>
      <c r="S166" s="2" t="str">
        <f>HYPERLINK(".\links\CDD\AGAP002647-PA-CDD.txt","CDD")</f>
        <v>CDD</v>
      </c>
      <c r="T166" s="2">
        <v>0</v>
      </c>
      <c r="U166" s="2">
        <v>100</v>
      </c>
      <c r="V166" s="2" t="s">
        <v>2060</v>
      </c>
      <c r="W166" s="10" t="s">
        <v>2061</v>
      </c>
      <c r="X166" s="2" t="s">
        <v>318</v>
      </c>
      <c r="Y166" s="2" t="str">
        <f>HYPERLINK(".\links\EC\AGAP002647-PA-EC.txt","EC")</f>
        <v>EC</v>
      </c>
      <c r="Z166" s="13">
        <v>0</v>
      </c>
      <c r="AA166" s="2">
        <v>104.9</v>
      </c>
      <c r="AB166" s="11" t="str">
        <f>HYPERLINK(".\links\pep\AGAP002647-PA-sulf.txt","1")</f>
        <v>1</v>
      </c>
      <c r="AC166" s="11" t="str">
        <f>HYPERLINK(".\links\Sigp\AGAP002647-PA-SigP.txt","CYT")</f>
        <v>CYT</v>
      </c>
      <c r="AD166" s="2" t="s">
        <v>94</v>
      </c>
      <c r="AE166" s="2">
        <v>48.204000000000001</v>
      </c>
      <c r="AF166" s="2">
        <v>8.74</v>
      </c>
      <c r="AG166" s="2" t="s">
        <v>94</v>
      </c>
      <c r="AH166" s="2" t="s">
        <v>94</v>
      </c>
      <c r="AI166" s="2" t="s">
        <v>2062</v>
      </c>
      <c r="AJ166" s="11">
        <v>0</v>
      </c>
      <c r="AK166" s="2" t="s">
        <v>94</v>
      </c>
      <c r="AL166" s="2" t="s">
        <v>94</v>
      </c>
      <c r="AM166" s="2" t="s">
        <v>94</v>
      </c>
      <c r="AN166" s="11" t="str">
        <f>HYPERLINK(".\links\gpi\AGAP002647-PA-gpi.txt","N")</f>
        <v>N</v>
      </c>
      <c r="AO166" s="12" t="str">
        <f>HYPERLINK(".\links\netoglyc\AGAP002647-PA-netoglyc.txt","0")</f>
        <v>0</v>
      </c>
      <c r="AP166" s="11">
        <v>8.4</v>
      </c>
      <c r="AQ166" s="2">
        <v>5.3</v>
      </c>
      <c r="AR166" s="2">
        <v>4.0999999999999996</v>
      </c>
      <c r="AS166" s="2" t="s">
        <v>97</v>
      </c>
      <c r="AT166" s="9" t="str">
        <f>HYPERLINK(".\links\NR-LIGHT\AGAP002647-PA-NR-LIGHT.txt","AGAP002647-PA")</f>
        <v>AGAP002647-PA</v>
      </c>
      <c r="AU166" s="2" t="str">
        <f>HYPERLINK("http://www.ncbi.nlm.nih.gov/sutils/blink.cgi?pid=XP_312280.3","0.0")</f>
        <v>0.0</v>
      </c>
      <c r="AV166" s="2" t="str">
        <f>HYPERLINK("http://www.ncbi.nlm.nih.gov/protein/XP_312280.3","XP_312280.3")</f>
        <v>XP_312280.3</v>
      </c>
      <c r="AW166" s="2">
        <v>100</v>
      </c>
      <c r="AX166" s="2">
        <v>100</v>
      </c>
      <c r="AY166" s="2">
        <v>100</v>
      </c>
      <c r="AZ166" s="2" t="s">
        <v>98</v>
      </c>
      <c r="BA166" s="9" t="str">
        <f>HYPERLINK(".\links\REFSEQ-INVERTEBRATE\AGAP002647-PA-REFSEQ-INVERTEBRATE.txt","AGAP002647-PA")</f>
        <v>AGAP002647-PA</v>
      </c>
      <c r="BB166" s="2" t="str">
        <f>HYPERLINK("http://www.ncbi.nlm.nih.gov/sutils/blink.cgi?pid=XP_312280.3","0.0")</f>
        <v>0.0</v>
      </c>
      <c r="BC166" s="2" t="str">
        <f>HYPERLINK("http://www.ncbi.nlm.nih.gov/protein/XP_312280.3","XP_312280.3")</f>
        <v>XP_312280.3</v>
      </c>
      <c r="BD166" s="2">
        <v>100</v>
      </c>
      <c r="BE166" s="2">
        <v>100</v>
      </c>
      <c r="BF166" s="2">
        <v>100</v>
      </c>
      <c r="BG166" s="2" t="s">
        <v>98</v>
      </c>
      <c r="BH166" s="9" t="str">
        <f>HYPERLINK(".\links\REFSEQ-PROTOZOA\AGAP002647-PA-REFSEQ-PROTOZOA.txt","protein kinase 1")</f>
        <v>protein kinase 1</v>
      </c>
      <c r="BI166" s="2" t="str">
        <f>HYPERLINK("http://www.ncbi.nlm.nih.gov/sutils/blink.cgi?pid=XP_004351907.1","4E-056")</f>
        <v>4E-056</v>
      </c>
      <c r="BJ166" s="2" t="str">
        <f>HYPERLINK("http://www.ncbi.nlm.nih.gov/protein/XP_004351907.1","XP_004351907.1")</f>
        <v>XP_004351907.1</v>
      </c>
      <c r="BK166" s="2">
        <v>44</v>
      </c>
      <c r="BL166" s="2">
        <v>61</v>
      </c>
      <c r="BM166" s="2">
        <v>53</v>
      </c>
      <c r="BN166" s="2" t="s">
        <v>786</v>
      </c>
      <c r="BO166" s="9" t="str">
        <f>HYPERLINK(".\links\SWISSP\AGAP002647-PA-SWISSP.txt","Phosphorylase b kinase gamma catalytic chain, skeletal muscle/heart isoform")</f>
        <v>Phosphorylase b kinase gamma catalytic chain, skeletal muscle/heart isoform</v>
      </c>
      <c r="BP166" s="2" t="str">
        <f>HYPERLINK("http://www.uniprot.org/uniprot/Q16816","1E-117")</f>
        <v>1E-117</v>
      </c>
      <c r="BQ166" s="2" t="str">
        <f>HYPERLINK("http://www.uniprot.org/uniprot/Q16816#expression","Q16816")</f>
        <v>Q16816</v>
      </c>
      <c r="BR166" s="2">
        <v>52</v>
      </c>
      <c r="BS166" s="2">
        <v>67</v>
      </c>
      <c r="BT166" s="2">
        <v>105</v>
      </c>
      <c r="BU166" s="2" t="s">
        <v>196</v>
      </c>
      <c r="BV166" s="9" t="str">
        <f>HYPERLINK(".\links\FLYBASE\AGAP002647-PA-FLYBASE.txt","FBpp0310241")</f>
        <v>FBpp0310241</v>
      </c>
      <c r="BW166" s="2" t="str">
        <f>HYPERLINK("http://flybase.org/reports/FBgn0011754#alliance_summary_container","0.0")</f>
        <v>0.0</v>
      </c>
      <c r="BX166" s="2">
        <v>419</v>
      </c>
      <c r="BY166" s="2">
        <v>85</v>
      </c>
      <c r="BZ166" s="2">
        <v>94</v>
      </c>
      <c r="CA166" s="2">
        <v>100</v>
      </c>
      <c r="CB166" s="9" t="str">
        <f>HYPERLINK(".\links\CDD\AGAP002647-PA-CDD.txt","STKc_PhKG, Catalytic domain of the Serine/Threonine Kinase, Phosphorylase kinase Gamma subunit")</f>
        <v>STKc_PhKG, Catalytic domain of the Serine/Threonine Kinase, Phosphorylase kinase Gamma subunit</v>
      </c>
      <c r="CC166" s="13">
        <v>1E-156</v>
      </c>
      <c r="CD166" s="2">
        <v>100</v>
      </c>
      <c r="CE166" s="2" t="s">
        <v>2063</v>
      </c>
      <c r="CF166" s="2" t="s">
        <v>2064</v>
      </c>
      <c r="CG166" s="9" t="str">
        <f>HYPERLINK(".\links\KOG\AGAP002647-PA-KOG.txt","Phosphorylase kinase gamma subunit")</f>
        <v>Phosphorylase kinase gamma subunit</v>
      </c>
      <c r="CH166" s="13">
        <v>0</v>
      </c>
      <c r="CI166" s="2">
        <v>102.9</v>
      </c>
      <c r="CJ166" s="2" t="s">
        <v>2065</v>
      </c>
      <c r="CK166" s="2" t="s">
        <v>556</v>
      </c>
      <c r="CL166" s="9" t="str">
        <f>HYPERLINK(".\links\PFAM\AGAP002647-PA-PFAM.txt","Pkinase, Protein kinase domain")</f>
        <v>Pkinase, Protein kinase domain</v>
      </c>
      <c r="CM166" s="13">
        <v>9.0000000000000003E-84</v>
      </c>
      <c r="CN166" s="2">
        <v>105.1</v>
      </c>
      <c r="CO166" s="2" t="s">
        <v>628</v>
      </c>
      <c r="CP166" s="9" t="str">
        <f>HYPERLINK(".\links\SMART\AGAP002647-PA-SMART.txt","S_TKc, Serine/Threonine protein kinases, catalytic domain")</f>
        <v>S_TKc, Serine/Threonine protein kinases, catalytic domain</v>
      </c>
      <c r="CQ166" s="13">
        <v>4E-92</v>
      </c>
      <c r="CR166" s="2">
        <v>105.1</v>
      </c>
      <c r="CS166" s="2" t="s">
        <v>629</v>
      </c>
      <c r="CT166" s="2" t="s">
        <v>2060</v>
      </c>
      <c r="CU166" s="2" t="s">
        <v>2060</v>
      </c>
      <c r="CV166" s="2" t="s">
        <v>2060</v>
      </c>
      <c r="CW166" s="2" t="str">
        <f>HYPERLINK(".\links\pep\AGAP002647-PA-pep.txt","AGAP002647-PA")</f>
        <v>AGAP002647-PA</v>
      </c>
      <c r="CX166" s="2" t="s">
        <v>88</v>
      </c>
      <c r="CY166" s="2">
        <v>416</v>
      </c>
      <c r="CZ166" s="2" t="s">
        <v>106</v>
      </c>
      <c r="DA166" s="2" t="s">
        <v>2066</v>
      </c>
      <c r="DB166" s="2">
        <v>0</v>
      </c>
      <c r="DC166" s="2">
        <v>3</v>
      </c>
      <c r="DD166" s="2" t="str">
        <f>HYPERLINK("https://www.kegg.jp/kegg-bin/search_pathway_text?map=aga&amp;keyword=AGAP002647&amp;mode=1&amp;viewImage=true","AGAP002647")</f>
        <v>AGAP002647</v>
      </c>
      <c r="DE166" s="2" t="s">
        <v>2056</v>
      </c>
      <c r="DF166" s="2" t="s">
        <v>2057</v>
      </c>
      <c r="DG166" s="2" t="s">
        <v>87</v>
      </c>
      <c r="DH166" s="2" t="str">
        <f>HYPERLINK("https://vectorbase.org/vectorbase/app/record/gene/AGAP002647","AGAP002647-RA")</f>
        <v>AGAP002647-RA</v>
      </c>
      <c r="DI166" s="2" t="s">
        <v>250</v>
      </c>
      <c r="DJ166" s="2">
        <v>3185</v>
      </c>
      <c r="DK166" s="2" t="str">
        <f>HYPERLINK(".\links\netoglyc\AGAP002647-PA-netoglyc.txt","0")</f>
        <v>0</v>
      </c>
      <c r="DL166" s="2">
        <v>8.4</v>
      </c>
      <c r="DM166" s="2">
        <v>5.3</v>
      </c>
      <c r="DN166" s="2">
        <v>4.0999999999999996</v>
      </c>
      <c r="DO166" s="2" t="s">
        <v>97</v>
      </c>
      <c r="DP166" s="2" t="s">
        <v>94</v>
      </c>
      <c r="DQ166" s="2" t="str">
        <f>HYPERLINK(".\links\Sigp\AGAP002647-PA-SigP.txt","CYT")</f>
        <v>CYT</v>
      </c>
      <c r="DR166" s="2" t="s">
        <v>94</v>
      </c>
      <c r="DS166" s="2">
        <v>48.204000000000001</v>
      </c>
      <c r="DT166" s="2">
        <v>8.74</v>
      </c>
      <c r="DU166" s="2" t="s">
        <v>94</v>
      </c>
      <c r="DV166" s="2" t="s">
        <v>94</v>
      </c>
      <c r="DW166" s="2" t="s">
        <v>2062</v>
      </c>
      <c r="DX166" s="2">
        <v>416</v>
      </c>
      <c r="DY166" s="8">
        <v>0</v>
      </c>
      <c r="DZ166" s="2" t="s">
        <v>94</v>
      </c>
      <c r="EA166" s="2" t="s">
        <v>94</v>
      </c>
      <c r="EB166" s="2" t="s">
        <v>94</v>
      </c>
      <c r="EC166" s="2" t="str">
        <f>HYPERLINK(".\links\gpi\AGAP002647-PA-gpi.txt","Y-NoSP")</f>
        <v>Y-NoSP</v>
      </c>
      <c r="ED166" s="2">
        <v>0.28000000000000003</v>
      </c>
      <c r="EF166" s="2">
        <v>10</v>
      </c>
      <c r="EG166" s="2" t="str">
        <f>HYPERLINK(".\links\pep\AGAP002647-PA-sulf.txt","1")</f>
        <v>1</v>
      </c>
      <c r="EH166" s="2" t="s">
        <v>94</v>
      </c>
      <c r="EI166" s="2">
        <v>8.4134615384615401</v>
      </c>
      <c r="EJ166" s="2">
        <v>4.0865384615384599</v>
      </c>
      <c r="EK166" s="2">
        <v>5.2884615384615401</v>
      </c>
      <c r="EL166" s="2">
        <v>9.375</v>
      </c>
      <c r="EM166" s="2">
        <v>1</v>
      </c>
      <c r="EN166" s="2">
        <v>2</v>
      </c>
      <c r="EO166" s="2">
        <v>2</v>
      </c>
      <c r="EP166" s="2" t="s">
        <v>94</v>
      </c>
      <c r="EQ166" s="2" t="s">
        <v>94</v>
      </c>
      <c r="ER166" s="2" t="s">
        <v>94</v>
      </c>
      <c r="ES166" s="2" t="s">
        <v>94</v>
      </c>
      <c r="ET166" s="2" t="str">
        <f>HYPERLINK(".\links\REFSEQ-INVERTEBRATE\AGAP002647-PA-REFSEQ-INVERTEBRATE.txt","AGAP002647-PA")</f>
        <v>AGAP002647-PA</v>
      </c>
      <c r="EU166" s="2" t="str">
        <f>HYPERLINK("http://www.ncbi.nlm.nih.gov/sutils/blink.cgi?pid=XP_312280.3","0.0")</f>
        <v>0.0</v>
      </c>
      <c r="EV166" s="2" t="str">
        <f>HYPERLINK("http://www.ncbi.nlm.nih.gov/protein/XP_312280.3","XP_312280.3")</f>
        <v>XP_312280.3</v>
      </c>
      <c r="EW166" s="2">
        <v>100</v>
      </c>
      <c r="EX166" s="2">
        <v>100</v>
      </c>
      <c r="EY166" s="2">
        <v>100</v>
      </c>
      <c r="EZ166" s="2" t="s">
        <v>98</v>
      </c>
    </row>
    <row r="167" spans="1:156" x14ac:dyDescent="0.25">
      <c r="A167" s="2" t="s">
        <v>2067</v>
      </c>
      <c r="B167" s="2">
        <v>0.53383912060078897</v>
      </c>
      <c r="C167" s="2">
        <v>1.4477767173048368</v>
      </c>
      <c r="D167" s="2">
        <v>6.35299870178675</v>
      </c>
      <c r="E167" s="2">
        <v>13.029227384538</v>
      </c>
      <c r="F167" s="2">
        <v>3.0666704173720901E-4</v>
      </c>
      <c r="G167" s="2">
        <v>1.6292978728700998E-2</v>
      </c>
      <c r="H167" s="2" t="s">
        <v>167</v>
      </c>
      <c r="I167" s="2" t="s">
        <v>87</v>
      </c>
      <c r="J167" s="2" t="str">
        <f>HYPERLINK("https://vectorbase.org/vectorbase/app/record/gene/AGAP000017","AGAP000017-RB")</f>
        <v>AGAP000017-RB</v>
      </c>
      <c r="K167" s="2" t="str">
        <f>HYPERLINK(".\links\pep\AGAP000017-PB-pep.txt","AGAP000017-PB")</f>
        <v>AGAP000017-PB</v>
      </c>
      <c r="L167" s="8" t="s">
        <v>88</v>
      </c>
      <c r="M167" s="2">
        <v>3286</v>
      </c>
      <c r="N167" s="2">
        <v>0</v>
      </c>
      <c r="O167" s="2">
        <v>8</v>
      </c>
      <c r="P167" s="2" t="s">
        <v>94</v>
      </c>
      <c r="Q167" s="9" t="s">
        <v>2068</v>
      </c>
      <c r="R167" s="2" t="s">
        <v>318</v>
      </c>
      <c r="S167" s="2" t="str">
        <f>HYPERLINK(".\links\KOG\AGAP000017-PB-KOG.txt","KOG")</f>
        <v>KOG</v>
      </c>
      <c r="T167" s="2">
        <v>1.9999999999999998E-65</v>
      </c>
      <c r="U167" s="2">
        <v>58</v>
      </c>
      <c r="V167" s="2" t="s">
        <v>2069</v>
      </c>
      <c r="W167" s="10" t="s">
        <v>2070</v>
      </c>
      <c r="X167" s="2" t="s">
        <v>131</v>
      </c>
      <c r="Y167" s="2" t="str">
        <f>HYPERLINK(".\links\REFSEQ-PROTOZOA\AGAP000017-PB-REFSEQ-PROTOZOA.txt","REFSEQ-PROTOZOA")</f>
        <v>REFSEQ-PROTOZOA</v>
      </c>
      <c r="Z167" s="13">
        <v>0</v>
      </c>
      <c r="AA167" s="2">
        <v>30.8</v>
      </c>
      <c r="AB167" s="11" t="str">
        <f>HYPERLINK(".\links\pep\AGAP000017-PB-sulf.txt","3")</f>
        <v>3</v>
      </c>
      <c r="AC167" s="11" t="str">
        <f>HYPERLINK(".\links\Sigp\AGAP000017-PB-SigP.txt","CYT")</f>
        <v>CYT</v>
      </c>
      <c r="AD167" s="2" t="s">
        <v>94</v>
      </c>
      <c r="AE167" s="2">
        <v>363.44400000000002</v>
      </c>
      <c r="AF167" s="2">
        <v>5.24</v>
      </c>
      <c r="AG167" s="2" t="s">
        <v>94</v>
      </c>
      <c r="AH167" s="2" t="s">
        <v>94</v>
      </c>
      <c r="AI167" s="2" t="s">
        <v>2071</v>
      </c>
      <c r="AJ167" s="11">
        <v>0</v>
      </c>
      <c r="AK167" s="2" t="s">
        <v>94</v>
      </c>
      <c r="AL167" s="2" t="s">
        <v>94</v>
      </c>
      <c r="AM167" s="2" t="s">
        <v>94</v>
      </c>
      <c r="AN167" s="11" t="str">
        <f>HYPERLINK(".\links\gpi\AGAP000017-PB-gpi.txt","N")</f>
        <v>N</v>
      </c>
      <c r="AO167" s="12" t="str">
        <f>HYPERLINK(".\links\netoglyc\AGAP000017-PB-netoglyc.txt","6")</f>
        <v>6</v>
      </c>
      <c r="AP167" s="11">
        <v>14.8</v>
      </c>
      <c r="AQ167" s="2">
        <v>6.6</v>
      </c>
      <c r="AR167" s="2">
        <v>5.2</v>
      </c>
      <c r="AS167" s="2" t="s">
        <v>97</v>
      </c>
      <c r="AT167" s="9" t="str">
        <f>HYPERLINK(".\links\NR-LIGHT\AGAP000017-PB-NR-LIGHT.txt","neurobeachin isoform X10")</f>
        <v>neurobeachin isoform X10</v>
      </c>
      <c r="AU167" s="2" t="str">
        <f>HYPERLINK("http://www.ncbi.nlm.nih.gov/sutils/blink.cgi?pid=XP_021695104.1","0.0")</f>
        <v>0.0</v>
      </c>
      <c r="AV167" s="2" t="str">
        <f>HYPERLINK("http://www.ncbi.nlm.nih.gov/protein/XP_021695104.1","XP_021695104.1")</f>
        <v>XP_021695104.1</v>
      </c>
      <c r="AW167" s="2">
        <v>76</v>
      </c>
      <c r="AX167" s="2">
        <v>81</v>
      </c>
      <c r="AY167" s="2">
        <v>108</v>
      </c>
      <c r="AZ167" s="2" t="s">
        <v>175</v>
      </c>
      <c r="BA167" s="9" t="str">
        <f>HYPERLINK(".\links\REFSEQ-INVERTEBRATE\AGAP000017-PB-REFSEQ-INVERTEBRATE.txt","AGAP000017-PA")</f>
        <v>AGAP000017-PA</v>
      </c>
      <c r="BB167" s="2" t="str">
        <f>HYPERLINK("http://www.ncbi.nlm.nih.gov/sutils/blink.cgi?pid=XP_311142.5","0.0")</f>
        <v>0.0</v>
      </c>
      <c r="BC167" s="2" t="str">
        <f>HYPERLINK("http://www.ncbi.nlm.nih.gov/protein/XP_311142.5","XP_311142.5")</f>
        <v>XP_311142.5</v>
      </c>
      <c r="BD167" s="2">
        <v>95</v>
      </c>
      <c r="BE167" s="2">
        <v>95</v>
      </c>
      <c r="BF167" s="2">
        <v>39</v>
      </c>
      <c r="BG167" s="2" t="s">
        <v>98</v>
      </c>
      <c r="BH167" s="9" t="str">
        <f>HYPERLINK(".\links\REFSEQ-PROTOZOA\AGAP000017-PB-REFSEQ-PROTOZOA.txt","neutral sphingomyelinase activation associated factor")</f>
        <v>neutral sphingomyelinase activation associated factor</v>
      </c>
      <c r="BI167" s="2" t="str">
        <f>HYPERLINK("http://www.ncbi.nlm.nih.gov/sutils/blink.cgi?pid=XP_004345297.1","0.0")</f>
        <v>0.0</v>
      </c>
      <c r="BJ167" s="2" t="str">
        <f>HYPERLINK("http://www.ncbi.nlm.nih.gov/protein/XP_004345297.1","XP_004345297.1")</f>
        <v>XP_004345297.1</v>
      </c>
      <c r="BK167" s="2">
        <v>35</v>
      </c>
      <c r="BL167" s="2">
        <v>52</v>
      </c>
      <c r="BM167" s="2">
        <v>44</v>
      </c>
      <c r="BN167" s="2" t="s">
        <v>227</v>
      </c>
      <c r="BO167" s="9" t="str">
        <f>HYPERLINK(".\links\SWISSP\AGAP000017-PB-SWISSP.txt","Neurobeachin")</f>
        <v>Neurobeachin</v>
      </c>
      <c r="BP167" s="2" t="str">
        <f>HYPERLINK("http://www.uniprot.org/uniprot/Q9W4E2","0.0")</f>
        <v>0.0</v>
      </c>
      <c r="BQ167" s="2" t="str">
        <f>HYPERLINK("http://www.uniprot.org/uniprot/Q9W4E2#expression","Q9W4E2")</f>
        <v>Q9W4E2</v>
      </c>
      <c r="BR167" s="2">
        <v>63</v>
      </c>
      <c r="BS167" s="2">
        <v>71</v>
      </c>
      <c r="BT167" s="2">
        <v>91</v>
      </c>
      <c r="BU167" s="2" t="s">
        <v>100</v>
      </c>
      <c r="BV167" s="9" t="str">
        <f>HYPERLINK(".\links\FLYBASE\AGAP000017-PB-FLYBASE.txt","FBpp0310996")</f>
        <v>FBpp0310996</v>
      </c>
      <c r="BW167" s="2" t="str">
        <f>HYPERLINK("http://flybase.org/reports/FBgn0266098#alliance_summary_container","0.0")</f>
        <v>0.0</v>
      </c>
      <c r="BX167" s="2">
        <v>3466</v>
      </c>
      <c r="BY167" s="2">
        <v>76</v>
      </c>
      <c r="BZ167" s="2">
        <v>83</v>
      </c>
      <c r="CA167" s="2">
        <v>50</v>
      </c>
      <c r="CB167" s="9" t="str">
        <f>HYPERLINK(".\links\CDD\AGAP000017-PB-CDD.txt","Beach, Beige/BEACH domain")</f>
        <v>Beach, Beige/BEACH domain</v>
      </c>
      <c r="CC167" s="13">
        <v>9.9999999999999992E-164</v>
      </c>
      <c r="CD167" s="2">
        <v>100</v>
      </c>
      <c r="CE167" s="2" t="s">
        <v>2072</v>
      </c>
      <c r="CF167" s="2" t="s">
        <v>2073</v>
      </c>
      <c r="CG167" s="9" t="str">
        <f>HYPERLINK(".\links\KOG\AGAP000017-PB-KOG.txt","Kinase A-anchor protein Neurobeachin and related BEACH and WD40 repeat proteins")</f>
        <v>Kinase A-anchor protein Neurobeachin and related BEACH and WD40 repeat proteins</v>
      </c>
      <c r="CH167" s="13">
        <v>0</v>
      </c>
      <c r="CI167" s="2">
        <v>102.8</v>
      </c>
      <c r="CJ167" s="2" t="s">
        <v>2074</v>
      </c>
      <c r="CK167" s="2" t="s">
        <v>482</v>
      </c>
      <c r="CL167" s="9" t="str">
        <f>HYPERLINK(".\links\PFAM\AGAP000017-PB-PFAM.txt","Beach, Beige/BEACH domain")</f>
        <v>Beach, Beige/BEACH domain</v>
      </c>
      <c r="CM167" s="13">
        <v>9.9999999999999996E-165</v>
      </c>
      <c r="CN167" s="2">
        <v>100</v>
      </c>
      <c r="CO167" s="2" t="s">
        <v>2072</v>
      </c>
      <c r="CP167" s="9" t="str">
        <f>HYPERLINK(".\links\SMART\AGAP000017-PB-SMART.txt","Beach, Beige/BEACH domain")</f>
        <v>Beach, Beige/BEACH domain</v>
      </c>
      <c r="CQ167" s="13">
        <v>9.9999999999999994E-158</v>
      </c>
      <c r="CR167" s="2">
        <v>100</v>
      </c>
      <c r="CS167" s="2" t="s">
        <v>2075</v>
      </c>
      <c r="CT167" s="2" t="s">
        <v>2069</v>
      </c>
      <c r="CU167" s="2" t="s">
        <v>2069</v>
      </c>
      <c r="CV167" s="2" t="s">
        <v>2069</v>
      </c>
      <c r="CW167" s="2" t="str">
        <f>HYPERLINK(".\links\pep\AGAP000017-PB-pep.txt","AGAP000017-PB")</f>
        <v>AGAP000017-PB</v>
      </c>
      <c r="CX167" s="2" t="s">
        <v>88</v>
      </c>
      <c r="CY167" s="2">
        <v>3286</v>
      </c>
      <c r="CZ167" s="2" t="s">
        <v>106</v>
      </c>
      <c r="DA167" s="2" t="s">
        <v>2076</v>
      </c>
      <c r="DB167" s="2">
        <v>0</v>
      </c>
      <c r="DC167" s="2">
        <v>8</v>
      </c>
      <c r="DD167" s="2" t="str">
        <f>HYPERLINK("https://www.kegg.jp/kegg-bin/search_pathway_text?map=aga&amp;keyword=AGAP000017&amp;mode=1&amp;viewImage=true","AGAP000017")</f>
        <v>AGAP000017</v>
      </c>
      <c r="DE167" s="2" t="s">
        <v>2067</v>
      </c>
      <c r="DF167" s="2" t="s">
        <v>167</v>
      </c>
      <c r="DG167" s="2" t="s">
        <v>87</v>
      </c>
      <c r="DH167" s="2" t="str">
        <f>HYPERLINK("https://vectorbase.org/vectorbase/app/record/gene/AGAP000017","AGAP000017-RB")</f>
        <v>AGAP000017-RB</v>
      </c>
      <c r="DI167" s="2" t="s">
        <v>250</v>
      </c>
      <c r="DJ167" s="2">
        <v>14988</v>
      </c>
      <c r="DK167" s="14" t="str">
        <f>HYPERLINK(".\links\netoglyc\AGAP000017-PB-netoglyc.txt","6")</f>
        <v>6</v>
      </c>
      <c r="DL167" s="2">
        <v>14.8</v>
      </c>
      <c r="DM167" s="2">
        <v>6.6</v>
      </c>
      <c r="DN167" s="2">
        <v>5.2</v>
      </c>
      <c r="DO167" s="2" t="s">
        <v>97</v>
      </c>
      <c r="DP167" s="2" t="s">
        <v>2077</v>
      </c>
      <c r="DQ167" s="2" t="str">
        <f>HYPERLINK(".\links\Sigp\AGAP000017-PB-SigP.txt","CYT")</f>
        <v>CYT</v>
      </c>
      <c r="DR167" s="2" t="s">
        <v>94</v>
      </c>
      <c r="DS167" s="2">
        <v>363.44400000000002</v>
      </c>
      <c r="DT167" s="2">
        <v>5.24</v>
      </c>
      <c r="DU167" s="2" t="s">
        <v>94</v>
      </c>
      <c r="DV167" s="2" t="s">
        <v>94</v>
      </c>
      <c r="DW167" s="2" t="s">
        <v>2071</v>
      </c>
      <c r="DX167" s="2">
        <v>3286</v>
      </c>
      <c r="DY167" s="8">
        <v>0</v>
      </c>
      <c r="DZ167" s="2" t="s">
        <v>94</v>
      </c>
      <c r="EA167" s="2" t="s">
        <v>94</v>
      </c>
      <c r="EB167" s="2" t="s">
        <v>94</v>
      </c>
      <c r="EC167" s="2" t="str">
        <f>HYPERLINK(".\links\gpi\AGAP000017-PB-gpi.txt","Y-NoSP")</f>
        <v>Y-NoSP</v>
      </c>
      <c r="ED167" s="2">
        <v>0.09</v>
      </c>
      <c r="EF167" s="2">
        <v>48</v>
      </c>
      <c r="EG167" s="2" t="str">
        <f>HYPERLINK(".\links\pep\AGAP000017-PB-sulf.txt","3")</f>
        <v>3</v>
      </c>
      <c r="EH167" s="2" t="s">
        <v>94</v>
      </c>
      <c r="EI167" s="2">
        <v>14.790018259281799</v>
      </c>
      <c r="EJ167" s="2">
        <v>5.1734631771150301</v>
      </c>
      <c r="EK167" s="2">
        <v>6.6037735849056602</v>
      </c>
      <c r="EL167" s="2">
        <v>11.777236762020699</v>
      </c>
      <c r="EM167" s="2">
        <v>6</v>
      </c>
      <c r="EN167" s="2">
        <v>9</v>
      </c>
      <c r="EO167" s="2">
        <v>9</v>
      </c>
      <c r="EP167" s="2" t="s">
        <v>94</v>
      </c>
      <c r="EQ167" s="2" t="s">
        <v>94</v>
      </c>
      <c r="ER167" s="2" t="s">
        <v>94</v>
      </c>
      <c r="ES167" s="2" t="s">
        <v>94</v>
      </c>
      <c r="ET167" s="2" t="str">
        <f>HYPERLINK(".\links\REFSEQ-INVERTEBRATE\AGAP000017-PB-REFSEQ-INVERTEBRATE.txt","neurobeachin isoform X20")</f>
        <v>neurobeachin isoform X20</v>
      </c>
      <c r="EU167" s="2" t="str">
        <f>HYPERLINK("http://www.ncbi.nlm.nih.gov/sutils/blink.cgi?pid=XP_035904637.1","0.0")</f>
        <v>0.0</v>
      </c>
      <c r="EV167" s="2" t="str">
        <f>HYPERLINK("http://www.ncbi.nlm.nih.gov/protein/XP_035904637.1","XP_035904637.1")</f>
        <v>XP_035904637.1</v>
      </c>
      <c r="EW167" s="2">
        <v>86</v>
      </c>
      <c r="EX167" s="2">
        <v>89</v>
      </c>
      <c r="EY167" s="2">
        <v>101</v>
      </c>
      <c r="EZ167" s="2" t="s">
        <v>184</v>
      </c>
    </row>
    <row r="168" spans="1:156" x14ac:dyDescent="0.25">
      <c r="A168" s="2" t="s">
        <v>2078</v>
      </c>
      <c r="B168" s="2">
        <v>0.51281373031227195</v>
      </c>
      <c r="C168" s="2">
        <v>1.4268302724738966</v>
      </c>
      <c r="D168" s="2">
        <v>5.8650646144228498</v>
      </c>
      <c r="E168" s="2">
        <v>12.8802422383267</v>
      </c>
      <c r="F168" s="2">
        <v>3.3206925505974101E-4</v>
      </c>
      <c r="G168" s="2">
        <v>1.7544016453072499E-2</v>
      </c>
      <c r="H168" s="2" t="s">
        <v>167</v>
      </c>
      <c r="I168" s="2" t="s">
        <v>87</v>
      </c>
      <c r="J168" s="2" t="str">
        <f>HYPERLINK("https://vectorbase.org/vectorbase/app/record/gene/AGAP009990","AGAP009990-RA")</f>
        <v>AGAP009990-RA</v>
      </c>
      <c r="K168" s="2" t="str">
        <f>HYPERLINK(".\links\pep\AGAP009990-PA-pep.txt","AGAP009990-PA")</f>
        <v>AGAP009990-PA</v>
      </c>
      <c r="L168" s="8" t="s">
        <v>88</v>
      </c>
      <c r="M168" s="2">
        <v>5975</v>
      </c>
      <c r="N168" s="2">
        <v>0</v>
      </c>
      <c r="O168" s="2">
        <v>8</v>
      </c>
      <c r="P168" s="2" t="s">
        <v>94</v>
      </c>
      <c r="Q168" s="9" t="s">
        <v>2079</v>
      </c>
      <c r="R168" s="2" t="s">
        <v>253</v>
      </c>
      <c r="S168" s="2" t="str">
        <f>HYPERLINK(".\links\REFSEQ-INVERTEBRATE\AGAP009990-PA-REFSEQ-INVERTEBRATE.txt","REFSEQ-INVERTEBRATE")</f>
        <v>REFSEQ-INVERTEBRATE</v>
      </c>
      <c r="T168" s="2">
        <v>0</v>
      </c>
      <c r="U168" s="2">
        <v>93.5</v>
      </c>
      <c r="V168" s="2" t="s">
        <v>2080</v>
      </c>
      <c r="W168" s="10" t="s">
        <v>2081</v>
      </c>
      <c r="X168" s="2" t="s">
        <v>289</v>
      </c>
      <c r="Y168" s="2" t="str">
        <f>HYPERLINK(".\links\CDD\AGAP009990-PA-CDD.txt","CDD")</f>
        <v>CDD</v>
      </c>
      <c r="Z168" s="13">
        <v>5.9999999999999995E-25</v>
      </c>
      <c r="AA168" s="2">
        <v>100</v>
      </c>
      <c r="AB168" s="11" t="str">
        <f>HYPERLINK(".\links\pep\AGAP009990-PA-sulf.txt","10")</f>
        <v>10</v>
      </c>
      <c r="AC168" s="11" t="str">
        <f>HYPERLINK(".\links\Sigp\AGAP009990-PA-SigP.txt","CYT")</f>
        <v>CYT</v>
      </c>
      <c r="AD168" s="2" t="s">
        <v>94</v>
      </c>
      <c r="AE168" s="2">
        <v>625.101</v>
      </c>
      <c r="AF168" s="2">
        <v>8.26</v>
      </c>
      <c r="AG168" s="2" t="s">
        <v>94</v>
      </c>
      <c r="AH168" s="2" t="s">
        <v>94</v>
      </c>
      <c r="AI168" s="2" t="s">
        <v>1104</v>
      </c>
      <c r="AJ168" s="11">
        <v>0</v>
      </c>
      <c r="AK168" s="2" t="s">
        <v>94</v>
      </c>
      <c r="AL168" s="2" t="s">
        <v>94</v>
      </c>
      <c r="AM168" s="2" t="s">
        <v>94</v>
      </c>
      <c r="AN168" s="11" t="str">
        <f>HYPERLINK(".\links\gpi\AGAP009990-PA-gpi.txt","N")</f>
        <v>N</v>
      </c>
      <c r="AO168" s="12" t="str">
        <f>HYPERLINK(".\links\netoglyc\AGAP009990-PA-netoglyc.txt","86")</f>
        <v>86</v>
      </c>
      <c r="AP168" s="11">
        <v>24.4</v>
      </c>
      <c r="AQ168" s="2">
        <v>8.1</v>
      </c>
      <c r="AR168" s="2">
        <v>6.4</v>
      </c>
      <c r="AS168" s="2">
        <v>0.1</v>
      </c>
      <c r="AT168" s="9" t="str">
        <f>HYPERLINK(".\links\NR-LIGHT\AGAP009990-PA-NR-LIGHT.txt","hypothetical protein AND_009003")</f>
        <v>hypothetical protein AND_009003</v>
      </c>
      <c r="AU168" s="2" t="str">
        <f>HYPERLINK("http://www.ncbi.nlm.nih.gov/sutils/blink.cgi?pid=ETN59395.1","0.0")</f>
        <v>0.0</v>
      </c>
      <c r="AV168" s="2" t="str">
        <f>HYPERLINK("http://www.ncbi.nlm.nih.gov/protein/ETN59395.1","ETN59395.1")</f>
        <v>ETN59395.1</v>
      </c>
      <c r="AW168" s="2">
        <v>48</v>
      </c>
      <c r="AX168" s="2">
        <v>58</v>
      </c>
      <c r="AY168" s="2">
        <v>97</v>
      </c>
      <c r="AZ168" s="2" t="s">
        <v>291</v>
      </c>
      <c r="BA168" s="9" t="str">
        <f>HYPERLINK(".\links\REFSEQ-INVERTEBRATE\AGAP009990-PA-REFSEQ-INVERTEBRATE.txt","AGAP009990-PA, partial")</f>
        <v>AGAP009990-PA, partial</v>
      </c>
      <c r="BB168" s="2" t="str">
        <f>HYPERLINK("http://www.ncbi.nlm.nih.gov/sutils/blink.cgi?pid=XP_001689173.1","0.0")</f>
        <v>0.0</v>
      </c>
      <c r="BC168" s="2" t="str">
        <f>HYPERLINK("http://www.ncbi.nlm.nih.gov/protein/XP_001689173.1","XP_001689173.1")</f>
        <v>XP_001689173.1</v>
      </c>
      <c r="BD168" s="2">
        <v>51</v>
      </c>
      <c r="BE168" s="2">
        <v>59</v>
      </c>
      <c r="BF168" s="2">
        <v>94</v>
      </c>
      <c r="BG168" s="2" t="s">
        <v>98</v>
      </c>
      <c r="BH168" s="9" t="str">
        <f>HYPERLINK(".\links\REFSEQ-PROTOZOA\AGAP009990-PA-REFSEQ-PROTOZOA.txt","proteophosphoglycan 5")</f>
        <v>proteophosphoglycan 5</v>
      </c>
      <c r="BI168" s="2" t="str">
        <f>HYPERLINK("http://www.ncbi.nlm.nih.gov/sutils/blink.cgi?pid=XP_003722449.1","0.0")</f>
        <v>0.0</v>
      </c>
      <c r="BJ168" s="2" t="str">
        <f>HYPERLINK("http://www.ncbi.nlm.nih.gov/protein/XP_003722449.1","XP_003722449.1")</f>
        <v>XP_003722449.1</v>
      </c>
      <c r="BK168" s="2">
        <v>19</v>
      </c>
      <c r="BL168" s="2">
        <v>35</v>
      </c>
      <c r="BM168" s="2">
        <v>34</v>
      </c>
      <c r="BN168" s="2" t="s">
        <v>1171</v>
      </c>
      <c r="BO168" s="9" t="str">
        <f>HYPERLINK(".\links\SWISSP\AGAP009990-PA-SWISSP.txt","Serine-rich adhesin for platelets")</f>
        <v>Serine-rich adhesin for platelets</v>
      </c>
      <c r="BP168" s="2" t="str">
        <f>HYPERLINK("http://www.uniprot.org/uniprot/Q4L9P0","1E-105")</f>
        <v>1E-105</v>
      </c>
      <c r="BQ168" s="2" t="str">
        <f>HYPERLINK("http://www.uniprot.org/uniprot/Q4L9P0#expression","Q4L9P0")</f>
        <v>Q4L9P0</v>
      </c>
      <c r="BR168" s="2">
        <v>20</v>
      </c>
      <c r="BS168" s="2">
        <v>36</v>
      </c>
      <c r="BT168" s="2">
        <v>103</v>
      </c>
      <c r="BU168" s="2" t="s">
        <v>1051</v>
      </c>
      <c r="BV168" s="9" t="str">
        <f>HYPERLINK(".\links\FLYBASE\AGAP009990-PA-FLYBASE.txt","FBpp0304614")</f>
        <v>FBpp0304614</v>
      </c>
      <c r="BW168" s="2" t="str">
        <f>HYPERLINK("http://flybase.org/reports/FBgn0016977#alliance_summary_container","8E-77")</f>
        <v>8E-77</v>
      </c>
      <c r="BX168" s="2">
        <v>5458</v>
      </c>
      <c r="BY168" s="2">
        <v>77</v>
      </c>
      <c r="BZ168" s="2">
        <v>84</v>
      </c>
      <c r="CA168" s="2">
        <v>3</v>
      </c>
      <c r="CB168" s="9" t="str">
        <f>HYPERLINK(".\links\CDD\AGAP009990-PA-CDD.txt","RRM4_SHARP, RNA recognition motif 4 in SMART/HDAC1-associated repressor protein (SHARP) and similar proteins")</f>
        <v>RRM4_SHARP, RNA recognition motif 4 in SMART/HDAC1-associated repressor protein (SHARP) and similar proteins</v>
      </c>
      <c r="CC168" s="13">
        <v>1.9999999999999999E-28</v>
      </c>
      <c r="CD168" s="2">
        <v>100</v>
      </c>
      <c r="CE168" s="2" t="s">
        <v>2082</v>
      </c>
      <c r="CF168" s="2" t="s">
        <v>2083</v>
      </c>
      <c r="CG168" s="9" t="str">
        <f>HYPERLINK(".\links\KOG\AGAP009990-PA-KOG.txt","subunit TRAP230")</f>
        <v>subunit TRAP230</v>
      </c>
      <c r="CH168" s="13">
        <v>6.9999999999999997E-18</v>
      </c>
      <c r="CI168" s="2">
        <v>17.8</v>
      </c>
      <c r="CJ168" s="2" t="s">
        <v>311</v>
      </c>
      <c r="CK168" s="2" t="s">
        <v>296</v>
      </c>
      <c r="CL168" s="9" t="str">
        <f>HYPERLINK(".\links\PFAM\AGAP009990-PA-PFAM.txt","SPOC, SPOC domain")</f>
        <v>SPOC, SPOC domain</v>
      </c>
      <c r="CM168" s="13">
        <v>5.9999999999999998E-22</v>
      </c>
      <c r="CN168" s="2">
        <v>116.7</v>
      </c>
      <c r="CO168" s="2" t="s">
        <v>2084</v>
      </c>
      <c r="CP168" s="9" t="str">
        <f>HYPERLINK(".\links\SMART\AGAP009990-PA-SMART.txt","RRM, RNA recognition motif")</f>
        <v>RRM, RNA recognition motif</v>
      </c>
      <c r="CQ168" s="13">
        <v>2E-8</v>
      </c>
      <c r="CR168" s="2">
        <v>100</v>
      </c>
      <c r="CS168" s="2" t="s">
        <v>2085</v>
      </c>
      <c r="CT168" s="2" t="s">
        <v>2080</v>
      </c>
      <c r="CU168" s="2" t="s">
        <v>2080</v>
      </c>
      <c r="CV168" s="2" t="s">
        <v>2080</v>
      </c>
      <c r="CW168" s="2" t="str">
        <f>HYPERLINK(".\links\pep\AGAP009990-PA-pep.txt","AGAP009990-PA")</f>
        <v>AGAP009990-PA</v>
      </c>
      <c r="CX168" s="2" t="s">
        <v>88</v>
      </c>
      <c r="CY168" s="2">
        <v>5975</v>
      </c>
      <c r="CZ168" s="2" t="s">
        <v>106</v>
      </c>
      <c r="DA168" s="2" t="s">
        <v>2086</v>
      </c>
      <c r="DB168" s="2">
        <v>0</v>
      </c>
      <c r="DC168" s="2">
        <v>8</v>
      </c>
      <c r="DD168" s="2" t="str">
        <f>HYPERLINK("https://www.kegg.jp/kegg-bin/search_pathway_text?map=aga&amp;keyword=AGAP009990&amp;mode=1&amp;viewImage=true","AGAP009990")</f>
        <v>AGAP009990</v>
      </c>
      <c r="DE168" s="2" t="s">
        <v>2078</v>
      </c>
      <c r="DF168" s="2" t="s">
        <v>167</v>
      </c>
      <c r="DG168" s="2" t="s">
        <v>87</v>
      </c>
      <c r="DH168" s="2" t="str">
        <f>HYPERLINK("https://vectorbase.org/vectorbase/app/record/gene/AGAP009990","AGAP009990-RA")</f>
        <v>AGAP009990-RA</v>
      </c>
      <c r="DI168" s="2" t="s">
        <v>143</v>
      </c>
      <c r="DJ168" s="2">
        <v>22392</v>
      </c>
      <c r="DK168" s="2" t="str">
        <f>HYPERLINK(".\links\netoglyc\AGAP009990-PA-netoglyc.txt","86")</f>
        <v>86</v>
      </c>
      <c r="DL168" s="2">
        <v>24.4</v>
      </c>
      <c r="DM168" s="2">
        <v>8.1</v>
      </c>
      <c r="DN168" s="2">
        <v>6.4</v>
      </c>
      <c r="DO168" s="2">
        <v>0.1</v>
      </c>
      <c r="DP168" s="2" t="s">
        <v>94</v>
      </c>
      <c r="DQ168" s="2" t="str">
        <f>HYPERLINK(".\links\Sigp\AGAP009990-PA-SigP.txt","CYT")</f>
        <v>CYT</v>
      </c>
      <c r="DR168" s="2" t="s">
        <v>94</v>
      </c>
      <c r="DS168" s="2">
        <v>625.101</v>
      </c>
      <c r="DT168" s="2">
        <v>8.26</v>
      </c>
      <c r="DU168" s="2" t="s">
        <v>94</v>
      </c>
      <c r="DV168" s="2" t="s">
        <v>94</v>
      </c>
      <c r="DW168" s="2" t="s">
        <v>1104</v>
      </c>
      <c r="DX168" s="2">
        <v>5975</v>
      </c>
      <c r="DY168" s="8">
        <v>0</v>
      </c>
      <c r="DZ168" s="2" t="s">
        <v>94</v>
      </c>
      <c r="EA168" s="2" t="s">
        <v>94</v>
      </c>
      <c r="EB168" s="2" t="s">
        <v>94</v>
      </c>
      <c r="EC168" s="2" t="str">
        <f>HYPERLINK(".\links\gpi\AGAP009990-PA-gpi.txt","N")</f>
        <v>N</v>
      </c>
      <c r="ED168" s="2">
        <v>0.34</v>
      </c>
      <c r="EF168" s="2">
        <v>29</v>
      </c>
      <c r="EG168" s="2" t="str">
        <f>HYPERLINK(".\links\pep\AGAP009990-PA-sulf.txt","10")</f>
        <v>10</v>
      </c>
      <c r="EH168" s="2" t="s">
        <v>94</v>
      </c>
      <c r="EI168" s="2">
        <v>24.418410041841</v>
      </c>
      <c r="EJ168" s="2">
        <v>6.4435146443514597</v>
      </c>
      <c r="EK168" s="2">
        <v>8.1338912133891199</v>
      </c>
      <c r="EL168" s="2">
        <v>14.577405857740599</v>
      </c>
      <c r="EM168" s="2">
        <v>12</v>
      </c>
      <c r="EN168" s="2">
        <v>9</v>
      </c>
      <c r="EO168" s="2">
        <v>13</v>
      </c>
      <c r="EP168" s="2" t="s">
        <v>94</v>
      </c>
      <c r="EQ168" s="2" t="s">
        <v>94</v>
      </c>
      <c r="ER168" s="2" t="s">
        <v>94</v>
      </c>
      <c r="ES168" s="2" t="s">
        <v>94</v>
      </c>
      <c r="ET168" s="2" t="str">
        <f>HYPERLINK(".\links\REFSEQ-INVERTEBRATE\AGAP009990-PA-REFSEQ-INVERTEBRATE.txt","protein split ends isoform X5")</f>
        <v>protein split ends isoform X5</v>
      </c>
      <c r="EU168" s="2" t="str">
        <f>HYPERLINK("http://www.ncbi.nlm.nih.gov/sutils/blink.cgi?pid=XP_035906955.1","0.0")</f>
        <v>0.0</v>
      </c>
      <c r="EV168" s="2" t="str">
        <f>HYPERLINK("http://www.ncbi.nlm.nih.gov/protein/XP_035906955.1","XP_035906955.1")</f>
        <v>XP_035906955.1</v>
      </c>
      <c r="EW168" s="2">
        <v>65</v>
      </c>
      <c r="EX168" s="2">
        <v>74</v>
      </c>
      <c r="EY168" s="2">
        <v>66</v>
      </c>
      <c r="EZ168" s="2" t="s">
        <v>184</v>
      </c>
    </row>
    <row r="169" spans="1:156" x14ac:dyDescent="0.25">
      <c r="A169" s="2" t="s">
        <v>2087</v>
      </c>
      <c r="B169" s="2">
        <v>0.50858076947070596</v>
      </c>
      <c r="C169" s="2">
        <v>1.422649995492884</v>
      </c>
      <c r="D169" s="2">
        <v>4.2102684900902796</v>
      </c>
      <c r="E169" s="2">
        <v>10.529980786505201</v>
      </c>
      <c r="F169" s="2">
        <v>1.17453433547836E-3</v>
      </c>
      <c r="G169" s="2">
        <v>4.7266260470718698E-2</v>
      </c>
      <c r="H169" s="2" t="s">
        <v>2088</v>
      </c>
      <c r="I169" s="2" t="s">
        <v>87</v>
      </c>
      <c r="J169" s="2" t="str">
        <f>HYPERLINK("https://vectorbase.org/vectorbase/app/record/gene/AGAP001683","AGAP001683-RA")</f>
        <v>AGAP001683-RA</v>
      </c>
      <c r="K169" s="2" t="str">
        <f>HYPERLINK(".\links\pep\AGAP001683-PA-pep.txt","AGAP001683-PA")</f>
        <v>AGAP001683-PA</v>
      </c>
      <c r="L169" s="8" t="s">
        <v>88</v>
      </c>
      <c r="M169" s="2">
        <v>928</v>
      </c>
      <c r="N169" s="2">
        <v>0</v>
      </c>
      <c r="O169" s="2">
        <v>4</v>
      </c>
      <c r="P169" s="2" t="s">
        <v>2089</v>
      </c>
      <c r="Q169" s="9" t="s">
        <v>2059</v>
      </c>
      <c r="R169" s="2" t="s">
        <v>318</v>
      </c>
      <c r="S169" s="2" t="str">
        <f>HYPERLINK(".\links\CDD\AGAP001683-PA-CDD.txt","CDD")</f>
        <v>CDD</v>
      </c>
      <c r="T169" s="2">
        <v>0</v>
      </c>
      <c r="U169" s="2">
        <v>100.6</v>
      </c>
      <c r="V169" s="2" t="s">
        <v>2090</v>
      </c>
      <c r="W169" s="10" t="s">
        <v>2061</v>
      </c>
      <c r="X169" s="2" t="s">
        <v>318</v>
      </c>
      <c r="Y169" s="2" t="str">
        <f>HYPERLINK(".\links\EC\AGAP001683-PA-EC.txt","EC")</f>
        <v>EC</v>
      </c>
      <c r="Z169" s="13">
        <v>0</v>
      </c>
      <c r="AA169" s="2">
        <v>103.8</v>
      </c>
      <c r="AB169" s="11" t="str">
        <f>HYPERLINK(".\links\pep\AGAP001683-PA-sulf.txt","5")</f>
        <v>5</v>
      </c>
      <c r="AC169" s="11" t="str">
        <f>HYPERLINK(".\links\Sigp\AGAP001683-PA-SigP.txt","CYT")</f>
        <v>CYT</v>
      </c>
      <c r="AD169" s="2" t="s">
        <v>94</v>
      </c>
      <c r="AE169" s="2">
        <v>103.444</v>
      </c>
      <c r="AF169" s="2">
        <v>5.8</v>
      </c>
      <c r="AG169" s="2" t="s">
        <v>94</v>
      </c>
      <c r="AH169" s="2" t="s">
        <v>94</v>
      </c>
      <c r="AI169" s="2" t="s">
        <v>443</v>
      </c>
      <c r="AJ169" s="11">
        <v>0</v>
      </c>
      <c r="AK169" s="2" t="s">
        <v>94</v>
      </c>
      <c r="AL169" s="2" t="s">
        <v>94</v>
      </c>
      <c r="AM169" s="2" t="s">
        <v>94</v>
      </c>
      <c r="AN169" s="11" t="str">
        <f>HYPERLINK(".\links\gpi\AGAP001683-PA-gpi.txt","N")</f>
        <v>N</v>
      </c>
      <c r="AO169" s="12" t="str">
        <f>HYPERLINK(".\links\netoglyc\AGAP001683-PA-netoglyc.txt","1")</f>
        <v>1</v>
      </c>
      <c r="AP169" s="11">
        <v>9.4</v>
      </c>
      <c r="AQ169" s="2">
        <v>6.6</v>
      </c>
      <c r="AR169" s="2">
        <v>5.5</v>
      </c>
      <c r="AS169" s="2" t="s">
        <v>97</v>
      </c>
      <c r="AT169" s="9" t="str">
        <f>HYPERLINK(".\links\NR-LIGHT\AGAP001683-PA-NR-LIGHT.txt","AGAP001683-PA")</f>
        <v>AGAP001683-PA</v>
      </c>
      <c r="AU169" s="2" t="str">
        <f>HYPERLINK("http://www.ncbi.nlm.nih.gov/sutils/blink.cgi?pid=XP_001238476.3","0.0")</f>
        <v>0.0</v>
      </c>
      <c r="AV169" s="2" t="str">
        <f>HYPERLINK("http://www.ncbi.nlm.nih.gov/protein/XP_001238476.3","XP_001238476.3")</f>
        <v>XP_001238476.3</v>
      </c>
      <c r="AW169" s="2">
        <v>98</v>
      </c>
      <c r="AX169" s="2">
        <v>98</v>
      </c>
      <c r="AY169" s="2">
        <v>101</v>
      </c>
      <c r="AZ169" s="2" t="s">
        <v>98</v>
      </c>
      <c r="BA169" s="9" t="str">
        <f>HYPERLINK(".\links\REFSEQ-INVERTEBRATE\AGAP001683-PA-REFSEQ-INVERTEBRATE.txt","AGAP001683-PA")</f>
        <v>AGAP001683-PA</v>
      </c>
      <c r="BB169" s="2" t="str">
        <f>HYPERLINK("http://www.ncbi.nlm.nih.gov/sutils/blink.cgi?pid=XP_001238476.3","0.0")</f>
        <v>0.0</v>
      </c>
      <c r="BC169" s="2" t="str">
        <f>HYPERLINK("http://www.ncbi.nlm.nih.gov/protein/XP_001238476.3","XP_001238476.3")</f>
        <v>XP_001238476.3</v>
      </c>
      <c r="BD169" s="2">
        <v>98</v>
      </c>
      <c r="BE169" s="2">
        <v>98</v>
      </c>
      <c r="BF169" s="2">
        <v>101</v>
      </c>
      <c r="BG169" s="2" t="s">
        <v>98</v>
      </c>
      <c r="BH169" s="9" t="str">
        <f>HYPERLINK(".\links\REFSEQ-PROTOZOA\AGAP001683-PA-REFSEQ-PROTOZOA.txt","calcium/calmodulin-dependent protein kinase II gamma M subunit")</f>
        <v>calcium/calmodulin-dependent protein kinase II gamma M subunit</v>
      </c>
      <c r="BI169" s="2" t="str">
        <f>HYPERLINK("http://www.ncbi.nlm.nih.gov/sutils/blink.cgi?pid=XP_004343000.2","4E-061")</f>
        <v>4E-061</v>
      </c>
      <c r="BJ169" s="2" t="str">
        <f>HYPERLINK("http://www.ncbi.nlm.nih.gov/protein/XP_004343000.2","XP_004343000.2")</f>
        <v>XP_004343000.2</v>
      </c>
      <c r="BK169" s="2">
        <v>40</v>
      </c>
      <c r="BL169" s="2">
        <v>61</v>
      </c>
      <c r="BM169" s="2">
        <v>58</v>
      </c>
      <c r="BN169" s="2" t="s">
        <v>227</v>
      </c>
      <c r="BO169" s="9" t="str">
        <f>HYPERLINK(".\links\SWISSP\AGAP001683-PA-SWISSP.txt","Peripheral plasma membrane protein CASK")</f>
        <v>Peripheral plasma membrane protein CASK</v>
      </c>
      <c r="BP169" s="2" t="str">
        <f>HYPERLINK("http://www.uniprot.org/uniprot/Q24210","0.0")</f>
        <v>0.0</v>
      </c>
      <c r="BQ169" s="2" t="str">
        <f>HYPERLINK("http://www.uniprot.org/uniprot/Q24210#expression","Q24210")</f>
        <v>Q24210</v>
      </c>
      <c r="BR169" s="2">
        <v>80</v>
      </c>
      <c r="BS169" s="2">
        <v>87</v>
      </c>
      <c r="BT169" s="2">
        <v>104</v>
      </c>
      <c r="BU169" s="2" t="s">
        <v>100</v>
      </c>
      <c r="BV169" s="9" t="str">
        <f>HYPERLINK(".\links\FLYBASE\AGAP001683-PA-FLYBASE.txt","FBpp0290542")</f>
        <v>FBpp0290542</v>
      </c>
      <c r="BW169" s="2" t="str">
        <f>HYPERLINK("http://flybase.org/reports/FBgn0013759#alliance_summary_container","0.0")</f>
        <v>0.0</v>
      </c>
      <c r="BX169" s="2">
        <v>916</v>
      </c>
      <c r="BY169" s="2">
        <v>81</v>
      </c>
      <c r="BZ169" s="2">
        <v>89</v>
      </c>
      <c r="CA169" s="2">
        <v>102</v>
      </c>
      <c r="CB169" s="9" t="str">
        <f>HYPERLINK(".\links\CDD\AGAP001683-PA-CDD.txt","STKc_CASK, Catalytic domain of the Serine/Threonine Kinase, Calcium/calmodulin-dependent serine protein kinase")</f>
        <v>STKc_CASK, Catalytic domain of the Serine/Threonine Kinase, Calcium/calmodulin-dependent serine protein kinase</v>
      </c>
      <c r="CC169" s="13">
        <v>1E-155</v>
      </c>
      <c r="CD169" s="2">
        <v>100.7</v>
      </c>
      <c r="CE169" s="2" t="s">
        <v>2091</v>
      </c>
      <c r="CF169" s="2" t="s">
        <v>2092</v>
      </c>
      <c r="CG169" s="9" t="str">
        <f>HYPERLINK(".\links\KOG\AGAP001683-PA-KOG.txt","Calcium/calmodulin-dependent serine protein kinase/membrane-associated guanylate kinase")</f>
        <v>Calcium/calmodulin-dependent serine protein kinase/membrane-associated guanylate kinase</v>
      </c>
      <c r="CH169" s="13">
        <v>0</v>
      </c>
      <c r="CI169" s="2">
        <v>106.3</v>
      </c>
      <c r="CJ169" s="2" t="s">
        <v>2093</v>
      </c>
      <c r="CK169" s="2" t="s">
        <v>326</v>
      </c>
      <c r="CL169" s="9" t="str">
        <f>HYPERLINK(".\links\PFAM\AGAP001683-PA-PFAM.txt","Pkinase, Protein kinase domain")</f>
        <v>Pkinase, Protein kinase domain</v>
      </c>
      <c r="CM169" s="13">
        <v>4.9999999999999996E-66</v>
      </c>
      <c r="CN169" s="2">
        <v>105.9</v>
      </c>
      <c r="CO169" s="2" t="s">
        <v>628</v>
      </c>
      <c r="CP169" s="9" t="str">
        <f>HYPERLINK(".\links\SMART\AGAP001683-PA-SMART.txt","S_TKc, Serine/Threonine protein kinases, catalytic domain")</f>
        <v>S_TKc, Serine/Threonine protein kinases, catalytic domain</v>
      </c>
      <c r="CQ169" s="13">
        <v>4.9999999999999996E-72</v>
      </c>
      <c r="CR169" s="2">
        <v>105.9</v>
      </c>
      <c r="CS169" s="2" t="s">
        <v>629</v>
      </c>
      <c r="CT169" s="2" t="s">
        <v>2090</v>
      </c>
      <c r="CU169" s="2" t="s">
        <v>2090</v>
      </c>
      <c r="CV169" s="2" t="s">
        <v>2090</v>
      </c>
      <c r="CW169" s="2" t="str">
        <f>HYPERLINK(".\links\pep\AGAP001683-PA-pep.txt","AGAP001683-PA")</f>
        <v>AGAP001683-PA</v>
      </c>
      <c r="CX169" s="2" t="s">
        <v>88</v>
      </c>
      <c r="CY169" s="2">
        <v>928</v>
      </c>
      <c r="CZ169" s="2" t="s">
        <v>106</v>
      </c>
      <c r="DA169" s="2" t="s">
        <v>2094</v>
      </c>
      <c r="DB169" s="2">
        <v>0</v>
      </c>
      <c r="DC169" s="2">
        <v>4</v>
      </c>
      <c r="DD169" s="2" t="str">
        <f>HYPERLINK("https://www.kegg.jp/kegg-bin/search_pathway_text?map=aga&amp;keyword=AGAP001683&amp;mode=1&amp;viewImage=true","AGAP001683")</f>
        <v>AGAP001683</v>
      </c>
      <c r="DE169" s="2" t="s">
        <v>2087</v>
      </c>
      <c r="DF169" s="2" t="s">
        <v>2088</v>
      </c>
      <c r="DG169" s="2" t="s">
        <v>87</v>
      </c>
      <c r="DH169" s="2" t="str">
        <f>HYPERLINK("https://vectorbase.org/vectorbase/app/record/gene/AGAP001683","AGAP001683-RA")</f>
        <v>AGAP001683-RA</v>
      </c>
      <c r="DI169" s="2" t="s">
        <v>108</v>
      </c>
      <c r="DJ169" s="2">
        <v>8010</v>
      </c>
      <c r="DK169" s="2" t="str">
        <f>HYPERLINK(".\links\netoglyc\AGAP001683-PA-netoglyc.txt","1")</f>
        <v>1</v>
      </c>
      <c r="DL169" s="2">
        <v>9.4</v>
      </c>
      <c r="DM169" s="2">
        <v>6.6</v>
      </c>
      <c r="DN169" s="2">
        <v>5.5</v>
      </c>
      <c r="DO169" s="2" t="s">
        <v>97</v>
      </c>
      <c r="DP169" s="2" t="s">
        <v>2095</v>
      </c>
      <c r="DQ169" s="2" t="str">
        <f>HYPERLINK(".\links\Sigp\AGAP001683-PA-SigP.txt","CYT")</f>
        <v>CYT</v>
      </c>
      <c r="DR169" s="2" t="s">
        <v>94</v>
      </c>
      <c r="DS169" s="2">
        <v>103.444</v>
      </c>
      <c r="DT169" s="2">
        <v>5.8</v>
      </c>
      <c r="DU169" s="2" t="s">
        <v>94</v>
      </c>
      <c r="DV169" s="2" t="s">
        <v>94</v>
      </c>
      <c r="DW169" s="2" t="s">
        <v>443</v>
      </c>
      <c r="DX169" s="2">
        <v>928</v>
      </c>
      <c r="DY169" s="8">
        <v>0</v>
      </c>
      <c r="DZ169" s="2" t="s">
        <v>94</v>
      </c>
      <c r="EA169" s="2" t="s">
        <v>94</v>
      </c>
      <c r="EB169" s="2" t="s">
        <v>94</v>
      </c>
      <c r="EC169" s="2" t="str">
        <f>HYPERLINK(".\links\gpi\AGAP001683-PA-gpi.txt","N")</f>
        <v>N</v>
      </c>
      <c r="ED169" s="2">
        <v>0.2</v>
      </c>
      <c r="EF169" s="2">
        <v>20</v>
      </c>
      <c r="EG169" s="2" t="str">
        <f>HYPERLINK(".\links\pep\AGAP001683-PA-sulf.txt","5")</f>
        <v>5</v>
      </c>
      <c r="EH169" s="2" t="s">
        <v>94</v>
      </c>
      <c r="EI169" s="2">
        <v>9.375</v>
      </c>
      <c r="EJ169" s="2">
        <v>5.4956896551724101</v>
      </c>
      <c r="EK169" s="2">
        <v>6.5732758620689697</v>
      </c>
      <c r="EL169" s="2">
        <v>12.0689655172414</v>
      </c>
      <c r="EM169" s="2">
        <v>2</v>
      </c>
      <c r="EN169" s="2" t="s">
        <v>94</v>
      </c>
      <c r="EO169" s="2">
        <v>3</v>
      </c>
      <c r="EP169" s="2" t="s">
        <v>94</v>
      </c>
      <c r="EQ169" s="2" t="s">
        <v>94</v>
      </c>
      <c r="ER169" s="2" t="s">
        <v>94</v>
      </c>
      <c r="ES169" s="2" t="s">
        <v>94</v>
      </c>
      <c r="ET169" s="2" t="str">
        <f>HYPERLINK(".\links\REFSEQ-INVERTEBRATE\AGAP001683-PA-REFSEQ-INVERTEBRATE.txt","peripheral plasma membrane protein CASK isoform X12")</f>
        <v>peripheral plasma membrane protein CASK isoform X12</v>
      </c>
      <c r="EU169" s="2" t="str">
        <f>HYPERLINK("http://www.ncbi.nlm.nih.gov/sutils/blink.cgi?pid=XP_035896492.1","0.0")</f>
        <v>0.0</v>
      </c>
      <c r="EV169" s="2" t="str">
        <f>HYPERLINK("http://www.ncbi.nlm.nih.gov/protein/XP_035896492.1","XP_035896492.1")</f>
        <v>XP_035896492.1</v>
      </c>
      <c r="EW169" s="2">
        <v>99</v>
      </c>
      <c r="EX169" s="2">
        <v>99</v>
      </c>
      <c r="EY169" s="2">
        <v>100</v>
      </c>
      <c r="EZ169" s="2" t="s">
        <v>184</v>
      </c>
    </row>
    <row r="170" spans="1:156" x14ac:dyDescent="0.25">
      <c r="A170" s="2" t="s">
        <v>2096</v>
      </c>
      <c r="B170" s="2">
        <v>0.49737081409860401</v>
      </c>
      <c r="C170" s="2">
        <v>1.411638628491438</v>
      </c>
      <c r="D170" s="2">
        <v>4.98829543988683</v>
      </c>
      <c r="E170" s="2">
        <v>11.154197049330399</v>
      </c>
      <c r="F170" s="2">
        <v>8.3841771640284996E-4</v>
      </c>
      <c r="G170" s="2">
        <v>3.7341858314868803E-2</v>
      </c>
      <c r="H170" s="2" t="s">
        <v>2097</v>
      </c>
      <c r="I170" s="2" t="s">
        <v>87</v>
      </c>
      <c r="J170" s="2" t="str">
        <f>HYPERLINK("https://vectorbase.org/vectorbase/app/record/gene/AGAP008516","AGAP008516-RB")</f>
        <v>AGAP008516-RB</v>
      </c>
      <c r="K170" s="2" t="str">
        <f>HYPERLINK(".\links\pep\AGAP008516-PB-pep.txt","AGAP008516-PB")</f>
        <v>AGAP008516-PB</v>
      </c>
      <c r="L170" s="8" t="s">
        <v>88</v>
      </c>
      <c r="M170" s="2">
        <v>560</v>
      </c>
      <c r="N170" s="2">
        <v>0</v>
      </c>
      <c r="O170" s="2">
        <v>0</v>
      </c>
      <c r="P170" s="2" t="s">
        <v>2098</v>
      </c>
      <c r="Q170" s="9" t="s">
        <v>2099</v>
      </c>
      <c r="R170" s="2" t="s">
        <v>2100</v>
      </c>
      <c r="S170" s="2" t="str">
        <f>HYPERLINK(".\links\KOG\AGAP008516-PB-KOG.txt","KOG")</f>
        <v>KOG</v>
      </c>
      <c r="T170" s="2">
        <v>0</v>
      </c>
      <c r="U170" s="2">
        <v>112.8</v>
      </c>
      <c r="V170" s="2" t="s">
        <v>2101</v>
      </c>
      <c r="W170" s="10" t="s">
        <v>133</v>
      </c>
      <c r="X170" s="2" t="s">
        <v>2100</v>
      </c>
      <c r="Y170" s="2" t="str">
        <f>HYPERLINK(".\links\COG\AGAP008516-PB-COG.txt","COG")</f>
        <v>COG</v>
      </c>
      <c r="Z170" s="13">
        <v>9E-61</v>
      </c>
      <c r="AA170" s="2">
        <v>101.2</v>
      </c>
      <c r="AB170" s="11" t="str">
        <f>HYPERLINK(".\links\pep\AGAP008516-PB-sulf.txt","2")</f>
        <v>2</v>
      </c>
      <c r="AC170" s="11" t="str">
        <f>HYPERLINK(".\links\Sigp\AGAP008516-PB-SigP.txt","CYT")</f>
        <v>CYT</v>
      </c>
      <c r="AD170" s="2" t="s">
        <v>94</v>
      </c>
      <c r="AE170" s="2">
        <v>62.877000000000002</v>
      </c>
      <c r="AF170" s="2">
        <v>5.82</v>
      </c>
      <c r="AG170" s="2" t="s">
        <v>94</v>
      </c>
      <c r="AH170" s="2" t="s">
        <v>94</v>
      </c>
      <c r="AI170" s="2" t="s">
        <v>2102</v>
      </c>
      <c r="AJ170" s="11">
        <v>0</v>
      </c>
      <c r="AK170" s="2" t="s">
        <v>94</v>
      </c>
      <c r="AL170" s="2" t="s">
        <v>94</v>
      </c>
      <c r="AM170" s="2" t="s">
        <v>94</v>
      </c>
      <c r="AN170" s="11" t="str">
        <f>HYPERLINK(".\links\gpi\AGAP008516-PB-gpi.txt","N")</f>
        <v>N</v>
      </c>
      <c r="AO170" s="12" t="str">
        <f>HYPERLINK(".\links\netoglyc\AGAP008516-PB-netoglyc.txt","0")</f>
        <v>0</v>
      </c>
      <c r="AP170" s="11">
        <v>11.8</v>
      </c>
      <c r="AQ170" s="2">
        <v>6.6</v>
      </c>
      <c r="AR170" s="2">
        <v>3.9</v>
      </c>
      <c r="AS170" s="2" t="s">
        <v>97</v>
      </c>
      <c r="AT170" s="9" t="str">
        <f>HYPERLINK(".\links\NR-LIGHT\AGAP008516-PB-NR-LIGHT.txt","AGAP008516-PA")</f>
        <v>AGAP008516-PA</v>
      </c>
      <c r="AU170" s="2" t="str">
        <f>HYPERLINK("http://www.ncbi.nlm.nih.gov/sutils/blink.cgi?pid=XP_316922.3","0.0")</f>
        <v>0.0</v>
      </c>
      <c r="AV170" s="2" t="str">
        <f>HYPERLINK("http://www.ncbi.nlm.nih.gov/protein/XP_316922.3","XP_316922.3")</f>
        <v>XP_316922.3</v>
      </c>
      <c r="AW170" s="2">
        <v>100</v>
      </c>
      <c r="AX170" s="2">
        <v>100</v>
      </c>
      <c r="AY170" s="2">
        <v>100</v>
      </c>
      <c r="AZ170" s="2" t="s">
        <v>98</v>
      </c>
      <c r="BA170" s="9" t="str">
        <f>HYPERLINK(".\links\REFSEQ-INVERTEBRATE\AGAP008516-PB-REFSEQ-INVERTEBRATE.txt","AGAP008516-PA")</f>
        <v>AGAP008516-PA</v>
      </c>
      <c r="BB170" s="2" t="str">
        <f>HYPERLINK("http://www.ncbi.nlm.nih.gov/sutils/blink.cgi?pid=XP_316922.3","0.0")</f>
        <v>0.0</v>
      </c>
      <c r="BC170" s="2" t="str">
        <f>HYPERLINK("http://www.ncbi.nlm.nih.gov/protein/XP_316922.3","XP_316922.3")</f>
        <v>XP_316922.3</v>
      </c>
      <c r="BD170" s="2">
        <v>100</v>
      </c>
      <c r="BE170" s="2">
        <v>100</v>
      </c>
      <c r="BF170" s="2">
        <v>100</v>
      </c>
      <c r="BG170" s="2" t="s">
        <v>98</v>
      </c>
      <c r="BH170" s="9" t="str">
        <f>HYPERLINK(".\links\REFSEQ-PROTOZOA\AGAP008516-PB-REFSEQ-PROTOZOA.txt","hypothetical protein")</f>
        <v>hypothetical protein</v>
      </c>
      <c r="BI170" s="2" t="str">
        <f>HYPERLINK("http://www.ncbi.nlm.nih.gov/sutils/blink.cgi?pid=XP_001745982.1","0.0")</f>
        <v>0.0</v>
      </c>
      <c r="BJ170" s="2" t="str">
        <f>HYPERLINK("http://www.ncbi.nlm.nih.gov/protein/XP_001745982.1","XP_001745982.1")</f>
        <v>XP_001745982.1</v>
      </c>
      <c r="BK170" s="2">
        <v>57</v>
      </c>
      <c r="BL170" s="2">
        <v>73</v>
      </c>
      <c r="BM170" s="2">
        <v>97</v>
      </c>
      <c r="BN170" s="2" t="s">
        <v>704</v>
      </c>
      <c r="BO170" s="9" t="str">
        <f>HYPERLINK(".\links\SWISSP\AGAP008516-PB-SWISSP.txt","Nicotinate phosphoribosyltransferase")</f>
        <v>Nicotinate phosphoribosyltransferase</v>
      </c>
      <c r="BP170" s="2" t="str">
        <f>HYPERLINK("http://www.uniprot.org/uniprot/Q9VQX4","0.0")</f>
        <v>0.0</v>
      </c>
      <c r="BQ170" s="2" t="str">
        <f>HYPERLINK("http://www.uniprot.org/uniprot/Q9VQX4#expression","Q9VQX4")</f>
        <v>Q9VQX4</v>
      </c>
      <c r="BR170" s="2">
        <v>84</v>
      </c>
      <c r="BS170" s="2">
        <v>91</v>
      </c>
      <c r="BT170" s="2">
        <v>97</v>
      </c>
      <c r="BU170" s="2" t="s">
        <v>100</v>
      </c>
      <c r="BV170" s="9" t="str">
        <f>HYPERLINK(".\links\FLYBASE\AGAP008516-PB-FLYBASE.txt","FBpp0077170")</f>
        <v>FBpp0077170</v>
      </c>
      <c r="BW170" s="2" t="str">
        <f>HYPERLINK("http://flybase.org/reports/FBgn0031589#alliance_summary_container","0.0")</f>
        <v>0.0</v>
      </c>
      <c r="BX170" s="2">
        <v>555</v>
      </c>
      <c r="BY170" s="2">
        <v>82</v>
      </c>
      <c r="BZ170" s="2">
        <v>89</v>
      </c>
      <c r="CA170" s="2">
        <v>100</v>
      </c>
      <c r="CB170" s="9" t="str">
        <f>HYPERLINK(".\links\CDD\AGAP008516-PB-CDD.txt","PLN02885, nicotinate phosphoribosyltransferase")</f>
        <v>PLN02885, nicotinate phosphoribosyltransferase</v>
      </c>
      <c r="CC170" s="13">
        <v>0</v>
      </c>
      <c r="CD170" s="2">
        <v>99.1</v>
      </c>
      <c r="CE170" s="2" t="s">
        <v>2103</v>
      </c>
      <c r="CF170" s="2" t="s">
        <v>2104</v>
      </c>
      <c r="CG170" s="9" t="str">
        <f>HYPERLINK(".\links\KOG\AGAP008516-PB-KOG.txt","Nicotinic acid phosphoribosyltransferase")</f>
        <v>Nicotinic acid phosphoribosyltransferase</v>
      </c>
      <c r="CH170" s="13">
        <v>1E-136</v>
      </c>
      <c r="CI170" s="2">
        <v>112.9</v>
      </c>
      <c r="CJ170" s="2" t="s">
        <v>2105</v>
      </c>
      <c r="CK170" s="2" t="s">
        <v>2106</v>
      </c>
      <c r="CL170" s="9" t="str">
        <f>HYPERLINK(".\links\PFAM\AGAP008516-PB-PFAM.txt","NAPRTase, Nicotinate phosphoribosyltransferase (NAPRTase) family")</f>
        <v>NAPRTase, Nicotinate phosphoribosyltransferase (NAPRTase) family</v>
      </c>
      <c r="CM170" s="13">
        <v>1.9999999999999999E-11</v>
      </c>
      <c r="CN170" s="2">
        <v>119.8</v>
      </c>
      <c r="CO170" s="2" t="s">
        <v>2107</v>
      </c>
      <c r="CP170" s="9" t="str">
        <f>HYPERLINK(".\links\SMART\AGAP008516-PB-SMART.txt","Glyco_10, Glycosyl hydrolase family 10")</f>
        <v>Glyco_10, Glycosyl hydrolase family 10</v>
      </c>
      <c r="CQ170" s="13">
        <v>0.85</v>
      </c>
      <c r="CR170" s="2">
        <v>17.100000000000001</v>
      </c>
      <c r="CS170" s="2" t="s">
        <v>2108</v>
      </c>
      <c r="CT170" s="2" t="s">
        <v>2101</v>
      </c>
      <c r="CU170" s="2" t="s">
        <v>2101</v>
      </c>
      <c r="CV170" s="2" t="s">
        <v>2101</v>
      </c>
      <c r="CW170" s="2" t="str">
        <f>HYPERLINK(".\links\pep\AGAP008516-PB-pep.txt","AGAP008516-PB")</f>
        <v>AGAP008516-PB</v>
      </c>
      <c r="CX170" s="2" t="s">
        <v>88</v>
      </c>
      <c r="CY170" s="2">
        <v>560</v>
      </c>
      <c r="CZ170" s="2" t="s">
        <v>106</v>
      </c>
      <c r="DA170" s="2" t="s">
        <v>2109</v>
      </c>
      <c r="DB170" s="2">
        <v>0</v>
      </c>
      <c r="DC170" s="2">
        <v>0</v>
      </c>
      <c r="DD170" s="2" t="str">
        <f>HYPERLINK("https://www.kegg.jp/kegg-bin/search_pathway_text?map=aga&amp;keyword=AGAP008516&amp;mode=1&amp;viewImage=true","AGAP008516")</f>
        <v>AGAP008516</v>
      </c>
      <c r="DE170" s="2" t="s">
        <v>2096</v>
      </c>
      <c r="DF170" s="2" t="s">
        <v>2097</v>
      </c>
      <c r="DG170" s="2" t="s">
        <v>87</v>
      </c>
      <c r="DH170" s="2" t="str">
        <f>HYPERLINK("https://vectorbase.org/vectorbase/app/record/gene/AGAP008516","AGAP008516-RB")</f>
        <v>AGAP008516-RB</v>
      </c>
      <c r="DI170" s="2" t="s">
        <v>108</v>
      </c>
      <c r="DJ170" s="2">
        <v>5556</v>
      </c>
      <c r="DK170" s="2" t="str">
        <f>HYPERLINK(".\links\netoglyc\AGAP008516-PB-netoglyc.txt","0")</f>
        <v>0</v>
      </c>
      <c r="DL170" s="2">
        <v>11.8</v>
      </c>
      <c r="DM170" s="2">
        <v>6.6</v>
      </c>
      <c r="DN170" s="2">
        <v>3.9</v>
      </c>
      <c r="DO170" s="2" t="s">
        <v>97</v>
      </c>
      <c r="DP170" s="2" t="s">
        <v>94</v>
      </c>
      <c r="DQ170" s="2" t="str">
        <f>HYPERLINK(".\links\Sigp\AGAP008516-PB-SigP.txt","CYT")</f>
        <v>CYT</v>
      </c>
      <c r="DR170" s="2" t="s">
        <v>94</v>
      </c>
      <c r="DS170" s="2">
        <v>62.877000000000002</v>
      </c>
      <c r="DT170" s="2">
        <v>5.82</v>
      </c>
      <c r="DU170" s="2" t="s">
        <v>94</v>
      </c>
      <c r="DV170" s="2" t="s">
        <v>94</v>
      </c>
      <c r="DW170" s="2" t="s">
        <v>2102</v>
      </c>
      <c r="DX170" s="2">
        <v>560</v>
      </c>
      <c r="DY170" s="8">
        <v>0</v>
      </c>
      <c r="DZ170" s="2" t="s">
        <v>94</v>
      </c>
      <c r="EA170" s="2" t="s">
        <v>94</v>
      </c>
      <c r="EB170" s="2" t="s">
        <v>94</v>
      </c>
      <c r="EC170" s="2" t="str">
        <f>HYPERLINK(".\links\gpi\AGAP008516-PB-gpi.txt","N")</f>
        <v>N</v>
      </c>
      <c r="ED170" s="2">
        <v>0.16</v>
      </c>
      <c r="EF170" s="2">
        <v>7</v>
      </c>
      <c r="EG170" s="2" t="str">
        <f>HYPERLINK(".\links\pep\AGAP008516-PB-sulf.txt","2")</f>
        <v>2</v>
      </c>
      <c r="EH170" s="2" t="s">
        <v>94</v>
      </c>
      <c r="EI170" s="2">
        <v>11.785714285714301</v>
      </c>
      <c r="EJ170" s="2">
        <v>3.9285714285714302</v>
      </c>
      <c r="EK170" s="2">
        <v>6.6071428571428603</v>
      </c>
      <c r="EL170" s="2">
        <v>10.535714285714301</v>
      </c>
      <c r="EM170" s="2" t="s">
        <v>94</v>
      </c>
      <c r="EN170" s="2">
        <v>1</v>
      </c>
      <c r="EO170" s="2">
        <v>2</v>
      </c>
      <c r="EP170" s="2" t="s">
        <v>94</v>
      </c>
      <c r="EQ170" s="2" t="s">
        <v>94</v>
      </c>
      <c r="ER170" s="2" t="s">
        <v>94</v>
      </c>
      <c r="ES170" s="2" t="s">
        <v>94</v>
      </c>
      <c r="ET170" s="2" t="str">
        <f>HYPERLINK(".\links\REFSEQ-INVERTEBRATE\AGAP008516-PB-REFSEQ-INVERTEBRATE.txt","nicotinate phosphoribosyltransferase isoform X3")</f>
        <v>nicotinate phosphoribosyltransferase isoform X3</v>
      </c>
      <c r="EU170" s="2" t="str">
        <f>HYPERLINK("http://www.ncbi.nlm.nih.gov/sutils/blink.cgi?pid=XP_035910932.1","0.0")</f>
        <v>0.0</v>
      </c>
      <c r="EV170" s="2" t="str">
        <f>HYPERLINK("http://www.ncbi.nlm.nih.gov/protein/XP_035910932.1","XP_035910932.1")</f>
        <v>XP_035910932.1</v>
      </c>
      <c r="EW170" s="2">
        <v>98</v>
      </c>
      <c r="EX170" s="2">
        <v>99</v>
      </c>
      <c r="EY170" s="2">
        <v>100</v>
      </c>
      <c r="EZ170" s="2" t="s">
        <v>184</v>
      </c>
    </row>
    <row r="171" spans="1:156" x14ac:dyDescent="0.25">
      <c r="A171" s="2" t="s">
        <v>2110</v>
      </c>
      <c r="B171" s="2">
        <v>0.49728072828028602</v>
      </c>
      <c r="C171" s="2">
        <v>1.4115504846723235</v>
      </c>
      <c r="D171" s="2">
        <v>4.8586605804285004</v>
      </c>
      <c r="E171" s="2">
        <v>10.7036756093781</v>
      </c>
      <c r="F171" s="2">
        <v>1.06922899115127E-3</v>
      </c>
      <c r="G171" s="2">
        <v>4.4496304029835398E-2</v>
      </c>
      <c r="H171" s="2" t="s">
        <v>2111</v>
      </c>
      <c r="I171" s="2" t="s">
        <v>87</v>
      </c>
      <c r="J171" s="2" t="str">
        <f>HYPERLINK("https://vectorbase.org/vectorbase/app/record/gene/AGAP007342","AGAP007342-RA")</f>
        <v>AGAP007342-RA</v>
      </c>
      <c r="K171" s="2" t="str">
        <f>HYPERLINK(".\links\pep\AGAP007342-PA-pep.txt","AGAP007342-PA")</f>
        <v>AGAP007342-PA</v>
      </c>
      <c r="L171" s="8" t="s">
        <v>88</v>
      </c>
      <c r="M171" s="2">
        <v>1327</v>
      </c>
      <c r="N171" s="2">
        <v>0</v>
      </c>
      <c r="O171" s="2">
        <v>1</v>
      </c>
      <c r="P171" s="2" t="s">
        <v>2112</v>
      </c>
      <c r="Q171" s="9" t="s">
        <v>2059</v>
      </c>
      <c r="R171" s="2" t="s">
        <v>318</v>
      </c>
      <c r="S171" s="2" t="str">
        <f>HYPERLINK(".\links\CDD\AGAP007342-PA-CDD.txt","CDD")</f>
        <v>CDD</v>
      </c>
      <c r="T171" s="2">
        <v>0</v>
      </c>
      <c r="U171" s="2">
        <v>99</v>
      </c>
      <c r="V171" s="2" t="s">
        <v>2113</v>
      </c>
      <c r="W171" s="10" t="s">
        <v>2114</v>
      </c>
      <c r="X171" s="2" t="s">
        <v>318</v>
      </c>
      <c r="Y171" s="2" t="str">
        <f>HYPERLINK(".\links\REFSEQVERTEBRATE95\AGAP007342-PA-REFSEQVERTEBRATE95.txt","REFSEQVERTEBRATE95")</f>
        <v>REFSEQVERTEBRATE95</v>
      </c>
      <c r="Z171" s="2">
        <v>0</v>
      </c>
      <c r="AA171" s="2">
        <v>63.2</v>
      </c>
      <c r="AB171" s="11" t="s">
        <v>94</v>
      </c>
      <c r="AC171" s="11" t="str">
        <f>HYPERLINK(".\links\Sigp\AGAP007342-PA-SigP.txt","CYT")</f>
        <v>CYT</v>
      </c>
      <c r="AD171" s="2" t="s">
        <v>94</v>
      </c>
      <c r="AE171" s="2">
        <v>142.34</v>
      </c>
      <c r="AF171" s="2">
        <v>8.98</v>
      </c>
      <c r="AG171" s="2" t="s">
        <v>94</v>
      </c>
      <c r="AH171" s="2" t="s">
        <v>94</v>
      </c>
      <c r="AI171" s="2" t="s">
        <v>443</v>
      </c>
      <c r="AJ171" s="11">
        <v>0</v>
      </c>
      <c r="AK171" s="2" t="s">
        <v>94</v>
      </c>
      <c r="AL171" s="2" t="s">
        <v>94</v>
      </c>
      <c r="AM171" s="2" t="s">
        <v>94</v>
      </c>
      <c r="AN171" s="11" t="str">
        <f>HYPERLINK(".\links\gpi\AGAP007342-PA-gpi.txt","N")</f>
        <v>N</v>
      </c>
      <c r="AO171" s="12" t="str">
        <f>HYPERLINK(".\links\netoglyc\AGAP007342-PA-netoglyc.txt","8")</f>
        <v>8</v>
      </c>
      <c r="AP171" s="11">
        <v>18.8</v>
      </c>
      <c r="AQ171" s="2">
        <v>9.9</v>
      </c>
      <c r="AR171" s="2">
        <v>6.8</v>
      </c>
      <c r="AS171" s="2" t="s">
        <v>97</v>
      </c>
      <c r="AT171" s="9" t="str">
        <f>HYPERLINK(".\links\NR-LIGHT\AGAP007342-PA-NR-LIGHT.txt","AGAP007342-PA")</f>
        <v>AGAP007342-PA</v>
      </c>
      <c r="AU171" s="2" t="str">
        <f>HYPERLINK("http://www.ncbi.nlm.nih.gov/sutils/blink.cgi?pid=XP_308469.4","0.0")</f>
        <v>0.0</v>
      </c>
      <c r="AV171" s="2" t="str">
        <f>HYPERLINK("http://www.ncbi.nlm.nih.gov/protein/XP_308469.4","XP_308469.4")</f>
        <v>XP_308469.4</v>
      </c>
      <c r="AW171" s="2">
        <v>72</v>
      </c>
      <c r="AX171" s="2">
        <v>75</v>
      </c>
      <c r="AY171" s="2">
        <v>111</v>
      </c>
      <c r="AZ171" s="2" t="s">
        <v>98</v>
      </c>
      <c r="BA171" s="9" t="str">
        <f>HYPERLINK(".\links\REFSEQ-INVERTEBRATE\AGAP007342-PA-REFSEQ-INVERTEBRATE.txt","AGAP007342-PA")</f>
        <v>AGAP007342-PA</v>
      </c>
      <c r="BB171" s="2" t="str">
        <f>HYPERLINK("http://www.ncbi.nlm.nih.gov/sutils/blink.cgi?pid=XP_308469.4","0.0")</f>
        <v>0.0</v>
      </c>
      <c r="BC171" s="2" t="str">
        <f>HYPERLINK("http://www.ncbi.nlm.nih.gov/protein/XP_308469.4","XP_308469.4")</f>
        <v>XP_308469.4</v>
      </c>
      <c r="BD171" s="2">
        <v>72</v>
      </c>
      <c r="BE171" s="2">
        <v>75</v>
      </c>
      <c r="BF171" s="2">
        <v>111</v>
      </c>
      <c r="BG171" s="2" t="s">
        <v>98</v>
      </c>
      <c r="BH171" s="9" t="str">
        <f>HYPERLINK(".\links\REFSEQ-PROTOZOA\AGAP007342-PA-REFSEQ-PROTOZOA.txt","serine/threonine-protein kinase ppk15")</f>
        <v>serine/threonine-protein kinase ppk15</v>
      </c>
      <c r="BI171" s="2" t="str">
        <f>HYPERLINK("http://www.ncbi.nlm.nih.gov/sutils/blink.cgi?pid=XP_004363845.2","1E-074")</f>
        <v>1E-074</v>
      </c>
      <c r="BJ171" s="2" t="str">
        <f>HYPERLINK("http://www.ncbi.nlm.nih.gov/protein/XP_004363845.2","XP_004363845.2")</f>
        <v>XP_004363845.2</v>
      </c>
      <c r="BK171" s="2">
        <v>43</v>
      </c>
      <c r="BL171" s="2">
        <v>61</v>
      </c>
      <c r="BM171" s="2">
        <v>23</v>
      </c>
      <c r="BN171" s="2" t="s">
        <v>227</v>
      </c>
      <c r="BO171" s="9" t="str">
        <f>HYPERLINK(".\links\SWISSP\AGAP007342-PA-SWISSP.txt","Homeodomain-interacting protein kinase 2")</f>
        <v>Homeodomain-interacting protein kinase 2</v>
      </c>
      <c r="BP171" s="2" t="str">
        <f>HYPERLINK("http://www.uniprot.org/uniprot/Q9WUM7","0.0")</f>
        <v>0.0</v>
      </c>
      <c r="BQ171" s="2" t="str">
        <f>HYPERLINK("http://www.uniprot.org/uniprot/Q9WUM7#expression","Q9WUM7")</f>
        <v>Q9WUM7</v>
      </c>
      <c r="BR171" s="2">
        <v>48</v>
      </c>
      <c r="BS171" s="2">
        <v>61</v>
      </c>
      <c r="BT171" s="2">
        <v>74</v>
      </c>
      <c r="BU171" s="2" t="s">
        <v>2115</v>
      </c>
      <c r="BV171" s="9" t="str">
        <f>HYPERLINK(".\links\FLYBASE\AGAP007342-PA-FLYBASE.txt","FBpp0072451")</f>
        <v>FBpp0072451</v>
      </c>
      <c r="BW171" s="2" t="str">
        <f>HYPERLINK("http://flybase.org/reports/FBgn0035142#alliance_summary_container","0.0")</f>
        <v>0.0</v>
      </c>
      <c r="BX171" s="2">
        <v>1340</v>
      </c>
      <c r="BY171" s="2">
        <v>81</v>
      </c>
      <c r="BZ171" s="2">
        <v>87</v>
      </c>
      <c r="CA171" s="2">
        <v>51</v>
      </c>
      <c r="CB171" s="9" t="str">
        <f>HYPERLINK(".\links\CDD\AGAP007342-PA-CDD.txt","STKc_HIPK, Catalytic domain of the Serine/Threonine Kinase, Homeodomain-Interacting Protein Kinase")</f>
        <v>STKc_HIPK, Catalytic domain of the Serine/Threonine Kinase, Homeodomain-Interacting Protein Kinase</v>
      </c>
      <c r="CC171" s="13">
        <v>0</v>
      </c>
      <c r="CD171" s="2">
        <v>99.7</v>
      </c>
      <c r="CE171" s="2" t="s">
        <v>2116</v>
      </c>
      <c r="CF171" s="2" t="s">
        <v>2117</v>
      </c>
      <c r="CG171" s="9" t="str">
        <f>HYPERLINK(".\links\KOG\AGAP007342-PA-KOG.txt","Dual-specificity tyrosine-phosphorylation regulated kinase")</f>
        <v>Dual-specificity tyrosine-phosphorylation regulated kinase</v>
      </c>
      <c r="CH171" s="13">
        <v>9.9999999999999997E-148</v>
      </c>
      <c r="CI171" s="2">
        <v>69.5</v>
      </c>
      <c r="CJ171" s="2" t="s">
        <v>2118</v>
      </c>
      <c r="CK171" s="2" t="s">
        <v>122</v>
      </c>
      <c r="CL171" s="9" t="str">
        <f>HYPERLINK(".\links\PFAM\AGAP007342-PA-PFAM.txt","Pkinase, Protein kinase domain")</f>
        <v>Pkinase, Protein kinase domain</v>
      </c>
      <c r="CM171" s="13">
        <v>9.9999999999999995E-45</v>
      </c>
      <c r="CN171" s="2">
        <v>94.9</v>
      </c>
      <c r="CO171" s="2" t="s">
        <v>628</v>
      </c>
      <c r="CP171" s="9" t="str">
        <f>HYPERLINK(".\links\SMART\AGAP007342-PA-SMART.txt","S_TKc, Serine/Threonine protein kinases, catalytic domain")</f>
        <v>S_TKc, Serine/Threonine protein kinases, catalytic domain</v>
      </c>
      <c r="CQ171" s="13">
        <v>2.0000000000000001E-61</v>
      </c>
      <c r="CR171" s="2">
        <v>130.69999999999999</v>
      </c>
      <c r="CS171" s="2" t="s">
        <v>629</v>
      </c>
      <c r="CT171" s="2" t="s">
        <v>2113</v>
      </c>
      <c r="CU171" s="2" t="s">
        <v>2113</v>
      </c>
      <c r="CV171" s="2" t="s">
        <v>2113</v>
      </c>
      <c r="CW171" s="2" t="str">
        <f>HYPERLINK(".\links\pep\AGAP007342-PA-pep.txt","AGAP007342-PA")</f>
        <v>AGAP007342-PA</v>
      </c>
      <c r="CX171" s="2" t="s">
        <v>88</v>
      </c>
      <c r="CY171" s="2">
        <v>1327</v>
      </c>
      <c r="CZ171" s="2" t="s">
        <v>106</v>
      </c>
      <c r="DA171" s="2" t="s">
        <v>2119</v>
      </c>
      <c r="DB171" s="2">
        <v>0</v>
      </c>
      <c r="DC171" s="2">
        <v>1</v>
      </c>
      <c r="DD171" s="2" t="str">
        <f>HYPERLINK("https://www.kegg.jp/kegg-bin/search_pathway_text?map=aga&amp;keyword=AGAP007342&amp;mode=1&amp;viewImage=true","AGAP007342")</f>
        <v>AGAP007342</v>
      </c>
      <c r="DE171" s="2" t="s">
        <v>2110</v>
      </c>
      <c r="DF171" s="2" t="s">
        <v>2111</v>
      </c>
      <c r="DG171" s="2" t="s">
        <v>87</v>
      </c>
      <c r="DH171" s="2" t="str">
        <f>HYPERLINK("https://vectorbase.org/vectorbase/app/record/gene/AGAP007342","AGAP007342-RA")</f>
        <v>AGAP007342-RA</v>
      </c>
      <c r="DI171" s="2" t="s">
        <v>143</v>
      </c>
      <c r="DJ171" s="2">
        <v>11095</v>
      </c>
      <c r="DK171" s="2" t="str">
        <f>HYPERLINK(".\links\netoglyc\AGAP007342-PA-netoglyc.txt","8")</f>
        <v>8</v>
      </c>
      <c r="DL171" s="2">
        <v>18.8</v>
      </c>
      <c r="DM171" s="2">
        <v>9.9</v>
      </c>
      <c r="DN171" s="2">
        <v>6.8</v>
      </c>
      <c r="DO171" s="2" t="s">
        <v>97</v>
      </c>
      <c r="DP171" s="2" t="s">
        <v>2120</v>
      </c>
      <c r="DQ171" s="2" t="str">
        <f>HYPERLINK(".\links\Sigp\AGAP007342-PA-SigP.txt","CYT")</f>
        <v>CYT</v>
      </c>
      <c r="DR171" s="2" t="s">
        <v>94</v>
      </c>
      <c r="DS171" s="2">
        <v>142.24</v>
      </c>
      <c r="DT171" s="2">
        <v>8.98</v>
      </c>
      <c r="DU171" s="2" t="s">
        <v>94</v>
      </c>
      <c r="DV171" s="2" t="s">
        <v>94</v>
      </c>
      <c r="DW171" s="2" t="s">
        <v>443</v>
      </c>
      <c r="DX171" s="2">
        <v>1327</v>
      </c>
      <c r="DY171" s="8">
        <v>0</v>
      </c>
      <c r="DZ171" s="2" t="s">
        <v>94</v>
      </c>
      <c r="EA171" s="2" t="s">
        <v>94</v>
      </c>
      <c r="EB171" s="2" t="s">
        <v>94</v>
      </c>
      <c r="EC171" s="2" t="str">
        <f>HYPERLINK(".\links\gpi\AGAP007342-PA-gpi.txt","Y-NoSP")</f>
        <v>Y-NoSP</v>
      </c>
      <c r="ED171" s="2">
        <v>0.38</v>
      </c>
      <c r="EF171" s="2">
        <v>18</v>
      </c>
      <c r="EG171" s="2" t="s">
        <v>94</v>
      </c>
      <c r="EH171" s="2" t="s">
        <v>94</v>
      </c>
      <c r="EI171" s="2">
        <v>18.764129615674499</v>
      </c>
      <c r="EJ171" s="2">
        <v>6.7822155237377499</v>
      </c>
      <c r="EK171" s="2">
        <v>9.9472494348153706</v>
      </c>
      <c r="EL171" s="2">
        <v>16.729464958553098</v>
      </c>
      <c r="EM171" s="2">
        <v>1</v>
      </c>
      <c r="EN171" s="2">
        <v>2</v>
      </c>
      <c r="EO171" s="2">
        <v>3</v>
      </c>
      <c r="EP171" s="2" t="s">
        <v>94</v>
      </c>
      <c r="EQ171" s="2" t="s">
        <v>94</v>
      </c>
      <c r="ER171" s="2" t="s">
        <v>94</v>
      </c>
      <c r="ES171" s="2" t="s">
        <v>94</v>
      </c>
      <c r="ET171" s="2" t="str">
        <f>HYPERLINK(".\links\REFSEQ-INVERTEBRATE\AGAP007342-PA-REFSEQ-INVERTEBRATE.txt","hornerin isoform X1")</f>
        <v>hornerin isoform X1</v>
      </c>
      <c r="EU171" s="2" t="str">
        <f>HYPERLINK("http://www.ncbi.nlm.nih.gov/sutils/blink.cgi?pid=XP_035907410.1","0.0")</f>
        <v>0.0</v>
      </c>
      <c r="EV171" s="2" t="str">
        <f>HYPERLINK("http://www.ncbi.nlm.nih.gov/protein/XP_035907410.1","XP_035907410.1")</f>
        <v>XP_035907410.1</v>
      </c>
      <c r="EW171" s="2">
        <v>99</v>
      </c>
      <c r="EX171" s="2">
        <v>99</v>
      </c>
      <c r="EY171" s="2">
        <v>50</v>
      </c>
      <c r="EZ171" s="2" t="s">
        <v>184</v>
      </c>
    </row>
    <row r="172" spans="1:156" x14ac:dyDescent="0.25">
      <c r="A172" s="2" t="s">
        <v>2121</v>
      </c>
      <c r="B172" s="2">
        <v>0.49559297588928197</v>
      </c>
      <c r="C172" s="2">
        <v>1.4099001326064453</v>
      </c>
      <c r="D172" s="2">
        <v>7.4746101660225301</v>
      </c>
      <c r="E172" s="2">
        <v>11.159507577720101</v>
      </c>
      <c r="F172" s="2">
        <v>8.3602110614112404E-4</v>
      </c>
      <c r="G172" s="2">
        <v>3.7341858314868803E-2</v>
      </c>
      <c r="H172" s="2" t="s">
        <v>2122</v>
      </c>
      <c r="I172" s="2" t="s">
        <v>87</v>
      </c>
      <c r="J172" s="2" t="str">
        <f>HYPERLINK("https://vectorbase.org/vectorbase/app/record/gene/AGAP007939","AGAP007939-RA")</f>
        <v>AGAP007939-RA</v>
      </c>
      <c r="K172" s="2" t="str">
        <f>HYPERLINK(".\links\pep\AGAP007939-PA-pep.txt","AGAP007939-PA")</f>
        <v>AGAP007939-PA</v>
      </c>
      <c r="L172" s="8" t="s">
        <v>88</v>
      </c>
      <c r="M172" s="2">
        <v>842</v>
      </c>
      <c r="N172" s="2">
        <v>0</v>
      </c>
      <c r="O172" s="2">
        <v>4</v>
      </c>
      <c r="P172" s="2" t="s">
        <v>2123</v>
      </c>
      <c r="Q172" s="9" t="s">
        <v>2124</v>
      </c>
      <c r="R172" s="2" t="s">
        <v>550</v>
      </c>
      <c r="S172" s="2" t="str">
        <f>HYPERLINK(".\links\KOG\AGAP007939-PA-KOG.txt","KOG")</f>
        <v>KOG</v>
      </c>
      <c r="T172" s="2">
        <v>0</v>
      </c>
      <c r="U172" s="2">
        <v>99.5</v>
      </c>
      <c r="V172" s="2" t="s">
        <v>2125</v>
      </c>
      <c r="W172" s="10" t="s">
        <v>2126</v>
      </c>
      <c r="X172" s="2" t="s">
        <v>550</v>
      </c>
      <c r="Y172" s="2" t="str">
        <f>HYPERLINK(".\links\COG\AGAP007939-PA-COG.txt","COG")</f>
        <v>COG</v>
      </c>
      <c r="Z172" s="2">
        <v>0</v>
      </c>
      <c r="AA172" s="2">
        <v>105.4</v>
      </c>
      <c r="AB172" s="11" t="str">
        <f>HYPERLINK(".\links\pep\AGAP007939-PA-sulf.txt","1")</f>
        <v>1</v>
      </c>
      <c r="AC172" s="11" t="str">
        <f>HYPERLINK(".\links\Sigp\AGAP007939-PA-SigP.txt","CYT")</f>
        <v>CYT</v>
      </c>
      <c r="AD172" s="2" t="s">
        <v>94</v>
      </c>
      <c r="AE172" s="2">
        <v>96.879000000000005</v>
      </c>
      <c r="AF172" s="2">
        <v>6.06</v>
      </c>
      <c r="AG172" s="2" t="s">
        <v>94</v>
      </c>
      <c r="AH172" s="2" t="s">
        <v>94</v>
      </c>
      <c r="AI172" s="2" t="s">
        <v>1911</v>
      </c>
      <c r="AJ172" s="11">
        <v>0</v>
      </c>
      <c r="AK172" s="2" t="s">
        <v>94</v>
      </c>
      <c r="AL172" s="2" t="s">
        <v>94</v>
      </c>
      <c r="AM172" s="2" t="s">
        <v>94</v>
      </c>
      <c r="AN172" s="11" t="str">
        <f>HYPERLINK(".\links\gpi\AGAP007939-PA-gpi.txt","N")</f>
        <v>N</v>
      </c>
      <c r="AO172" s="12" t="str">
        <f>HYPERLINK(".\links\netoglyc\AGAP007939-PA-netoglyc.txt","0")</f>
        <v>0</v>
      </c>
      <c r="AP172" s="11">
        <v>8.6</v>
      </c>
      <c r="AQ172" s="2">
        <v>6.1</v>
      </c>
      <c r="AR172" s="2">
        <v>4.5</v>
      </c>
      <c r="AS172" s="2" t="s">
        <v>97</v>
      </c>
      <c r="AT172" s="9" t="str">
        <f>HYPERLINK(".\links\NR-LIGHT\AGAP007939-PA-NR-LIGHT.txt","AGAP007939-PA")</f>
        <v>AGAP007939-PA</v>
      </c>
      <c r="AU172" s="2" t="str">
        <f>HYPERLINK("http://www.ncbi.nlm.nih.gov/sutils/blink.cgi?pid=XP_317541.3","0.0")</f>
        <v>0.0</v>
      </c>
      <c r="AV172" s="2" t="str">
        <f>HYPERLINK("http://www.ncbi.nlm.nih.gov/protein/XP_317541.3","XP_317541.3")</f>
        <v>XP_317541.3</v>
      </c>
      <c r="AW172" s="2">
        <v>100</v>
      </c>
      <c r="AX172" s="2">
        <v>100</v>
      </c>
      <c r="AY172" s="2">
        <v>100</v>
      </c>
      <c r="AZ172" s="2" t="s">
        <v>98</v>
      </c>
      <c r="BA172" s="9" t="str">
        <f>HYPERLINK(".\links\REFSEQ-INVERTEBRATE\AGAP007939-PA-REFSEQ-INVERTEBRATE.txt","AGAP007939-PA")</f>
        <v>AGAP007939-PA</v>
      </c>
      <c r="BB172" s="2" t="str">
        <f>HYPERLINK("http://www.ncbi.nlm.nih.gov/sutils/blink.cgi?pid=XP_317541.3","0.0")</f>
        <v>0.0</v>
      </c>
      <c r="BC172" s="2" t="str">
        <f>HYPERLINK("http://www.ncbi.nlm.nih.gov/protein/XP_317541.3","XP_317541.3")</f>
        <v>XP_317541.3</v>
      </c>
      <c r="BD172" s="2">
        <v>100</v>
      </c>
      <c r="BE172" s="2">
        <v>100</v>
      </c>
      <c r="BF172" s="2">
        <v>100</v>
      </c>
      <c r="BG172" s="2" t="s">
        <v>98</v>
      </c>
      <c r="BH172" s="9" t="str">
        <f>HYPERLINK(".\links\REFSEQ-PROTOZOA\AGAP007939-PA-REFSEQ-PROTOZOA.txt","glycogen phosphorylase")</f>
        <v>glycogen phosphorylase</v>
      </c>
      <c r="BI172" s="2" t="str">
        <f>HYPERLINK("http://www.ncbi.nlm.nih.gov/sutils/blink.cgi?pid=XP_004990322.1","0.0")</f>
        <v>0.0</v>
      </c>
      <c r="BJ172" s="2" t="str">
        <f>HYPERLINK("http://www.ncbi.nlm.nih.gov/protein/XP_004990322.1","XP_004990322.1")</f>
        <v>XP_004990322.1</v>
      </c>
      <c r="BK172" s="2">
        <v>62</v>
      </c>
      <c r="BL172" s="2">
        <v>77</v>
      </c>
      <c r="BM172" s="2">
        <v>93</v>
      </c>
      <c r="BN172" s="2" t="s">
        <v>117</v>
      </c>
      <c r="BO172" s="9" t="str">
        <f>HYPERLINK(".\links\SWISSP\AGAP007939-PA-SWISSP.txt","Glycogen phosphorylase")</f>
        <v>Glycogen phosphorylase</v>
      </c>
      <c r="BP172" s="2" t="str">
        <f>HYPERLINK("http://www.uniprot.org/uniprot/Q9XTL9","0.0")</f>
        <v>0.0</v>
      </c>
      <c r="BQ172" s="2" t="str">
        <f>HYPERLINK("http://www.uniprot.org/uniprot/Q9XTL9#expression","Q9XTL9")</f>
        <v>Q9XTL9</v>
      </c>
      <c r="BR172" s="2">
        <v>86</v>
      </c>
      <c r="BS172" s="2">
        <v>94</v>
      </c>
      <c r="BT172" s="2">
        <v>99</v>
      </c>
      <c r="BU172" s="2" t="s">
        <v>100</v>
      </c>
      <c r="BV172" s="9" t="str">
        <f>HYPERLINK(".\links\FLYBASE\AGAP007939-PA-FLYBASE.txt","FBpp0099923")</f>
        <v>FBpp0099923</v>
      </c>
      <c r="BW172" s="2" t="str">
        <f>HYPERLINK("http://flybase.org/reports/FBgn0004507#alliance_summary_container","0.0")</f>
        <v>0.0</v>
      </c>
      <c r="BX172" s="2">
        <v>844</v>
      </c>
      <c r="BY172" s="2">
        <v>86</v>
      </c>
      <c r="BZ172" s="2">
        <v>94</v>
      </c>
      <c r="CA172" s="2">
        <v>99</v>
      </c>
      <c r="CB172" s="9" t="str">
        <f>HYPERLINK(".\links\CDD\AGAP007939-PA-CDD.txt","GT1_Glycogen_Phosphorylase, This is a family of oligosaccharide phosphorylases")</f>
        <v>GT1_Glycogen_Phosphorylase, This is a family of oligosaccharide phosphorylases</v>
      </c>
      <c r="CC172" s="13">
        <v>0</v>
      </c>
      <c r="CD172" s="2">
        <v>101</v>
      </c>
      <c r="CE172" s="2" t="s">
        <v>2127</v>
      </c>
      <c r="CF172" s="2" t="s">
        <v>2128</v>
      </c>
      <c r="CG172" s="9" t="str">
        <f>HYPERLINK(".\links\KOG\AGAP007939-PA-KOG.txt","Glycogen phosphorylase")</f>
        <v>Glycogen phosphorylase</v>
      </c>
      <c r="CH172" s="13">
        <v>0</v>
      </c>
      <c r="CI172" s="2">
        <v>99.5</v>
      </c>
      <c r="CJ172" s="2" t="s">
        <v>2129</v>
      </c>
      <c r="CK172" s="2" t="s">
        <v>556</v>
      </c>
      <c r="CL172" s="9" t="str">
        <f>HYPERLINK(".\links\PFAM\AGAP007939-PA-PFAM.txt","Phosphorylase, Carbohydrate phosphorylase")</f>
        <v>Phosphorylase, Carbohydrate phosphorylase</v>
      </c>
      <c r="CM172" s="13">
        <v>0</v>
      </c>
      <c r="CN172" s="2">
        <v>101.4</v>
      </c>
      <c r="CO172" s="2" t="s">
        <v>2130</v>
      </c>
      <c r="CP172" s="9" t="str">
        <f>HYPERLINK(".\links\SMART\AGAP007939-PA-SMART.txt","RhoGEF, Guanine nucleotide exchange factor for Rho/Rac/Cdc42-like GTPases")</f>
        <v>RhoGEF, Guanine nucleotide exchange factor for Rho/Rac/Cdc42-like GTPases</v>
      </c>
      <c r="CQ172" s="13">
        <v>0.18</v>
      </c>
      <c r="CR172" s="2">
        <v>21.7</v>
      </c>
      <c r="CS172" s="2" t="s">
        <v>2131</v>
      </c>
      <c r="CT172" s="2" t="s">
        <v>2125</v>
      </c>
      <c r="CU172" s="2" t="s">
        <v>2125</v>
      </c>
      <c r="CV172" s="2" t="s">
        <v>2125</v>
      </c>
      <c r="CW172" s="2" t="str">
        <f>HYPERLINK(".\links\pep\AGAP007939-PA-pep.txt","AGAP007939-PA")</f>
        <v>AGAP007939-PA</v>
      </c>
      <c r="CX172" s="2" t="s">
        <v>88</v>
      </c>
      <c r="CY172" s="2">
        <v>842</v>
      </c>
      <c r="CZ172" s="2" t="s">
        <v>106</v>
      </c>
      <c r="DA172" s="2" t="s">
        <v>2132</v>
      </c>
      <c r="DB172" s="2">
        <v>0</v>
      </c>
      <c r="DC172" s="2">
        <v>4</v>
      </c>
      <c r="DD172" s="2" t="str">
        <f>HYPERLINK("https://www.kegg.jp/kegg-bin/search_pathway_text?map=aga&amp;keyword=AGAP007939&amp;mode=1&amp;viewImage=true","AGAP007939")</f>
        <v>AGAP007939</v>
      </c>
      <c r="DE172" s="2" t="s">
        <v>2121</v>
      </c>
      <c r="DF172" s="2" t="s">
        <v>2122</v>
      </c>
      <c r="DG172" s="2" t="s">
        <v>87</v>
      </c>
      <c r="DH172" s="2" t="str">
        <f>HYPERLINK("https://vectorbase.org/vectorbase/app/record/gene/AGAP007939","AGAP007939-RA")</f>
        <v>AGAP007939-RA</v>
      </c>
      <c r="DI172" s="2" t="s">
        <v>108</v>
      </c>
      <c r="DJ172" s="2">
        <v>3130</v>
      </c>
      <c r="DK172" s="2" t="str">
        <f>HYPERLINK(".\links\netoglyc\AGAP007939-PA-netoglyc.txt","0")</f>
        <v>0</v>
      </c>
      <c r="DL172" s="2">
        <v>8.6</v>
      </c>
      <c r="DM172" s="2">
        <v>6.1</v>
      </c>
      <c r="DN172" s="2">
        <v>4.5</v>
      </c>
      <c r="DO172" s="2" t="s">
        <v>97</v>
      </c>
      <c r="DP172" s="2" t="s">
        <v>2133</v>
      </c>
      <c r="DQ172" s="2" t="str">
        <f>HYPERLINK(".\links\Sigp\AGAP007939-PA-SigP.txt","CYT")</f>
        <v>CYT</v>
      </c>
      <c r="DR172" s="2" t="s">
        <v>94</v>
      </c>
      <c r="DS172" s="2">
        <v>96.879000000000005</v>
      </c>
      <c r="DT172" s="2">
        <v>6.06</v>
      </c>
      <c r="DU172" s="2" t="s">
        <v>94</v>
      </c>
      <c r="DV172" s="2" t="s">
        <v>94</v>
      </c>
      <c r="DW172" s="2" t="s">
        <v>1911</v>
      </c>
      <c r="DX172" s="2">
        <v>842</v>
      </c>
      <c r="DY172" s="8">
        <v>0</v>
      </c>
      <c r="DZ172" s="2" t="s">
        <v>94</v>
      </c>
      <c r="EA172" s="2" t="s">
        <v>94</v>
      </c>
      <c r="EB172" s="2" t="s">
        <v>94</v>
      </c>
      <c r="EC172" s="2" t="str">
        <f>HYPERLINK(".\links\gpi\AGAP007939-PA-gpi.txt","Y-NoSP")</f>
        <v>Y-NoSP</v>
      </c>
      <c r="ED172" s="2">
        <v>0.21</v>
      </c>
      <c r="EF172" s="2">
        <v>9</v>
      </c>
      <c r="EG172" s="2" t="str">
        <f>HYPERLINK(".\links\pep\AGAP007939-PA-sulf.txt","1")</f>
        <v>1</v>
      </c>
      <c r="EH172" s="2" t="s">
        <v>94</v>
      </c>
      <c r="EI172" s="2">
        <v>8.5510688836104496</v>
      </c>
      <c r="EJ172" s="2">
        <v>4.5130641330166297</v>
      </c>
      <c r="EK172" s="2">
        <v>6.0570071258907401</v>
      </c>
      <c r="EL172" s="2">
        <v>10.570071258907401</v>
      </c>
      <c r="EM172" s="2">
        <v>1</v>
      </c>
      <c r="EN172" s="2" t="s">
        <v>94</v>
      </c>
      <c r="EO172" s="2">
        <v>6</v>
      </c>
      <c r="EP172" s="2" t="s">
        <v>94</v>
      </c>
      <c r="EQ172" s="2" t="s">
        <v>94</v>
      </c>
      <c r="ER172" s="2" t="s">
        <v>94</v>
      </c>
      <c r="ES172" s="2" t="s">
        <v>94</v>
      </c>
      <c r="ET172" s="2" t="str">
        <f>HYPERLINK(".\links\REFSEQ-INVERTEBRATE\AGAP007939-PA-REFSEQ-INVERTEBRATE.txt","AGAP007939-PA")</f>
        <v>AGAP007939-PA</v>
      </c>
      <c r="EU172" s="2" t="str">
        <f>HYPERLINK("http://www.ncbi.nlm.nih.gov/sutils/blink.cgi?pid=XP_317541.3","0.0")</f>
        <v>0.0</v>
      </c>
      <c r="EV172" s="2" t="str">
        <f>HYPERLINK("http://www.ncbi.nlm.nih.gov/protein/XP_317541.3","XP_317541.3")</f>
        <v>XP_317541.3</v>
      </c>
      <c r="EW172" s="2">
        <v>100</v>
      </c>
      <c r="EX172" s="2">
        <v>100</v>
      </c>
      <c r="EY172" s="2">
        <v>100</v>
      </c>
      <c r="EZ172" s="2" t="s">
        <v>98</v>
      </c>
    </row>
    <row r="173" spans="1:156" x14ac:dyDescent="0.25">
      <c r="A173" s="2" t="s">
        <v>2134</v>
      </c>
      <c r="B173" s="2">
        <v>-0.459771615216093</v>
      </c>
      <c r="C173" s="2">
        <v>0.72710135279814669</v>
      </c>
      <c r="D173" s="2">
        <v>4.6900789692904201</v>
      </c>
      <c r="E173" s="2">
        <v>10.7928720173079</v>
      </c>
      <c r="F173" s="2">
        <v>1.0189167469301999E-3</v>
      </c>
      <c r="G173" s="2">
        <v>4.279127796822E-2</v>
      </c>
      <c r="H173" s="2" t="s">
        <v>2135</v>
      </c>
      <c r="I173" s="2" t="s">
        <v>94</v>
      </c>
      <c r="J173" s="2" t="str">
        <f>HYPERLINK("https://vectorbase.org/vectorbase/app/record/gene/AGAP028729","AGAP028729-RA")</f>
        <v>AGAP028729-RA</v>
      </c>
      <c r="K173" s="2" t="str">
        <f>HYPERLINK(".\links\pep\AGAP028729-PA-pep.txt","AGAP028729-PA")</f>
        <v>AGAP028729-PA</v>
      </c>
      <c r="L173" s="8" t="s">
        <v>88</v>
      </c>
      <c r="M173" s="2">
        <v>614</v>
      </c>
      <c r="N173" s="2">
        <v>0</v>
      </c>
      <c r="O173" s="2">
        <v>0</v>
      </c>
      <c r="P173" s="2" t="s">
        <v>2136</v>
      </c>
      <c r="Q173" s="9" t="s">
        <v>2137</v>
      </c>
      <c r="R173" s="2" t="s">
        <v>113</v>
      </c>
      <c r="S173" s="2" t="str">
        <f>HYPERLINK(".\links\CDD\AGAP028729-PA-CDD.txt","CDD")</f>
        <v>CDD</v>
      </c>
      <c r="T173" s="2">
        <v>0</v>
      </c>
      <c r="U173" s="2">
        <v>95.7</v>
      </c>
      <c r="V173" s="2" t="s">
        <v>2138</v>
      </c>
      <c r="W173" s="10" t="s">
        <v>2139</v>
      </c>
      <c r="X173" s="2" t="s">
        <v>113</v>
      </c>
      <c r="Y173" s="2" t="str">
        <f>HYPERLINK(".\links\TIGR\AGAP028729-PA-TIGR.txt","TIGR")</f>
        <v>TIGR</v>
      </c>
      <c r="Z173" s="13">
        <v>1E-89</v>
      </c>
      <c r="AA173" s="2">
        <v>96.7</v>
      </c>
      <c r="AB173" s="11" t="s">
        <v>94</v>
      </c>
      <c r="AC173" s="11" t="str">
        <f>HYPERLINK(".\links\Sigp\AGAP028729-PA-SigP.txt","CYT")</f>
        <v>CYT</v>
      </c>
      <c r="AD173" s="2" t="s">
        <v>94</v>
      </c>
      <c r="AE173" s="2">
        <v>68.471000000000004</v>
      </c>
      <c r="AF173" s="2">
        <v>6.52</v>
      </c>
      <c r="AG173" s="2" t="s">
        <v>94</v>
      </c>
      <c r="AH173" s="2" t="s">
        <v>94</v>
      </c>
      <c r="AI173" s="2" t="s">
        <v>2140</v>
      </c>
      <c r="AJ173" s="11" t="str">
        <f>HYPERLINK(".\links\tmhmm\AGAP028729-PA-tmhmm.txt","6")</f>
        <v>6</v>
      </c>
      <c r="AK173" s="2">
        <v>20.8</v>
      </c>
      <c r="AL173" s="2">
        <v>14</v>
      </c>
      <c r="AM173" s="2">
        <v>65.099999999999994</v>
      </c>
      <c r="AN173" s="9" t="str">
        <f>HYPERLINK(".\links\gpi\AGAP028729-PA-gpi.txt","N")</f>
        <v>N</v>
      </c>
      <c r="AO173" s="12" t="str">
        <f>HYPERLINK(".\links\netoglyc\AGAP028729-PA-netoglyc.txt","3")</f>
        <v>3</v>
      </c>
      <c r="AP173" s="11">
        <v>13.5</v>
      </c>
      <c r="AQ173" s="2">
        <v>6.8</v>
      </c>
      <c r="AR173" s="2">
        <v>4.4000000000000004</v>
      </c>
      <c r="AS173" s="2" t="s">
        <v>97</v>
      </c>
      <c r="AT173" s="9" t="str">
        <f>HYPERLINK(".\links\NR-LIGHT\AGAP028729-PA-NR-LIGHT.txt","ATP-dependent permease PDR11")</f>
        <v>ATP-dependent permease PDR11</v>
      </c>
      <c r="AU173" s="2" t="str">
        <f>HYPERLINK("http://www.ncbi.nlm.nih.gov/sutils/blink.cgi?pid=ETN68005.1","0.0")</f>
        <v>0.0</v>
      </c>
      <c r="AV173" s="2" t="str">
        <f>HYPERLINK("http://www.ncbi.nlm.nih.gov/protein/ETN68005.1","ETN68005.1")</f>
        <v>ETN68005.1</v>
      </c>
      <c r="AW173" s="2">
        <v>80</v>
      </c>
      <c r="AX173" s="2">
        <v>88</v>
      </c>
      <c r="AY173" s="2">
        <v>100</v>
      </c>
      <c r="AZ173" s="2" t="s">
        <v>291</v>
      </c>
      <c r="BA173" s="9" t="str">
        <f>HYPERLINK(".\links\REFSEQ-INVERTEBRATE\AGAP028729-PA-REFSEQ-INVERTEBRATE.txt","ATP-binding cassette sub-family G member 1")</f>
        <v>ATP-binding cassette sub-family G member 1</v>
      </c>
      <c r="BB173" s="2" t="str">
        <f>HYPERLINK("http://www.ncbi.nlm.nih.gov/sutils/blink.cgi?pid=XP_021703799.1","0.0")</f>
        <v>0.0</v>
      </c>
      <c r="BC173" s="2" t="str">
        <f>HYPERLINK("http://www.ncbi.nlm.nih.gov/protein/XP_021703799.1","XP_021703799.1")</f>
        <v>XP_021703799.1</v>
      </c>
      <c r="BD173" s="2">
        <v>71</v>
      </c>
      <c r="BE173" s="2">
        <v>82</v>
      </c>
      <c r="BF173" s="2">
        <v>101</v>
      </c>
      <c r="BG173" s="2" t="s">
        <v>175</v>
      </c>
      <c r="BH173" s="9" t="str">
        <f>HYPERLINK(".\links\REFSEQ-PROTOZOA\AGAP028729-PA-REFSEQ-PROTOZOA.txt","ABC-2 family transporter protein")</f>
        <v>ABC-2 family transporter protein</v>
      </c>
      <c r="BI173" s="2" t="str">
        <f>HYPERLINK("http://www.ncbi.nlm.nih.gov/sutils/blink.cgi?pid=XP_001025889.2","4E-075")</f>
        <v>4E-075</v>
      </c>
      <c r="BJ173" s="2" t="str">
        <f>HYPERLINK("http://www.ncbi.nlm.nih.gov/protein/XP_001025889.2","XP_001025889.2")</f>
        <v>XP_001025889.2</v>
      </c>
      <c r="BK173" s="2">
        <v>32</v>
      </c>
      <c r="BL173" s="2">
        <v>53</v>
      </c>
      <c r="BM173" s="2">
        <v>79</v>
      </c>
      <c r="BN173" s="2" t="s">
        <v>681</v>
      </c>
      <c r="BO173" s="9" t="str">
        <f>HYPERLINK(".\links\SWISSP\AGAP028729-PA-SWISSP.txt","ATP-binding cassette sub-family G member 4")</f>
        <v>ATP-binding cassette sub-family G member 4</v>
      </c>
      <c r="BP173" s="2" t="str">
        <f>HYPERLINK("http://www.uniprot.org/uniprot/Q9H172","1E-125")</f>
        <v>1E-125</v>
      </c>
      <c r="BQ173" s="2" t="str">
        <f>HYPERLINK("http://www.uniprot.org/uniprot/Q9H172#expression","Q9H172")</f>
        <v>Q9H172</v>
      </c>
      <c r="BR173" s="2">
        <v>40</v>
      </c>
      <c r="BS173" s="2">
        <v>60</v>
      </c>
      <c r="BT173" s="2">
        <v>94</v>
      </c>
      <c r="BU173" s="2" t="s">
        <v>196</v>
      </c>
      <c r="BV173" s="9" t="str">
        <f>HYPERLINK(".\links\FLYBASE\AGAP028729-PA-FLYBASE.txt","FBpp0294026")</f>
        <v>FBpp0294026</v>
      </c>
      <c r="BW173" s="2" t="str">
        <f>HYPERLINK("http://flybase.org/reports/FBgn0031515#alliance_summary_container","1E-153")</f>
        <v>1E-153</v>
      </c>
      <c r="BX173" s="2">
        <v>608</v>
      </c>
      <c r="BY173" s="2">
        <v>41</v>
      </c>
      <c r="BZ173" s="2">
        <v>59</v>
      </c>
      <c r="CA173" s="2">
        <v>94</v>
      </c>
      <c r="CB173" s="9" t="str">
        <f>HYPERLINK(".\links\CDD\AGAP028729-PA-CDD.txt","Protein_white, The Eye Pigment Precursor Transporter (EPP) Family protein")</f>
        <v>Protein_white, The Eye Pigment Precursor Transporter (EPP) Family protein</v>
      </c>
      <c r="CC173" s="13">
        <v>1E-119</v>
      </c>
      <c r="CD173" s="2">
        <v>95.8</v>
      </c>
      <c r="CE173" s="2" t="s">
        <v>2141</v>
      </c>
      <c r="CF173" s="2" t="s">
        <v>2142</v>
      </c>
      <c r="CG173" s="9" t="str">
        <f>HYPERLINK(".\links\KOG\AGAP028729-PA-KOG.txt","ABC superfamily (Breast cancer resistance protein)")</f>
        <v>ABC superfamily (Breast cancer resistance protein)</v>
      </c>
      <c r="CH173" s="13">
        <v>9.9999999999999999E-132</v>
      </c>
      <c r="CI173" s="2">
        <v>105.4</v>
      </c>
      <c r="CJ173" s="2" t="s">
        <v>2143</v>
      </c>
      <c r="CK173" s="2" t="s">
        <v>104</v>
      </c>
      <c r="CL173" s="9" t="str">
        <f>HYPERLINK(".\links\PFAM\AGAP028729-PA-PFAM.txt","ABC2_membrane, ABC-2 type transporter")</f>
        <v>ABC2_membrane, ABC-2 type transporter</v>
      </c>
      <c r="CM173" s="13">
        <v>2.0000000000000002E-30</v>
      </c>
      <c r="CN173" s="2">
        <v>100.5</v>
      </c>
      <c r="CO173" s="2" t="s">
        <v>2144</v>
      </c>
      <c r="CP173" s="9" t="str">
        <f>HYPERLINK(".\links\SMART\AGAP028729-PA-SMART.txt","AAA, ATPases associated with a variety of cellular activities")</f>
        <v>AAA, ATPases associated with a variety of cellular activities</v>
      </c>
      <c r="CQ173" s="13">
        <v>4.0000000000000003E-5</v>
      </c>
      <c r="CR173" s="2">
        <v>120.9</v>
      </c>
      <c r="CS173" s="2" t="s">
        <v>1549</v>
      </c>
      <c r="CT173" s="2" t="s">
        <v>2138</v>
      </c>
      <c r="CU173" s="2" t="s">
        <v>2138</v>
      </c>
      <c r="CV173" s="2" t="s">
        <v>2138</v>
      </c>
      <c r="CW173" s="2" t="str">
        <f>HYPERLINK(".\links\pep\AGAP028729-PA-pep.txt","AGAP028729-PA")</f>
        <v>AGAP028729-PA</v>
      </c>
      <c r="CX173" s="2" t="s">
        <v>88</v>
      </c>
      <c r="CY173" s="2">
        <v>614</v>
      </c>
      <c r="CZ173" s="2" t="s">
        <v>106</v>
      </c>
      <c r="DA173" s="2">
        <v>0</v>
      </c>
      <c r="DB173" s="2">
        <v>0</v>
      </c>
      <c r="DD173" s="2" t="str">
        <f>HYPERLINK("https://www.kegg.jp/kegg-bin/search_pathway_text?map=aga&amp;keyword=AGAP028729&amp;mode=1&amp;viewImage=true","AGAP028729")</f>
        <v>AGAP028729</v>
      </c>
      <c r="DE173" s="2" t="s">
        <v>2134</v>
      </c>
      <c r="DF173" s="2" t="s">
        <v>2135</v>
      </c>
      <c r="DG173" s="2" t="s">
        <v>94</v>
      </c>
      <c r="DH173" s="2" t="str">
        <f>HYPERLINK("https://vectorbase.org/vectorbase/app/record/gene/AGAP028729","AGAP028729-RA")</f>
        <v>AGAP028729-RA</v>
      </c>
      <c r="DI173" s="2" t="s">
        <v>250</v>
      </c>
      <c r="DJ173" s="2">
        <v>2699</v>
      </c>
      <c r="DK173" s="2" t="str">
        <f>HYPERLINK(".\links\netoglyc\AGAP028729-PA-netoglyc.txt","3")</f>
        <v>3</v>
      </c>
      <c r="DL173" s="2">
        <v>13.5</v>
      </c>
      <c r="DM173" s="2">
        <v>6.8</v>
      </c>
      <c r="DN173" s="2">
        <v>4.4000000000000004</v>
      </c>
      <c r="DO173" s="2" t="s">
        <v>97</v>
      </c>
      <c r="DP173" s="2" t="s">
        <v>94</v>
      </c>
      <c r="DQ173" s="2" t="str">
        <f>HYPERLINK(".\links\Sigp\AGAP028729-PA-SigP.txt","CYT")</f>
        <v>CYT</v>
      </c>
      <c r="DR173" s="2" t="s">
        <v>94</v>
      </c>
      <c r="DS173" s="2">
        <v>68.471000000000004</v>
      </c>
      <c r="DT173" s="2">
        <v>6.52</v>
      </c>
      <c r="DU173" s="2" t="s">
        <v>94</v>
      </c>
      <c r="DV173" s="2" t="s">
        <v>94</v>
      </c>
      <c r="DW173" s="2" t="s">
        <v>2140</v>
      </c>
      <c r="DX173" s="2">
        <v>614</v>
      </c>
      <c r="DY173" s="8" t="str">
        <f>HYPERLINK(".\links\tmhmm\AGAP028729-PA-tmhmm.txt","6")</f>
        <v>6</v>
      </c>
      <c r="DZ173" s="2">
        <v>20.8</v>
      </c>
      <c r="EA173" s="2">
        <v>14</v>
      </c>
      <c r="EB173" s="2">
        <v>65.099999999999994</v>
      </c>
      <c r="EC173" s="2" t="str">
        <f>HYPERLINK(".\links\gpi\AGAP028729-PA-gpi.txt","N")</f>
        <v>N</v>
      </c>
      <c r="ED173" s="2">
        <v>0.23</v>
      </c>
      <c r="EF173" s="2">
        <v>19</v>
      </c>
      <c r="EG173" s="2" t="s">
        <v>94</v>
      </c>
      <c r="EH173" s="2" t="s">
        <v>94</v>
      </c>
      <c r="EI173" s="2">
        <v>13.5179153094463</v>
      </c>
      <c r="EJ173" s="2">
        <v>4.3973941368078204</v>
      </c>
      <c r="EK173" s="2">
        <v>6.8403908794788304</v>
      </c>
      <c r="EL173" s="2">
        <v>11.237785016286599</v>
      </c>
      <c r="EM173" s="2">
        <v>1</v>
      </c>
      <c r="EN173" s="2" t="s">
        <v>94</v>
      </c>
      <c r="EO173" s="2">
        <v>1</v>
      </c>
      <c r="EP173" s="2" t="s">
        <v>94</v>
      </c>
      <c r="EQ173" s="2" t="s">
        <v>94</v>
      </c>
      <c r="ER173" s="2" t="s">
        <v>94</v>
      </c>
      <c r="ES173" s="2" t="s">
        <v>94</v>
      </c>
      <c r="ET173" s="2" t="str">
        <f>HYPERLINK(".\links\REFSEQ-INVERTEBRATE\AGAP028729-PA-REFSEQ-INVERTEBRATE.txt","ATP-binding cassette sub-family G member 4-like")</f>
        <v>ATP-binding cassette sub-family G member 4-like</v>
      </c>
      <c r="EU173" s="2" t="str">
        <f>HYPERLINK("http://www.ncbi.nlm.nih.gov/sutils/blink.cgi?pid=XP_035908869.1","0.0")</f>
        <v>0.0</v>
      </c>
      <c r="EV173" s="2" t="str">
        <f>HYPERLINK("http://www.ncbi.nlm.nih.gov/protein/XP_035908869.1","XP_035908869.1")</f>
        <v>XP_035908869.1</v>
      </c>
      <c r="EW173" s="2">
        <v>89</v>
      </c>
      <c r="EX173" s="2">
        <v>94</v>
      </c>
      <c r="EY173" s="2">
        <v>100</v>
      </c>
      <c r="EZ173" s="2" t="s">
        <v>184</v>
      </c>
    </row>
    <row r="174" spans="1:156" x14ac:dyDescent="0.25">
      <c r="A174" s="2" t="s">
        <v>2145</v>
      </c>
      <c r="B174" s="2">
        <v>-0.46874706307216801</v>
      </c>
      <c r="C174" s="2">
        <v>0.72259187448410256</v>
      </c>
      <c r="D174" s="2">
        <v>4.52371869822601</v>
      </c>
      <c r="E174" s="2">
        <v>10.4005937434518</v>
      </c>
      <c r="F174" s="2">
        <v>1.2597480114743501E-3</v>
      </c>
      <c r="G174" s="2">
        <v>4.9229078283111398E-2</v>
      </c>
      <c r="H174" s="2" t="s">
        <v>167</v>
      </c>
      <c r="I174" s="2" t="s">
        <v>87</v>
      </c>
      <c r="J174" s="2" t="str">
        <f>HYPERLINK("https://vectorbase.org/vectorbase/app/record/gene/AGAP000698","AGAP000698-RA")</f>
        <v>AGAP000698-RA</v>
      </c>
      <c r="K174" s="2" t="str">
        <f>HYPERLINK(".\links\pep\AGAP000698-PA-pep.txt","AGAP000698-PA")</f>
        <v>AGAP000698-PA</v>
      </c>
      <c r="L174" s="8" t="s">
        <v>88</v>
      </c>
      <c r="M174" s="2">
        <v>326</v>
      </c>
      <c r="N174" s="2">
        <v>0</v>
      </c>
      <c r="O174" s="2">
        <v>2</v>
      </c>
      <c r="P174" s="2" t="s">
        <v>94</v>
      </c>
      <c r="Q174" s="9" t="s">
        <v>2146</v>
      </c>
      <c r="R174" s="2" t="s">
        <v>577</v>
      </c>
      <c r="S174" s="2" t="str">
        <f>HYPERLINK(".\links\REFSEQ-INVERTEBRATE\AGAP000698-PA-REFSEQ-INVERTEBRATE.txt","REFSEQ-INVERTEBRATE")</f>
        <v>REFSEQ-INVERTEBRATE</v>
      </c>
      <c r="T174" s="2">
        <v>0</v>
      </c>
      <c r="U174" s="2">
        <v>99.6</v>
      </c>
      <c r="V174" s="2" t="s">
        <v>2147</v>
      </c>
      <c r="W174" s="10" t="s">
        <v>2148</v>
      </c>
      <c r="X174" s="2" t="s">
        <v>577</v>
      </c>
      <c r="Y174" s="2" t="str">
        <f>HYPERLINK(".\links\REFSEQ-INVERTEBRATE\AGAP000698-PA-REFSEQ-INVERTEBRATE.txt","REFSEQ-INVERTEBRATE")</f>
        <v>REFSEQ-INVERTEBRATE</v>
      </c>
      <c r="Z174" s="2">
        <v>0</v>
      </c>
      <c r="AA174" s="2">
        <v>100</v>
      </c>
      <c r="AB174" s="11" t="s">
        <v>94</v>
      </c>
      <c r="AC174" s="11" t="str">
        <f>HYPERLINK(".\links\Sigp\AGAP000698-PA-SigP.txt","CYT")</f>
        <v>CYT</v>
      </c>
      <c r="AD174" s="2" t="s">
        <v>94</v>
      </c>
      <c r="AE174" s="2">
        <v>36.808</v>
      </c>
      <c r="AF174" s="2">
        <v>9.18</v>
      </c>
      <c r="AG174" s="2" t="s">
        <v>94</v>
      </c>
      <c r="AH174" s="2" t="s">
        <v>94</v>
      </c>
      <c r="AI174" s="2" t="s">
        <v>2149</v>
      </c>
      <c r="AJ174" s="11">
        <v>0</v>
      </c>
      <c r="AK174" s="2" t="s">
        <v>94</v>
      </c>
      <c r="AL174" s="2" t="s">
        <v>94</v>
      </c>
      <c r="AM174" s="2" t="s">
        <v>94</v>
      </c>
      <c r="AN174" s="11" t="str">
        <f>HYPERLINK(".\links\gpi\AGAP000698-PA-gpi.txt","N")</f>
        <v>N</v>
      </c>
      <c r="AO174" s="12" t="str">
        <f>HYPERLINK(".\links\netoglyc\AGAP000698-PA-netoglyc.txt","0")</f>
        <v>0</v>
      </c>
      <c r="AP174" s="11">
        <v>10.4</v>
      </c>
      <c r="AQ174" s="2">
        <v>8</v>
      </c>
      <c r="AR174" s="2">
        <v>6.7</v>
      </c>
      <c r="AS174" s="2">
        <v>0.9</v>
      </c>
      <c r="AT174" s="9" t="str">
        <f>HYPERLINK(".\links\NR-LIGHT\AGAP000698-PA-NR-LIGHT.txt","AGAP000698-PA")</f>
        <v>AGAP000698-PA</v>
      </c>
      <c r="AU174" s="2" t="str">
        <f>HYPERLINK("http://www.ncbi.nlm.nih.gov/sutils/blink.cgi?pid=XP_311228.5","0.0")</f>
        <v>0.0</v>
      </c>
      <c r="AV174" s="2" t="str">
        <f>HYPERLINK("http://www.ncbi.nlm.nih.gov/protein/XP_311228.5","XP_311228.5")</f>
        <v>XP_311228.5</v>
      </c>
      <c r="AW174" s="2">
        <v>100</v>
      </c>
      <c r="AX174" s="2">
        <v>100</v>
      </c>
      <c r="AY174" s="2">
        <v>100</v>
      </c>
      <c r="AZ174" s="2" t="s">
        <v>98</v>
      </c>
      <c r="BA174" s="9" t="str">
        <f>HYPERLINK(".\links\REFSEQ-INVERTEBRATE\AGAP000698-PA-REFSEQ-INVERTEBRATE.txt","AGAP000698-PA")</f>
        <v>AGAP000698-PA</v>
      </c>
      <c r="BB174" s="2" t="str">
        <f>HYPERLINK("http://www.ncbi.nlm.nih.gov/sutils/blink.cgi?pid=XP_311228.5","0.0")</f>
        <v>0.0</v>
      </c>
      <c r="BC174" s="2" t="str">
        <f>HYPERLINK("http://www.ncbi.nlm.nih.gov/protein/XP_311228.5","XP_311228.5")</f>
        <v>XP_311228.5</v>
      </c>
      <c r="BD174" s="2">
        <v>100</v>
      </c>
      <c r="BE174" s="2">
        <v>100</v>
      </c>
      <c r="BF174" s="2">
        <v>100</v>
      </c>
      <c r="BG174" s="2" t="s">
        <v>98</v>
      </c>
      <c r="BH174" s="9" t="str">
        <f>HYPERLINK(".\links\REFSEQ-PROTOZOA\AGAP000698-PA-REFSEQ-PROTOZOA.txt","mosc domain protein")</f>
        <v>mosc domain protein</v>
      </c>
      <c r="BI174" s="2" t="str">
        <f>HYPERLINK("http://www.ncbi.nlm.nih.gov/sutils/blink.cgi?pid=XP_005853758.1","5E-033")</f>
        <v>5E-033</v>
      </c>
      <c r="BJ174" s="2" t="str">
        <f>HYPERLINK("http://www.ncbi.nlm.nih.gov/protein/XP_005853758.1","XP_005853758.1")</f>
        <v>XP_005853758.1</v>
      </c>
      <c r="BK174" s="2">
        <v>33</v>
      </c>
      <c r="BL174" s="2">
        <v>48</v>
      </c>
      <c r="BM174" s="2">
        <v>102</v>
      </c>
      <c r="BN174" s="2" t="s">
        <v>2150</v>
      </c>
      <c r="BO174" s="9" t="str">
        <f>HYPERLINK(".\links\SWISSP\AGAP000698-PA-SWISSP.txt","Mitochondrial amidoxime-reducing component 1")</f>
        <v>Mitochondrial amidoxime-reducing component 1</v>
      </c>
      <c r="BP174" s="2" t="str">
        <f>HYPERLINK("http://www.uniprot.org/uniprot/Q5VT66","1E-047")</f>
        <v>1E-047</v>
      </c>
      <c r="BQ174" s="2" t="str">
        <f>HYPERLINK("http://www.uniprot.org/uniprot/Q5VT66#expression","Q5VT66")</f>
        <v>Q5VT66</v>
      </c>
      <c r="BR174" s="2">
        <v>35</v>
      </c>
      <c r="BS174" s="2">
        <v>52</v>
      </c>
      <c r="BT174" s="2">
        <v>99</v>
      </c>
      <c r="BU174" s="2" t="s">
        <v>196</v>
      </c>
      <c r="BV174" s="9" t="str">
        <f>HYPERLINK(".\links\FLYBASE\AGAP000698-PA-FLYBASE.txt","FBpp0087562")</f>
        <v>FBpp0087562</v>
      </c>
      <c r="BW174" s="2" t="str">
        <f>HYPERLINK("http://flybase.org/reports/FBgn0033451#alliance_summary_container","2E-66")</f>
        <v>2E-66</v>
      </c>
      <c r="BX174" s="2">
        <v>340</v>
      </c>
      <c r="BY174" s="2">
        <v>40</v>
      </c>
      <c r="BZ174" s="2">
        <v>57</v>
      </c>
      <c r="CA174" s="2">
        <v>87</v>
      </c>
      <c r="CB174" s="9" t="str">
        <f>HYPERLINK(".\links\CDD\AGAP000698-PA-CDD.txt","COG3217, Uncharacterized Fe-S protein")</f>
        <v>COG3217, Uncharacterized Fe-S protein</v>
      </c>
      <c r="CC174" s="13">
        <v>8.9999999999999992E-50</v>
      </c>
      <c r="CD174" s="2">
        <v>100.4</v>
      </c>
      <c r="CE174" s="2" t="s">
        <v>2151</v>
      </c>
      <c r="CF174" s="2" t="s">
        <v>2152</v>
      </c>
      <c r="CG174" s="9" t="str">
        <f>HYPERLINK(".\links\KOG\AGAP000698-PA-KOG.txt","Uncharacterized Fe-S protein")</f>
        <v>Uncharacterized Fe-S protein</v>
      </c>
      <c r="CH174" s="13">
        <v>9.9999999999999997E-65</v>
      </c>
      <c r="CI174" s="2">
        <v>95.8</v>
      </c>
      <c r="CJ174" s="2" t="s">
        <v>2153</v>
      </c>
      <c r="CK174" s="2" t="s">
        <v>122</v>
      </c>
      <c r="CL174" s="9" t="str">
        <f>HYPERLINK(".\links\PFAM\AGAP000698-PA-PFAM.txt","MOSC_N, MOSC N-terminal beta barrel domain")</f>
        <v>MOSC_N, MOSC N-terminal beta barrel domain</v>
      </c>
      <c r="CM174" s="13">
        <v>3.0000000000000001E-27</v>
      </c>
      <c r="CN174" s="2">
        <v>101.7</v>
      </c>
      <c r="CO174" s="2" t="s">
        <v>2154</v>
      </c>
      <c r="CP174" s="9" t="str">
        <f>HYPERLINK(".\links\SMART\AGAP000698-PA-SMART.txt","SCPU, Spore Coat Protein U domain")</f>
        <v>SCPU, Spore Coat Protein U domain</v>
      </c>
      <c r="CQ174" s="13">
        <v>0.48</v>
      </c>
      <c r="CR174" s="2">
        <v>23.7</v>
      </c>
      <c r="CS174" s="2" t="s">
        <v>2155</v>
      </c>
      <c r="CT174" s="2" t="s">
        <v>2147</v>
      </c>
      <c r="CU174" s="2" t="s">
        <v>2147</v>
      </c>
      <c r="CV174" s="2" t="s">
        <v>2147</v>
      </c>
      <c r="CW174" s="2" t="str">
        <f>HYPERLINK(".\links\pep\AGAP000698-PA-pep.txt","AGAP000698-PA")</f>
        <v>AGAP000698-PA</v>
      </c>
      <c r="CX174" s="2" t="s">
        <v>88</v>
      </c>
      <c r="CY174" s="2">
        <v>326</v>
      </c>
      <c r="CZ174" s="2" t="s">
        <v>106</v>
      </c>
      <c r="DA174" s="2" t="s">
        <v>2156</v>
      </c>
      <c r="DB174" s="2">
        <v>0</v>
      </c>
      <c r="DC174" s="2">
        <v>2</v>
      </c>
      <c r="DD174" s="2" t="str">
        <f>HYPERLINK("https://www.kegg.jp/kegg-bin/search_pathway_text?map=aga&amp;keyword=AGAP000698&amp;mode=1&amp;viewImage=true","AGAP000698")</f>
        <v>AGAP000698</v>
      </c>
      <c r="DE174" s="2" t="s">
        <v>2145</v>
      </c>
      <c r="DF174" s="2" t="s">
        <v>167</v>
      </c>
      <c r="DG174" s="2" t="s">
        <v>87</v>
      </c>
      <c r="DH174" s="2" t="str">
        <f>HYPERLINK("https://vectorbase.org/vectorbase/app/record/gene/AGAP000698","AGAP000698-RA")</f>
        <v>AGAP000698-RA</v>
      </c>
      <c r="DI174" s="2" t="s">
        <v>125</v>
      </c>
      <c r="DJ174" s="2">
        <v>1548</v>
      </c>
      <c r="DK174" s="2" t="str">
        <f>HYPERLINK(".\links\netoglyc\AGAP000698-PA-netoglyc.txt","0")</f>
        <v>0</v>
      </c>
      <c r="DL174" s="2">
        <v>10.4</v>
      </c>
      <c r="DM174" s="2">
        <v>8</v>
      </c>
      <c r="DN174" s="2">
        <v>6.7</v>
      </c>
      <c r="DO174" s="2">
        <v>0.9</v>
      </c>
      <c r="DP174" s="2" t="s">
        <v>94</v>
      </c>
      <c r="DQ174" s="2" t="str">
        <f>HYPERLINK(".\links\Sigp\AGAP000698-PA-SigP.txt","CYT")</f>
        <v>CYT</v>
      </c>
      <c r="DR174" s="2" t="s">
        <v>94</v>
      </c>
      <c r="DS174" s="2">
        <v>36.808</v>
      </c>
      <c r="DT174" s="2">
        <v>9.18</v>
      </c>
      <c r="DU174" s="2" t="s">
        <v>94</v>
      </c>
      <c r="DV174" s="2" t="s">
        <v>94</v>
      </c>
      <c r="DW174" s="2" t="s">
        <v>2149</v>
      </c>
      <c r="DX174" s="2">
        <v>326</v>
      </c>
      <c r="DY174" s="8">
        <v>0</v>
      </c>
      <c r="DZ174" s="2" t="s">
        <v>94</v>
      </c>
      <c r="EA174" s="2" t="s">
        <v>94</v>
      </c>
      <c r="EB174" s="2" t="s">
        <v>94</v>
      </c>
      <c r="EC174" s="2" t="str">
        <f>HYPERLINK(".\links\gpi\AGAP000698-PA-gpi.txt","Y-NoSP")</f>
        <v>Y-NoSP</v>
      </c>
      <c r="ED174" s="2">
        <v>0.26</v>
      </c>
      <c r="EF174" s="2">
        <v>5</v>
      </c>
      <c r="EG174" s="2" t="s">
        <v>94</v>
      </c>
      <c r="EH174" s="2" t="s">
        <v>94</v>
      </c>
      <c r="EI174" s="2">
        <v>10.429447852760701</v>
      </c>
      <c r="EJ174" s="2">
        <v>6.74846625766871</v>
      </c>
      <c r="EK174" s="2">
        <v>7.9754601226993902</v>
      </c>
      <c r="EL174" s="2">
        <v>14.7239263803681</v>
      </c>
      <c r="EM174" s="2">
        <v>1</v>
      </c>
      <c r="EN174" s="2" t="s">
        <v>94</v>
      </c>
      <c r="EO174" s="2">
        <v>1</v>
      </c>
      <c r="EP174" s="2" t="s">
        <v>94</v>
      </c>
      <c r="EQ174" s="2" t="s">
        <v>94</v>
      </c>
      <c r="ER174" s="2" t="s">
        <v>94</v>
      </c>
      <c r="ES174" s="2" t="s">
        <v>94</v>
      </c>
      <c r="ET174" s="2" t="str">
        <f>HYPERLINK(".\links\REFSEQ-INVERTEBRATE\AGAP000698-PA-REFSEQ-INVERTEBRATE.txt","AGAP000698-PA")</f>
        <v>AGAP000698-PA</v>
      </c>
      <c r="EU174" s="2" t="str">
        <f>HYPERLINK("http://www.ncbi.nlm.nih.gov/sutils/blink.cgi?pid=XP_311228.5","0.0")</f>
        <v>0.0</v>
      </c>
      <c r="EV174" s="2" t="str">
        <f>HYPERLINK("http://www.ncbi.nlm.nih.gov/protein/XP_311228.5","XP_311228.5")</f>
        <v>XP_311228.5</v>
      </c>
      <c r="EW174" s="2">
        <v>100</v>
      </c>
      <c r="EX174" s="2">
        <v>100</v>
      </c>
      <c r="EY174" s="2">
        <v>100</v>
      </c>
      <c r="EZ174" s="2" t="s">
        <v>98</v>
      </c>
    </row>
    <row r="175" spans="1:156" x14ac:dyDescent="0.25">
      <c r="A175" s="2" t="s">
        <v>2157</v>
      </c>
      <c r="B175" s="2">
        <v>-0.48620325501200501</v>
      </c>
      <c r="C175" s="2">
        <v>0.713901404301994</v>
      </c>
      <c r="D175" s="2">
        <v>8.3823650754398003</v>
      </c>
      <c r="E175" s="2">
        <v>10.697563929885099</v>
      </c>
      <c r="F175" s="2">
        <v>1.0727669788307601E-3</v>
      </c>
      <c r="G175" s="2">
        <v>4.4496304029835398E-2</v>
      </c>
      <c r="H175" s="2" t="s">
        <v>167</v>
      </c>
      <c r="I175" s="2" t="s">
        <v>87</v>
      </c>
      <c r="J175" s="2" t="str">
        <f>HYPERLINK("https://vectorbase.org/vectorbase/app/record/gene/AGAP029475","AGAP029475-RA")</f>
        <v>AGAP029475-RA</v>
      </c>
      <c r="K175" s="2" t="str">
        <f>HYPERLINK(".\links\pep\AGAP029475-PA-pep.txt","AGAP029475-PA")</f>
        <v>AGAP029475-PA</v>
      </c>
      <c r="L175" s="8" t="s">
        <v>88</v>
      </c>
      <c r="M175" s="2">
        <v>819</v>
      </c>
      <c r="N175" s="2">
        <v>0</v>
      </c>
      <c r="O175" s="2">
        <v>6</v>
      </c>
      <c r="P175" s="2" t="s">
        <v>94</v>
      </c>
      <c r="Q175" s="9" t="s">
        <v>2158</v>
      </c>
      <c r="R175" s="2" t="s">
        <v>333</v>
      </c>
      <c r="S175" s="2" t="str">
        <f>HYPERLINK(".\links\REFSEQ-INVERTEBRATE\AGAP029475-PA-REFSEQ-INVERTEBRATE.txt","REFSEQ-INVERTEBRATE")</f>
        <v>REFSEQ-INVERTEBRATE</v>
      </c>
      <c r="T175" s="2">
        <v>0</v>
      </c>
      <c r="U175" s="2">
        <v>100</v>
      </c>
      <c r="V175" s="2" t="s">
        <v>2159</v>
      </c>
      <c r="W175" s="10" t="s">
        <v>2160</v>
      </c>
      <c r="X175" s="2" t="s">
        <v>333</v>
      </c>
      <c r="Y175" s="2" t="str">
        <f>HYPERLINK(".\links\REFSEQ-INVERTEBRATE\AGAP029475-PA-REFSEQ-INVERTEBRATE.txt","REFSEQ-INVERTEBRATE")</f>
        <v>REFSEQ-INVERTEBRATE</v>
      </c>
      <c r="Z175" s="13">
        <v>0</v>
      </c>
      <c r="AA175" s="2">
        <v>72</v>
      </c>
      <c r="AB175" s="11" t="str">
        <f>HYPERLINK(".\links\pep\AGAP029475-PA-sulf.txt","1")</f>
        <v>1</v>
      </c>
      <c r="AC175" s="11" t="str">
        <f>HYPERLINK(".\links\Sigp\AGAP029475-PA-SigP.txt","SIG")</f>
        <v>SIG</v>
      </c>
      <c r="AD175" s="2" t="s">
        <v>134</v>
      </c>
      <c r="AE175" s="2">
        <v>91.42</v>
      </c>
      <c r="AF175" s="2">
        <v>4.83</v>
      </c>
      <c r="AG175" s="2">
        <v>88.843999999999994</v>
      </c>
      <c r="AH175" s="2">
        <v>4.79</v>
      </c>
      <c r="AI175" s="2" t="s">
        <v>2161</v>
      </c>
      <c r="AJ175" s="11" t="str">
        <f>HYPERLINK(".\links\tmhmm\AGAP029475-PA-tmhmm.txt","1")</f>
        <v>1</v>
      </c>
      <c r="AK175" s="2">
        <v>2.7</v>
      </c>
      <c r="AL175" s="2">
        <v>84.5</v>
      </c>
      <c r="AM175" s="2">
        <v>12.8</v>
      </c>
      <c r="AN175" s="9" t="str">
        <f>HYPERLINK(".\links\gpi\AGAP029475-PA-gpi.txt","N")</f>
        <v>N</v>
      </c>
      <c r="AO175" s="12" t="str">
        <f>HYPERLINK(".\links\netoglyc\AGAP029475-PA-netoglyc.txt","1")</f>
        <v>1</v>
      </c>
      <c r="AP175" s="11">
        <v>16.2</v>
      </c>
      <c r="AQ175" s="2">
        <v>2.9</v>
      </c>
      <c r="AR175" s="2">
        <v>6.3</v>
      </c>
      <c r="AS175" s="2" t="s">
        <v>97</v>
      </c>
      <c r="AT175" s="9" t="str">
        <f>HYPERLINK(".\links\NR-LIGHT\AGAP029475-PA-NR-LIGHT.txt","AGAP006122-PA-like protein")</f>
        <v>AGAP006122-PA-like protein</v>
      </c>
      <c r="AU175" s="2" t="str">
        <f>HYPERLINK("http://www.ncbi.nlm.nih.gov/sutils/blink.cgi?pid=KFB42209.1","0.0")</f>
        <v>0.0</v>
      </c>
      <c r="AV175" s="2" t="str">
        <f>HYPERLINK("http://www.ncbi.nlm.nih.gov/protein/KFB42209.1","KFB42209.1")</f>
        <v>KFB42209.1</v>
      </c>
      <c r="AW175" s="2">
        <v>55</v>
      </c>
      <c r="AX175" s="2">
        <v>73</v>
      </c>
      <c r="AY175" s="2">
        <v>98</v>
      </c>
      <c r="AZ175" s="2" t="s">
        <v>174</v>
      </c>
      <c r="BA175" s="9" t="str">
        <f>HYPERLINK(".\links\REFSEQ-INVERTEBRATE\AGAP029475-PA-REFSEQ-INVERTEBRATE.txt","AGAP006122-PA, partial")</f>
        <v>AGAP006122-PA, partial</v>
      </c>
      <c r="BB175" s="2" t="str">
        <f>HYPERLINK("http://www.ncbi.nlm.nih.gov/sutils/blink.cgi?pid=XP_316183.3","0.0")</f>
        <v>0.0</v>
      </c>
      <c r="BC175" s="2" t="str">
        <f>HYPERLINK("http://www.ncbi.nlm.nih.gov/protein/XP_316183.3","XP_316183.3")</f>
        <v>XP_316183.3</v>
      </c>
      <c r="BD175" s="2">
        <v>100</v>
      </c>
      <c r="BE175" s="2">
        <v>100</v>
      </c>
      <c r="BF175" s="2">
        <v>100</v>
      </c>
      <c r="BG175" s="2" t="s">
        <v>98</v>
      </c>
      <c r="BH175" s="9" t="str">
        <f>HYPERLINK(".\links\REFSEQ-PROTOZOA\AGAP029475-PA-REFSEQ-PROTOZOA.txt","PRCDH1 protein")</f>
        <v>PRCDH1 protein</v>
      </c>
      <c r="BI175" s="2" t="str">
        <f>HYPERLINK("http://www.ncbi.nlm.nih.gov/sutils/blink.cgi?pid=XP_004990690.1","6E-009")</f>
        <v>6E-009</v>
      </c>
      <c r="BJ175" s="2" t="str">
        <f>HYPERLINK("http://www.ncbi.nlm.nih.gov/protein/XP_004990690.1","XP_004990690.1")</f>
        <v>XP_004990690.1</v>
      </c>
      <c r="BK175" s="2">
        <v>22</v>
      </c>
      <c r="BL175" s="2">
        <v>41</v>
      </c>
      <c r="BM175" s="2">
        <v>4</v>
      </c>
      <c r="BN175" s="2" t="s">
        <v>117</v>
      </c>
      <c r="BO175" s="9" t="str">
        <f>HYPERLINK(".\links\SWISSP\AGAP029475-PA-SWISSP.txt","Protocadherin-like wing polarity protein stan")</f>
        <v>Protocadherin-like wing polarity protein stan</v>
      </c>
      <c r="BP175" s="2" t="str">
        <f>HYPERLINK("http://www.uniprot.org/uniprot/Q9V5N8","2E-010")</f>
        <v>2E-010</v>
      </c>
      <c r="BQ175" s="2" t="str">
        <f>HYPERLINK("http://www.uniprot.org/uniprot/Q9V5N8#expression","Q9V5N8")</f>
        <v>Q9V5N8</v>
      </c>
      <c r="BR175" s="2">
        <v>22</v>
      </c>
      <c r="BS175" s="2">
        <v>40</v>
      </c>
      <c r="BT175" s="2">
        <v>13</v>
      </c>
      <c r="BU175" s="2" t="s">
        <v>100</v>
      </c>
      <c r="BV175" s="9" t="str">
        <f>HYPERLINK(".\links\FLYBASE\AGAP029475-PA-FLYBASE.txt","FBpp0081987")</f>
        <v>FBpp0081987</v>
      </c>
      <c r="BW175" s="2" t="str">
        <f>HYPERLINK("http://flybase.org/reports/FBgn0037963#alliance_summary_container","1E-09")</f>
        <v>1E-09</v>
      </c>
      <c r="BX175" s="2">
        <v>1975</v>
      </c>
      <c r="BY175" s="2">
        <v>36</v>
      </c>
      <c r="BZ175" s="2">
        <v>55</v>
      </c>
      <c r="CA175" s="2">
        <v>6</v>
      </c>
      <c r="CB175" s="9" t="str">
        <f>HYPERLINK(".\links\CDD\AGAP029475-PA-CDD.txt","Cadherin_repeat, Cadherin tandem repeat domain")</f>
        <v>Cadherin_repeat, Cadherin tandem repeat domain</v>
      </c>
      <c r="CC175" s="13">
        <v>8.0000000000000005E-9</v>
      </c>
      <c r="CD175" s="2">
        <v>80.599999999999994</v>
      </c>
      <c r="CE175" s="2" t="s">
        <v>1673</v>
      </c>
      <c r="CF175" s="2" t="s">
        <v>2162</v>
      </c>
      <c r="CG175" s="9" t="str">
        <f>HYPERLINK(".\links\KOG\AGAP029475-PA-KOG.txt","contains laminin, cadherin and EGF domains")</f>
        <v>contains laminin, cadherin and EGF domains</v>
      </c>
      <c r="CH175" s="13">
        <v>8.9999999999999999E-10</v>
      </c>
      <c r="CI175" s="2">
        <v>11.4</v>
      </c>
      <c r="CJ175" s="2" t="s">
        <v>1675</v>
      </c>
      <c r="CK175" s="2" t="s">
        <v>326</v>
      </c>
      <c r="CL175" s="9" t="str">
        <f>HYPERLINK(".\links\PFAM\AGAP029475-PA-PFAM.txt","Cadherin, Cadherin domain")</f>
        <v>Cadherin, Cadherin domain</v>
      </c>
      <c r="CM175" s="13">
        <v>4.9999999999999998E-7</v>
      </c>
      <c r="CN175" s="2">
        <v>85.9</v>
      </c>
      <c r="CO175" s="2" t="s">
        <v>2163</v>
      </c>
      <c r="CP175" s="9" t="str">
        <f>HYPERLINK(".\links\SMART\AGAP029475-PA-SMART.txt","CA, Cadherin repeats")</f>
        <v>CA, Cadherin repeats</v>
      </c>
      <c r="CQ175" s="13">
        <v>8.9999999999999995E-9</v>
      </c>
      <c r="CR175" s="2">
        <v>91.4</v>
      </c>
      <c r="CS175" s="2" t="s">
        <v>1677</v>
      </c>
      <c r="CT175" s="2" t="s">
        <v>2159</v>
      </c>
      <c r="CU175" s="2" t="s">
        <v>2159</v>
      </c>
      <c r="CV175" s="2" t="s">
        <v>2159</v>
      </c>
      <c r="CW175" s="2" t="str">
        <f>HYPERLINK(".\links\pep\AGAP029475-PA-pep.txt","AGAP029475-PA")</f>
        <v>AGAP029475-PA</v>
      </c>
      <c r="CX175" s="2" t="s">
        <v>88</v>
      </c>
      <c r="CY175" s="2">
        <v>819</v>
      </c>
      <c r="CZ175" s="2" t="s">
        <v>106</v>
      </c>
      <c r="DA175" s="2" t="s">
        <v>2164</v>
      </c>
      <c r="DB175" s="2">
        <v>0</v>
      </c>
      <c r="DC175" s="2">
        <v>6</v>
      </c>
      <c r="DD175" s="2" t="str">
        <f>HYPERLINK("https://www.kegg.jp/kegg-bin/search_pathway_text?map=aga&amp;keyword=AGAP029475&amp;mode=1&amp;viewImage=true","AGAP029475")</f>
        <v>AGAP029475</v>
      </c>
      <c r="DE175" s="2" t="s">
        <v>2157</v>
      </c>
      <c r="DF175" s="2" t="s">
        <v>167</v>
      </c>
      <c r="DG175" s="2" t="s">
        <v>87</v>
      </c>
      <c r="DH175" s="2" t="str">
        <f>HYPERLINK("https://vectorbase.org/vectorbase/app/record/gene/AGAP029475","AGAP029475-RA")</f>
        <v>AGAP029475-RA</v>
      </c>
      <c r="DI175" s="2" t="s">
        <v>125</v>
      </c>
      <c r="DJ175" s="2">
        <v>2818</v>
      </c>
      <c r="DK175" s="2" t="str">
        <f>HYPERLINK(".\links\netoglyc\AGAP029475-PA-netoglyc.txt","1")</f>
        <v>1</v>
      </c>
      <c r="DL175" s="2">
        <v>16.2</v>
      </c>
      <c r="DM175" s="2">
        <v>2.9</v>
      </c>
      <c r="DN175" s="2">
        <v>6.3</v>
      </c>
      <c r="DO175" s="2" t="s">
        <v>97</v>
      </c>
      <c r="DP175" s="2" t="s">
        <v>94</v>
      </c>
      <c r="DQ175" s="2" t="str">
        <f>HYPERLINK(".\links\Sigp\AGAP029475-PA-SigP.txt","SIG")</f>
        <v>SIG</v>
      </c>
      <c r="DR175" s="2" t="s">
        <v>134</v>
      </c>
      <c r="DS175" s="2">
        <v>91.42</v>
      </c>
      <c r="DT175" s="2">
        <v>4.83</v>
      </c>
      <c r="DU175" s="2">
        <v>88.843999999999994</v>
      </c>
      <c r="DV175" s="2">
        <v>4.79</v>
      </c>
      <c r="DW175" s="2" t="s">
        <v>2161</v>
      </c>
      <c r="DX175" s="2">
        <v>819</v>
      </c>
      <c r="DY175" s="8" t="str">
        <f>HYPERLINK(".\links\tmhmm\AGAP029475-PA-tmhmm.txt","1")</f>
        <v>1</v>
      </c>
      <c r="DZ175" s="2">
        <v>2.7</v>
      </c>
      <c r="EA175" s="2">
        <v>84.5</v>
      </c>
      <c r="EB175" s="2">
        <v>12.8</v>
      </c>
      <c r="EC175" s="2" t="str">
        <f>HYPERLINK(".\links\gpi\AGAP029475-PA-gpi.txt","N")</f>
        <v>N</v>
      </c>
      <c r="ED175" s="2">
        <v>0.22</v>
      </c>
      <c r="EF175" s="2">
        <v>7</v>
      </c>
      <c r="EG175" s="2" t="str">
        <f>HYPERLINK(".\links\pep\AGAP029475-PA-sulf.txt","1")</f>
        <v>1</v>
      </c>
      <c r="EH175" s="2" t="s">
        <v>94</v>
      </c>
      <c r="EI175" s="2">
        <v>16.239316239316199</v>
      </c>
      <c r="EJ175" s="2">
        <v>6.3492063492063497</v>
      </c>
      <c r="EK175" s="2">
        <v>2.9304029304029302</v>
      </c>
      <c r="EL175" s="2">
        <v>9.2796092796092804</v>
      </c>
      <c r="EM175" s="2">
        <v>1</v>
      </c>
      <c r="EN175" s="2" t="s">
        <v>94</v>
      </c>
      <c r="EO175" s="2">
        <v>3</v>
      </c>
      <c r="EP175" s="2" t="s">
        <v>94</v>
      </c>
      <c r="EQ175" s="2" t="s">
        <v>94</v>
      </c>
      <c r="ER175" s="2" t="s">
        <v>94</v>
      </c>
      <c r="ES175" s="2" t="s">
        <v>94</v>
      </c>
      <c r="ET175" s="2" t="str">
        <f>HYPERLINK(".\links\REFSEQ-INVERTEBRATE\AGAP029475-PA-REFSEQ-INVERTEBRATE.txt","cadherin-89D-like isoform X2")</f>
        <v>cadherin-89D-like isoform X2</v>
      </c>
      <c r="EU175" s="2" t="str">
        <f>HYPERLINK("http://www.ncbi.nlm.nih.gov/sutils/blink.cgi?pid=XP_035907849.1","0.0")</f>
        <v>0.0</v>
      </c>
      <c r="EV175" s="2" t="str">
        <f>HYPERLINK("http://www.ncbi.nlm.nih.gov/protein/XP_035907849.1","XP_035907849.1")</f>
        <v>XP_035907849.1</v>
      </c>
      <c r="EW175" s="2">
        <v>65</v>
      </c>
      <c r="EX175" s="2">
        <v>80</v>
      </c>
      <c r="EY175" s="2">
        <v>101</v>
      </c>
      <c r="EZ175" s="2" t="s">
        <v>184</v>
      </c>
    </row>
    <row r="176" spans="1:156" x14ac:dyDescent="0.25">
      <c r="A176" s="2" t="s">
        <v>2165</v>
      </c>
      <c r="B176" s="2">
        <v>-0.49034302518214201</v>
      </c>
      <c r="C176" s="2">
        <v>0.71185582189625485</v>
      </c>
      <c r="D176" s="2">
        <v>5.7235524787723397</v>
      </c>
      <c r="E176" s="2">
        <v>13.1140198237955</v>
      </c>
      <c r="F176" s="2">
        <v>2.9309411514765002E-4</v>
      </c>
      <c r="G176" s="2">
        <v>1.5831858537278601E-2</v>
      </c>
      <c r="H176" s="2" t="s">
        <v>2166</v>
      </c>
      <c r="I176" s="2" t="s">
        <v>87</v>
      </c>
      <c r="J176" s="2" t="str">
        <f>HYPERLINK("https://vectorbase.org/vectorbase/app/record/gene/AGAP005327","AGAP005327-RA")</f>
        <v>AGAP005327-RA</v>
      </c>
      <c r="K176" s="2" t="str">
        <f>HYPERLINK(".\links\pep\AGAP005327-PA-pep.txt","AGAP005327-PA")</f>
        <v>AGAP005327-PA</v>
      </c>
      <c r="L176" s="8" t="s">
        <v>88</v>
      </c>
      <c r="M176" s="2">
        <v>138</v>
      </c>
      <c r="N176" s="2">
        <v>0</v>
      </c>
      <c r="O176" s="2">
        <v>0</v>
      </c>
      <c r="P176" s="2" t="s">
        <v>2167</v>
      </c>
      <c r="Q176" s="9" t="s">
        <v>2168</v>
      </c>
      <c r="R176" s="2" t="s">
        <v>2169</v>
      </c>
      <c r="S176" s="2" t="str">
        <f>HYPERLINK(".\links\KOG\AGAP005327-PA-KOG.txt","KOG")</f>
        <v>KOG</v>
      </c>
      <c r="T176" s="2">
        <v>3E-32</v>
      </c>
      <c r="U176" s="2">
        <v>96.3</v>
      </c>
      <c r="V176" s="2" t="s">
        <v>2170</v>
      </c>
      <c r="W176" s="10" t="s">
        <v>2171</v>
      </c>
      <c r="X176" s="2" t="s">
        <v>267</v>
      </c>
      <c r="Y176" s="2" t="str">
        <f>HYPERLINK(".\links\UNIPROTKB\AGAP005327-PA-UNIPROTKB.txt","UNIPROTKB")</f>
        <v>UNIPROTKB</v>
      </c>
      <c r="Z176" s="13">
        <v>5.9999999999999998E-56</v>
      </c>
      <c r="AA176" s="2">
        <v>95.6</v>
      </c>
      <c r="AB176" s="11" t="str">
        <f>HYPERLINK(".\links\pep\AGAP005327-PA-sulf.txt","1")</f>
        <v>1</v>
      </c>
      <c r="AC176" s="11" t="str">
        <f>HYPERLINK(".\links\Sigp\AGAP005327-PA-SigP.txt","CYT")</f>
        <v>CYT</v>
      </c>
      <c r="AD176" s="2" t="s">
        <v>94</v>
      </c>
      <c r="AE176" s="2">
        <v>14.648999999999999</v>
      </c>
      <c r="AF176" s="2">
        <v>7.69</v>
      </c>
      <c r="AG176" s="2" t="s">
        <v>94</v>
      </c>
      <c r="AH176" s="2" t="s">
        <v>94</v>
      </c>
      <c r="AI176" s="2" t="s">
        <v>2172</v>
      </c>
      <c r="AJ176" s="11">
        <v>0</v>
      </c>
      <c r="AK176" s="2" t="s">
        <v>94</v>
      </c>
      <c r="AL176" s="2" t="s">
        <v>94</v>
      </c>
      <c r="AM176" s="2" t="s">
        <v>94</v>
      </c>
      <c r="AN176" s="11" t="str">
        <f>HYPERLINK(".\links\gpi\AGAP005327-PA-gpi.txt","N")</f>
        <v>N</v>
      </c>
      <c r="AO176" s="12" t="str">
        <f>HYPERLINK(".\links\netoglyc\AGAP005327-PA-netoglyc.txt","0")</f>
        <v>0</v>
      </c>
      <c r="AP176" s="11">
        <v>14.5</v>
      </c>
      <c r="AQ176" s="2">
        <v>8</v>
      </c>
      <c r="AR176" s="2">
        <v>3.6</v>
      </c>
      <c r="AS176" s="2" t="s">
        <v>97</v>
      </c>
      <c r="AT176" s="9" t="str">
        <f>HYPERLINK(".\links\NR-LIGHT\AGAP005327-PA-NR-LIGHT.txt","AGAP005327-PA")</f>
        <v>AGAP005327-PA</v>
      </c>
      <c r="AU176" s="2" t="str">
        <f>HYPERLINK("http://www.ncbi.nlm.nih.gov/sutils/blink.cgi?pid=XP_315342.3","3E-071")</f>
        <v>3E-071</v>
      </c>
      <c r="AV176" s="2" t="str">
        <f>HYPERLINK("http://www.ncbi.nlm.nih.gov/protein/XP_315342.3","XP_315342.3")</f>
        <v>XP_315342.3</v>
      </c>
      <c r="AW176" s="2">
        <v>100</v>
      </c>
      <c r="AX176" s="2">
        <v>100</v>
      </c>
      <c r="AY176" s="2">
        <v>100</v>
      </c>
      <c r="AZ176" s="2" t="s">
        <v>98</v>
      </c>
      <c r="BA176" s="9" t="str">
        <f>HYPERLINK(".\links\REFSEQ-INVERTEBRATE\AGAP005327-PA-REFSEQ-INVERTEBRATE.txt","AGAP005327-PA")</f>
        <v>AGAP005327-PA</v>
      </c>
      <c r="BB176" s="2" t="str">
        <f>HYPERLINK("http://www.ncbi.nlm.nih.gov/sutils/blink.cgi?pid=XP_315342.3","3E-071")</f>
        <v>3E-071</v>
      </c>
      <c r="BC176" s="2" t="str">
        <f>HYPERLINK("http://www.ncbi.nlm.nih.gov/protein/XP_315342.3","XP_315342.3")</f>
        <v>XP_315342.3</v>
      </c>
      <c r="BD176" s="2">
        <v>100</v>
      </c>
      <c r="BE176" s="2">
        <v>100</v>
      </c>
      <c r="BF176" s="2">
        <v>100</v>
      </c>
      <c r="BG176" s="2" t="s">
        <v>98</v>
      </c>
      <c r="BH176" s="9" t="str">
        <f>HYPERLINK(".\links\REFSEQ-PROTOZOA\AGAP005327-PA-REFSEQ-PROTOZOA.txt","hypothetical protein DICPUDRAFT_45411")</f>
        <v>hypothetical protein DICPUDRAFT_45411</v>
      </c>
      <c r="BI176" s="2" t="str">
        <f>HYPERLINK("http://www.ncbi.nlm.nih.gov/sutils/blink.cgi?pid=XP_003284381.1","5E-023")</f>
        <v>5E-023</v>
      </c>
      <c r="BJ176" s="2" t="str">
        <f>HYPERLINK("http://www.ncbi.nlm.nih.gov/protein/XP_003284381.1","XP_003284381.1")</f>
        <v>XP_003284381.1</v>
      </c>
      <c r="BK176" s="2">
        <v>46</v>
      </c>
      <c r="BL176" s="2">
        <v>64</v>
      </c>
      <c r="BM176" s="2">
        <v>95</v>
      </c>
      <c r="BN176" s="2" t="s">
        <v>894</v>
      </c>
      <c r="BO176" s="9" t="str">
        <f>HYPERLINK(".\links\SWISSP\AGAP005327-PA-SWISSP.txt","RutC family protein UK114")</f>
        <v>RutC family protein UK114</v>
      </c>
      <c r="BP176" s="2" t="str">
        <f>HYPERLINK("http://www.uniprot.org/uniprot/Q9V3W0","2E-041")</f>
        <v>2E-041</v>
      </c>
      <c r="BQ176" s="2" t="str">
        <f>HYPERLINK("http://www.uniprot.org/uniprot/Q9V3W0#expression","Q9V3W0")</f>
        <v>Q9V3W0</v>
      </c>
      <c r="BR176" s="2">
        <v>62</v>
      </c>
      <c r="BS176" s="2">
        <v>75</v>
      </c>
      <c r="BT176" s="2">
        <v>96</v>
      </c>
      <c r="BU176" s="2" t="s">
        <v>100</v>
      </c>
      <c r="BV176" s="9" t="str">
        <f>HYPERLINK(".\links\FLYBASE\AGAP005327-PA-FLYBASE.txt","FBpp0304650")</f>
        <v>FBpp0304650</v>
      </c>
      <c r="BW176" s="2" t="str">
        <f>HYPERLINK("http://flybase.org/reports/FBgn0086691#alliance_summary_container","6E-57")</f>
        <v>6E-57</v>
      </c>
      <c r="BX176" s="2">
        <v>138</v>
      </c>
      <c r="BY176" s="2">
        <v>62</v>
      </c>
      <c r="BZ176" s="2">
        <v>75</v>
      </c>
      <c r="CA176" s="2">
        <v>96</v>
      </c>
      <c r="CB176" s="9" t="str">
        <f>HYPERLINK(".\links\CDD\AGAP005327-PA-CDD.txt","RutC_family_protein, reactive intermediate/imine deaminase")</f>
        <v>RutC_family_protein, reactive intermediate/imine deaminase</v>
      </c>
      <c r="CC176" s="13">
        <v>1E-35</v>
      </c>
      <c r="CD176" s="2">
        <v>98.4</v>
      </c>
      <c r="CE176" s="2" t="s">
        <v>2173</v>
      </c>
      <c r="CF176" s="2" t="s">
        <v>2174</v>
      </c>
      <c r="CG176" s="9" t="str">
        <f>HYPERLINK(".\links\KOG\AGAP005327-PA-KOG.txt","Putative translation initiation inhibitor UK114/IBM1")</f>
        <v>Putative translation initiation inhibitor UK114/IBM1</v>
      </c>
      <c r="CH176" s="13">
        <v>3E-32</v>
      </c>
      <c r="CI176" s="2">
        <v>96.4</v>
      </c>
      <c r="CJ176" s="2" t="s">
        <v>2175</v>
      </c>
      <c r="CK176" s="2" t="s">
        <v>613</v>
      </c>
      <c r="CL176" s="9" t="str">
        <f>HYPERLINK(".\links\PFAM\AGAP005327-PA-PFAM.txt","Ribonuc_L-PSP, Endoribonuclease L-PSP")</f>
        <v>Ribonuc_L-PSP, Endoribonuclease L-PSP</v>
      </c>
      <c r="CM176" s="13">
        <v>2.0000000000000002E-30</v>
      </c>
      <c r="CN176" s="2">
        <v>97.5</v>
      </c>
      <c r="CO176" s="2" t="s">
        <v>2176</v>
      </c>
      <c r="CP176" s="9" t="str">
        <f>HYPERLINK(".\links\SMART\AGAP005327-PA-SMART.txt","CHAD, The CHAD domain is an alpha-helical domain functionally associated with some members of the adenylate cyclase family")</f>
        <v>CHAD, The CHAD domain is an alpha-helical domain functionally associated with some members of the adenylate cyclase family</v>
      </c>
      <c r="CQ176" s="13">
        <v>5.4</v>
      </c>
      <c r="CR176" s="2">
        <v>17.2</v>
      </c>
      <c r="CS176" s="2" t="s">
        <v>2177</v>
      </c>
      <c r="CT176" s="2" t="s">
        <v>2170</v>
      </c>
      <c r="CU176" s="2" t="s">
        <v>2170</v>
      </c>
      <c r="CV176" s="2" t="s">
        <v>2170</v>
      </c>
      <c r="CW176" s="2" t="str">
        <f>HYPERLINK(".\links\pep\AGAP005327-PA-pep.txt","AGAP005327-PA")</f>
        <v>AGAP005327-PA</v>
      </c>
      <c r="CX176" s="2" t="s">
        <v>88</v>
      </c>
      <c r="CY176" s="2">
        <v>138</v>
      </c>
      <c r="CZ176" s="2" t="s">
        <v>106</v>
      </c>
      <c r="DA176" s="2" t="s">
        <v>2178</v>
      </c>
      <c r="DB176" s="2">
        <v>0</v>
      </c>
      <c r="DC176" s="2">
        <v>0</v>
      </c>
      <c r="DD176" s="2" t="str">
        <f>HYPERLINK("https://www.kegg.jp/kegg-bin/search_pathway_text?map=aga&amp;keyword=AGAP005327&amp;mode=1&amp;viewImage=true","AGAP005327")</f>
        <v>AGAP005327</v>
      </c>
      <c r="DE176" s="2" t="s">
        <v>2165</v>
      </c>
      <c r="DF176" s="2" t="s">
        <v>2166</v>
      </c>
      <c r="DG176" s="2" t="s">
        <v>87</v>
      </c>
      <c r="DH176" s="2" t="str">
        <f>HYPERLINK("https://vectorbase.org/vectorbase/app/record/gene/AGAP005327","AGAP005327-RA")</f>
        <v>AGAP005327-RA</v>
      </c>
      <c r="DI176" s="2" t="s">
        <v>250</v>
      </c>
      <c r="DJ176" s="2">
        <v>736</v>
      </c>
      <c r="DK176" s="2" t="str">
        <f>HYPERLINK(".\links\netoglyc\AGAP005327-PA-netoglyc.txt","0")</f>
        <v>0</v>
      </c>
      <c r="DL176" s="2">
        <v>14.5</v>
      </c>
      <c r="DM176" s="2">
        <v>8</v>
      </c>
      <c r="DN176" s="2">
        <v>3.6</v>
      </c>
      <c r="DO176" s="2" t="s">
        <v>97</v>
      </c>
      <c r="DP176" s="2" t="s">
        <v>94</v>
      </c>
      <c r="DQ176" s="2" t="str">
        <f>HYPERLINK(".\links\Sigp\AGAP005327-PA-SigP.txt","CYT")</f>
        <v>CYT</v>
      </c>
      <c r="DR176" s="2" t="s">
        <v>94</v>
      </c>
      <c r="DS176" s="2">
        <v>14.648999999999999</v>
      </c>
      <c r="DT176" s="2">
        <v>7.69</v>
      </c>
      <c r="DU176" s="2" t="s">
        <v>94</v>
      </c>
      <c r="DV176" s="2" t="s">
        <v>94</v>
      </c>
      <c r="DW176" s="2" t="s">
        <v>2172</v>
      </c>
      <c r="DX176" s="2">
        <v>138</v>
      </c>
      <c r="DY176" s="8">
        <v>0</v>
      </c>
      <c r="DZ176" s="2" t="s">
        <v>94</v>
      </c>
      <c r="EA176" s="2" t="s">
        <v>94</v>
      </c>
      <c r="EB176" s="2" t="s">
        <v>94</v>
      </c>
      <c r="EC176" s="2" t="str">
        <f>HYPERLINK(".\links\gpi\AGAP005327-PA-gpi.txt","Y-NoSP")</f>
        <v>Y-NoSP</v>
      </c>
      <c r="ED176" s="2">
        <v>0.34</v>
      </c>
      <c r="EF176" s="2">
        <v>3</v>
      </c>
      <c r="EG176" s="2" t="str">
        <f>HYPERLINK(".\links\pep\AGAP005327-PA-sulf.txt","1")</f>
        <v>1</v>
      </c>
      <c r="EH176" s="2" t="s">
        <v>94</v>
      </c>
      <c r="EI176" s="2">
        <v>14.492753623188401</v>
      </c>
      <c r="EJ176" s="2">
        <v>3.6231884057971002</v>
      </c>
      <c r="EK176" s="2">
        <v>7.9710144927536204</v>
      </c>
      <c r="EL176" s="2">
        <v>11.5942028985507</v>
      </c>
      <c r="EM176" s="2" t="s">
        <v>94</v>
      </c>
      <c r="EN176" s="2" t="s">
        <v>94</v>
      </c>
      <c r="EO176" s="2">
        <v>1</v>
      </c>
      <c r="EP176" s="2" t="s">
        <v>94</v>
      </c>
      <c r="EQ176" s="2" t="s">
        <v>94</v>
      </c>
      <c r="ER176" s="2" t="s">
        <v>94</v>
      </c>
      <c r="ES176" s="2" t="s">
        <v>94</v>
      </c>
      <c r="ET176" s="2" t="str">
        <f>HYPERLINK(".\links\REFSEQ-INVERTEBRATE\AGAP005327-PA-REFSEQ-INVERTEBRATE.txt","AGAP005327-PA")</f>
        <v>AGAP005327-PA</v>
      </c>
      <c r="EU176" s="2" t="str">
        <f>HYPERLINK("http://www.ncbi.nlm.nih.gov/sutils/blink.cgi?pid=XP_315342.3","7E-97")</f>
        <v>7E-97</v>
      </c>
      <c r="EV176" s="2" t="str">
        <f>HYPERLINK("http://www.ncbi.nlm.nih.gov/protein/XP_315342.3","XP_315342.3")</f>
        <v>XP_315342.3</v>
      </c>
      <c r="EW176" s="2">
        <v>100</v>
      </c>
      <c r="EX176" s="2">
        <v>100</v>
      </c>
      <c r="EY176" s="2">
        <v>100</v>
      </c>
      <c r="EZ176" s="2" t="s">
        <v>98</v>
      </c>
    </row>
    <row r="177" spans="1:156" x14ac:dyDescent="0.25">
      <c r="A177" s="2" t="s">
        <v>2179</v>
      </c>
      <c r="B177" s="2">
        <v>-0.52177443935589196</v>
      </c>
      <c r="C177" s="2">
        <v>0.69651462960296628</v>
      </c>
      <c r="D177" s="2">
        <v>5.6785603859953202</v>
      </c>
      <c r="E177" s="2">
        <v>11.8936299850439</v>
      </c>
      <c r="F177" s="2">
        <v>5.6326242163865696E-4</v>
      </c>
      <c r="G177" s="2">
        <v>2.6633863607183901E-2</v>
      </c>
      <c r="H177" s="2" t="s">
        <v>2180</v>
      </c>
      <c r="I177" s="2" t="s">
        <v>87</v>
      </c>
      <c r="J177" s="2" t="str">
        <f>HYPERLINK("https://vectorbase.org/vectorbase/app/record/gene/AGAP004845","AGAP004845-RA")</f>
        <v>AGAP004845-RA</v>
      </c>
      <c r="K177" s="2" t="str">
        <f>HYPERLINK(".\links\pep\AGAP004845-PA-pep.txt","AGAP004845-PA")</f>
        <v>AGAP004845-PA</v>
      </c>
      <c r="L177" s="8" t="s">
        <v>88</v>
      </c>
      <c r="M177" s="2">
        <v>531</v>
      </c>
      <c r="N177" s="2">
        <v>0</v>
      </c>
      <c r="O177" s="2">
        <v>0</v>
      </c>
      <c r="P177" s="2" t="s">
        <v>2181</v>
      </c>
      <c r="Q177" s="9" t="s">
        <v>2182</v>
      </c>
      <c r="R177" s="2" t="s">
        <v>1019</v>
      </c>
      <c r="S177" s="2" t="str">
        <f>HYPERLINK(".\links\KOG\AGAP004845-PA-KOG.txt","KOG")</f>
        <v>KOG</v>
      </c>
      <c r="T177" s="2">
        <v>0</v>
      </c>
      <c r="U177" s="2">
        <v>95.4</v>
      </c>
      <c r="V177" s="2" t="s">
        <v>2183</v>
      </c>
      <c r="W177" s="10" t="s">
        <v>2184</v>
      </c>
      <c r="X177" s="2" t="s">
        <v>1019</v>
      </c>
      <c r="Y177" s="2" t="str">
        <f>HYPERLINK(".\links\PFAM\AGAP004845-PA-PFAM.txt","PFAM")</f>
        <v>PFAM</v>
      </c>
      <c r="Z177" s="13">
        <v>9.9999999999999999E-96</v>
      </c>
      <c r="AA177" s="2">
        <v>86.9</v>
      </c>
      <c r="AB177" s="11" t="str">
        <f>HYPERLINK(".\links\pep\AGAP004845-PA-sulf.txt","1")</f>
        <v>1</v>
      </c>
      <c r="AC177" s="11" t="str">
        <f>HYPERLINK(".\links\Sigp\AGAP004845-PA-SigP.txt","CYT")</f>
        <v>CYT</v>
      </c>
      <c r="AD177" s="2" t="s">
        <v>94</v>
      </c>
      <c r="AE177" s="2">
        <v>59.890999999999998</v>
      </c>
      <c r="AF177" s="2">
        <v>6.13</v>
      </c>
      <c r="AG177" s="2" t="s">
        <v>94</v>
      </c>
      <c r="AH177" s="2" t="s">
        <v>94</v>
      </c>
      <c r="AI177" s="2" t="s">
        <v>2185</v>
      </c>
      <c r="AJ177" s="11" t="str">
        <f>HYPERLINK(".\links\tmhmm\AGAP004845-PA-tmhmm.txt","2")</f>
        <v>2</v>
      </c>
      <c r="AK177" s="2">
        <v>8.3000000000000007</v>
      </c>
      <c r="AL177" s="2">
        <v>79.5</v>
      </c>
      <c r="AM177" s="2">
        <v>12.2</v>
      </c>
      <c r="AN177" s="11" t="str">
        <f>HYPERLINK(".\links\gpi\AGAP004845-PA-gpi.txt","N")</f>
        <v>N</v>
      </c>
      <c r="AO177" s="12" t="str">
        <f>HYPERLINK(".\links\netoglyc\AGAP004845-PA-netoglyc.txt","4")</f>
        <v>4</v>
      </c>
      <c r="AP177" s="11">
        <v>15.4</v>
      </c>
      <c r="AQ177" s="2">
        <v>6</v>
      </c>
      <c r="AR177" s="2">
        <v>5.6</v>
      </c>
      <c r="AS177" s="2" t="s">
        <v>97</v>
      </c>
      <c r="AT177" s="9" t="str">
        <f>HYPERLINK(".\links\NR-LIGHT\AGAP004845-PA-NR-LIGHT.txt","AGAP004845-PA")</f>
        <v>AGAP004845-PA</v>
      </c>
      <c r="AU177" s="2" t="str">
        <f>HYPERLINK("http://www.ncbi.nlm.nih.gov/sutils/blink.cgi?pid=XP_001688563.1","0.0")</f>
        <v>0.0</v>
      </c>
      <c r="AV177" s="2" t="str">
        <f>HYPERLINK("http://www.ncbi.nlm.nih.gov/protein/XP_001688563.1","XP_001688563.1")</f>
        <v>XP_001688563.1</v>
      </c>
      <c r="AW177" s="2">
        <v>100</v>
      </c>
      <c r="AX177" s="2">
        <v>100</v>
      </c>
      <c r="AY177" s="2">
        <v>100</v>
      </c>
      <c r="AZ177" s="2" t="s">
        <v>98</v>
      </c>
      <c r="BA177" s="9" t="str">
        <f>HYPERLINK(".\links\REFSEQ-INVERTEBRATE\AGAP004845-PA-REFSEQ-INVERTEBRATE.txt","AGAP004845-PA")</f>
        <v>AGAP004845-PA</v>
      </c>
      <c r="BB177" s="2" t="str">
        <f>HYPERLINK("http://www.ncbi.nlm.nih.gov/sutils/blink.cgi?pid=XP_001688563.1","0.0")</f>
        <v>0.0</v>
      </c>
      <c r="BC177" s="2" t="str">
        <f>HYPERLINK("http://www.ncbi.nlm.nih.gov/protein/XP_001688563.1","XP_001688563.1")</f>
        <v>XP_001688563.1</v>
      </c>
      <c r="BD177" s="2">
        <v>100</v>
      </c>
      <c r="BE177" s="2">
        <v>100</v>
      </c>
      <c r="BF177" s="2">
        <v>100</v>
      </c>
      <c r="BG177" s="2" t="s">
        <v>98</v>
      </c>
      <c r="BH177" s="9" t="str">
        <f>HYPERLINK(".\links\REFSEQ-PROTOZOA\AGAP004845-PA-REFSEQ-PROTOZOA.txt","hypothetical protein CAOG_04346")</f>
        <v>hypothetical protein CAOG_04346</v>
      </c>
      <c r="BI177" s="2" t="str">
        <f>HYPERLINK("http://www.ncbi.nlm.nih.gov/sutils/blink.cgi?pid=XP_004348174.1","5E-032")</f>
        <v>5E-032</v>
      </c>
      <c r="BJ177" s="2" t="str">
        <f>HYPERLINK("http://www.ncbi.nlm.nih.gov/protein/XP_004348174.1","XP_004348174.1")</f>
        <v>XP_004348174.1</v>
      </c>
      <c r="BK177" s="2">
        <v>25</v>
      </c>
      <c r="BL177" s="2">
        <v>46</v>
      </c>
      <c r="BM177" s="2">
        <v>94</v>
      </c>
      <c r="BN177" s="2" t="s">
        <v>227</v>
      </c>
      <c r="BO177" s="9" t="str">
        <f>HYPERLINK(".\links\SWISSP\AGAP004845-PA-SWISSP.txt","Scavenger receptor class B member 1")</f>
        <v>Scavenger receptor class B member 1</v>
      </c>
      <c r="BP177" s="2" t="str">
        <f>HYPERLINK("http://www.uniprot.org/uniprot/O18824","1E-060")</f>
        <v>1E-060</v>
      </c>
      <c r="BQ177" s="2" t="str">
        <f>HYPERLINK("http://www.uniprot.org/uniprot/O18824#expression","O18824")</f>
        <v>O18824</v>
      </c>
      <c r="BR177" s="2">
        <v>28</v>
      </c>
      <c r="BS177" s="2">
        <v>50</v>
      </c>
      <c r="BT177" s="2">
        <v>94</v>
      </c>
      <c r="BU177" s="2" t="s">
        <v>1134</v>
      </c>
      <c r="BV177" s="9" t="str">
        <f>HYPERLINK(".\links\FLYBASE\AGAP004845-PA-FLYBASE.txt","FBpp0310111")</f>
        <v>FBpp0310111</v>
      </c>
      <c r="BW177" s="2" t="str">
        <f>HYPERLINK("http://flybase.org/reports/FBgn0035091#alliance_summary_container","1E-125")</f>
        <v>1E-125</v>
      </c>
      <c r="BX177" s="2">
        <v>597</v>
      </c>
      <c r="BY177" s="2">
        <v>38</v>
      </c>
      <c r="BZ177" s="2">
        <v>58</v>
      </c>
      <c r="CA177" s="2">
        <v>84</v>
      </c>
      <c r="CB177" s="9" t="str">
        <f>HYPERLINK(".\links\CDD\AGAP004845-PA-CDD.txt","CD36, CD36 family")</f>
        <v>CD36, CD36 family</v>
      </c>
      <c r="CC177" s="13">
        <v>1.0000000000000001E-138</v>
      </c>
      <c r="CD177" s="2">
        <v>101.3</v>
      </c>
      <c r="CE177" s="2" t="s">
        <v>2186</v>
      </c>
      <c r="CF177" s="2" t="s">
        <v>2187</v>
      </c>
      <c r="CG177" s="9" t="str">
        <f>HYPERLINK(".\links\KOG\AGAP004845-PA-KOG.txt","Plasma membrane glycoprotein CD36 and related membrane receptors")</f>
        <v>Plasma membrane glycoprotein CD36 and related membrane receptors</v>
      </c>
      <c r="CH177" s="13">
        <v>1E-108</v>
      </c>
      <c r="CI177" s="2">
        <v>95.5</v>
      </c>
      <c r="CJ177" s="2" t="s">
        <v>2188</v>
      </c>
      <c r="CK177" s="2" t="s">
        <v>326</v>
      </c>
      <c r="CL177" s="9" t="str">
        <f>HYPERLINK(".\links\PFAM\AGAP004845-PA-PFAM.txt","CD36, CD36 family")</f>
        <v>CD36, CD36 family</v>
      </c>
      <c r="CM177" s="13">
        <v>1.0000000000000001E-138</v>
      </c>
      <c r="CN177" s="2">
        <v>101.3</v>
      </c>
      <c r="CO177" s="2" t="s">
        <v>2186</v>
      </c>
      <c r="CP177" s="9" t="str">
        <f>HYPERLINK(".\links\SMART\AGAP004845-PA-SMART.txt","PAS, PAS domain")</f>
        <v>PAS, PAS domain</v>
      </c>
      <c r="CQ177" s="13">
        <v>0.11</v>
      </c>
      <c r="CR177" s="2">
        <v>56.7</v>
      </c>
      <c r="CS177" s="2" t="s">
        <v>1879</v>
      </c>
      <c r="CT177" s="2" t="s">
        <v>2183</v>
      </c>
      <c r="CU177" s="2" t="s">
        <v>2183</v>
      </c>
      <c r="CV177" s="2" t="s">
        <v>2183</v>
      </c>
      <c r="CW177" s="2" t="str">
        <f>HYPERLINK(".\links\pep\AGAP004845-PA-pep.txt","AGAP004845-PA")</f>
        <v>AGAP004845-PA</v>
      </c>
      <c r="CX177" s="2" t="s">
        <v>88</v>
      </c>
      <c r="CY177" s="2">
        <v>531</v>
      </c>
      <c r="CZ177" s="2" t="s">
        <v>106</v>
      </c>
      <c r="DA177" s="2" t="s">
        <v>2189</v>
      </c>
      <c r="DB177" s="2">
        <v>0</v>
      </c>
      <c r="DC177" s="2">
        <v>0</v>
      </c>
      <c r="DD177" s="2" t="str">
        <f>HYPERLINK("https://www.kegg.jp/kegg-bin/search_pathway_text?map=aga&amp;keyword=AGAP004845&amp;mode=1&amp;viewImage=true","AGAP004845")</f>
        <v>AGAP004845</v>
      </c>
      <c r="DE177" s="2" t="s">
        <v>2179</v>
      </c>
      <c r="DF177" s="2" t="s">
        <v>2180</v>
      </c>
      <c r="DG177" s="2" t="s">
        <v>87</v>
      </c>
      <c r="DH177" s="2" t="str">
        <f>HYPERLINK("https://vectorbase.org/vectorbase/app/record/gene/AGAP004845","AGAP004845-RA")</f>
        <v>AGAP004845-RA</v>
      </c>
      <c r="DI177" s="2" t="s">
        <v>108</v>
      </c>
      <c r="DJ177" s="2">
        <v>2580</v>
      </c>
      <c r="DK177" s="2" t="str">
        <f>HYPERLINK(".\links\netoglyc\AGAP004845-PA-netoglyc.txt","4")</f>
        <v>4</v>
      </c>
      <c r="DL177" s="2">
        <v>15.4</v>
      </c>
      <c r="DM177" s="2">
        <v>6</v>
      </c>
      <c r="DN177" s="2">
        <v>5.6</v>
      </c>
      <c r="DO177" s="2" t="s">
        <v>97</v>
      </c>
      <c r="DP177" s="2" t="s">
        <v>94</v>
      </c>
      <c r="DQ177" s="2" t="str">
        <f>HYPERLINK(".\links\Sigp\AGAP004845-PA-SigP.txt","CYT")</f>
        <v>CYT</v>
      </c>
      <c r="DR177" s="2" t="s">
        <v>94</v>
      </c>
      <c r="DS177" s="2">
        <v>59.890999999999998</v>
      </c>
      <c r="DT177" s="2">
        <v>6.13</v>
      </c>
      <c r="DU177" s="2" t="s">
        <v>94</v>
      </c>
      <c r="DV177" s="2" t="s">
        <v>94</v>
      </c>
      <c r="DW177" s="2" t="s">
        <v>2185</v>
      </c>
      <c r="DX177" s="2">
        <v>531</v>
      </c>
      <c r="DY177" s="8" t="str">
        <f>HYPERLINK(".\links\tmhmm\AGAP004845-PA-tmhmm.txt","2")</f>
        <v>2</v>
      </c>
      <c r="DZ177" s="2">
        <v>8.3000000000000007</v>
      </c>
      <c r="EA177" s="2">
        <v>79.5</v>
      </c>
      <c r="EB177" s="2">
        <v>12.2</v>
      </c>
      <c r="EC177" s="2" t="str">
        <f>HYPERLINK(".\links\gpi\AGAP004845-PA-gpi.txt","Y-NoSP")</f>
        <v>Y-NoSP</v>
      </c>
      <c r="ED177" s="2">
        <v>0.18</v>
      </c>
      <c r="EF177" s="2">
        <v>7</v>
      </c>
      <c r="EG177" s="2" t="str">
        <f>HYPERLINK(".\links\pep\AGAP004845-PA-sulf.txt","1")</f>
        <v>1</v>
      </c>
      <c r="EH177" s="2" t="s">
        <v>94</v>
      </c>
      <c r="EI177" s="2">
        <v>15.442561205273099</v>
      </c>
      <c r="EJ177" s="2">
        <v>5.6497175141242897</v>
      </c>
      <c r="EK177" s="2">
        <v>6.0263653483992501</v>
      </c>
      <c r="EL177" s="2">
        <v>11.676082862523501</v>
      </c>
      <c r="EM177" s="2" t="s">
        <v>94</v>
      </c>
      <c r="EN177" s="2">
        <v>1</v>
      </c>
      <c r="EO177" s="2">
        <v>2</v>
      </c>
      <c r="EP177" s="2" t="s">
        <v>94</v>
      </c>
      <c r="EQ177" s="2" t="s">
        <v>94</v>
      </c>
      <c r="ER177" s="2" t="s">
        <v>94</v>
      </c>
      <c r="ES177" s="2" t="s">
        <v>94</v>
      </c>
      <c r="ET177" s="2" t="str">
        <f>HYPERLINK(".\links\REFSEQ-INVERTEBRATE\AGAP004845-PA-REFSEQ-INVERTEBRATE.txt","AGAP004845-PA")</f>
        <v>AGAP004845-PA</v>
      </c>
      <c r="EU177" s="2" t="str">
        <f>HYPERLINK("http://www.ncbi.nlm.nih.gov/sutils/blink.cgi?pid=XP_001688563.1","0.0")</f>
        <v>0.0</v>
      </c>
      <c r="EV177" s="2" t="str">
        <f>HYPERLINK("http://www.ncbi.nlm.nih.gov/protein/XP_001688563.1","XP_001688563.1")</f>
        <v>XP_001688563.1</v>
      </c>
      <c r="EW177" s="2">
        <v>100</v>
      </c>
      <c r="EX177" s="2">
        <v>100</v>
      </c>
      <c r="EY177" s="2">
        <v>100</v>
      </c>
      <c r="EZ177" s="2" t="s">
        <v>98</v>
      </c>
    </row>
    <row r="178" spans="1:156" x14ac:dyDescent="0.25">
      <c r="A178" s="2" t="s">
        <v>2190</v>
      </c>
      <c r="B178" s="2">
        <v>-0.52674929848825702</v>
      </c>
      <c r="C178" s="2">
        <v>0.69411696784805499</v>
      </c>
      <c r="D178" s="2">
        <v>4.0858723945609201</v>
      </c>
      <c r="E178" s="2">
        <v>10.8914661962424</v>
      </c>
      <c r="F178" s="2">
        <v>9.6608325034226901E-4</v>
      </c>
      <c r="G178" s="2">
        <v>4.1655557245415101E-2</v>
      </c>
      <c r="H178" s="2" t="s">
        <v>86</v>
      </c>
      <c r="I178" s="2" t="s">
        <v>87</v>
      </c>
      <c r="J178" s="2" t="str">
        <f>HYPERLINK("https://vectorbase.org/vectorbase/app/record/gene/AGAP013128","AGAP013128-RA")</f>
        <v>AGAP013128-RA</v>
      </c>
      <c r="K178" s="2" t="str">
        <f>HYPERLINK(".\links\pep\AGAP013128-PA-pep.txt","AGAP013128-PA")</f>
        <v>AGAP013128-PA</v>
      </c>
      <c r="L178" s="8" t="s">
        <v>88</v>
      </c>
      <c r="M178" s="2">
        <v>501</v>
      </c>
      <c r="N178" s="2">
        <v>0</v>
      </c>
      <c r="O178" s="2">
        <v>5</v>
      </c>
      <c r="P178" s="2" t="s">
        <v>2191</v>
      </c>
      <c r="Q178" s="9" t="s">
        <v>90</v>
      </c>
      <c r="R178" s="2" t="s">
        <v>91</v>
      </c>
      <c r="S178" s="2" t="str">
        <f>HYPERLINK(".\links\PFAM\AGAP013128-PA-PFAM.txt","PFAM")</f>
        <v>PFAM</v>
      </c>
      <c r="T178" s="2">
        <v>3.0000000000000001E-83</v>
      </c>
      <c r="U178" s="2">
        <v>91.9</v>
      </c>
      <c r="V178" s="2" t="s">
        <v>2192</v>
      </c>
      <c r="W178" s="10" t="s">
        <v>2193</v>
      </c>
      <c r="X178" s="2" t="s">
        <v>91</v>
      </c>
      <c r="Y178" s="2" t="str">
        <f>HYPERLINK(".\links\REFSEQVERTEBRATE95\AGAP013128-PA-REFSEQVERTEBRATE95.txt","REFSEQVERTEBRATE95")</f>
        <v>REFSEQVERTEBRATE95</v>
      </c>
      <c r="Z178" s="2">
        <v>0</v>
      </c>
      <c r="AA178" s="2">
        <v>99</v>
      </c>
      <c r="AB178" s="11" t="str">
        <f>HYPERLINK(".\links\pep\AGAP013128-PA-sulf.txt","1")</f>
        <v>1</v>
      </c>
      <c r="AC178" s="11" t="str">
        <f>HYPERLINK(".\links\Sigp\AGAP013128-PA-SigP.txt","BL")</f>
        <v>BL</v>
      </c>
      <c r="AD178" s="2" t="s">
        <v>193</v>
      </c>
      <c r="AE178" s="2">
        <v>57.052999999999997</v>
      </c>
      <c r="AF178" s="2">
        <v>7.61</v>
      </c>
      <c r="AG178" s="2">
        <v>54.482999999999997</v>
      </c>
      <c r="AH178" s="2">
        <v>7.28</v>
      </c>
      <c r="AI178" s="2" t="s">
        <v>2194</v>
      </c>
      <c r="AJ178" s="11" t="str">
        <f>HYPERLINK(".\links\tmhmm\AGAP013128-PA-tmhmm.txt","2")</f>
        <v>2</v>
      </c>
      <c r="AK178" s="2">
        <v>7.2</v>
      </c>
      <c r="AL178" s="2">
        <v>83.2</v>
      </c>
      <c r="AM178" s="2">
        <v>9.6</v>
      </c>
      <c r="AN178" s="11" t="str">
        <f>HYPERLINK(".\links\gpi\AGAP013128-PA-gpi.txt","N")</f>
        <v>N</v>
      </c>
      <c r="AO178" s="12" t="str">
        <f>HYPERLINK(".\links\netoglyc\AGAP013128-PA-netoglyc.txt","0")</f>
        <v>0</v>
      </c>
      <c r="AP178" s="11">
        <v>10.199999999999999</v>
      </c>
      <c r="AQ178" s="2">
        <v>6.8</v>
      </c>
      <c r="AR178" s="2">
        <v>5</v>
      </c>
      <c r="AS178" s="2" t="s">
        <v>97</v>
      </c>
      <c r="AT178" s="9" t="str">
        <f>HYPERLINK(".\links\NR-LIGHT\AGAP013128-PA-NR-LIGHT.txt","AGAP013128-PA")</f>
        <v>AGAP013128-PA</v>
      </c>
      <c r="AU178" s="2" t="str">
        <f>HYPERLINK("http://www.ncbi.nlm.nih.gov/sutils/blink.cgi?pid=XP_003436271.1","0.0")</f>
        <v>0.0</v>
      </c>
      <c r="AV178" s="2" t="str">
        <f>HYPERLINK("http://www.ncbi.nlm.nih.gov/protein/XP_003436271.1","XP_003436271.1")</f>
        <v>XP_003436271.1</v>
      </c>
      <c r="AW178" s="2">
        <v>100</v>
      </c>
      <c r="AX178" s="2">
        <v>100</v>
      </c>
      <c r="AY178" s="2">
        <v>100</v>
      </c>
      <c r="AZ178" s="2" t="s">
        <v>98</v>
      </c>
      <c r="BA178" s="9" t="str">
        <f>HYPERLINK(".\links\REFSEQ-INVERTEBRATE\AGAP013128-PA-REFSEQ-INVERTEBRATE.txt","AGAP013128-PA")</f>
        <v>AGAP013128-PA</v>
      </c>
      <c r="BB178" s="2" t="str">
        <f>HYPERLINK("http://www.ncbi.nlm.nih.gov/sutils/blink.cgi?pid=XP_003436271.1","0.0")</f>
        <v>0.0</v>
      </c>
      <c r="BC178" s="2" t="str">
        <f>HYPERLINK("http://www.ncbi.nlm.nih.gov/protein/XP_003436271.1","XP_003436271.1")</f>
        <v>XP_003436271.1</v>
      </c>
      <c r="BD178" s="2">
        <v>100</v>
      </c>
      <c r="BE178" s="2">
        <v>100</v>
      </c>
      <c r="BF178" s="2">
        <v>100</v>
      </c>
      <c r="BG178" s="2" t="s">
        <v>98</v>
      </c>
      <c r="BH178" s="9" t="str">
        <f>HYPERLINK(".\links\REFSEQ-PROTOZOA\AGAP013128-PA-REFSEQ-PROTOZOA.txt","cytochrome p450")</f>
        <v>cytochrome p450</v>
      </c>
      <c r="BI178" s="2" t="str">
        <f>HYPERLINK("http://www.ncbi.nlm.nih.gov/sutils/blink.cgi?pid=XP_005704852.1","7E-031")</f>
        <v>7E-031</v>
      </c>
      <c r="BJ178" s="2" t="str">
        <f>HYPERLINK("http://www.ncbi.nlm.nih.gov/protein/XP_005704852.1","XP_005704852.1")</f>
        <v>XP_005704852.1</v>
      </c>
      <c r="BK178" s="2">
        <v>23</v>
      </c>
      <c r="BL178" s="2">
        <v>45</v>
      </c>
      <c r="BM178" s="2">
        <v>92</v>
      </c>
      <c r="BN178" s="2" t="s">
        <v>399</v>
      </c>
      <c r="BO178" s="9" t="str">
        <f>HYPERLINK(".\links\SWISSP\AGAP013128-PA-SWISSP.txt","Probable cytochrome P450 6a14")</f>
        <v>Probable cytochrome P450 6a14</v>
      </c>
      <c r="BP178" s="2" t="str">
        <f>HYPERLINK("http://www.uniprot.org/uniprot/Q9V4U7","1E-116")</f>
        <v>1E-116</v>
      </c>
      <c r="BQ178" s="2" t="str">
        <f>HYPERLINK("http://www.uniprot.org/uniprot/Q9V4U7#expression","Q9V4U7")</f>
        <v>Q9V4U7</v>
      </c>
      <c r="BR178" s="2">
        <v>42</v>
      </c>
      <c r="BS178" s="2">
        <v>62</v>
      </c>
      <c r="BT178" s="2">
        <v>100</v>
      </c>
      <c r="BU178" s="2" t="s">
        <v>100</v>
      </c>
      <c r="BV178" s="9" t="str">
        <f>HYPERLINK(".\links\FLYBASE\AGAP013128-PA-FLYBASE.txt","FBpp0311646")</f>
        <v>FBpp0311646</v>
      </c>
      <c r="BW178" s="2" t="str">
        <f>HYPERLINK("http://flybase.org/reports/FBgn0033302#alliance_summary_container","1E-148")</f>
        <v>1E-148</v>
      </c>
      <c r="BX178" s="2">
        <v>509</v>
      </c>
      <c r="BY178" s="2">
        <v>42</v>
      </c>
      <c r="BZ178" s="2">
        <v>62</v>
      </c>
      <c r="CA178" s="2">
        <v>100</v>
      </c>
      <c r="CB178" s="9" t="str">
        <f>HYPERLINK(".\links\CDD\AGAP013128-PA-CDD.txt","p450, Cytochrome P450")</f>
        <v>p450, Cytochrome P450</v>
      </c>
      <c r="CC178" s="13">
        <v>9.9999999999999996E-83</v>
      </c>
      <c r="CD178" s="2">
        <v>92</v>
      </c>
      <c r="CE178" s="2" t="s">
        <v>101</v>
      </c>
      <c r="CF178" s="2" t="s">
        <v>2195</v>
      </c>
      <c r="CG178" s="9" t="str">
        <f>HYPERLINK(".\links\KOG\AGAP013128-PA-KOG.txt","Cytochrome P450 CYP3/CYP5/CYP6/CYP9 subfamilies")</f>
        <v>Cytochrome P450 CYP3/CYP5/CYP6/CYP9 subfamilies</v>
      </c>
      <c r="CH178" s="13">
        <v>9.9999999999999994E-149</v>
      </c>
      <c r="CI178" s="2">
        <v>101</v>
      </c>
      <c r="CJ178" s="2" t="s">
        <v>103</v>
      </c>
      <c r="CK178" s="2" t="s">
        <v>104</v>
      </c>
      <c r="CL178" s="9" t="str">
        <f>HYPERLINK(".\links\PFAM\AGAP013128-PA-PFAM.txt","p450, Cytochrome P450")</f>
        <v>p450, Cytochrome P450</v>
      </c>
      <c r="CM178" s="13">
        <v>3.0000000000000001E-83</v>
      </c>
      <c r="CN178" s="2">
        <v>92</v>
      </c>
      <c r="CO178" s="2" t="s">
        <v>101</v>
      </c>
      <c r="CP178" s="9" t="str">
        <f>HYPERLINK(".\links\SMART\AGAP013128-PA-SMART.txt","CBM49, Carbohydrate binding domain CBM49")</f>
        <v>CBM49, Carbohydrate binding domain CBM49</v>
      </c>
      <c r="CQ178" s="13">
        <v>0.85</v>
      </c>
      <c r="CR178" s="2">
        <v>54.8</v>
      </c>
      <c r="CS178" s="2" t="s">
        <v>2196</v>
      </c>
      <c r="CT178" s="2" t="s">
        <v>2192</v>
      </c>
      <c r="CU178" s="2" t="s">
        <v>2192</v>
      </c>
      <c r="CV178" s="2" t="s">
        <v>2192</v>
      </c>
      <c r="CW178" s="2" t="str">
        <f>HYPERLINK(".\links\pep\AGAP013128-PA-pep.txt","AGAP013128-PA")</f>
        <v>AGAP013128-PA</v>
      </c>
      <c r="CX178" s="2" t="s">
        <v>88</v>
      </c>
      <c r="CY178" s="2">
        <v>501</v>
      </c>
      <c r="CZ178" s="2" t="s">
        <v>106</v>
      </c>
      <c r="DA178" s="2" t="s">
        <v>2197</v>
      </c>
      <c r="DB178" s="2">
        <v>0</v>
      </c>
      <c r="DC178" s="2">
        <v>5</v>
      </c>
      <c r="DD178" s="2" t="str">
        <f>HYPERLINK("https://www.kegg.jp/kegg-bin/search_pathway_text?map=aga&amp;keyword=AGAP013128&amp;mode=1&amp;viewImage=true","AGAP013128")</f>
        <v>AGAP013128</v>
      </c>
      <c r="DE178" s="2" t="s">
        <v>2190</v>
      </c>
      <c r="DF178" s="2" t="s">
        <v>86</v>
      </c>
      <c r="DG178" s="2" t="s">
        <v>87</v>
      </c>
      <c r="DH178" s="2" t="str">
        <f>HYPERLINK("https://vectorbase.org/vectorbase/app/record/gene/AGAP013128","AGAP013128-RA")</f>
        <v>AGAP013128-RA</v>
      </c>
      <c r="DI178" s="2" t="s">
        <v>108</v>
      </c>
      <c r="DJ178" s="2">
        <v>1559</v>
      </c>
      <c r="DK178" s="2" t="str">
        <f>HYPERLINK(".\links\netoglyc\AGAP013128-PA-netoglyc.txt","0")</f>
        <v>0</v>
      </c>
      <c r="DL178" s="2">
        <v>10.199999999999999</v>
      </c>
      <c r="DM178" s="2">
        <v>6.8</v>
      </c>
      <c r="DN178" s="2">
        <v>5</v>
      </c>
      <c r="DO178" s="2" t="s">
        <v>97</v>
      </c>
      <c r="DP178" s="2" t="s">
        <v>2198</v>
      </c>
      <c r="DQ178" s="2" t="str">
        <f>HYPERLINK(".\links\Sigp\AGAP013128-PA-SigP.txt","BL")</f>
        <v>BL</v>
      </c>
      <c r="DR178" s="2" t="s">
        <v>193</v>
      </c>
      <c r="DS178" s="2">
        <v>57.052999999999997</v>
      </c>
      <c r="DT178" s="2">
        <v>7.61</v>
      </c>
      <c r="DU178" s="2">
        <v>54.482999999999997</v>
      </c>
      <c r="DV178" s="2">
        <v>7.28</v>
      </c>
      <c r="DW178" s="2" t="s">
        <v>2194</v>
      </c>
      <c r="DX178" s="2">
        <v>501</v>
      </c>
      <c r="DY178" s="8" t="str">
        <f>HYPERLINK(".\links\tmhmm\AGAP013128-PA-tmhmm.txt","2")</f>
        <v>2</v>
      </c>
      <c r="DZ178" s="2">
        <v>7.2</v>
      </c>
      <c r="EA178" s="2">
        <v>83.2</v>
      </c>
      <c r="EB178" s="2">
        <v>9.6</v>
      </c>
      <c r="EC178" s="2" t="str">
        <f>HYPERLINK(".\links\gpi\AGAP013128-PA-gpi.txt","N")</f>
        <v>N</v>
      </c>
      <c r="ED178" s="2">
        <v>0.23</v>
      </c>
      <c r="EF178" s="2">
        <v>8</v>
      </c>
      <c r="EG178" s="2" t="str">
        <f>HYPERLINK(".\links\pep\AGAP013128-PA-sulf.txt","1")</f>
        <v>1</v>
      </c>
      <c r="EH178" s="2" t="s">
        <v>94</v>
      </c>
      <c r="EI178" s="2">
        <v>10.179640718562901</v>
      </c>
      <c r="EJ178" s="2">
        <v>4.9900199600798398</v>
      </c>
      <c r="EK178" s="2">
        <v>6.7864271457085801</v>
      </c>
      <c r="EL178" s="2">
        <v>11.776447105788399</v>
      </c>
      <c r="EM178" s="2">
        <v>1</v>
      </c>
      <c r="EN178" s="2">
        <v>3</v>
      </c>
      <c r="EO178" s="2">
        <v>3</v>
      </c>
      <c r="EP178" s="2" t="s">
        <v>94</v>
      </c>
      <c r="EQ178" s="2" t="s">
        <v>94</v>
      </c>
      <c r="ER178" s="2" t="s">
        <v>94</v>
      </c>
      <c r="ES178" s="2" t="s">
        <v>94</v>
      </c>
      <c r="ET178" s="2" t="str">
        <f>HYPERLINK(".\links\REFSEQ-INVERTEBRATE\AGAP013128-PA-REFSEQ-INVERTEBRATE.txt","AGAP013128-PA")</f>
        <v>AGAP013128-PA</v>
      </c>
      <c r="EU178" s="2" t="str">
        <f>HYPERLINK("http://www.ncbi.nlm.nih.gov/sutils/blink.cgi?pid=XP_003436271.1","0.0")</f>
        <v>0.0</v>
      </c>
      <c r="EV178" s="2" t="str">
        <f>HYPERLINK("http://www.ncbi.nlm.nih.gov/protein/XP_003436271.1","XP_003436271.1")</f>
        <v>XP_003436271.1</v>
      </c>
      <c r="EW178" s="2">
        <v>100</v>
      </c>
      <c r="EX178" s="2">
        <v>100</v>
      </c>
      <c r="EY178" s="2">
        <v>100</v>
      </c>
      <c r="EZ178" s="2" t="s">
        <v>98</v>
      </c>
    </row>
    <row r="179" spans="1:156" x14ac:dyDescent="0.25">
      <c r="A179" s="2" t="s">
        <v>2199</v>
      </c>
      <c r="B179" s="2">
        <v>-0.548795857488804</v>
      </c>
      <c r="C179" s="2">
        <v>0.68359044772701383</v>
      </c>
      <c r="D179" s="2">
        <v>11.8763535346583</v>
      </c>
      <c r="E179" s="2">
        <v>15.922874578068599</v>
      </c>
      <c r="F179" s="2">
        <v>6.5976510226211196E-5</v>
      </c>
      <c r="G179" s="2">
        <v>5.1994988100773302E-3</v>
      </c>
      <c r="H179" s="2" t="s">
        <v>2200</v>
      </c>
      <c r="I179" s="2" t="s">
        <v>87</v>
      </c>
      <c r="J179" s="2" t="str">
        <f>HYPERLINK("https://vectorbase.org/vectorbase/app/record/gene/AGAP012400","AGAP012400-RA")</f>
        <v>AGAP012400-RA</v>
      </c>
      <c r="K179" s="2" t="str">
        <f>HYPERLINK(".\links\pep\AGAP012400-PA-pep.txt","AGAP012400-PA")</f>
        <v>AGAP012400-PA</v>
      </c>
      <c r="L179" s="8" t="s">
        <v>88</v>
      </c>
      <c r="M179" s="2">
        <v>599</v>
      </c>
      <c r="N179" s="2">
        <v>0</v>
      </c>
      <c r="O179" s="2">
        <v>5</v>
      </c>
      <c r="P179" s="2" t="s">
        <v>2201</v>
      </c>
      <c r="Q179" s="9" t="s">
        <v>1496</v>
      </c>
      <c r="R179" s="2" t="s">
        <v>1497</v>
      </c>
      <c r="S179" s="2" t="str">
        <f>HYPERLINK(".\links\KOG\AGAP012400-PA-KOG.txt","KOG")</f>
        <v>KOG</v>
      </c>
      <c r="T179" s="2">
        <v>0</v>
      </c>
      <c r="U179" s="2">
        <v>103.1</v>
      </c>
      <c r="V179" s="2" t="s">
        <v>2202</v>
      </c>
      <c r="W179" s="10" t="s">
        <v>1499</v>
      </c>
      <c r="X179" s="2" t="s">
        <v>550</v>
      </c>
      <c r="Y179" s="2" t="str">
        <f>HYPERLINK(".\links\COG\AGAP012400-PA-COG.txt","COG")</f>
        <v>COG</v>
      </c>
      <c r="Z179" s="13">
        <v>2E-78</v>
      </c>
      <c r="AA179" s="2">
        <v>104.3</v>
      </c>
      <c r="AB179" s="11" t="str">
        <f>HYPERLINK(".\links\pep\AGAP012400-PA-sulf.txt","2")</f>
        <v>2</v>
      </c>
      <c r="AC179" s="11" t="str">
        <f>HYPERLINK(".\links\Sigp\AGAP012400-PA-SigP.txt","SIG")</f>
        <v>SIG</v>
      </c>
      <c r="AD179" s="2" t="s">
        <v>511</v>
      </c>
      <c r="AE179" s="2">
        <v>68.62</v>
      </c>
      <c r="AF179" s="2">
        <v>5.14</v>
      </c>
      <c r="AG179" s="2">
        <v>66.454999999999998</v>
      </c>
      <c r="AH179" s="2">
        <v>5.14</v>
      </c>
      <c r="AI179" s="2" t="s">
        <v>2203</v>
      </c>
      <c r="AJ179" s="11">
        <v>0</v>
      </c>
      <c r="AK179" s="2" t="s">
        <v>94</v>
      </c>
      <c r="AL179" s="2" t="s">
        <v>94</v>
      </c>
      <c r="AM179" s="2" t="s">
        <v>94</v>
      </c>
      <c r="AN179" s="11" t="str">
        <f>HYPERLINK(".\links\gpi\AGAP012400-PA-gpi.txt","N")</f>
        <v>N</v>
      </c>
      <c r="AO179" s="12" t="str">
        <f>HYPERLINK(".\links\netoglyc\AGAP012400-PA-netoglyc.txt","0")</f>
        <v>0</v>
      </c>
      <c r="AP179" s="11">
        <v>13</v>
      </c>
      <c r="AQ179" s="2">
        <v>5.5</v>
      </c>
      <c r="AR179" s="2">
        <v>5.3</v>
      </c>
      <c r="AS179" s="2" t="s">
        <v>97</v>
      </c>
      <c r="AT179" s="9" t="str">
        <f>HYPERLINK(".\links\NR-LIGHT\AGAP012400-PA-NR-LIGHT.txt","AGAP012400-PA")</f>
        <v>AGAP012400-PA</v>
      </c>
      <c r="AU179" s="2" t="str">
        <f>HYPERLINK("http://www.ncbi.nlm.nih.gov/sutils/blink.cgi?pid=XP_320158.1","0.0")</f>
        <v>0.0</v>
      </c>
      <c r="AV179" s="2" t="str">
        <f>HYPERLINK("http://www.ncbi.nlm.nih.gov/protein/XP_320158.1","XP_320158.1")</f>
        <v>XP_320158.1</v>
      </c>
      <c r="AW179" s="2">
        <v>100</v>
      </c>
      <c r="AX179" s="2">
        <v>100</v>
      </c>
      <c r="AY179" s="2">
        <v>100</v>
      </c>
      <c r="AZ179" s="2" t="s">
        <v>98</v>
      </c>
      <c r="BA179" s="9" t="str">
        <f>HYPERLINK(".\links\REFSEQ-INVERTEBRATE\AGAP012400-PA-REFSEQ-INVERTEBRATE.txt","AGAP012400-PA")</f>
        <v>AGAP012400-PA</v>
      </c>
      <c r="BB179" s="2" t="str">
        <f>HYPERLINK("http://www.ncbi.nlm.nih.gov/sutils/blink.cgi?pid=XP_320158.1","0.0")</f>
        <v>0.0</v>
      </c>
      <c r="BC179" s="2" t="str">
        <f>HYPERLINK("http://www.ncbi.nlm.nih.gov/protein/XP_320158.1","XP_320158.1")</f>
        <v>XP_320158.1</v>
      </c>
      <c r="BD179" s="2">
        <v>100</v>
      </c>
      <c r="BE179" s="2">
        <v>100</v>
      </c>
      <c r="BF179" s="2">
        <v>100</v>
      </c>
      <c r="BG179" s="2" t="s">
        <v>98</v>
      </c>
      <c r="BH179" s="9" t="str">
        <f>HYPERLINK(".\links\REFSEQ-PROTOZOA\AGAP012400-PA-REFSEQ-PROTOZOA.txt","alpha amylase")</f>
        <v>alpha amylase</v>
      </c>
      <c r="BI179" s="2" t="str">
        <f>HYPERLINK("http://www.ncbi.nlm.nih.gov/sutils/blink.cgi?pid=XP_004990214.1","9E-092")</f>
        <v>9E-092</v>
      </c>
      <c r="BJ179" s="2" t="str">
        <f>HYPERLINK("http://www.ncbi.nlm.nih.gov/protein/XP_004990214.1","XP_004990214.1")</f>
        <v>XP_004990214.1</v>
      </c>
      <c r="BK179" s="2">
        <v>38</v>
      </c>
      <c r="BL179" s="2">
        <v>55</v>
      </c>
      <c r="BM179" s="2">
        <v>80</v>
      </c>
      <c r="BN179" s="2" t="s">
        <v>117</v>
      </c>
      <c r="BO179" s="9" t="str">
        <f>HYPERLINK(".\links\SWISSP\AGAP012400-PA-SWISSP.txt","Maltase 2")</f>
        <v>Maltase 2</v>
      </c>
      <c r="BP179" s="2" t="str">
        <f>HYPERLINK("http://www.uniprot.org/uniprot/O16099","1E-160")</f>
        <v>1E-160</v>
      </c>
      <c r="BQ179" s="2" t="str">
        <f>HYPERLINK("http://www.uniprot.org/uniprot/O16099#expression","O16099")</f>
        <v>O16099</v>
      </c>
      <c r="BR179" s="2">
        <v>50</v>
      </c>
      <c r="BS179" s="2">
        <v>68</v>
      </c>
      <c r="BT179" s="2">
        <v>93</v>
      </c>
      <c r="BU179" s="2" t="s">
        <v>1501</v>
      </c>
      <c r="BV179" s="9" t="str">
        <f>HYPERLINK(".\links\FLYBASE\AGAP012400-PA-FLYBASE.txt","FBpp0271830")</f>
        <v>FBpp0271830</v>
      </c>
      <c r="BW179" s="2" t="str">
        <f>HYPERLINK("http://flybase.org/reports/FBgn0050360#alliance_summary_container","0.0")</f>
        <v>0.0</v>
      </c>
      <c r="BX179" s="2">
        <v>601</v>
      </c>
      <c r="BY179" s="2">
        <v>52</v>
      </c>
      <c r="BZ179" s="2">
        <v>71</v>
      </c>
      <c r="CA179" s="2">
        <v>94</v>
      </c>
      <c r="CB179" s="9" t="str">
        <f>HYPERLINK(".\links\CDD\AGAP012400-PA-CDD.txt","AmyAc_maltase, Alpha amylase catalytic domain found in maltase (also known as alpha glucosidase) and related proteins")</f>
        <v>AmyAc_maltase, Alpha amylase catalytic domain found in maltase (also known as alpha glucosidase) and related proteins</v>
      </c>
      <c r="CC179" s="13">
        <v>0</v>
      </c>
      <c r="CD179" s="2">
        <v>100.6</v>
      </c>
      <c r="CE179" s="2" t="s">
        <v>1502</v>
      </c>
      <c r="CF179" s="2" t="s">
        <v>2204</v>
      </c>
      <c r="CG179" s="9" t="str">
        <f>HYPERLINK(".\links\KOG\AGAP012400-PA-KOG.txt","Alpha-amylase")</f>
        <v>Alpha-amylase</v>
      </c>
      <c r="CH179" s="13">
        <v>9.9999999999999993E-130</v>
      </c>
      <c r="CI179" s="2">
        <v>103.1</v>
      </c>
      <c r="CJ179" s="2" t="s">
        <v>1504</v>
      </c>
      <c r="CK179" s="2" t="s">
        <v>556</v>
      </c>
      <c r="CL179" s="9" t="str">
        <f>HYPERLINK(".\links\PFAM\AGAP012400-PA-PFAM.txt","Alpha-amylase, Alpha amylase, catalytic domain")</f>
        <v>Alpha-amylase, Alpha amylase, catalytic domain</v>
      </c>
      <c r="CM179" s="13">
        <v>5.9999999999999999E-89</v>
      </c>
      <c r="CN179" s="2">
        <v>106.8</v>
      </c>
      <c r="CO179" s="2" t="s">
        <v>1505</v>
      </c>
      <c r="CP179" s="9" t="str">
        <f>HYPERLINK(".\links\SMART\AGAP012400-PA-SMART.txt","Aamy, Alpha-amylase domain")</f>
        <v>Aamy, Alpha-amylase domain</v>
      </c>
      <c r="CQ179" s="13">
        <v>7.0000000000000003E-37</v>
      </c>
      <c r="CR179" s="2">
        <v>58.4</v>
      </c>
      <c r="CS179" s="2" t="s">
        <v>672</v>
      </c>
      <c r="CT179" s="2" t="s">
        <v>2202</v>
      </c>
      <c r="CU179" s="2" t="s">
        <v>2202</v>
      </c>
      <c r="CV179" s="2" t="s">
        <v>2202</v>
      </c>
      <c r="CW179" s="2" t="str">
        <f>HYPERLINK(".\links\pep\AGAP012400-PA-pep.txt","AGAP012400-PA")</f>
        <v>AGAP012400-PA</v>
      </c>
      <c r="CX179" s="2" t="s">
        <v>88</v>
      </c>
      <c r="CY179" s="2">
        <v>599</v>
      </c>
      <c r="CZ179" s="2" t="s">
        <v>106</v>
      </c>
      <c r="DA179" s="2" t="s">
        <v>2205</v>
      </c>
      <c r="DB179" s="2">
        <v>0</v>
      </c>
      <c r="DC179" s="2">
        <v>5</v>
      </c>
      <c r="DD179" s="2" t="str">
        <f>HYPERLINK("https://www.kegg.jp/kegg-bin/search_pathway_text?map=aga&amp;keyword=AGAP012400&amp;mode=1&amp;viewImage=true","AGAP012400")</f>
        <v>AGAP012400</v>
      </c>
      <c r="DE179" s="2" t="s">
        <v>2199</v>
      </c>
      <c r="DF179" s="2" t="s">
        <v>2200</v>
      </c>
      <c r="DG179" s="2" t="s">
        <v>87</v>
      </c>
      <c r="DH179" s="2" t="str">
        <f>HYPERLINK("https://vectorbase.org/vectorbase/app/record/gene/AGAP012400","AGAP012400-RA")</f>
        <v>AGAP012400-RA</v>
      </c>
      <c r="DI179" s="2" t="s">
        <v>250</v>
      </c>
      <c r="DJ179" s="2">
        <v>1893</v>
      </c>
      <c r="DK179" s="2" t="str">
        <f>HYPERLINK(".\links\netoglyc\AGAP012400-PA-netoglyc.txt","0")</f>
        <v>0</v>
      </c>
      <c r="DL179" s="2">
        <v>13</v>
      </c>
      <c r="DM179" s="2">
        <v>5.5</v>
      </c>
      <c r="DN179" s="2">
        <v>5.3</v>
      </c>
      <c r="DO179" s="2" t="s">
        <v>97</v>
      </c>
      <c r="DP179" s="2" t="s">
        <v>94</v>
      </c>
      <c r="DQ179" s="2" t="str">
        <f>HYPERLINK(".\links\Sigp\AGAP012400-PA-SigP.txt","SIG")</f>
        <v>SIG</v>
      </c>
      <c r="DR179" s="2" t="s">
        <v>511</v>
      </c>
      <c r="DS179" s="2">
        <v>68.62</v>
      </c>
      <c r="DT179" s="2">
        <v>5.14</v>
      </c>
      <c r="DU179" s="2">
        <v>66.454999999999998</v>
      </c>
      <c r="DV179" s="2">
        <v>5.14</v>
      </c>
      <c r="DW179" s="2" t="s">
        <v>2203</v>
      </c>
      <c r="DX179" s="2">
        <v>599</v>
      </c>
      <c r="DY179" s="8">
        <v>0</v>
      </c>
      <c r="DZ179" s="2" t="s">
        <v>94</v>
      </c>
      <c r="EA179" s="2" t="s">
        <v>94</v>
      </c>
      <c r="EB179" s="2" t="s">
        <v>94</v>
      </c>
      <c r="EC179" s="2" t="str">
        <f>HYPERLINK(".\links\gpi\AGAP012400-PA-gpi.txt","Y-NoSP")</f>
        <v>Y-NoSP</v>
      </c>
      <c r="ED179" s="2">
        <v>0.21</v>
      </c>
      <c r="EE179" s="2" t="s">
        <v>2206</v>
      </c>
      <c r="EF179" s="2">
        <v>1</v>
      </c>
      <c r="EG179" s="2" t="str">
        <f>HYPERLINK(".\links\pep\AGAP012400-PA-sulf.txt","2")</f>
        <v>2</v>
      </c>
      <c r="EH179" s="2" t="s">
        <v>94</v>
      </c>
      <c r="EI179" s="2">
        <v>13.021702838063399</v>
      </c>
      <c r="EJ179" s="2">
        <v>5.3422370617696204</v>
      </c>
      <c r="EK179" s="2">
        <v>5.5091819699499203</v>
      </c>
      <c r="EL179" s="2">
        <v>10.8514190317195</v>
      </c>
      <c r="EM179" s="2">
        <v>2</v>
      </c>
      <c r="EN179" s="2" t="s">
        <v>94</v>
      </c>
      <c r="EO179" s="2">
        <v>3</v>
      </c>
      <c r="EP179" s="2" t="s">
        <v>94</v>
      </c>
      <c r="EQ179" s="2" t="s">
        <v>94</v>
      </c>
      <c r="ER179" s="2" t="s">
        <v>94</v>
      </c>
      <c r="ES179" s="2" t="s">
        <v>94</v>
      </c>
      <c r="ET179" s="2" t="str">
        <f>HYPERLINK(".\links\REFSEQ-INVERTEBRATE\AGAP012400-PA-REFSEQ-INVERTEBRATE.txt","AGAP012400-PA")</f>
        <v>AGAP012400-PA</v>
      </c>
      <c r="EU179" s="2" t="str">
        <f>HYPERLINK("http://www.ncbi.nlm.nih.gov/sutils/blink.cgi?pid=XP_320158.1","0.0")</f>
        <v>0.0</v>
      </c>
      <c r="EV179" s="2" t="str">
        <f>HYPERLINK("http://www.ncbi.nlm.nih.gov/protein/XP_320158.1","XP_320158.1")</f>
        <v>XP_320158.1</v>
      </c>
      <c r="EW179" s="2">
        <v>100</v>
      </c>
      <c r="EX179" s="2">
        <v>100</v>
      </c>
      <c r="EY179" s="2">
        <v>100</v>
      </c>
      <c r="EZ179" s="2" t="s">
        <v>98</v>
      </c>
    </row>
    <row r="180" spans="1:156" x14ac:dyDescent="0.25">
      <c r="A180" s="2" t="s">
        <v>2207</v>
      </c>
      <c r="B180" s="2">
        <v>-0.55165906074122195</v>
      </c>
      <c r="C180" s="2">
        <v>0.68223512493616956</v>
      </c>
      <c r="D180" s="2">
        <v>8.1130523300679602</v>
      </c>
      <c r="E180" s="2">
        <v>12.738830410546701</v>
      </c>
      <c r="F180" s="2">
        <v>3.58141586344623E-4</v>
      </c>
      <c r="G180" s="2">
        <v>1.8712403215807201E-2</v>
      </c>
      <c r="H180" s="2" t="s">
        <v>167</v>
      </c>
      <c r="I180" s="2" t="s">
        <v>87</v>
      </c>
      <c r="J180" s="2" t="str">
        <f>HYPERLINK("https://vectorbase.org/vectorbase/app/record/gene/AGAP003580","AGAP003580-RA")</f>
        <v>AGAP003580-RA</v>
      </c>
      <c r="K180" s="2" t="str">
        <f>HYPERLINK(".\links\pep\AGAP003580-PA-pep.txt","AGAP003580-PA")</f>
        <v>AGAP003580-PA</v>
      </c>
      <c r="L180" s="8" t="s">
        <v>88</v>
      </c>
      <c r="M180" s="2">
        <v>191</v>
      </c>
      <c r="N180" s="2">
        <v>0</v>
      </c>
      <c r="O180" s="2">
        <v>2</v>
      </c>
      <c r="P180" s="2" t="s">
        <v>94</v>
      </c>
      <c r="Q180" s="9" t="s">
        <v>2208</v>
      </c>
      <c r="R180" s="2" t="s">
        <v>192</v>
      </c>
      <c r="S180" s="2" t="str">
        <f>HYPERLINK(".\links\SWISSP\AGAP003580-PA-SWISSP.txt","SWISSP")</f>
        <v>SWISSP</v>
      </c>
      <c r="T180" s="2">
        <v>5E-36</v>
      </c>
      <c r="U180" s="2">
        <v>78.7</v>
      </c>
      <c r="V180" s="2" t="s">
        <v>2209</v>
      </c>
      <c r="W180" s="10" t="s">
        <v>2210</v>
      </c>
      <c r="X180" s="2" t="s">
        <v>703</v>
      </c>
      <c r="Y180" s="2" t="str">
        <f>HYPERLINK(".\links\MEROPS\AGAP003580-PA-MEROPS.txt","MEROPS")</f>
        <v>MEROPS</v>
      </c>
      <c r="Z180" s="2">
        <v>0</v>
      </c>
      <c r="AA180" s="2">
        <v>96.6</v>
      </c>
      <c r="AB180" s="11" t="s">
        <v>94</v>
      </c>
      <c r="AC180" s="11" t="str">
        <f>HYPERLINK(".\links\Sigp\AGAP003580-PA-SigP.txt","CYT")</f>
        <v>CYT</v>
      </c>
      <c r="AD180" s="2" t="s">
        <v>94</v>
      </c>
      <c r="AE180" s="2">
        <v>22.31</v>
      </c>
      <c r="AF180" s="2">
        <v>6.2</v>
      </c>
      <c r="AG180" s="2" t="s">
        <v>94</v>
      </c>
      <c r="AH180" s="2" t="s">
        <v>94</v>
      </c>
      <c r="AI180" s="2" t="s">
        <v>579</v>
      </c>
      <c r="AJ180" s="11">
        <v>0</v>
      </c>
      <c r="AK180" s="2" t="s">
        <v>94</v>
      </c>
      <c r="AL180" s="2" t="s">
        <v>94</v>
      </c>
      <c r="AM180" s="2" t="s">
        <v>94</v>
      </c>
      <c r="AN180" s="11" t="str">
        <f>HYPERLINK(".\links\gpi\AGAP003580-PA-gpi.txt","N")</f>
        <v>N</v>
      </c>
      <c r="AO180" s="12" t="str">
        <f>HYPERLINK(".\links\netoglyc\AGAP003580-PA-netoglyc.txt","2")</f>
        <v>2</v>
      </c>
      <c r="AP180" s="11">
        <v>9.4</v>
      </c>
      <c r="AQ180" s="2">
        <v>5.2</v>
      </c>
      <c r="AR180" s="2">
        <v>8.4</v>
      </c>
      <c r="AS180" s="2" t="s">
        <v>97</v>
      </c>
      <c r="AT180" s="9" t="str">
        <f>HYPERLINK(".\links\NR-LIGHT\AGAP003580-PA-NR-LIGHT.txt","AGAP003580-PA")</f>
        <v>AGAP003580-PA</v>
      </c>
      <c r="AU180" s="2" t="str">
        <f>HYPERLINK("http://www.ncbi.nlm.nih.gov/sutils/blink.cgi?pid=XP_313334.5","1E-111")</f>
        <v>1E-111</v>
      </c>
      <c r="AV180" s="2" t="str">
        <f>HYPERLINK("http://www.ncbi.nlm.nih.gov/protein/XP_313334.5","XP_313334.5")</f>
        <v>XP_313334.5</v>
      </c>
      <c r="AW180" s="2">
        <v>100</v>
      </c>
      <c r="AX180" s="2">
        <v>100</v>
      </c>
      <c r="AY180" s="2">
        <v>100</v>
      </c>
      <c r="AZ180" s="2" t="s">
        <v>98</v>
      </c>
      <c r="BA180" s="9" t="str">
        <f>HYPERLINK(".\links\REFSEQ-INVERTEBRATE\AGAP003580-PA-REFSEQ-INVERTEBRATE.txt","AGAP003580-PA")</f>
        <v>AGAP003580-PA</v>
      </c>
      <c r="BB180" s="2" t="str">
        <f>HYPERLINK("http://www.ncbi.nlm.nih.gov/sutils/blink.cgi?pid=XP_313334.5","1E-111")</f>
        <v>1E-111</v>
      </c>
      <c r="BC180" s="2" t="str">
        <f>HYPERLINK("http://www.ncbi.nlm.nih.gov/protein/XP_313334.5","XP_313334.5")</f>
        <v>XP_313334.5</v>
      </c>
      <c r="BD180" s="2">
        <v>100</v>
      </c>
      <c r="BE180" s="2">
        <v>100</v>
      </c>
      <c r="BF180" s="2">
        <v>100</v>
      </c>
      <c r="BG180" s="2" t="s">
        <v>98</v>
      </c>
      <c r="BH180" s="9" t="str">
        <f>HYPERLINK(".\links\REFSEQ-PROTOZOA\AGAP003580-PA-REFSEQ-PROTOZOA.txt","hypothetical protein DICPUDRAFT_46512")</f>
        <v>hypothetical protein DICPUDRAFT_46512</v>
      </c>
      <c r="BI180" s="2" t="str">
        <f>HYPERLINK("http://www.ncbi.nlm.nih.gov/sutils/blink.cgi?pid=XP_003286017.1","2E-023")</f>
        <v>2E-023</v>
      </c>
      <c r="BJ180" s="2" t="str">
        <f>HYPERLINK("http://www.ncbi.nlm.nih.gov/protein/XP_003286017.1","XP_003286017.1")</f>
        <v>XP_003286017.1</v>
      </c>
      <c r="BK180" s="2">
        <v>37</v>
      </c>
      <c r="BL180" s="2">
        <v>53</v>
      </c>
      <c r="BM180" s="2">
        <v>89</v>
      </c>
      <c r="BN180" s="2" t="s">
        <v>894</v>
      </c>
      <c r="BO180" s="9" t="str">
        <f>HYPERLINK(".\links\SWISSP\AGAP003580-PA-SWISSP.txt","Phosphatidylethanolamine-binding protein homolog F40A3.3")</f>
        <v>Phosphatidylethanolamine-binding protein homolog F40A3.3</v>
      </c>
      <c r="BP180" s="2" t="str">
        <f>HYPERLINK("http://www.uniprot.org/uniprot/O16264","5E-036")</f>
        <v>5E-036</v>
      </c>
      <c r="BQ180" s="2" t="str">
        <f>HYPERLINK("http://www.uniprot.org/uniprot/O16264#expression","O16264")</f>
        <v>O16264</v>
      </c>
      <c r="BR180" s="2">
        <v>40</v>
      </c>
      <c r="BS180" s="2">
        <v>60</v>
      </c>
      <c r="BT180" s="2">
        <v>79</v>
      </c>
      <c r="BU180" s="2" t="s">
        <v>917</v>
      </c>
      <c r="BV180" s="9" t="str">
        <f>HYPERLINK(".\links\FLYBASE\AGAP003580-PA-FLYBASE.txt","FBpp0083648")</f>
        <v>FBpp0083648</v>
      </c>
      <c r="BW180" s="2" t="str">
        <f>HYPERLINK("http://flybase.org/reports/FBgn0038973#alliance_summary_container","1E-52")</f>
        <v>1E-52</v>
      </c>
      <c r="BX180" s="2">
        <v>176</v>
      </c>
      <c r="BY180" s="2">
        <v>47</v>
      </c>
      <c r="BZ180" s="2">
        <v>64</v>
      </c>
      <c r="CA180" s="2">
        <v>97</v>
      </c>
      <c r="CB180" s="9" t="str">
        <f>HYPERLINK(".\links\CDD\AGAP003580-PA-CDD.txt","PEBP_euk, PhosphatidylEthanolamine-Binding Protein (PEBP) domain present in eukaryotes")</f>
        <v>PEBP_euk, PhosphatidylEthanolamine-Binding Protein (PEBP) domain present in eukaryotes</v>
      </c>
      <c r="CC180" s="13">
        <v>1.9999999999999999E-34</v>
      </c>
      <c r="CD180" s="2">
        <v>98.7</v>
      </c>
      <c r="CE180" s="2" t="s">
        <v>2211</v>
      </c>
      <c r="CF180" s="2" t="s">
        <v>2212</v>
      </c>
      <c r="CG180" s="9" t="str">
        <f>HYPERLINK(".\links\KOG\AGAP003580-PA-KOG.txt","Phosphatidylethanolamine binding protein")</f>
        <v>Phosphatidylethanolamine binding protein</v>
      </c>
      <c r="CH180" s="13">
        <v>2.0000000000000002E-43</v>
      </c>
      <c r="CI180" s="2">
        <v>102.7</v>
      </c>
      <c r="CJ180" s="2" t="s">
        <v>2213</v>
      </c>
      <c r="CK180" s="2" t="s">
        <v>122</v>
      </c>
      <c r="CL180" s="9" t="str">
        <f>HYPERLINK(".\links\PFAM\AGAP003580-PA-PFAM.txt","PBP, Phosphatidylethanolamine-binding protein")</f>
        <v>PBP, Phosphatidylethanolamine-binding protein</v>
      </c>
      <c r="CM180" s="13">
        <v>2.0000000000000001E-13</v>
      </c>
      <c r="CN180" s="2">
        <v>66.2</v>
      </c>
      <c r="CO180" s="2" t="s">
        <v>2214</v>
      </c>
      <c r="CP180" s="9" t="str">
        <f>HYPERLINK(".\links\SMART\AGAP003580-PA-SMART.txt","TBOX, Domain first found in the mice T locus (Brachyury) protein")</f>
        <v>TBOX, Domain first found in the mice T locus (Brachyury) protein</v>
      </c>
      <c r="CQ180" s="13">
        <v>1.9</v>
      </c>
      <c r="CR180" s="2">
        <v>30.5</v>
      </c>
      <c r="CS180" s="2" t="s">
        <v>2215</v>
      </c>
      <c r="CT180" s="2" t="s">
        <v>2209</v>
      </c>
      <c r="CU180" s="2" t="s">
        <v>2209</v>
      </c>
      <c r="CV180" s="2" t="s">
        <v>2209</v>
      </c>
      <c r="CW180" s="2" t="str">
        <f>HYPERLINK(".\links\pep\AGAP003580-PA-pep.txt","AGAP003580-PA")</f>
        <v>AGAP003580-PA</v>
      </c>
      <c r="CX180" s="2" t="s">
        <v>88</v>
      </c>
      <c r="CY180" s="2">
        <v>191</v>
      </c>
      <c r="CZ180" s="2" t="s">
        <v>106</v>
      </c>
      <c r="DA180" s="2" t="s">
        <v>2216</v>
      </c>
      <c r="DB180" s="2">
        <v>0</v>
      </c>
      <c r="DC180" s="2">
        <v>2</v>
      </c>
      <c r="DD180" s="2" t="str">
        <f>HYPERLINK("https://www.kegg.jp/kegg-bin/search_pathway_text?map=aga&amp;keyword=AGAP003580&amp;mode=1&amp;viewImage=true","AGAP003580")</f>
        <v>AGAP003580</v>
      </c>
      <c r="DE180" s="2" t="s">
        <v>2207</v>
      </c>
      <c r="DF180" s="2" t="s">
        <v>167</v>
      </c>
      <c r="DG180" s="2" t="s">
        <v>87</v>
      </c>
      <c r="DH180" s="2" t="str">
        <f>HYPERLINK("https://vectorbase.org/vectorbase/app/record/gene/AGAP003580","AGAP003580-RA")</f>
        <v>AGAP003580-RA</v>
      </c>
      <c r="DI180" s="2" t="s">
        <v>125</v>
      </c>
      <c r="DJ180" s="2">
        <v>1396</v>
      </c>
      <c r="DK180" s="2" t="str">
        <f>HYPERLINK(".\links\netoglyc\AGAP003580-PA-netoglyc.txt","2")</f>
        <v>2</v>
      </c>
      <c r="DL180" s="2">
        <v>9.4</v>
      </c>
      <c r="DM180" s="2">
        <v>5.2</v>
      </c>
      <c r="DN180" s="2">
        <v>8.4</v>
      </c>
      <c r="DO180" s="2" t="s">
        <v>97</v>
      </c>
      <c r="DP180" s="2" t="s">
        <v>94</v>
      </c>
      <c r="DQ180" s="2" t="str">
        <f>HYPERLINK(".\links\Sigp\AGAP003580-PA-SigP.txt","CYT")</f>
        <v>CYT</v>
      </c>
      <c r="DR180" s="2" t="s">
        <v>94</v>
      </c>
      <c r="DS180" s="2">
        <v>22.31</v>
      </c>
      <c r="DT180" s="2">
        <v>6.2</v>
      </c>
      <c r="DU180" s="2" t="s">
        <v>94</v>
      </c>
      <c r="DV180" s="2" t="s">
        <v>94</v>
      </c>
      <c r="DW180" s="2" t="s">
        <v>579</v>
      </c>
      <c r="DX180" s="2">
        <v>191</v>
      </c>
      <c r="DY180" s="8">
        <v>0</v>
      </c>
      <c r="DZ180" s="2" t="s">
        <v>94</v>
      </c>
      <c r="EA180" s="2" t="s">
        <v>94</v>
      </c>
      <c r="EB180" s="2" t="s">
        <v>94</v>
      </c>
      <c r="EC180" s="2" t="str">
        <f>HYPERLINK(".\links\gpi\AGAP003580-PA-gpi.txt","N")</f>
        <v>N</v>
      </c>
      <c r="ED180" s="2">
        <v>0.37</v>
      </c>
      <c r="EF180" s="2">
        <v>1</v>
      </c>
      <c r="EG180" s="2" t="s">
        <v>94</v>
      </c>
      <c r="EH180" s="2" t="s">
        <v>94</v>
      </c>
      <c r="EI180" s="2">
        <v>9.4240837696335102</v>
      </c>
      <c r="EJ180" s="2">
        <v>8.3769633507853403</v>
      </c>
      <c r="EK180" s="2">
        <v>5.2356020942408401</v>
      </c>
      <c r="EL180" s="2">
        <v>13.612565445026201</v>
      </c>
      <c r="EM180" s="2" t="s">
        <v>94</v>
      </c>
      <c r="EN180" s="2" t="s">
        <v>94</v>
      </c>
      <c r="EO180" s="2">
        <v>1</v>
      </c>
      <c r="EP180" s="2" t="s">
        <v>94</v>
      </c>
      <c r="EQ180" s="2" t="s">
        <v>94</v>
      </c>
      <c r="ER180" s="2" t="s">
        <v>94</v>
      </c>
      <c r="ES180" s="2" t="s">
        <v>94</v>
      </c>
      <c r="ET180" s="2" t="str">
        <f>HYPERLINK(".\links\REFSEQ-INVERTEBRATE\AGAP003580-PA-REFSEQ-INVERTEBRATE.txt","AGAP003580-PA")</f>
        <v>AGAP003580-PA</v>
      </c>
      <c r="EU180" s="2" t="str">
        <f>HYPERLINK("http://www.ncbi.nlm.nih.gov/sutils/blink.cgi?pid=XP_313334.5","1E-141")</f>
        <v>1E-141</v>
      </c>
      <c r="EV180" s="2" t="str">
        <f>HYPERLINK("http://www.ncbi.nlm.nih.gov/protein/XP_313334.5","XP_313334.5")</f>
        <v>XP_313334.5</v>
      </c>
      <c r="EW180" s="2">
        <v>100</v>
      </c>
      <c r="EX180" s="2">
        <v>100</v>
      </c>
      <c r="EY180" s="2">
        <v>100</v>
      </c>
      <c r="EZ180" s="2" t="s">
        <v>98</v>
      </c>
    </row>
    <row r="181" spans="1:156" x14ac:dyDescent="0.25">
      <c r="A181" s="2" t="s">
        <v>2217</v>
      </c>
      <c r="B181" s="2">
        <v>-0.575437109399908</v>
      </c>
      <c r="C181" s="2">
        <v>0.67108289511906716</v>
      </c>
      <c r="D181" s="2">
        <v>6.3439310026094899</v>
      </c>
      <c r="E181" s="2">
        <v>12.621880865652599</v>
      </c>
      <c r="F181" s="2">
        <v>3.8125751946715698E-4</v>
      </c>
      <c r="G181" s="2">
        <v>1.9281028671662599E-2</v>
      </c>
      <c r="H181" s="2" t="s">
        <v>2218</v>
      </c>
      <c r="I181" s="2" t="s">
        <v>87</v>
      </c>
      <c r="J181" s="2" t="str">
        <f>HYPERLINK("https://vectorbase.org/vectorbase/app/record/gene/AGAP006227","AGAP006227-RA")</f>
        <v>AGAP006227-RA</v>
      </c>
      <c r="K181" s="2" t="str">
        <f>HYPERLINK(".\links\pep\AGAP006227-PA-pep.txt","AGAP006227-PA")</f>
        <v>AGAP006227-PA</v>
      </c>
      <c r="L181" s="8" t="s">
        <v>88</v>
      </c>
      <c r="M181" s="2">
        <v>542</v>
      </c>
      <c r="N181" s="2">
        <v>0</v>
      </c>
      <c r="O181" s="2">
        <v>1</v>
      </c>
      <c r="P181" s="2" t="s">
        <v>2219</v>
      </c>
      <c r="Q181" s="9" t="s">
        <v>130</v>
      </c>
      <c r="R181" s="2" t="s">
        <v>131</v>
      </c>
      <c r="S181" s="2" t="str">
        <f>HYPERLINK(".\links\CDD\AGAP006227-PA-CDD.txt","CDD")</f>
        <v>CDD</v>
      </c>
      <c r="T181" s="2">
        <v>4.0000000000000001E-99</v>
      </c>
      <c r="U181" s="2">
        <v>104.6</v>
      </c>
      <c r="V181" s="2" t="s">
        <v>2220</v>
      </c>
      <c r="W181" s="10" t="s">
        <v>133</v>
      </c>
      <c r="X181" s="2" t="s">
        <v>131</v>
      </c>
      <c r="Y181" s="2" t="str">
        <f>HYPERLINK(".\links\COG\AGAP006227-PA-COG.txt","COG")</f>
        <v>COG</v>
      </c>
      <c r="Z181" s="13">
        <v>9.9999999999999992E-66</v>
      </c>
      <c r="AA181" s="2">
        <v>100.4</v>
      </c>
      <c r="AB181" s="11" t="s">
        <v>94</v>
      </c>
      <c r="AC181" s="11" t="str">
        <f>HYPERLINK(".\links\Sigp\AGAP006227-PA-SigP.txt","CYT")</f>
        <v>CYT</v>
      </c>
      <c r="AD181" s="2" t="s">
        <v>94</v>
      </c>
      <c r="AE181" s="2">
        <v>61.26</v>
      </c>
      <c r="AF181" s="2">
        <v>7.54</v>
      </c>
      <c r="AG181" s="2" t="s">
        <v>94</v>
      </c>
      <c r="AH181" s="2" t="s">
        <v>94</v>
      </c>
      <c r="AI181" s="2" t="s">
        <v>348</v>
      </c>
      <c r="AJ181" s="11">
        <v>0</v>
      </c>
      <c r="AK181" s="2" t="s">
        <v>94</v>
      </c>
      <c r="AL181" s="2" t="s">
        <v>94</v>
      </c>
      <c r="AM181" s="2" t="s">
        <v>94</v>
      </c>
      <c r="AN181" s="11" t="str">
        <f>HYPERLINK(".\links\gpi\AGAP006227-PA-gpi.txt","N")</f>
        <v>N</v>
      </c>
      <c r="AO181" s="12" t="str">
        <f>HYPERLINK(".\links\netoglyc\AGAP006227-PA-netoglyc.txt","1")</f>
        <v>1</v>
      </c>
      <c r="AP181" s="11">
        <v>10.9</v>
      </c>
      <c r="AQ181" s="2">
        <v>8.9</v>
      </c>
      <c r="AR181" s="2">
        <v>5.7</v>
      </c>
      <c r="AS181" s="2" t="s">
        <v>97</v>
      </c>
      <c r="AT181" s="9" t="str">
        <f>HYPERLINK(".\links\NR-LIGHT\AGAP006227-PA-NR-LIGHT.txt","AGAP006227-PA")</f>
        <v>AGAP006227-PA</v>
      </c>
      <c r="AU181" s="2" t="str">
        <f>HYPERLINK("http://www.ncbi.nlm.nih.gov/sutils/blink.cgi?pid=XP_316295.4","0.0")</f>
        <v>0.0</v>
      </c>
      <c r="AV181" s="2" t="str">
        <f>HYPERLINK("http://www.ncbi.nlm.nih.gov/protein/XP_316295.4","XP_316295.4")</f>
        <v>XP_316295.4</v>
      </c>
      <c r="AW181" s="2">
        <v>100</v>
      </c>
      <c r="AX181" s="2">
        <v>100</v>
      </c>
      <c r="AY181" s="2">
        <v>100</v>
      </c>
      <c r="AZ181" s="2" t="s">
        <v>98</v>
      </c>
      <c r="BA181" s="9" t="str">
        <f>HYPERLINK(".\links\REFSEQ-INVERTEBRATE\AGAP006227-PA-REFSEQ-INVERTEBRATE.txt","AGAP006227-PA")</f>
        <v>AGAP006227-PA</v>
      </c>
      <c r="BB181" s="2" t="str">
        <f>HYPERLINK("http://www.ncbi.nlm.nih.gov/sutils/blink.cgi?pid=XP_316295.4","0.0")</f>
        <v>0.0</v>
      </c>
      <c r="BC181" s="2" t="str">
        <f>HYPERLINK("http://www.ncbi.nlm.nih.gov/protein/XP_316295.4","XP_316295.4")</f>
        <v>XP_316295.4</v>
      </c>
      <c r="BD181" s="2">
        <v>100</v>
      </c>
      <c r="BE181" s="2">
        <v>100</v>
      </c>
      <c r="BF181" s="2">
        <v>100</v>
      </c>
      <c r="BG181" s="2" t="s">
        <v>98</v>
      </c>
      <c r="BH181" s="9" t="str">
        <f>HYPERLINK(".\links\REFSEQ-PROTOZOA\AGAP006227-PA-REFSEQ-PROTOZOA.txt","cAMP-regulated D2 protein precursor")</f>
        <v>cAMP-regulated D2 protein precursor</v>
      </c>
      <c r="BI181" s="2" t="str">
        <f>HYPERLINK("http://www.ncbi.nlm.nih.gov/sutils/blink.cgi?pid=XP_004367125.1","1E-044")</f>
        <v>1E-044</v>
      </c>
      <c r="BJ181" s="2" t="str">
        <f>HYPERLINK("http://www.ncbi.nlm.nih.gov/protein/XP_004367125.1","XP_004367125.1")</f>
        <v>XP_004367125.1</v>
      </c>
      <c r="BK181" s="2">
        <v>31</v>
      </c>
      <c r="BL181" s="2">
        <v>44</v>
      </c>
      <c r="BM181" s="2">
        <v>94</v>
      </c>
      <c r="BN181" s="2" t="s">
        <v>786</v>
      </c>
      <c r="BO181" s="9" t="str">
        <f>HYPERLINK(".\links\SWISSP\AGAP006227-PA-SWISSP.txt","Esterase B1")</f>
        <v>Esterase B1</v>
      </c>
      <c r="BP181" s="2" t="str">
        <f>HYPERLINK("http://www.uniprot.org/uniprot/P16854","1E-157")</f>
        <v>1E-157</v>
      </c>
      <c r="BQ181" s="2" t="str">
        <f>HYPERLINK("http://www.uniprot.org/uniprot/P16854#expression","P16854")</f>
        <v>P16854</v>
      </c>
      <c r="BR181" s="2">
        <v>50</v>
      </c>
      <c r="BS181" s="2">
        <v>68</v>
      </c>
      <c r="BT181" s="2">
        <v>99</v>
      </c>
      <c r="BU181" s="2" t="s">
        <v>2221</v>
      </c>
      <c r="BV181" s="9" t="str">
        <f>HYPERLINK(".\links\FLYBASE\AGAP006227-PA-FLYBASE.txt","FBpp0291550")</f>
        <v>FBpp0291550</v>
      </c>
      <c r="BW181" s="2" t="str">
        <f>HYPERLINK("http://flybase.org/reports/FBgn0015577#alliance_summary_container","1E-176")</f>
        <v>1E-176</v>
      </c>
      <c r="BX181" s="2">
        <v>569</v>
      </c>
      <c r="BY181" s="2">
        <v>45</v>
      </c>
      <c r="BZ181" s="2">
        <v>64</v>
      </c>
      <c r="CA181" s="2">
        <v>94</v>
      </c>
      <c r="CB181" s="9" t="str">
        <f>HYPERLINK(".\links\CDD\AGAP006227-PA-CDD.txt","COesterase, Carboxylesterase family")</f>
        <v>COesterase, Carboxylesterase family</v>
      </c>
      <c r="CC181" s="13">
        <v>9.9999999999999999E-117</v>
      </c>
      <c r="CD181" s="2">
        <v>102.2</v>
      </c>
      <c r="CE181" s="2" t="s">
        <v>138</v>
      </c>
      <c r="CF181" s="2" t="s">
        <v>2222</v>
      </c>
      <c r="CG181" s="9" t="str">
        <f>HYPERLINK(".\links\KOG\AGAP006227-PA-KOG.txt","Carboxylesterase and related proteins")</f>
        <v>Carboxylesterase and related proteins</v>
      </c>
      <c r="CH181" s="13">
        <v>1E-97</v>
      </c>
      <c r="CI181" s="2">
        <v>101.1</v>
      </c>
      <c r="CJ181" s="2" t="s">
        <v>140</v>
      </c>
      <c r="CK181" s="2" t="s">
        <v>122</v>
      </c>
      <c r="CL181" s="9" t="str">
        <f>HYPERLINK(".\links\PFAM\AGAP006227-PA-PFAM.txt","COesterase, Carboxylesterase family")</f>
        <v>COesterase, Carboxylesterase family</v>
      </c>
      <c r="CM181" s="13">
        <v>1E-117</v>
      </c>
      <c r="CN181" s="2">
        <v>102.2</v>
      </c>
      <c r="CO181" s="2" t="s">
        <v>138</v>
      </c>
      <c r="CP181" s="9" t="str">
        <f>HYPERLINK(".\links\SMART\AGAP006227-PA-SMART.txt","Sema, semaphorin domain")</f>
        <v>Sema, semaphorin domain</v>
      </c>
      <c r="CQ181" s="13">
        <v>1.2</v>
      </c>
      <c r="CR181" s="2">
        <v>15.1</v>
      </c>
      <c r="CS181" s="2" t="s">
        <v>1270</v>
      </c>
      <c r="CT181" s="2" t="s">
        <v>2220</v>
      </c>
      <c r="CU181" s="2" t="s">
        <v>2220</v>
      </c>
      <c r="CV181" s="2" t="s">
        <v>2220</v>
      </c>
      <c r="CW181" s="2" t="str">
        <f>HYPERLINK(".\links\pep\AGAP006227-PA-pep.txt","AGAP006227-PA")</f>
        <v>AGAP006227-PA</v>
      </c>
      <c r="CX181" s="2" t="s">
        <v>88</v>
      </c>
      <c r="CY181" s="2">
        <v>542</v>
      </c>
      <c r="CZ181" s="2" t="s">
        <v>106</v>
      </c>
      <c r="DA181" s="2" t="s">
        <v>2223</v>
      </c>
      <c r="DB181" s="2">
        <v>0</v>
      </c>
      <c r="DC181" s="2">
        <v>1</v>
      </c>
      <c r="DD181" s="2" t="str">
        <f>HYPERLINK("https://www.kegg.jp/kegg-bin/search_pathway_text?map=aga&amp;keyword=AGAP006227&amp;mode=1&amp;viewImage=true","AGAP006227")</f>
        <v>AGAP006227</v>
      </c>
      <c r="DE181" s="2" t="s">
        <v>2217</v>
      </c>
      <c r="DF181" s="2" t="s">
        <v>2218</v>
      </c>
      <c r="DG181" s="2" t="s">
        <v>87</v>
      </c>
      <c r="DH181" s="2" t="str">
        <f>HYPERLINK("https://vectorbase.org/vectorbase/app/record/gene/AGAP006227","AGAP006227-RA")</f>
        <v>AGAP006227-RA</v>
      </c>
      <c r="DI181" s="2" t="s">
        <v>108</v>
      </c>
      <c r="DJ181" s="2">
        <v>1952</v>
      </c>
      <c r="DK181" s="2" t="str">
        <f>HYPERLINK(".\links\netoglyc\AGAP006227-PA-netoglyc.txt","1")</f>
        <v>1</v>
      </c>
      <c r="DL181" s="2">
        <v>10.9</v>
      </c>
      <c r="DM181" s="2">
        <v>8.9</v>
      </c>
      <c r="DN181" s="2">
        <v>5.7</v>
      </c>
      <c r="DO181" s="2" t="s">
        <v>97</v>
      </c>
      <c r="DP181" s="2" t="s">
        <v>94</v>
      </c>
      <c r="DQ181" s="2" t="str">
        <f>HYPERLINK(".\links\Sigp\AGAP006227-PA-SigP.txt","CYT")</f>
        <v>CYT</v>
      </c>
      <c r="DR181" s="2" t="s">
        <v>94</v>
      </c>
      <c r="DS181" s="2">
        <v>61.26</v>
      </c>
      <c r="DT181" s="2">
        <v>7.54</v>
      </c>
      <c r="DU181" s="2" t="s">
        <v>94</v>
      </c>
      <c r="DV181" s="2" t="s">
        <v>94</v>
      </c>
      <c r="DW181" s="2" t="s">
        <v>348</v>
      </c>
      <c r="DX181" s="2">
        <v>542</v>
      </c>
      <c r="DY181" s="8">
        <v>0</v>
      </c>
      <c r="DZ181" s="2" t="s">
        <v>94</v>
      </c>
      <c r="EA181" s="2" t="s">
        <v>94</v>
      </c>
      <c r="EB181" s="2" t="s">
        <v>94</v>
      </c>
      <c r="EC181" s="2" t="str">
        <f>HYPERLINK(".\links\gpi\AGAP006227-PA-gpi.txt","Y-NoSP")</f>
        <v>Y-NoSP</v>
      </c>
      <c r="ED181" s="2">
        <v>0.18</v>
      </c>
      <c r="EF181" s="2">
        <v>10</v>
      </c>
      <c r="EG181" s="2" t="s">
        <v>94</v>
      </c>
      <c r="EH181" s="2" t="s">
        <v>94</v>
      </c>
      <c r="EI181" s="2">
        <v>10.8856088560886</v>
      </c>
      <c r="EJ181" s="2">
        <v>5.7195571955719604</v>
      </c>
      <c r="EK181" s="2">
        <v>8.8560885608856097</v>
      </c>
      <c r="EL181" s="2">
        <v>14.5756457564576</v>
      </c>
      <c r="EM181" s="2" t="s">
        <v>94</v>
      </c>
      <c r="EN181" s="2">
        <v>1</v>
      </c>
      <c r="EO181" s="2">
        <v>1</v>
      </c>
      <c r="EP181" s="2" t="s">
        <v>94</v>
      </c>
      <c r="EQ181" s="2" t="s">
        <v>94</v>
      </c>
      <c r="ER181" s="2" t="s">
        <v>94</v>
      </c>
      <c r="ES181" s="2" t="s">
        <v>94</v>
      </c>
      <c r="ET181" s="2" t="str">
        <f>HYPERLINK(".\links\REFSEQ-INVERTEBRATE\AGAP006227-PA-REFSEQ-INVERTEBRATE.txt","AGAP006227-PA")</f>
        <v>AGAP006227-PA</v>
      </c>
      <c r="EU181" s="2" t="str">
        <f>HYPERLINK("http://www.ncbi.nlm.nih.gov/sutils/blink.cgi?pid=XP_316295.4","0.0")</f>
        <v>0.0</v>
      </c>
      <c r="EV181" s="2" t="str">
        <f>HYPERLINK("http://www.ncbi.nlm.nih.gov/protein/XP_316295.4","XP_316295.4")</f>
        <v>XP_316295.4</v>
      </c>
      <c r="EW181" s="2">
        <v>100</v>
      </c>
      <c r="EX181" s="2">
        <v>100</v>
      </c>
      <c r="EY181" s="2">
        <v>100</v>
      </c>
      <c r="EZ181" s="2" t="s">
        <v>98</v>
      </c>
    </row>
    <row r="182" spans="1:156" x14ac:dyDescent="0.25">
      <c r="A182" s="2" t="s">
        <v>2224</v>
      </c>
      <c r="B182" s="2">
        <v>-0.57954141497384104</v>
      </c>
      <c r="C182" s="2">
        <v>0.66917645264660519</v>
      </c>
      <c r="D182" s="2">
        <v>5.3693051486717502</v>
      </c>
      <c r="E182" s="2">
        <v>16.328457255973198</v>
      </c>
      <c r="F182" s="2">
        <v>5.3258138564666303E-5</v>
      </c>
      <c r="G182" s="2">
        <v>4.4763467496849599E-3</v>
      </c>
      <c r="H182" s="2" t="s">
        <v>167</v>
      </c>
      <c r="I182" s="2" t="s">
        <v>87</v>
      </c>
      <c r="J182" s="2" t="str">
        <f>HYPERLINK("https://vectorbase.org/vectorbase/app/record/gene/AGAP002137","AGAP002137-RA")</f>
        <v>AGAP002137-RA</v>
      </c>
      <c r="K182" s="2" t="str">
        <f>HYPERLINK(".\links\pep\AGAP002137-PA-pep.txt","AGAP002137-PA")</f>
        <v>AGAP002137-PA</v>
      </c>
      <c r="L182" s="8" t="s">
        <v>88</v>
      </c>
      <c r="M182" s="2">
        <v>440</v>
      </c>
      <c r="N182" s="2">
        <v>0</v>
      </c>
      <c r="O182" s="2">
        <v>3</v>
      </c>
      <c r="P182" s="2" t="s">
        <v>94</v>
      </c>
      <c r="Q182" s="9" t="s">
        <v>2225</v>
      </c>
      <c r="R182" s="2" t="s">
        <v>318</v>
      </c>
      <c r="S182" s="2" t="str">
        <f>HYPERLINK(".\links\NR-LIGHT\AGAP002137-PA-NR-LIGHT.txt","NR-LIGHT")</f>
        <v>NR-LIGHT</v>
      </c>
      <c r="T182" s="2">
        <v>0</v>
      </c>
      <c r="U182" s="2">
        <v>100.2</v>
      </c>
      <c r="V182" s="2" t="s">
        <v>2226</v>
      </c>
      <c r="W182" s="10" t="s">
        <v>2227</v>
      </c>
      <c r="X182" s="2" t="s">
        <v>131</v>
      </c>
      <c r="Y182" s="2" t="str">
        <f>HYPERLINK(".\links\PFAM\AGAP002137-PA-PFAM.txt","PFAM")</f>
        <v>PFAM</v>
      </c>
      <c r="Z182" s="13">
        <v>6E-37</v>
      </c>
      <c r="AA182" s="2">
        <v>105.4</v>
      </c>
      <c r="AB182" s="11" t="str">
        <f>HYPERLINK(".\links\pep\AGAP002137-PA-sulf.txt","1")</f>
        <v>1</v>
      </c>
      <c r="AC182" s="11" t="str">
        <f>HYPERLINK(".\links\Sigp\AGAP002137-PA-SigP.txt","CYT")</f>
        <v>CYT</v>
      </c>
      <c r="AD182" s="2" t="s">
        <v>94</v>
      </c>
      <c r="AE182" s="2">
        <v>51.206000000000003</v>
      </c>
      <c r="AF182" s="2">
        <v>6.29</v>
      </c>
      <c r="AG182" s="2" t="s">
        <v>94</v>
      </c>
      <c r="AH182" s="2" t="s">
        <v>94</v>
      </c>
      <c r="AI182" s="2" t="s">
        <v>2228</v>
      </c>
      <c r="AJ182" s="11">
        <v>0</v>
      </c>
      <c r="AK182" s="2" t="s">
        <v>94</v>
      </c>
      <c r="AL182" s="2" t="s">
        <v>94</v>
      </c>
      <c r="AM182" s="2" t="s">
        <v>94</v>
      </c>
      <c r="AN182" s="11" t="str">
        <f>HYPERLINK(".\links\gpi\AGAP002137-PA-gpi.txt","N")</f>
        <v>N</v>
      </c>
      <c r="AO182" s="12" t="str">
        <f>HYPERLINK(".\links\netoglyc\AGAP002137-PA-netoglyc.txt","0")</f>
        <v>0</v>
      </c>
      <c r="AP182" s="11">
        <v>9.5</v>
      </c>
      <c r="AQ182" s="2">
        <v>4.8</v>
      </c>
      <c r="AR182" s="2">
        <v>4.3</v>
      </c>
      <c r="AS182" s="2" t="s">
        <v>97</v>
      </c>
      <c r="AT182" s="9" t="str">
        <f>HYPERLINK(".\links\NR-LIGHT\AGAP002137-PA-NR-LIGHT.txt","AGAP002137-PA")</f>
        <v>AGAP002137-PA</v>
      </c>
      <c r="AU182" s="2" t="str">
        <f>HYPERLINK("http://www.ncbi.nlm.nih.gov/sutils/blink.cgi?pid=XP_308057.4","0.0")</f>
        <v>0.0</v>
      </c>
      <c r="AV182" s="2" t="str">
        <f>HYPERLINK("http://www.ncbi.nlm.nih.gov/protein/XP_308057.4","XP_308057.4")</f>
        <v>XP_308057.4</v>
      </c>
      <c r="AW182" s="2">
        <v>100</v>
      </c>
      <c r="AX182" s="2">
        <v>100</v>
      </c>
      <c r="AY182" s="2">
        <v>100</v>
      </c>
      <c r="AZ182" s="2" t="s">
        <v>98</v>
      </c>
      <c r="BA182" s="9" t="str">
        <f>HYPERLINK(".\links\REFSEQ-INVERTEBRATE\AGAP002137-PA-REFSEQ-INVERTEBRATE.txt","AGAP002137-PA")</f>
        <v>AGAP002137-PA</v>
      </c>
      <c r="BB182" s="2" t="str">
        <f>HYPERLINK("http://www.ncbi.nlm.nih.gov/sutils/blink.cgi?pid=XP_308057.4","0.0")</f>
        <v>0.0</v>
      </c>
      <c r="BC182" s="2" t="str">
        <f>HYPERLINK("http://www.ncbi.nlm.nih.gov/protein/XP_308057.4","XP_308057.4")</f>
        <v>XP_308057.4</v>
      </c>
      <c r="BD182" s="2">
        <v>100</v>
      </c>
      <c r="BE182" s="2">
        <v>100</v>
      </c>
      <c r="BF182" s="2">
        <v>100</v>
      </c>
      <c r="BG182" s="2" t="s">
        <v>98</v>
      </c>
      <c r="BH182" s="9" t="str">
        <f>HYPERLINK(".\links\REFSEQ-PROTOZOA\AGAP002137-PA-REFSEQ-PROTOZOA.txt","predicted protein")</f>
        <v>predicted protein</v>
      </c>
      <c r="BI182" s="2" t="str">
        <f>HYPERLINK("http://www.ncbi.nlm.nih.gov/sutils/blink.cgi?pid=XP_002678193.1","0.003")</f>
        <v>0.003</v>
      </c>
      <c r="BJ182" s="2" t="str">
        <f>HYPERLINK("http://www.ncbi.nlm.nih.gov/protein/XP_002678193.1","XP_002678193.1")</f>
        <v>XP_002678193.1</v>
      </c>
      <c r="BK182" s="2">
        <v>25</v>
      </c>
      <c r="BL182" s="2">
        <v>47</v>
      </c>
      <c r="BM182" s="2">
        <v>38</v>
      </c>
      <c r="BN182" s="2" t="s">
        <v>195</v>
      </c>
      <c r="BO182" s="9" t="str">
        <f>HYPERLINK(".\links\SWISSP\AGAP002137-PA-SWISSP.txt","5-methyltetrahydropteroyltriglutamate--homocysteine methyltransferase")</f>
        <v>5-methyltetrahydropteroyltriglutamate--homocysteine methyltransferase</v>
      </c>
      <c r="BP182" s="2" t="str">
        <f>HYPERLINK("http://www.uniprot.org/uniprot/B4EWC2","0.41")</f>
        <v>0.41</v>
      </c>
      <c r="BQ182" s="2" t="str">
        <f>HYPERLINK("http://www.uniprot.org/uniprot/B4EWC2#expression","B4EWC2")</f>
        <v>B4EWC2</v>
      </c>
      <c r="BR182" s="2">
        <v>37</v>
      </c>
      <c r="BS182" s="2">
        <v>49</v>
      </c>
      <c r="BT182" s="2">
        <v>8</v>
      </c>
      <c r="BU182" s="2" t="s">
        <v>2229</v>
      </c>
      <c r="BV182" s="9" t="str">
        <f>HYPERLINK(".\links\FLYBASE\AGAP002137-PA-FLYBASE.txt","FBpp0077643")</f>
        <v>FBpp0077643</v>
      </c>
      <c r="BW182" s="2" t="str">
        <f>HYPERLINK("http://flybase.org/reports/FBgn0031320#alliance_summary_container","2E-74")</f>
        <v>2E-74</v>
      </c>
      <c r="BX182" s="2">
        <v>455</v>
      </c>
      <c r="BY182" s="2">
        <v>33</v>
      </c>
      <c r="BZ182" s="2">
        <v>51</v>
      </c>
      <c r="CA182" s="2">
        <v>100</v>
      </c>
      <c r="CB182" s="9" t="str">
        <f>HYPERLINK(".\links\CDD\AGAP002137-PA-CDD.txt","EcKinase, Ecdysteroid kinase")</f>
        <v>EcKinase, Ecdysteroid kinase</v>
      </c>
      <c r="CC182" s="13">
        <v>2E-55</v>
      </c>
      <c r="CD182" s="2">
        <v>104.1</v>
      </c>
      <c r="CE182" s="2" t="s">
        <v>2230</v>
      </c>
      <c r="CF182" s="2" t="s">
        <v>2231</v>
      </c>
      <c r="CG182" s="9" t="str">
        <f>HYPERLINK(".\links\KOG\AGAP002137-PA-KOG.txt","Serine/threonine protein kinase")</f>
        <v>Serine/threonine protein kinase</v>
      </c>
      <c r="CH182" s="13">
        <v>0.21</v>
      </c>
      <c r="CI182" s="2">
        <v>22.4</v>
      </c>
      <c r="CJ182" s="2" t="s">
        <v>2232</v>
      </c>
      <c r="CK182" s="2" t="s">
        <v>1152</v>
      </c>
      <c r="CL182" s="9" t="str">
        <f>HYPERLINK(".\links\PFAM\AGAP002137-PA-PFAM.txt","EcKinase, Ecdysteroid kinase")</f>
        <v>EcKinase, Ecdysteroid kinase</v>
      </c>
      <c r="CM182" s="13">
        <v>4.0000000000000002E-56</v>
      </c>
      <c r="CN182" s="2">
        <v>104.1</v>
      </c>
      <c r="CO182" s="2" t="s">
        <v>2230</v>
      </c>
      <c r="CP182" s="9" t="str">
        <f>HYPERLINK(".\links\SMART\AGAP002137-PA-SMART.txt","CHK, ZnF_C4 abd HLH domain containing kinases domain")</f>
        <v>CHK, ZnF_C4 abd HLH domain containing kinases domain</v>
      </c>
      <c r="CQ182" s="13">
        <v>8.9999999999999993E-30</v>
      </c>
      <c r="CR182" s="2">
        <v>106.1</v>
      </c>
      <c r="CS182" s="2" t="s">
        <v>2233</v>
      </c>
      <c r="CT182" s="2" t="s">
        <v>2226</v>
      </c>
      <c r="CU182" s="2" t="s">
        <v>2226</v>
      </c>
      <c r="CV182" s="2" t="s">
        <v>2226</v>
      </c>
      <c r="CW182" s="2" t="str">
        <f>HYPERLINK(".\links\pep\AGAP002137-PA-pep.txt","AGAP002137-PA")</f>
        <v>AGAP002137-PA</v>
      </c>
      <c r="CX182" s="2" t="s">
        <v>88</v>
      </c>
      <c r="CY182" s="2">
        <v>440</v>
      </c>
      <c r="CZ182" s="2" t="s">
        <v>106</v>
      </c>
      <c r="DA182" s="2" t="s">
        <v>2234</v>
      </c>
      <c r="DB182" s="2">
        <v>0</v>
      </c>
      <c r="DC182" s="2">
        <v>3</v>
      </c>
      <c r="DD182" s="2" t="str">
        <f>HYPERLINK("https://www.kegg.jp/kegg-bin/search_pathway_text?map=aga&amp;keyword=AGAP002137&amp;mode=1&amp;viewImage=true","AGAP002137")</f>
        <v>AGAP002137</v>
      </c>
      <c r="DE182" s="2" t="s">
        <v>2224</v>
      </c>
      <c r="DF182" s="2" t="s">
        <v>167</v>
      </c>
      <c r="DG182" s="2" t="s">
        <v>87</v>
      </c>
      <c r="DH182" s="2" t="str">
        <f>HYPERLINK("https://vectorbase.org/vectorbase/app/record/gene/AGAP002137","AGAP002137-RA")</f>
        <v>AGAP002137-RA</v>
      </c>
      <c r="DI182" s="2" t="s">
        <v>125</v>
      </c>
      <c r="DJ182" s="2">
        <v>1577</v>
      </c>
      <c r="DK182" s="2" t="str">
        <f>HYPERLINK(".\links\netoglyc\AGAP002137-PA-netoglyc.txt","0")</f>
        <v>0</v>
      </c>
      <c r="DL182" s="2">
        <v>9.5</v>
      </c>
      <c r="DM182" s="2">
        <v>4.8</v>
      </c>
      <c r="DN182" s="2">
        <v>4.3</v>
      </c>
      <c r="DO182" s="2" t="s">
        <v>97</v>
      </c>
      <c r="DP182" s="2" t="s">
        <v>94</v>
      </c>
      <c r="DQ182" s="2" t="str">
        <f>HYPERLINK(".\links\Sigp\AGAP002137-PA-SigP.txt","CYT")</f>
        <v>CYT</v>
      </c>
      <c r="DR182" s="2" t="s">
        <v>94</v>
      </c>
      <c r="DS182" s="2">
        <v>51.206000000000003</v>
      </c>
      <c r="DT182" s="2">
        <v>6.29</v>
      </c>
      <c r="DU182" s="2" t="s">
        <v>94</v>
      </c>
      <c r="DV182" s="2" t="s">
        <v>94</v>
      </c>
      <c r="DW182" s="2" t="s">
        <v>2228</v>
      </c>
      <c r="DX182" s="2">
        <v>440</v>
      </c>
      <c r="DY182" s="8">
        <v>0</v>
      </c>
      <c r="DZ182" s="2" t="s">
        <v>94</v>
      </c>
      <c r="EA182" s="2" t="s">
        <v>94</v>
      </c>
      <c r="EB182" s="2" t="s">
        <v>94</v>
      </c>
      <c r="EC182" s="2" t="str">
        <f>HYPERLINK(".\links\gpi\AGAP002137-PA-gpi.txt","N")</f>
        <v>N</v>
      </c>
      <c r="ED182" s="2">
        <v>0.33</v>
      </c>
      <c r="EF182" s="2">
        <v>7</v>
      </c>
      <c r="EG182" s="2" t="str">
        <f>HYPERLINK(".\links\pep\AGAP002137-PA-sulf.txt","1")</f>
        <v>1</v>
      </c>
      <c r="EH182" s="2" t="s">
        <v>94</v>
      </c>
      <c r="EI182" s="2">
        <v>9.5454545454545503</v>
      </c>
      <c r="EJ182" s="2">
        <v>4.3181818181818201</v>
      </c>
      <c r="EK182" s="2">
        <v>4.7727272727272698</v>
      </c>
      <c r="EL182" s="2">
        <v>9.0909090909090899</v>
      </c>
      <c r="EM182" s="2" t="s">
        <v>94</v>
      </c>
      <c r="EN182" s="2">
        <v>1</v>
      </c>
      <c r="EO182" s="2">
        <v>1</v>
      </c>
      <c r="EP182" s="2" t="s">
        <v>94</v>
      </c>
      <c r="EQ182" s="2" t="s">
        <v>94</v>
      </c>
      <c r="ER182" s="2" t="s">
        <v>94</v>
      </c>
      <c r="ES182" s="2" t="s">
        <v>94</v>
      </c>
      <c r="ET182" s="2" t="str">
        <f>HYPERLINK(".\links\REFSEQ-INVERTEBRATE\AGAP002137-PA-REFSEQ-INVERTEBRATE.txt","AGAP002137-PA")</f>
        <v>AGAP002137-PA</v>
      </c>
      <c r="EU182" s="2" t="str">
        <f>HYPERLINK("http://www.ncbi.nlm.nih.gov/sutils/blink.cgi?pid=XP_308057.4","0.0")</f>
        <v>0.0</v>
      </c>
      <c r="EV182" s="2" t="str">
        <f>HYPERLINK("http://www.ncbi.nlm.nih.gov/protein/XP_308057.4","XP_308057.4")</f>
        <v>XP_308057.4</v>
      </c>
      <c r="EW182" s="2">
        <v>100</v>
      </c>
      <c r="EX182" s="2">
        <v>100</v>
      </c>
      <c r="EY182" s="2">
        <v>100</v>
      </c>
      <c r="EZ182" s="2" t="s">
        <v>98</v>
      </c>
    </row>
    <row r="183" spans="1:156" x14ac:dyDescent="0.25">
      <c r="A183" s="2" t="s">
        <v>2235</v>
      </c>
      <c r="B183" s="2">
        <v>-0.57993157094407799</v>
      </c>
      <c r="C183" s="2">
        <v>0.66899550803887942</v>
      </c>
      <c r="D183" s="2">
        <v>6.7022150875686402</v>
      </c>
      <c r="E183" s="2">
        <v>11.8086510025803</v>
      </c>
      <c r="F183" s="2">
        <v>5.8956134310013701E-4</v>
      </c>
      <c r="G183" s="2">
        <v>2.7707734061013099E-2</v>
      </c>
      <c r="H183" s="2" t="s">
        <v>2236</v>
      </c>
      <c r="I183" s="2" t="s">
        <v>94</v>
      </c>
      <c r="J183" s="2" t="str">
        <f>HYPERLINK("https://vectorbase.org/vectorbase/app/record/gene/AGAP006660","AGAP006660-RB")</f>
        <v>AGAP006660-RB</v>
      </c>
      <c r="K183" s="2" t="str">
        <f>HYPERLINK(".\links\pep\AGAP006660-PB-pep.txt","AGAP006660-PB")</f>
        <v>AGAP006660-PB</v>
      </c>
      <c r="L183" s="8" t="s">
        <v>88</v>
      </c>
      <c r="M183" s="2">
        <v>413</v>
      </c>
      <c r="N183" s="2" t="s">
        <v>94</v>
      </c>
      <c r="P183" s="2" t="s">
        <v>2237</v>
      </c>
      <c r="Q183" s="9" t="s">
        <v>2238</v>
      </c>
      <c r="R183" s="2" t="s">
        <v>577</v>
      </c>
      <c r="S183" s="2" t="str">
        <f>HYPERLINK(".\links\KOG\AGAP006660-PB-KOG.txt","KOG")</f>
        <v>KOG</v>
      </c>
      <c r="T183" s="2">
        <v>0</v>
      </c>
      <c r="U183" s="2">
        <v>107.8</v>
      </c>
      <c r="V183" s="2" t="s">
        <v>2239</v>
      </c>
      <c r="W183" s="10" t="s">
        <v>2240</v>
      </c>
      <c r="X183" s="2" t="s">
        <v>577</v>
      </c>
      <c r="Y183" s="2" t="str">
        <f>HYPERLINK(".\links\COG\AGAP006660-PB-COG.txt","COG")</f>
        <v>COG</v>
      </c>
      <c r="Z183" s="13">
        <v>6.0000000000000004E-40</v>
      </c>
      <c r="AA183" s="2">
        <v>102.9</v>
      </c>
      <c r="AB183" s="11" t="s">
        <v>94</v>
      </c>
      <c r="AC183" s="11" t="str">
        <f>HYPERLINK(".\links\Sigp\AGAP006660-PB-SigP.txt","CYT")</f>
        <v>CYT</v>
      </c>
      <c r="AD183" s="2" t="s">
        <v>94</v>
      </c>
      <c r="AE183" s="2">
        <v>46.722000000000001</v>
      </c>
      <c r="AF183" s="2">
        <v>6.11</v>
      </c>
      <c r="AG183" s="2" t="s">
        <v>94</v>
      </c>
      <c r="AH183" s="2" t="s">
        <v>94</v>
      </c>
      <c r="AI183" s="2" t="s">
        <v>463</v>
      </c>
      <c r="AJ183" s="11">
        <v>0</v>
      </c>
      <c r="AK183" s="2" t="s">
        <v>94</v>
      </c>
      <c r="AL183" s="2" t="s">
        <v>94</v>
      </c>
      <c r="AM183" s="2" t="s">
        <v>94</v>
      </c>
      <c r="AN183" s="11" t="str">
        <f>HYPERLINK(".\links\gpi\AGAP006660-PB-gpi.txt","N")</f>
        <v>N</v>
      </c>
      <c r="AO183" s="12" t="str">
        <f>HYPERLINK(".\links\netoglyc\AGAP006660-PB-netoglyc.txt","0")</f>
        <v>0</v>
      </c>
      <c r="AP183" s="11">
        <v>10.9</v>
      </c>
      <c r="AQ183" s="2">
        <v>7</v>
      </c>
      <c r="AR183" s="2">
        <v>3.4</v>
      </c>
      <c r="AS183" s="2" t="s">
        <v>97</v>
      </c>
      <c r="AT183" s="9" t="str">
        <f>HYPERLINK(".\links\NR-LIGHT\AGAP006660-PB-NR-LIGHT.txt","AGAP006660-PA")</f>
        <v>AGAP006660-PA</v>
      </c>
      <c r="AU183" s="2" t="str">
        <f>HYPERLINK("http://www.ncbi.nlm.nih.gov/sutils/blink.cgi?pid=XP_001688948.1","0.0")</f>
        <v>0.0</v>
      </c>
      <c r="AV183" s="2" t="str">
        <f>HYPERLINK("http://www.ncbi.nlm.nih.gov/protein/XP_001688948.1","XP_001688948.1")</f>
        <v>XP_001688948.1</v>
      </c>
      <c r="AW183" s="2">
        <v>100</v>
      </c>
      <c r="AX183" s="2">
        <v>100</v>
      </c>
      <c r="AY183" s="2">
        <v>100</v>
      </c>
      <c r="AZ183" s="2" t="s">
        <v>98</v>
      </c>
      <c r="BA183" s="9" t="str">
        <f>HYPERLINK(".\links\REFSEQ-INVERTEBRATE\AGAP006660-PB-REFSEQ-INVERTEBRATE.txt","AGAP006660-PC")</f>
        <v>AGAP006660-PC</v>
      </c>
      <c r="BB183" s="2" t="str">
        <f>HYPERLINK("http://www.ncbi.nlm.nih.gov/sutils/blink.cgi?pid=XP_316694.4","0.0")</f>
        <v>0.0</v>
      </c>
      <c r="BC183" s="2" t="str">
        <f>HYPERLINK("http://www.ncbi.nlm.nih.gov/protein/XP_316694.4","XP_316694.4")</f>
        <v>XP_316694.4</v>
      </c>
      <c r="BD183" s="2">
        <v>100</v>
      </c>
      <c r="BE183" s="2">
        <v>100</v>
      </c>
      <c r="BF183" s="2">
        <v>100</v>
      </c>
      <c r="BG183" s="2" t="s">
        <v>98</v>
      </c>
      <c r="BH183" s="9" t="str">
        <f>HYPERLINK(".\links\REFSEQ-PROTOZOA\AGAP006660-PB-REFSEQ-PROTOZOA.txt","isocitrate dehydrogenase 1")</f>
        <v>isocitrate dehydrogenase 1</v>
      </c>
      <c r="BI183" s="2" t="str">
        <f>HYPERLINK("http://www.ncbi.nlm.nih.gov/sutils/blink.cgi?pid=XP_004347033.1","0.0")</f>
        <v>0.0</v>
      </c>
      <c r="BJ183" s="2" t="str">
        <f>HYPERLINK("http://www.ncbi.nlm.nih.gov/protein/XP_004347033.1","XP_004347033.1")</f>
        <v>XP_004347033.1</v>
      </c>
      <c r="BK183" s="2">
        <v>73</v>
      </c>
      <c r="BL183" s="2">
        <v>86</v>
      </c>
      <c r="BM183" s="2">
        <v>100</v>
      </c>
      <c r="BN183" s="2" t="s">
        <v>227</v>
      </c>
      <c r="BO183" s="9" t="str">
        <f>HYPERLINK(".\links\SWISSP\AGAP006660-PB-SWISSP.txt","Isocitrate dehydrogenase [NADP] cytoplasmic")</f>
        <v>Isocitrate dehydrogenase [NADP] cytoplasmic</v>
      </c>
      <c r="BP183" s="2" t="str">
        <f>HYPERLINK("http://www.uniprot.org/uniprot/Q9Z2K9","0.0")</f>
        <v>0.0</v>
      </c>
      <c r="BQ183" s="2" t="str">
        <f>HYPERLINK("http://www.uniprot.org/uniprot/Q9Z2K9#expression","Q9Z2K9")</f>
        <v>Q9Z2K9</v>
      </c>
      <c r="BR183" s="2">
        <v>76</v>
      </c>
      <c r="BS183" s="2">
        <v>89</v>
      </c>
      <c r="BT183" s="2">
        <v>100</v>
      </c>
      <c r="BU183" s="2" t="s">
        <v>2241</v>
      </c>
      <c r="BV183" s="9" t="str">
        <f>HYPERLINK(".\links\FLYBASE\AGAP006660-PB-FLYBASE.txt","FBpp0113041")</f>
        <v>FBpp0113041</v>
      </c>
      <c r="BW183" s="2" t="str">
        <f>HYPERLINK("http://flybase.org/reports/FBgn0001248#alliance_summary_container","0.0")</f>
        <v>0.0</v>
      </c>
      <c r="BX183" s="2">
        <v>450</v>
      </c>
      <c r="BY183" s="2">
        <v>78</v>
      </c>
      <c r="BZ183" s="2">
        <v>89</v>
      </c>
      <c r="CA183" s="2">
        <v>92</v>
      </c>
      <c r="CB183" s="9" t="str">
        <f>HYPERLINK(".\links\CDD\AGAP006660-PB-CDD.txt","PTZ00435, isocitrate dehydrogenase")</f>
        <v>PTZ00435, isocitrate dehydrogenase</v>
      </c>
      <c r="CC183" s="13">
        <v>0</v>
      </c>
      <c r="CD183" s="2">
        <v>99.8</v>
      </c>
      <c r="CE183" s="2" t="s">
        <v>2242</v>
      </c>
      <c r="CF183" s="2" t="s">
        <v>2243</v>
      </c>
      <c r="CG183" s="9" t="str">
        <f>HYPERLINK(".\links\KOG\AGAP006660-PB-KOG.txt","NADP-dependent isocitrate dehydrogenase")</f>
        <v>NADP-dependent isocitrate dehydrogenase</v>
      </c>
      <c r="CH183" s="13">
        <v>0</v>
      </c>
      <c r="CI183" s="2">
        <v>107.8</v>
      </c>
      <c r="CJ183" s="2" t="s">
        <v>2244</v>
      </c>
      <c r="CK183" s="2" t="s">
        <v>531</v>
      </c>
      <c r="CL183" s="9" t="str">
        <f>HYPERLINK(".\links\PFAM\AGAP006660-PB-PFAM.txt","Iso_dh, Isocitrate/isopropylmalate dehydrogenase")</f>
        <v>Iso_dh, Isocitrate/isopropylmalate dehydrogenase</v>
      </c>
      <c r="CM183" s="13">
        <v>7.0000000000000001E-67</v>
      </c>
      <c r="CN183" s="2">
        <v>106.9</v>
      </c>
      <c r="CO183" s="2" t="s">
        <v>2245</v>
      </c>
      <c r="CP183" s="9" t="str">
        <f>HYPERLINK(".\links\SMART\AGAP006660-PB-SMART.txt","TSPN, Thrombospondin N-terminal -like domains")</f>
        <v>TSPN, Thrombospondin N-terminal -like domains</v>
      </c>
      <c r="CQ183" s="13">
        <v>4.9000000000000004</v>
      </c>
      <c r="CR183" s="2">
        <v>8.1999999999999993</v>
      </c>
      <c r="CS183" s="2" t="s">
        <v>2246</v>
      </c>
      <c r="CT183" s="2" t="s">
        <v>2239</v>
      </c>
      <c r="CU183" s="2" t="s">
        <v>2239</v>
      </c>
      <c r="CV183" s="2" t="s">
        <v>2239</v>
      </c>
      <c r="CW183" s="2" t="str">
        <f>HYPERLINK(".\links\pep\AGAP006660-PB-pep.txt","AGAP006660-PB")</f>
        <v>AGAP006660-PB</v>
      </c>
      <c r="CX183" s="2" t="s">
        <v>88</v>
      </c>
      <c r="CY183" s="2">
        <v>413</v>
      </c>
      <c r="CZ183" s="2" t="s">
        <v>106</v>
      </c>
      <c r="DA183" s="2">
        <v>0</v>
      </c>
      <c r="DB183" s="2">
        <v>0</v>
      </c>
      <c r="DD183" s="2" t="str">
        <f>HYPERLINK("https://www.kegg.jp/kegg-bin/search_pathway_text?map=aga&amp;keyword=AGAP006660&amp;mode=1&amp;viewImage=true","AGAP006660")</f>
        <v>AGAP006660</v>
      </c>
      <c r="DE183" s="2" t="s">
        <v>2235</v>
      </c>
      <c r="DF183" s="2" t="s">
        <v>2236</v>
      </c>
      <c r="DG183" s="2" t="s">
        <v>94</v>
      </c>
      <c r="DH183" s="2" t="str">
        <f>HYPERLINK("https://vectorbase.org/vectorbase/app/record/gene/AGAP006660","AGAP006660-RB")</f>
        <v>AGAP006660-RB</v>
      </c>
      <c r="DI183" s="2" t="s">
        <v>125</v>
      </c>
      <c r="DJ183" s="2">
        <v>1413</v>
      </c>
      <c r="DK183" s="2" t="str">
        <f>HYPERLINK(".\links\netoglyc\AGAP006660-PB-netoglyc.txt","0")</f>
        <v>0</v>
      </c>
      <c r="DL183" s="2">
        <v>10.9</v>
      </c>
      <c r="DM183" s="2">
        <v>7</v>
      </c>
      <c r="DN183" s="2">
        <v>3.4</v>
      </c>
      <c r="DO183" s="2" t="s">
        <v>97</v>
      </c>
      <c r="DP183" s="2" t="s">
        <v>94</v>
      </c>
      <c r="DQ183" s="2" t="str">
        <f>HYPERLINK(".\links\Sigp\AGAP006660-PB-SigP.txt","CYT")</f>
        <v>CYT</v>
      </c>
      <c r="DR183" s="2" t="s">
        <v>94</v>
      </c>
      <c r="DS183" s="2">
        <v>46.722000000000001</v>
      </c>
      <c r="DT183" s="2">
        <v>6.11</v>
      </c>
      <c r="DU183" s="2" t="s">
        <v>94</v>
      </c>
      <c r="DV183" s="2" t="s">
        <v>94</v>
      </c>
      <c r="DW183" s="2" t="s">
        <v>463</v>
      </c>
      <c r="DX183" s="2">
        <v>413</v>
      </c>
      <c r="DY183" s="8">
        <v>0</v>
      </c>
      <c r="DZ183" s="2" t="s">
        <v>94</v>
      </c>
      <c r="EA183" s="2" t="s">
        <v>94</v>
      </c>
      <c r="EB183" s="2" t="s">
        <v>94</v>
      </c>
      <c r="EC183" s="2" t="str">
        <f>HYPERLINK(".\links\gpi\AGAP006660-PB-gpi.txt","N")</f>
        <v>N</v>
      </c>
      <c r="ED183" s="2">
        <v>0.24</v>
      </c>
      <c r="EF183" s="2">
        <v>9</v>
      </c>
      <c r="EG183" s="2" t="s">
        <v>94</v>
      </c>
      <c r="EH183" s="2" t="s">
        <v>94</v>
      </c>
      <c r="EI183" s="2">
        <v>10.8958837772397</v>
      </c>
      <c r="EJ183" s="2">
        <v>3.3898305084745801</v>
      </c>
      <c r="EK183" s="2">
        <v>7.0217917675544799</v>
      </c>
      <c r="EL183" s="2">
        <v>10.4116222760291</v>
      </c>
      <c r="EM183" s="2" t="s">
        <v>94</v>
      </c>
      <c r="EN183" s="2">
        <v>1</v>
      </c>
      <c r="EO183" s="2">
        <v>1</v>
      </c>
      <c r="EP183" s="2" t="s">
        <v>94</v>
      </c>
      <c r="EQ183" s="2" t="s">
        <v>94</v>
      </c>
      <c r="ER183" s="2" t="s">
        <v>94</v>
      </c>
      <c r="ES183" s="2" t="s">
        <v>94</v>
      </c>
      <c r="ET183" s="2" t="str">
        <f>HYPERLINK(".\links\REFSEQ-INVERTEBRATE\AGAP006660-PB-REFSEQ-INVERTEBRATE.txt","AGAP006660-PC")</f>
        <v>AGAP006660-PC</v>
      </c>
      <c r="EU183" s="2" t="str">
        <f>HYPERLINK("http://www.ncbi.nlm.nih.gov/sutils/blink.cgi?pid=XP_316694.4","0.0")</f>
        <v>0.0</v>
      </c>
      <c r="EV183" s="2" t="str">
        <f>HYPERLINK("http://www.ncbi.nlm.nih.gov/protein/XP_316694.4","XP_316694.4")</f>
        <v>XP_316694.4</v>
      </c>
      <c r="EW183" s="2">
        <v>100</v>
      </c>
      <c r="EX183" s="2">
        <v>100</v>
      </c>
      <c r="EY183" s="2">
        <v>100</v>
      </c>
      <c r="EZ183" s="2" t="s">
        <v>98</v>
      </c>
    </row>
    <row r="184" spans="1:156" x14ac:dyDescent="0.25">
      <c r="A184" s="2" t="s">
        <v>2247</v>
      </c>
      <c r="B184" s="2">
        <v>-0.59089403067419299</v>
      </c>
      <c r="C184" s="2">
        <v>0.66393134471070214</v>
      </c>
      <c r="D184" s="2">
        <v>6.1147924128201199</v>
      </c>
      <c r="E184" s="2">
        <v>15.6710163975326</v>
      </c>
      <c r="F184" s="2">
        <v>7.5370349749881704E-5</v>
      </c>
      <c r="G184" s="2">
        <v>5.8424376851199302E-3</v>
      </c>
      <c r="H184" s="2" t="s">
        <v>167</v>
      </c>
      <c r="I184" s="2" t="s">
        <v>87</v>
      </c>
      <c r="J184" s="2" t="str">
        <f>HYPERLINK("https://vectorbase.org/vectorbase/app/record/gene/AGAP010050","AGAP010050-RA")</f>
        <v>AGAP010050-RA</v>
      </c>
      <c r="K184" s="2" t="str">
        <f>HYPERLINK(".\links\pep\AGAP010050-PA-pep.txt","AGAP010050-PA")</f>
        <v>AGAP010050-PA</v>
      </c>
      <c r="L184" s="8" t="s">
        <v>88</v>
      </c>
      <c r="M184" s="2">
        <v>729</v>
      </c>
      <c r="N184" s="2">
        <v>0</v>
      </c>
      <c r="O184" s="2">
        <v>0</v>
      </c>
      <c r="P184" s="2" t="s">
        <v>94</v>
      </c>
      <c r="Q184" s="9" t="s">
        <v>2248</v>
      </c>
      <c r="R184" s="2" t="s">
        <v>318</v>
      </c>
      <c r="S184" s="2" t="str">
        <f>HYPERLINK(".\links\SWISSP\AGAP010050-PA-SWISSP.txt","SWISSP")</f>
        <v>SWISSP</v>
      </c>
      <c r="T184" s="2">
        <v>3.9999999999999998E-11</v>
      </c>
      <c r="U184" s="2">
        <v>46.2</v>
      </c>
      <c r="V184" s="2" t="s">
        <v>2249</v>
      </c>
      <c r="W184" s="10" t="s">
        <v>2250</v>
      </c>
      <c r="X184" s="2" t="s">
        <v>253</v>
      </c>
      <c r="Y184" s="2" t="str">
        <f>HYPERLINK(".\links\ARTHORPODA\AGAP010050-PA-ARTHORPODA.txt","ARTHORPODA")</f>
        <v>ARTHORPODA</v>
      </c>
      <c r="Z184" s="13">
        <v>0</v>
      </c>
      <c r="AA184" s="2">
        <v>100</v>
      </c>
      <c r="AB184" s="11" t="str">
        <f>HYPERLINK(".\links\pep\AGAP010050-PA-sulf.txt","1")</f>
        <v>1</v>
      </c>
      <c r="AC184" s="11" t="str">
        <f>HYPERLINK(".\links\Sigp\AGAP010050-PA-SigP.txt","CYT")</f>
        <v>CYT</v>
      </c>
      <c r="AD184" s="2" t="s">
        <v>94</v>
      </c>
      <c r="AE184" s="2">
        <v>81.474000000000004</v>
      </c>
      <c r="AF184" s="2">
        <v>5.95</v>
      </c>
      <c r="AG184" s="2" t="s">
        <v>94</v>
      </c>
      <c r="AH184" s="2" t="s">
        <v>94</v>
      </c>
      <c r="AI184" s="2" t="s">
        <v>463</v>
      </c>
      <c r="AJ184" s="11">
        <v>0</v>
      </c>
      <c r="AK184" s="2" t="s">
        <v>94</v>
      </c>
      <c r="AL184" s="2" t="s">
        <v>94</v>
      </c>
      <c r="AM184" s="2" t="s">
        <v>94</v>
      </c>
      <c r="AN184" s="11" t="str">
        <f>HYPERLINK(".\links\gpi\AGAP010050-PA-gpi.txt","N")</f>
        <v>N</v>
      </c>
      <c r="AO184" s="12" t="str">
        <f>HYPERLINK(".\links\netoglyc\AGAP010050-PA-netoglyc.txt","17")</f>
        <v>17</v>
      </c>
      <c r="AP184" s="11">
        <v>22.1</v>
      </c>
      <c r="AQ184" s="2">
        <v>4.8</v>
      </c>
      <c r="AR184" s="2">
        <v>6.7</v>
      </c>
      <c r="AS184" s="2" t="s">
        <v>97</v>
      </c>
      <c r="AT184" s="9" t="str">
        <f>HYPERLINK(".\links\NR-LIGHT\AGAP010050-PA-NR-LIGHT.txt","AGAP010050-PA, partial")</f>
        <v>AGAP010050-PA, partial</v>
      </c>
      <c r="AU184" s="2" t="str">
        <f>HYPERLINK("http://www.ncbi.nlm.nih.gov/sutils/blink.cgi?pid=XP_319204.3","0.0")</f>
        <v>0.0</v>
      </c>
      <c r="AV184" s="2" t="str">
        <f>HYPERLINK("http://www.ncbi.nlm.nih.gov/protein/XP_319204.3","XP_319204.3")</f>
        <v>XP_319204.3</v>
      </c>
      <c r="AW184" s="2">
        <v>100</v>
      </c>
      <c r="AX184" s="2">
        <v>100</v>
      </c>
      <c r="AY184" s="2">
        <v>100</v>
      </c>
      <c r="AZ184" s="2" t="s">
        <v>98</v>
      </c>
      <c r="BA184" s="9" t="str">
        <f>HYPERLINK(".\links\REFSEQ-INVERTEBRATE\AGAP010050-PA-REFSEQ-INVERTEBRATE.txt","AGAP010050-PA, partial")</f>
        <v>AGAP010050-PA, partial</v>
      </c>
      <c r="BB184" s="2" t="str">
        <f>HYPERLINK("http://www.ncbi.nlm.nih.gov/sutils/blink.cgi?pid=XP_319204.3","0.0")</f>
        <v>0.0</v>
      </c>
      <c r="BC184" s="2" t="str">
        <f>HYPERLINK("http://www.ncbi.nlm.nih.gov/protein/XP_319204.3","XP_319204.3")</f>
        <v>XP_319204.3</v>
      </c>
      <c r="BD184" s="2">
        <v>100</v>
      </c>
      <c r="BE184" s="2">
        <v>100</v>
      </c>
      <c r="BF184" s="2">
        <v>100</v>
      </c>
      <c r="BG184" s="2" t="s">
        <v>98</v>
      </c>
      <c r="BH184" s="9" t="str">
        <f>HYPERLINK(".\links\REFSEQ-PROTOZOA\AGAP010050-PA-REFSEQ-PROTOZOA.txt","hypothetical protein")</f>
        <v>hypothetical protein</v>
      </c>
      <c r="BI184" s="2" t="str">
        <f>HYPERLINK("http://www.ncbi.nlm.nih.gov/sutils/blink.cgi?pid=XP_001310306.1","1E-011")</f>
        <v>1E-011</v>
      </c>
      <c r="BJ184" s="2" t="str">
        <f>HYPERLINK("http://www.ncbi.nlm.nih.gov/protein/XP_001310306.1","XP_001310306.1")</f>
        <v>XP_001310306.1</v>
      </c>
      <c r="BK184" s="2">
        <v>21</v>
      </c>
      <c r="BL184" s="2">
        <v>38</v>
      </c>
      <c r="BM184" s="2">
        <v>38</v>
      </c>
      <c r="BN184" s="2" t="s">
        <v>496</v>
      </c>
      <c r="BO184" s="9" t="str">
        <f>HYPERLINK(".\links\SWISSP\AGAP010050-PA-SWISSP.txt","Probable serine/threonine-protein kinase nek3")</f>
        <v>Probable serine/threonine-protein kinase nek3</v>
      </c>
      <c r="BP184" s="2" t="str">
        <f>HYPERLINK("http://www.uniprot.org/uniprot/Q86I06","4E-011")</f>
        <v>4E-011</v>
      </c>
      <c r="BQ184" s="2" t="str">
        <f>HYPERLINK("http://www.uniprot.org/uniprot/Q86I06#expression","Q86I06")</f>
        <v>Q86I06</v>
      </c>
      <c r="BR184" s="2">
        <v>19</v>
      </c>
      <c r="BS184" s="2">
        <v>36</v>
      </c>
      <c r="BT184" s="2">
        <v>46</v>
      </c>
      <c r="BU184" s="2" t="s">
        <v>308</v>
      </c>
      <c r="BV184" s="9" t="str">
        <f>HYPERLINK(".\links\FLYBASE\AGAP010050-PA-FLYBASE.txt","FBpp0304057")</f>
        <v>FBpp0304057</v>
      </c>
      <c r="BW184" s="2" t="str">
        <f>HYPERLINK("http://flybase.org/reports/FBgn0032218#alliance_summary_container","2E-24")</f>
        <v>2E-24</v>
      </c>
      <c r="BX184" s="2">
        <v>686</v>
      </c>
      <c r="BY184" s="2">
        <v>36</v>
      </c>
      <c r="BZ184" s="2">
        <v>45</v>
      </c>
      <c r="CA184" s="2">
        <v>40</v>
      </c>
      <c r="CB184" s="9" t="str">
        <f>HYPERLINK(".\links\CDD\AGAP010050-PA-CDD.txt","PTZ00108, DNA topoisomerase 2-like protein")</f>
        <v>PTZ00108, DNA topoisomerase 2-like protein</v>
      </c>
      <c r="CC184" s="13">
        <v>6.9999999999999999E-4</v>
      </c>
      <c r="CD184" s="2">
        <v>15</v>
      </c>
      <c r="CE184" s="2" t="s">
        <v>2251</v>
      </c>
      <c r="CF184" s="2" t="s">
        <v>2252</v>
      </c>
      <c r="CG184" s="9" t="str">
        <f>HYPERLINK(".\links\KOG\AGAP010050-PA-KOG.txt","Nuclear factor I")</f>
        <v>Nuclear factor I</v>
      </c>
      <c r="CH184" s="13">
        <v>5.0000000000000001E-3</v>
      </c>
      <c r="CI184" s="2">
        <v>35.5</v>
      </c>
      <c r="CJ184" s="2" t="s">
        <v>2253</v>
      </c>
      <c r="CK184" s="2" t="s">
        <v>296</v>
      </c>
      <c r="CL184" s="9" t="str">
        <f>HYPERLINK(".\links\PFAM\AGAP010050-PA-PFAM.txt","Dicty_REP, Dictyostelium (Slime Mold) REP protein")</f>
        <v>Dicty_REP, Dictyostelium (Slime Mold) REP protein</v>
      </c>
      <c r="CM184" s="13">
        <v>0.27</v>
      </c>
      <c r="CN184" s="2">
        <v>21.2</v>
      </c>
      <c r="CO184" s="2" t="s">
        <v>2254</v>
      </c>
      <c r="CP184" s="9" t="str">
        <f>HYPERLINK(".\links\SMART\AGAP010050-PA-SMART.txt","Cog4, COG4 transport protein")</f>
        <v>Cog4, COG4 transport protein</v>
      </c>
      <c r="CQ184" s="13">
        <v>0.8</v>
      </c>
      <c r="CR184" s="2">
        <v>16.399999999999999</v>
      </c>
      <c r="CS184" s="2" t="s">
        <v>841</v>
      </c>
      <c r="CT184" s="2" t="s">
        <v>2249</v>
      </c>
      <c r="CU184" s="2" t="s">
        <v>2249</v>
      </c>
      <c r="CV184" s="2" t="s">
        <v>2249</v>
      </c>
      <c r="CW184" s="2" t="str">
        <f>HYPERLINK(".\links\pep\AGAP010050-PA-pep.txt","AGAP010050-PA")</f>
        <v>AGAP010050-PA</v>
      </c>
      <c r="CX184" s="2" t="s">
        <v>88</v>
      </c>
      <c r="CY184" s="2">
        <v>729</v>
      </c>
      <c r="CZ184" s="2" t="s">
        <v>106</v>
      </c>
      <c r="DA184" s="2" t="s">
        <v>2255</v>
      </c>
      <c r="DB184" s="2">
        <v>0</v>
      </c>
      <c r="DC184" s="2">
        <v>0</v>
      </c>
      <c r="DD184" s="2" t="str">
        <f>HYPERLINK("https://www.kegg.jp/kegg-bin/search_pathway_text?map=aga&amp;keyword=AGAP010050&amp;mode=1&amp;viewImage=true","AGAP010050")</f>
        <v>AGAP010050</v>
      </c>
      <c r="DE184" s="2" t="s">
        <v>2247</v>
      </c>
      <c r="DF184" s="2" t="s">
        <v>167</v>
      </c>
      <c r="DG184" s="2" t="s">
        <v>87</v>
      </c>
      <c r="DH184" s="2" t="str">
        <f>HYPERLINK("https://vectorbase.org/vectorbase/app/record/gene/AGAP010050","AGAP010050-RA")</f>
        <v>AGAP010050-RA</v>
      </c>
      <c r="DI184" s="2" t="s">
        <v>143</v>
      </c>
      <c r="DJ184" s="2">
        <v>2742</v>
      </c>
      <c r="DK184" s="2" t="str">
        <f>HYPERLINK(".\links\netoglyc\AGAP010050-PA-netoglyc.txt","17")</f>
        <v>17</v>
      </c>
      <c r="DL184" s="2">
        <v>22.1</v>
      </c>
      <c r="DM184" s="2">
        <v>4.8</v>
      </c>
      <c r="DN184" s="2">
        <v>6.7</v>
      </c>
      <c r="DO184" s="2" t="s">
        <v>97</v>
      </c>
      <c r="DP184" s="2" t="s">
        <v>2256</v>
      </c>
      <c r="DQ184" s="2" t="str">
        <f>HYPERLINK(".\links\Sigp\AGAP010050-PA-SigP.txt","CYT")</f>
        <v>CYT</v>
      </c>
      <c r="DR184" s="2" t="s">
        <v>94</v>
      </c>
      <c r="DS184" s="2">
        <v>81.474000000000004</v>
      </c>
      <c r="DT184" s="2">
        <v>5.95</v>
      </c>
      <c r="DU184" s="2" t="s">
        <v>94</v>
      </c>
      <c r="DV184" s="2" t="s">
        <v>94</v>
      </c>
      <c r="DW184" s="2" t="s">
        <v>463</v>
      </c>
      <c r="DX184" s="2">
        <v>729</v>
      </c>
      <c r="DY184" s="8">
        <v>0</v>
      </c>
      <c r="DZ184" s="2" t="s">
        <v>94</v>
      </c>
      <c r="EA184" s="2" t="s">
        <v>94</v>
      </c>
      <c r="EB184" s="2" t="s">
        <v>94</v>
      </c>
      <c r="EC184" s="2" t="str">
        <f>HYPERLINK(".\links\gpi\AGAP010050-PA-gpi.txt","Y-NoSP")</f>
        <v>Y-NoSP</v>
      </c>
      <c r="ED184" s="2">
        <v>0.33</v>
      </c>
      <c r="EF184" s="2">
        <v>2</v>
      </c>
      <c r="EG184" s="2" t="str">
        <f>HYPERLINK(".\links\pep\AGAP010050-PA-sulf.txt","1")</f>
        <v>1</v>
      </c>
      <c r="EH184" s="2" t="s">
        <v>94</v>
      </c>
      <c r="EI184" s="2">
        <v>22.0850480109739</v>
      </c>
      <c r="EJ184" s="2">
        <v>6.7215363511659802</v>
      </c>
      <c r="EK184" s="2">
        <v>4.8010973936899903</v>
      </c>
      <c r="EL184" s="2">
        <v>11.522633744856</v>
      </c>
      <c r="EM184" s="2">
        <v>1</v>
      </c>
      <c r="EN184" s="2">
        <v>1</v>
      </c>
      <c r="EO184" s="2">
        <v>1</v>
      </c>
      <c r="EP184" s="2" t="s">
        <v>94</v>
      </c>
      <c r="EQ184" s="2" t="s">
        <v>94</v>
      </c>
      <c r="ER184" s="2" t="s">
        <v>94</v>
      </c>
      <c r="ES184" s="2" t="s">
        <v>94</v>
      </c>
      <c r="ET184" s="2" t="str">
        <f>HYPERLINK(".\links\REFSEQ-INVERTEBRATE\AGAP010050-PA-REFSEQ-INVERTEBRATE.txt","AGAP010050-PA, partial")</f>
        <v>AGAP010050-PA, partial</v>
      </c>
      <c r="EU184" s="2" t="str">
        <f>HYPERLINK("http://www.ncbi.nlm.nih.gov/sutils/blink.cgi?pid=XP_319204.3","0.0")</f>
        <v>0.0</v>
      </c>
      <c r="EV184" s="2" t="str">
        <f>HYPERLINK("http://www.ncbi.nlm.nih.gov/protein/XP_319204.3","XP_319204.3")</f>
        <v>XP_319204.3</v>
      </c>
      <c r="EW184" s="2">
        <v>100</v>
      </c>
      <c r="EX184" s="2">
        <v>100</v>
      </c>
      <c r="EY184" s="2">
        <v>100</v>
      </c>
      <c r="EZ184" s="2" t="s">
        <v>98</v>
      </c>
    </row>
    <row r="185" spans="1:156" x14ac:dyDescent="0.25">
      <c r="A185" s="2" t="s">
        <v>2257</v>
      </c>
      <c r="B185" s="2">
        <v>-0.60484425582543599</v>
      </c>
      <c r="C185" s="2">
        <v>0.657542360359466</v>
      </c>
      <c r="D185" s="2">
        <v>4.0984123260228102</v>
      </c>
      <c r="E185" s="2">
        <v>14.123956957910501</v>
      </c>
      <c r="F185" s="2">
        <v>1.7115010054960701E-4</v>
      </c>
      <c r="G185" s="2">
        <v>1.0578866018938799E-2</v>
      </c>
      <c r="H185" s="2" t="s">
        <v>167</v>
      </c>
      <c r="I185" s="2" t="s">
        <v>87</v>
      </c>
      <c r="J185" s="2" t="str">
        <f>HYPERLINK("https://vectorbase.org/vectorbase/app/record/gene/AGAP002008","AGAP002008-RA")</f>
        <v>AGAP002008-RA</v>
      </c>
      <c r="K185" s="2" t="str">
        <f>HYPERLINK(".\links\pep\AGAP002008-PA-pep.txt","AGAP002008-PA")</f>
        <v>AGAP002008-PA</v>
      </c>
      <c r="L185" s="8" t="s">
        <v>88</v>
      </c>
      <c r="M185" s="2">
        <v>450</v>
      </c>
      <c r="N185" s="2">
        <v>0</v>
      </c>
      <c r="O185" s="2">
        <v>0</v>
      </c>
      <c r="P185" s="2" t="s">
        <v>94</v>
      </c>
      <c r="Q185" s="9" t="s">
        <v>2225</v>
      </c>
      <c r="R185" s="2" t="s">
        <v>318</v>
      </c>
      <c r="S185" s="2" t="str">
        <f>HYPERLINK(".\links\NR-LIGHT\AGAP002008-PA-NR-LIGHT.txt","NR-LIGHT")</f>
        <v>NR-LIGHT</v>
      </c>
      <c r="T185" s="2">
        <v>0</v>
      </c>
      <c r="U185" s="2">
        <v>100.4</v>
      </c>
      <c r="V185" s="2" t="s">
        <v>2258</v>
      </c>
      <c r="W185" s="10" t="s">
        <v>2227</v>
      </c>
      <c r="X185" s="2" t="s">
        <v>131</v>
      </c>
      <c r="Y185" s="2" t="str">
        <f>HYPERLINK(".\links\PFAM\AGAP002008-PA-PFAM.txt","PFAM")</f>
        <v>PFAM</v>
      </c>
      <c r="Z185" s="13">
        <v>6.9999999999999999E-35</v>
      </c>
      <c r="AA185" s="2">
        <v>107.1</v>
      </c>
      <c r="AB185" s="11" t="str">
        <f>HYPERLINK(".\links\pep\AGAP002008-PA-sulf.txt","2")</f>
        <v>2</v>
      </c>
      <c r="AC185" s="11" t="str">
        <f>HYPERLINK(".\links\Sigp\AGAP002008-PA-SigP.txt","CYT")</f>
        <v>CYT</v>
      </c>
      <c r="AD185" s="2" t="s">
        <v>94</v>
      </c>
      <c r="AE185" s="2">
        <v>51.636000000000003</v>
      </c>
      <c r="AF185" s="2">
        <v>5.89</v>
      </c>
      <c r="AG185" s="2" t="s">
        <v>94</v>
      </c>
      <c r="AH185" s="2" t="s">
        <v>94</v>
      </c>
      <c r="AI185" s="2" t="s">
        <v>2259</v>
      </c>
      <c r="AJ185" s="11">
        <v>0</v>
      </c>
      <c r="AK185" s="2" t="s">
        <v>94</v>
      </c>
      <c r="AL185" s="2" t="s">
        <v>94</v>
      </c>
      <c r="AM185" s="2" t="s">
        <v>94</v>
      </c>
      <c r="AN185" s="11" t="str">
        <f>HYPERLINK(".\links\gpi\AGAP002008-PA-gpi.txt","N")</f>
        <v>N</v>
      </c>
      <c r="AO185" s="12" t="str">
        <f>HYPERLINK(".\links\netoglyc\AGAP002008-PA-netoglyc.txt","0")</f>
        <v>0</v>
      </c>
      <c r="AP185" s="11">
        <v>8</v>
      </c>
      <c r="AQ185" s="2">
        <v>5.6</v>
      </c>
      <c r="AR185" s="2">
        <v>3.8</v>
      </c>
      <c r="AS185" s="2" t="s">
        <v>97</v>
      </c>
      <c r="AT185" s="9" t="str">
        <f>HYPERLINK(".\links\NR-LIGHT\AGAP002008-PA-NR-LIGHT.txt","AGAP002008-PA")</f>
        <v>AGAP002008-PA</v>
      </c>
      <c r="AU185" s="2" t="str">
        <f>HYPERLINK("http://www.ncbi.nlm.nih.gov/sutils/blink.cgi?pid=XP_321049.3","0.0")</f>
        <v>0.0</v>
      </c>
      <c r="AV185" s="2" t="str">
        <f>HYPERLINK("http://www.ncbi.nlm.nih.gov/protein/XP_321049.3","XP_321049.3")</f>
        <v>XP_321049.3</v>
      </c>
      <c r="AW185" s="2">
        <v>100</v>
      </c>
      <c r="AX185" s="2">
        <v>100</v>
      </c>
      <c r="AY185" s="2">
        <v>100</v>
      </c>
      <c r="AZ185" s="2" t="s">
        <v>98</v>
      </c>
      <c r="BA185" s="9" t="str">
        <f>HYPERLINK(".\links\REFSEQ-INVERTEBRATE\AGAP002008-PA-REFSEQ-INVERTEBRATE.txt","AGAP002008-PA")</f>
        <v>AGAP002008-PA</v>
      </c>
      <c r="BB185" s="2" t="str">
        <f>HYPERLINK("http://www.ncbi.nlm.nih.gov/sutils/blink.cgi?pid=XP_321049.3","0.0")</f>
        <v>0.0</v>
      </c>
      <c r="BC185" s="2" t="str">
        <f>HYPERLINK("http://www.ncbi.nlm.nih.gov/protein/XP_321049.3","XP_321049.3")</f>
        <v>XP_321049.3</v>
      </c>
      <c r="BD185" s="2">
        <v>100</v>
      </c>
      <c r="BE185" s="2">
        <v>100</v>
      </c>
      <c r="BF185" s="2">
        <v>100</v>
      </c>
      <c r="BG185" s="2" t="s">
        <v>98</v>
      </c>
      <c r="BH185" s="9" t="str">
        <f>HYPERLINK(".\links\REFSEQ-PROTOZOA\AGAP002008-PA-REFSEQ-PROTOZOA.txt","predicted protein")</f>
        <v>predicted protein</v>
      </c>
      <c r="BI185" s="2" t="str">
        <f>HYPERLINK("http://www.ncbi.nlm.nih.gov/sutils/blink.cgi?pid=XP_002678193.1","6E-004")</f>
        <v>6E-004</v>
      </c>
      <c r="BJ185" s="2" t="str">
        <f>HYPERLINK("http://www.ncbi.nlm.nih.gov/protein/XP_002678193.1","XP_002678193.1")</f>
        <v>XP_002678193.1</v>
      </c>
      <c r="BK185" s="2">
        <v>26</v>
      </c>
      <c r="BL185" s="2">
        <v>48</v>
      </c>
      <c r="BM185" s="2">
        <v>38</v>
      </c>
      <c r="BN185" s="2" t="s">
        <v>195</v>
      </c>
      <c r="BO185" s="9" t="str">
        <f>HYPERLINK(".\links\SWISSP\AGAP002008-PA-SWISSP.txt","Choline kinase alpha")</f>
        <v>Choline kinase alpha</v>
      </c>
      <c r="BP185" s="2" t="str">
        <f>HYPERLINK("http://www.uniprot.org/uniprot/P35790","1.2")</f>
        <v>1.2</v>
      </c>
      <c r="BQ185" s="2" t="str">
        <f>HYPERLINK("http://www.uniprot.org/uniprot/P35790#expression","P35790")</f>
        <v>P35790</v>
      </c>
      <c r="BR185" s="2">
        <v>22</v>
      </c>
      <c r="BS185" s="2">
        <v>40</v>
      </c>
      <c r="BT185" s="2">
        <v>38</v>
      </c>
      <c r="BU185" s="2" t="s">
        <v>196</v>
      </c>
      <c r="BV185" s="9" t="str">
        <f>HYPERLINK(".\links\FLYBASE\AGAP002008-PA-FLYBASE.txt","FBpp0077643")</f>
        <v>FBpp0077643</v>
      </c>
      <c r="BW185" s="2" t="str">
        <f>HYPERLINK("http://flybase.org/reports/FBgn0031320#alliance_summary_container","6E-68")</f>
        <v>6E-68</v>
      </c>
      <c r="BX185" s="2">
        <v>455</v>
      </c>
      <c r="BY185" s="2">
        <v>31</v>
      </c>
      <c r="BZ185" s="2">
        <v>50</v>
      </c>
      <c r="CA185" s="2">
        <v>102</v>
      </c>
      <c r="CB185" s="9" t="str">
        <f>HYPERLINK(".\links\CDD\AGAP002008-PA-CDD.txt","EcKinase, Ecdysteroid kinase")</f>
        <v>EcKinase, Ecdysteroid kinase</v>
      </c>
      <c r="CC185" s="13">
        <v>6.0000000000000006E-67</v>
      </c>
      <c r="CD185" s="2">
        <v>105.1</v>
      </c>
      <c r="CE185" s="2" t="s">
        <v>2230</v>
      </c>
      <c r="CF185" s="2" t="s">
        <v>2260</v>
      </c>
      <c r="CG185" s="9" t="str">
        <f>HYPERLINK(".\links\KOG\AGAP002008-PA-KOG.txt","Acetylcholinesterase/Butyrylcholinesterase")</f>
        <v>Acetylcholinesterase/Butyrylcholinesterase</v>
      </c>
      <c r="CH185" s="13">
        <v>4.8</v>
      </c>
      <c r="CI185" s="2">
        <v>4</v>
      </c>
      <c r="CJ185" s="2" t="s">
        <v>2261</v>
      </c>
      <c r="CK185" s="2" t="s">
        <v>326</v>
      </c>
      <c r="CL185" s="9" t="str">
        <f>HYPERLINK(".\links\PFAM\AGAP002008-PA-PFAM.txt","EcKinase, Ecdysteroid kinase")</f>
        <v>EcKinase, Ecdysteroid kinase</v>
      </c>
      <c r="CM185" s="13">
        <v>9.9999999999999994E-68</v>
      </c>
      <c r="CN185" s="2">
        <v>105.1</v>
      </c>
      <c r="CO185" s="2" t="s">
        <v>2230</v>
      </c>
      <c r="CP185" s="9" t="str">
        <f>HYPERLINK(".\links\SMART\AGAP002008-PA-SMART.txt","CHK, ZnF_C4 abd HLH domain containing kinases domain")</f>
        <v>CHK, ZnF_C4 abd HLH domain containing kinases domain</v>
      </c>
      <c r="CQ185" s="13">
        <v>4.0000000000000003E-31</v>
      </c>
      <c r="CR185" s="2">
        <v>109.7</v>
      </c>
      <c r="CS185" s="2" t="s">
        <v>2233</v>
      </c>
      <c r="CT185" s="2" t="s">
        <v>2258</v>
      </c>
      <c r="CU185" s="2" t="s">
        <v>2258</v>
      </c>
      <c r="CV185" s="2" t="s">
        <v>2258</v>
      </c>
      <c r="CW185" s="2" t="str">
        <f>HYPERLINK(".\links\pep\AGAP002008-PA-pep.txt","AGAP002008-PA")</f>
        <v>AGAP002008-PA</v>
      </c>
      <c r="CX185" s="2" t="s">
        <v>88</v>
      </c>
      <c r="CY185" s="2">
        <v>450</v>
      </c>
      <c r="CZ185" s="2" t="s">
        <v>106</v>
      </c>
      <c r="DA185" s="2" t="s">
        <v>2262</v>
      </c>
      <c r="DB185" s="2">
        <v>0</v>
      </c>
      <c r="DC185" s="2">
        <v>0</v>
      </c>
      <c r="DD185" s="2" t="str">
        <f>HYPERLINK("https://www.kegg.jp/kegg-bin/search_pathway_text?map=aga&amp;keyword=AGAP002008&amp;mode=1&amp;viewImage=true","AGAP002008")</f>
        <v>AGAP002008</v>
      </c>
      <c r="DE185" s="2" t="s">
        <v>2257</v>
      </c>
      <c r="DF185" s="2" t="s">
        <v>167</v>
      </c>
      <c r="DG185" s="2" t="s">
        <v>87</v>
      </c>
      <c r="DH185" s="2" t="str">
        <f>HYPERLINK("https://vectorbase.org/vectorbase/app/record/gene/AGAP002008","AGAP002008-RA")</f>
        <v>AGAP002008-RA</v>
      </c>
      <c r="DI185" s="2" t="s">
        <v>125</v>
      </c>
      <c r="DJ185" s="2">
        <v>1581</v>
      </c>
      <c r="DK185" s="2" t="str">
        <f>HYPERLINK(".\links\netoglyc\AGAP002008-PA-netoglyc.txt","0")</f>
        <v>0</v>
      </c>
      <c r="DL185" s="2">
        <v>8</v>
      </c>
      <c r="DM185" s="2">
        <v>5.6</v>
      </c>
      <c r="DN185" s="2">
        <v>3.8</v>
      </c>
      <c r="DO185" s="2" t="s">
        <v>97</v>
      </c>
      <c r="DP185" s="2" t="s">
        <v>94</v>
      </c>
      <c r="DQ185" s="2" t="str">
        <f>HYPERLINK(".\links\Sigp\AGAP002008-PA-SigP.txt","CYT")</f>
        <v>CYT</v>
      </c>
      <c r="DR185" s="2" t="s">
        <v>94</v>
      </c>
      <c r="DS185" s="2">
        <v>51.636000000000003</v>
      </c>
      <c r="DT185" s="2">
        <v>5.89</v>
      </c>
      <c r="DU185" s="2" t="s">
        <v>94</v>
      </c>
      <c r="DV185" s="2" t="s">
        <v>94</v>
      </c>
      <c r="DW185" s="2" t="s">
        <v>2259</v>
      </c>
      <c r="DX185" s="2">
        <v>450</v>
      </c>
      <c r="DY185" s="8">
        <v>0</v>
      </c>
      <c r="DZ185" s="2" t="s">
        <v>94</v>
      </c>
      <c r="EA185" s="2" t="s">
        <v>94</v>
      </c>
      <c r="EB185" s="2" t="s">
        <v>94</v>
      </c>
      <c r="EC185" s="2" t="str">
        <f>HYPERLINK(".\links\gpi\AGAP002008-PA-gpi.txt","N")</f>
        <v>N</v>
      </c>
      <c r="ED185" s="2">
        <v>0.24</v>
      </c>
      <c r="EF185" s="2">
        <v>6</v>
      </c>
      <c r="EG185" s="2" t="str">
        <f>HYPERLINK(".\links\pep\AGAP002008-PA-sulf.txt","2")</f>
        <v>2</v>
      </c>
      <c r="EH185" s="2" t="s">
        <v>94</v>
      </c>
      <c r="EI185" s="2">
        <v>8</v>
      </c>
      <c r="EJ185" s="2">
        <v>3.7777777777777799</v>
      </c>
      <c r="EK185" s="2">
        <v>5.5555555555555598</v>
      </c>
      <c r="EL185" s="2">
        <v>9.3333333333333304</v>
      </c>
      <c r="EM185" s="2" t="s">
        <v>94</v>
      </c>
      <c r="EN185" s="2">
        <v>1</v>
      </c>
      <c r="EO185" s="2">
        <v>2</v>
      </c>
      <c r="EP185" s="2" t="s">
        <v>94</v>
      </c>
      <c r="EQ185" s="2" t="s">
        <v>94</v>
      </c>
      <c r="ER185" s="2" t="s">
        <v>94</v>
      </c>
      <c r="ES185" s="2" t="s">
        <v>94</v>
      </c>
      <c r="ET185" s="2" t="str">
        <f>HYPERLINK(".\links\REFSEQ-INVERTEBRATE\AGAP002008-PA-REFSEQ-INVERTEBRATE.txt","AGAP002008-PA")</f>
        <v>AGAP002008-PA</v>
      </c>
      <c r="EU185" s="2" t="str">
        <f>HYPERLINK("http://www.ncbi.nlm.nih.gov/sutils/blink.cgi?pid=XP_321049.3","0.0")</f>
        <v>0.0</v>
      </c>
      <c r="EV185" s="2" t="str">
        <f>HYPERLINK("http://www.ncbi.nlm.nih.gov/protein/XP_321049.3","XP_321049.3")</f>
        <v>XP_321049.3</v>
      </c>
      <c r="EW185" s="2">
        <v>100</v>
      </c>
      <c r="EX185" s="2">
        <v>100</v>
      </c>
      <c r="EY185" s="2">
        <v>100</v>
      </c>
      <c r="EZ185" s="2" t="s">
        <v>98</v>
      </c>
    </row>
    <row r="186" spans="1:156" x14ac:dyDescent="0.25">
      <c r="A186" s="2" t="s">
        <v>2263</v>
      </c>
      <c r="B186" s="2">
        <v>-0.60716840749558199</v>
      </c>
      <c r="C186" s="2">
        <v>0.65648392609538664</v>
      </c>
      <c r="D186" s="2">
        <v>4.9927457290642101</v>
      </c>
      <c r="E186" s="2">
        <v>12.4790664178865</v>
      </c>
      <c r="F186" s="2">
        <v>4.1153781811592701E-4</v>
      </c>
      <c r="G186" s="2">
        <v>2.04837533995911E-2</v>
      </c>
      <c r="H186" s="2" t="s">
        <v>2264</v>
      </c>
      <c r="I186" s="2" t="s">
        <v>87</v>
      </c>
      <c r="J186" s="2" t="str">
        <f>HYPERLINK("https://vectorbase.org/vectorbase/app/record/gene/AGAP003763","AGAP003763-RA")</f>
        <v>AGAP003763-RA</v>
      </c>
      <c r="K186" s="2" t="str">
        <f>HYPERLINK(".\links\pep\AGAP003763-PA-pep.txt","AGAP003763-PA")</f>
        <v>AGAP003763-PA</v>
      </c>
      <c r="L186" s="8" t="s">
        <v>88</v>
      </c>
      <c r="M186" s="2">
        <v>404</v>
      </c>
      <c r="N186" s="2">
        <v>0</v>
      </c>
      <c r="O186" s="2">
        <v>1</v>
      </c>
      <c r="P186" s="2" t="s">
        <v>2265</v>
      </c>
      <c r="Q186" s="9" t="s">
        <v>2266</v>
      </c>
      <c r="R186" s="2" t="s">
        <v>131</v>
      </c>
      <c r="S186" s="2" t="str">
        <f>HYPERLINK(".\links\PFAM\AGAP003763-PA-PFAM.txt","PFAM")</f>
        <v>PFAM</v>
      </c>
      <c r="T186" s="2">
        <v>1.9999999999999999E-49</v>
      </c>
      <c r="U186" s="2">
        <v>102</v>
      </c>
      <c r="V186" s="2" t="s">
        <v>2267</v>
      </c>
      <c r="W186" s="10" t="s">
        <v>2227</v>
      </c>
      <c r="X186" s="2" t="s">
        <v>131</v>
      </c>
      <c r="Y186" s="2" t="str">
        <f>HYPERLINK(".\links\PFAM\AGAP003763-PA-PFAM.txt","PFAM")</f>
        <v>PFAM</v>
      </c>
      <c r="Z186" s="13">
        <v>4.0000000000000003E-37</v>
      </c>
      <c r="AA186" s="2">
        <v>102</v>
      </c>
      <c r="AB186" s="11" t="s">
        <v>94</v>
      </c>
      <c r="AC186" s="11" t="str">
        <f>HYPERLINK(".\links\Sigp\AGAP003763-PA-SigP.txt","CYT")</f>
        <v>CYT</v>
      </c>
      <c r="AD186" s="2" t="s">
        <v>94</v>
      </c>
      <c r="AE186" s="2">
        <v>46.715000000000003</v>
      </c>
      <c r="AF186" s="2">
        <v>5.74</v>
      </c>
      <c r="AG186" s="2" t="s">
        <v>94</v>
      </c>
      <c r="AH186" s="2" t="s">
        <v>94</v>
      </c>
      <c r="AI186" s="2" t="s">
        <v>348</v>
      </c>
      <c r="AJ186" s="11">
        <v>0</v>
      </c>
      <c r="AK186" s="2" t="s">
        <v>94</v>
      </c>
      <c r="AL186" s="2" t="s">
        <v>94</v>
      </c>
      <c r="AM186" s="2" t="s">
        <v>94</v>
      </c>
      <c r="AN186" s="11" t="str">
        <f>HYPERLINK(".\links\gpi\AGAP003763-PA-gpi.txt","N")</f>
        <v>N</v>
      </c>
      <c r="AO186" s="12" t="str">
        <f>HYPERLINK(".\links\netoglyc\AGAP003763-PA-netoglyc.txt","0")</f>
        <v>0</v>
      </c>
      <c r="AP186" s="11">
        <v>11.1</v>
      </c>
      <c r="AQ186" s="2">
        <v>4</v>
      </c>
      <c r="AR186" s="2">
        <v>3.5</v>
      </c>
      <c r="AS186" s="2" t="s">
        <v>97</v>
      </c>
      <c r="AT186" s="9" t="str">
        <f>HYPERLINK(".\links\NR-LIGHT\AGAP003763-PA-NR-LIGHT.txt","AGAP003763-PA")</f>
        <v>AGAP003763-PA</v>
      </c>
      <c r="AU186" s="2" t="str">
        <f>HYPERLINK("http://www.ncbi.nlm.nih.gov/sutils/blink.cgi?pid=XP_310302.5","0.0")</f>
        <v>0.0</v>
      </c>
      <c r="AV186" s="2" t="str">
        <f>HYPERLINK("http://www.ncbi.nlm.nih.gov/protein/XP_310302.5","XP_310302.5")</f>
        <v>XP_310302.5</v>
      </c>
      <c r="AW186" s="2">
        <v>100</v>
      </c>
      <c r="AX186" s="2">
        <v>100</v>
      </c>
      <c r="AY186" s="2">
        <v>100</v>
      </c>
      <c r="AZ186" s="2" t="s">
        <v>98</v>
      </c>
      <c r="BA186" s="9" t="str">
        <f>HYPERLINK(".\links\REFSEQ-INVERTEBRATE\AGAP003763-PA-REFSEQ-INVERTEBRATE.txt","AGAP003763-PA")</f>
        <v>AGAP003763-PA</v>
      </c>
      <c r="BB186" s="2" t="str">
        <f>HYPERLINK("http://www.ncbi.nlm.nih.gov/sutils/blink.cgi?pid=XP_310302.5","0.0")</f>
        <v>0.0</v>
      </c>
      <c r="BC186" s="2" t="str">
        <f>HYPERLINK("http://www.ncbi.nlm.nih.gov/protein/XP_310302.5","XP_310302.5")</f>
        <v>XP_310302.5</v>
      </c>
      <c r="BD186" s="2">
        <v>100</v>
      </c>
      <c r="BE186" s="2">
        <v>100</v>
      </c>
      <c r="BF186" s="2">
        <v>100</v>
      </c>
      <c r="BG186" s="2" t="s">
        <v>98</v>
      </c>
      <c r="BH186" s="9" t="str">
        <f>HYPERLINK(".\links\REFSEQ-PROTOZOA\AGAP003763-PA-REFSEQ-PROTOZOA.txt","hypothetical protein PPTG_16011")</f>
        <v>hypothetical protein PPTG_16011</v>
      </c>
      <c r="BI186" s="2" t="str">
        <f>HYPERLINK("http://www.ncbi.nlm.nih.gov/sutils/blink.cgi?pid=XP_008911492.1","0.25")</f>
        <v>0.25</v>
      </c>
      <c r="BJ186" s="2" t="str">
        <f>HYPERLINK("http://www.ncbi.nlm.nih.gov/protein/XP_008911492.1","XP_008911492.1")</f>
        <v>XP_008911492.1</v>
      </c>
      <c r="BK186" s="2">
        <v>21</v>
      </c>
      <c r="BL186" s="2">
        <v>40</v>
      </c>
      <c r="BM186" s="2">
        <v>61</v>
      </c>
      <c r="BN186" s="2" t="s">
        <v>1339</v>
      </c>
      <c r="BO186" s="9" t="str">
        <f>HYPERLINK(".\links\SWISSP\AGAP003763-PA-SWISSP.txt","Putative E3 ubiquitin-protein ligase RF298")</f>
        <v>Putative E3 ubiquitin-protein ligase RF298</v>
      </c>
      <c r="BP186" s="2" t="str">
        <f>HYPERLINK("http://www.uniprot.org/uniprot/Q0WPJ7","0.63")</f>
        <v>0.63</v>
      </c>
      <c r="BQ186" s="2" t="str">
        <f>HYPERLINK("http://www.uniprot.org/uniprot/Q0WPJ7#expression","Q0WPJ7")</f>
        <v>Q0WPJ7</v>
      </c>
      <c r="BR186" s="2">
        <v>28</v>
      </c>
      <c r="BS186" s="2">
        <v>50</v>
      </c>
      <c r="BT186" s="2">
        <v>10</v>
      </c>
      <c r="BU186" s="2" t="s">
        <v>823</v>
      </c>
      <c r="BV186" s="9" t="str">
        <f>HYPERLINK(".\links\FLYBASE\AGAP003763-PA-FLYBASE.txt","FBpp0084203")</f>
        <v>FBpp0084203</v>
      </c>
      <c r="BW186" s="2" t="str">
        <f>HYPERLINK("http://flybase.org/reports/FBgn0039319#alliance_summary_container","4E-45")</f>
        <v>4E-45</v>
      </c>
      <c r="BX186" s="2">
        <v>417</v>
      </c>
      <c r="BY186" s="2">
        <v>27</v>
      </c>
      <c r="BZ186" s="2">
        <v>46</v>
      </c>
      <c r="CA186" s="2">
        <v>101</v>
      </c>
      <c r="CB186" s="9" t="str">
        <f>HYPERLINK(".\links\CDD\AGAP003763-PA-CDD.txt","EcKinase, Ecdysteroid kinase")</f>
        <v>EcKinase, Ecdysteroid kinase</v>
      </c>
      <c r="CC186" s="13">
        <v>9.9999999999999997E-49</v>
      </c>
      <c r="CD186" s="2">
        <v>102</v>
      </c>
      <c r="CE186" s="2" t="s">
        <v>2230</v>
      </c>
      <c r="CF186" s="2" t="s">
        <v>2268</v>
      </c>
      <c r="CG186" s="9" t="str">
        <f>HYPERLINK(".\links\KOG\AGAP003763-PA-KOG.txt","Serine O-acetyltransferase")</f>
        <v>Serine O-acetyltransferase</v>
      </c>
      <c r="CH186" s="13">
        <v>4.4999999999999998E-2</v>
      </c>
      <c r="CI186" s="2">
        <v>48</v>
      </c>
      <c r="CJ186" s="2" t="s">
        <v>2269</v>
      </c>
      <c r="CK186" s="2" t="s">
        <v>278</v>
      </c>
      <c r="CL186" s="9" t="str">
        <f>HYPERLINK(".\links\PFAM\AGAP003763-PA-PFAM.txt","EcKinase, Ecdysteroid kinase")</f>
        <v>EcKinase, Ecdysteroid kinase</v>
      </c>
      <c r="CM186" s="13">
        <v>1.9999999999999999E-49</v>
      </c>
      <c r="CN186" s="2">
        <v>102</v>
      </c>
      <c r="CO186" s="2" t="s">
        <v>2230</v>
      </c>
      <c r="CP186" s="9" t="str">
        <f>HYPERLINK(".\links\SMART\AGAP003763-PA-SMART.txt","CHK, ZnF_C4 abd HLH domain containing kinases domain")</f>
        <v>CHK, ZnF_C4 abd HLH domain containing kinases domain</v>
      </c>
      <c r="CQ186" s="13">
        <v>9.9999999999999992E-25</v>
      </c>
      <c r="CR186" s="2">
        <v>101.5</v>
      </c>
      <c r="CS186" s="2" t="s">
        <v>2233</v>
      </c>
      <c r="CT186" s="2" t="s">
        <v>2267</v>
      </c>
      <c r="CU186" s="2" t="s">
        <v>2267</v>
      </c>
      <c r="CV186" s="2" t="s">
        <v>2267</v>
      </c>
      <c r="CW186" s="2" t="str">
        <f>HYPERLINK(".\links\pep\AGAP003763-PA-pep.txt","AGAP003763-PA")</f>
        <v>AGAP003763-PA</v>
      </c>
      <c r="CX186" s="2" t="s">
        <v>88</v>
      </c>
      <c r="CY186" s="2">
        <v>404</v>
      </c>
      <c r="CZ186" s="2" t="s">
        <v>106</v>
      </c>
      <c r="DA186" s="2" t="s">
        <v>2270</v>
      </c>
      <c r="DB186" s="2">
        <v>0</v>
      </c>
      <c r="DC186" s="2">
        <v>1</v>
      </c>
      <c r="DD186" s="2" t="str">
        <f>HYPERLINK("https://www.kegg.jp/kegg-bin/search_pathway_text?map=aga&amp;keyword=AGAP003763&amp;mode=1&amp;viewImage=true","AGAP003763")</f>
        <v>AGAP003763</v>
      </c>
      <c r="DE186" s="2" t="s">
        <v>2263</v>
      </c>
      <c r="DF186" s="2" t="s">
        <v>2264</v>
      </c>
      <c r="DG186" s="2" t="s">
        <v>87</v>
      </c>
      <c r="DH186" s="2" t="str">
        <f>HYPERLINK("https://vectorbase.org/vectorbase/app/record/gene/AGAP003763","AGAP003763-RA")</f>
        <v>AGAP003763-RA</v>
      </c>
      <c r="DI186" s="2" t="s">
        <v>250</v>
      </c>
      <c r="DJ186" s="2">
        <v>1277</v>
      </c>
      <c r="DK186" s="2" t="str">
        <f>HYPERLINK(".\links\netoglyc\AGAP003763-PA-netoglyc.txt","0")</f>
        <v>0</v>
      </c>
      <c r="DL186" s="2">
        <v>11.1</v>
      </c>
      <c r="DM186" s="2">
        <v>4</v>
      </c>
      <c r="DN186" s="2">
        <v>3.5</v>
      </c>
      <c r="DO186" s="2" t="s">
        <v>97</v>
      </c>
      <c r="DP186" s="2" t="s">
        <v>94</v>
      </c>
      <c r="DQ186" s="2" t="str">
        <f>HYPERLINK(".\links\Sigp\AGAP003763-PA-SigP.txt","CYT")</f>
        <v>CYT</v>
      </c>
      <c r="DR186" s="2" t="s">
        <v>94</v>
      </c>
      <c r="DS186" s="2">
        <v>46.715000000000003</v>
      </c>
      <c r="DT186" s="2">
        <v>5.74</v>
      </c>
      <c r="DU186" s="2" t="s">
        <v>94</v>
      </c>
      <c r="DV186" s="2" t="s">
        <v>94</v>
      </c>
      <c r="DW186" s="2" t="s">
        <v>348</v>
      </c>
      <c r="DX186" s="2">
        <v>404</v>
      </c>
      <c r="DY186" s="8">
        <v>0</v>
      </c>
      <c r="DZ186" s="2" t="s">
        <v>94</v>
      </c>
      <c r="EA186" s="2" t="s">
        <v>94</v>
      </c>
      <c r="EB186" s="2" t="s">
        <v>94</v>
      </c>
      <c r="EC186" s="2" t="str">
        <f>HYPERLINK(".\links\gpi\AGAP003763-PA-gpi.txt","Y-NoSP")</f>
        <v>Y-NoSP</v>
      </c>
      <c r="ED186" s="2">
        <v>0.27</v>
      </c>
      <c r="EF186" s="2">
        <v>9</v>
      </c>
      <c r="EG186" s="2" t="s">
        <v>94</v>
      </c>
      <c r="EH186" s="2" t="s">
        <v>94</v>
      </c>
      <c r="EI186" s="2">
        <v>11.1386138613861</v>
      </c>
      <c r="EJ186" s="2">
        <v>3.4653465346534702</v>
      </c>
      <c r="EK186" s="2">
        <v>3.9603960396039599</v>
      </c>
      <c r="EL186" s="2">
        <v>7.4257425742574297</v>
      </c>
      <c r="EM186" s="2" t="s">
        <v>94</v>
      </c>
      <c r="EN186" s="2" t="s">
        <v>94</v>
      </c>
      <c r="EO186" s="2">
        <v>1</v>
      </c>
      <c r="EP186" s="2" t="s">
        <v>94</v>
      </c>
      <c r="EQ186" s="2" t="s">
        <v>94</v>
      </c>
      <c r="ER186" s="2" t="s">
        <v>94</v>
      </c>
      <c r="ES186" s="2" t="s">
        <v>94</v>
      </c>
      <c r="ET186" s="2" t="str">
        <f>HYPERLINK(".\links\REFSEQ-INVERTEBRATE\AGAP003763-PA-REFSEQ-INVERTEBRATE.txt","AGAP003763-PA")</f>
        <v>AGAP003763-PA</v>
      </c>
      <c r="EU186" s="2" t="str">
        <f>HYPERLINK("http://www.ncbi.nlm.nih.gov/sutils/blink.cgi?pid=XP_310302.5","0.0")</f>
        <v>0.0</v>
      </c>
      <c r="EV186" s="2" t="str">
        <f>HYPERLINK("http://www.ncbi.nlm.nih.gov/protein/XP_310302.5","XP_310302.5")</f>
        <v>XP_310302.5</v>
      </c>
      <c r="EW186" s="2">
        <v>100</v>
      </c>
      <c r="EX186" s="2">
        <v>100</v>
      </c>
      <c r="EY186" s="2">
        <v>100</v>
      </c>
      <c r="EZ186" s="2" t="s">
        <v>98</v>
      </c>
    </row>
    <row r="187" spans="1:156" x14ac:dyDescent="0.25">
      <c r="A187" s="2" t="s">
        <v>2271</v>
      </c>
      <c r="B187" s="2">
        <v>-0.60785196630479599</v>
      </c>
      <c r="C187" s="2">
        <v>0.65617295318320168</v>
      </c>
      <c r="D187" s="2">
        <v>4.03832741415198</v>
      </c>
      <c r="E187" s="2">
        <v>13.2070215086412</v>
      </c>
      <c r="F187" s="2">
        <v>2.78902254234812E-4</v>
      </c>
      <c r="G187" s="2">
        <v>1.52461191809169E-2</v>
      </c>
      <c r="H187" s="2" t="s">
        <v>2272</v>
      </c>
      <c r="I187" s="2" t="s">
        <v>87</v>
      </c>
      <c r="J187" s="2" t="str">
        <f>HYPERLINK("https://vectorbase.org/vectorbase/app/record/gene/AGAP005012","AGAP005012-RA")</f>
        <v>AGAP005012-RA</v>
      </c>
      <c r="K187" s="2" t="str">
        <f>HYPERLINK(".\links\pep\AGAP005012-PA-pep.txt","AGAP005012-PA")</f>
        <v>AGAP005012-PA</v>
      </c>
      <c r="L187" s="8" t="s">
        <v>88</v>
      </c>
      <c r="M187" s="2">
        <v>477</v>
      </c>
      <c r="N187" s="2">
        <v>0</v>
      </c>
      <c r="O187" s="2">
        <v>1</v>
      </c>
      <c r="P187" s="2" t="s">
        <v>2273</v>
      </c>
      <c r="Q187" s="9" t="s">
        <v>2274</v>
      </c>
      <c r="R187" s="2" t="s">
        <v>550</v>
      </c>
      <c r="S187" s="2" t="str">
        <f>HYPERLINK(".\links\KOG\AGAP005012-PA-KOG.txt","KOG")</f>
        <v>KOG</v>
      </c>
      <c r="T187" s="2">
        <v>1E-87</v>
      </c>
      <c r="U187" s="2">
        <v>92.4</v>
      </c>
      <c r="V187" s="2" t="s">
        <v>2275</v>
      </c>
      <c r="W187" s="10" t="s">
        <v>133</v>
      </c>
      <c r="X187" s="2" t="s">
        <v>550</v>
      </c>
      <c r="Y187" s="2" t="str">
        <f>HYPERLINK(".\links\COG\AGAP005012-PA-COG.txt","COG")</f>
        <v>COG</v>
      </c>
      <c r="Z187" s="13">
        <v>3.0000000000000002E-36</v>
      </c>
      <c r="AA187" s="2">
        <v>101</v>
      </c>
      <c r="AB187" s="11" t="s">
        <v>94</v>
      </c>
      <c r="AC187" s="11" t="str">
        <f>HYPERLINK(".\links\Sigp\AGAP005012-PA-SigP.txt","CYT")</f>
        <v>CYT</v>
      </c>
      <c r="AD187" s="2" t="s">
        <v>94</v>
      </c>
      <c r="AE187" s="2">
        <v>52.707999999999998</v>
      </c>
      <c r="AF187" s="2">
        <v>6.12</v>
      </c>
      <c r="AG187" s="2" t="s">
        <v>94</v>
      </c>
      <c r="AH187" s="2" t="s">
        <v>94</v>
      </c>
      <c r="AI187" s="2" t="s">
        <v>2276</v>
      </c>
      <c r="AJ187" s="11">
        <v>0</v>
      </c>
      <c r="AK187" s="2" t="s">
        <v>94</v>
      </c>
      <c r="AL187" s="2" t="s">
        <v>94</v>
      </c>
      <c r="AM187" s="2" t="s">
        <v>94</v>
      </c>
      <c r="AN187" s="11" t="str">
        <f>HYPERLINK(".\links\gpi\AGAP005012-PA-gpi.txt","N")</f>
        <v>N</v>
      </c>
      <c r="AO187" s="12" t="str">
        <f>HYPERLINK(".\links\netoglyc\AGAP005012-PA-netoglyc.txt","1")</f>
        <v>1</v>
      </c>
      <c r="AP187" s="11">
        <v>13.8</v>
      </c>
      <c r="AQ187" s="2">
        <v>5.2</v>
      </c>
      <c r="AR187" s="2">
        <v>4</v>
      </c>
      <c r="AS187" s="2" t="s">
        <v>97</v>
      </c>
      <c r="AT187" s="9" t="str">
        <f>HYPERLINK(".\links\NR-LIGHT\AGAP005012-PA-NR-LIGHT.txt","AGAP005012-PA")</f>
        <v>AGAP005012-PA</v>
      </c>
      <c r="AU187" s="2" t="str">
        <f>HYPERLINK("http://www.ncbi.nlm.nih.gov/sutils/blink.cgi?pid=XP_315119.4","0.0")</f>
        <v>0.0</v>
      </c>
      <c r="AV187" s="2" t="str">
        <f>HYPERLINK("http://www.ncbi.nlm.nih.gov/protein/XP_315119.4","XP_315119.4")</f>
        <v>XP_315119.4</v>
      </c>
      <c r="AW187" s="2">
        <v>100</v>
      </c>
      <c r="AX187" s="2">
        <v>100</v>
      </c>
      <c r="AY187" s="2">
        <v>100</v>
      </c>
      <c r="AZ187" s="2" t="s">
        <v>98</v>
      </c>
      <c r="BA187" s="9" t="str">
        <f>HYPERLINK(".\links\REFSEQ-INVERTEBRATE\AGAP005012-PA-REFSEQ-INVERTEBRATE.txt","AGAP005012-PA")</f>
        <v>AGAP005012-PA</v>
      </c>
      <c r="BB187" s="2" t="str">
        <f>HYPERLINK("http://www.ncbi.nlm.nih.gov/sutils/blink.cgi?pid=XP_315119.4","0.0")</f>
        <v>0.0</v>
      </c>
      <c r="BC187" s="2" t="str">
        <f>HYPERLINK("http://www.ncbi.nlm.nih.gov/protein/XP_315119.4","XP_315119.4")</f>
        <v>XP_315119.4</v>
      </c>
      <c r="BD187" s="2">
        <v>100</v>
      </c>
      <c r="BE187" s="2">
        <v>100</v>
      </c>
      <c r="BF187" s="2">
        <v>100</v>
      </c>
      <c r="BG187" s="2" t="s">
        <v>98</v>
      </c>
      <c r="BH187" s="9" t="str">
        <f>HYPERLINK(".\links\REFSEQ-PROTOZOA\AGAP005012-PA-REFSEQ-PROTOZOA.txt","galactokinase")</f>
        <v>galactokinase</v>
      </c>
      <c r="BI187" s="2" t="str">
        <f>HYPERLINK("http://www.ncbi.nlm.nih.gov/sutils/blink.cgi?pid=XP_020435555.1","2E-083")</f>
        <v>2E-083</v>
      </c>
      <c r="BJ187" s="2" t="str">
        <f>HYPERLINK("http://www.ncbi.nlm.nih.gov/protein/XP_020435555.1","XP_020435555.1")</f>
        <v>XP_020435555.1</v>
      </c>
      <c r="BK187" s="2">
        <v>39</v>
      </c>
      <c r="BL187" s="2">
        <v>58</v>
      </c>
      <c r="BM187" s="2">
        <v>97</v>
      </c>
      <c r="BN187" s="2" t="s">
        <v>2012</v>
      </c>
      <c r="BO187" s="9" t="str">
        <f>HYPERLINK(".\links\SWISSP\AGAP005012-PA-SWISSP.txt","N-acetylgalactosamine kinase")</f>
        <v>N-acetylgalactosamine kinase</v>
      </c>
      <c r="BP187" s="2" t="str">
        <f>HYPERLINK("http://www.uniprot.org/uniprot/Q5XIG6","1E-102")</f>
        <v>1E-102</v>
      </c>
      <c r="BQ187" s="2" t="str">
        <f>HYPERLINK("http://www.uniprot.org/uniprot/Q5XIG6#expression","Q5XIG6")</f>
        <v>Q5XIG6</v>
      </c>
      <c r="BR187" s="2">
        <v>44</v>
      </c>
      <c r="BS187" s="2">
        <v>61</v>
      </c>
      <c r="BT187" s="2">
        <v>102</v>
      </c>
      <c r="BU187" s="2" t="s">
        <v>177</v>
      </c>
      <c r="BV187" s="9" t="str">
        <f>HYPERLINK(".\links\FLYBASE\AGAP005012-PA-FLYBASE.txt","FBpp0292326")</f>
        <v>FBpp0292326</v>
      </c>
      <c r="BW187" s="2" t="str">
        <f>HYPERLINK("http://flybase.org/reports/FBgn0263199#alliance_summary_container","1E-147")</f>
        <v>1E-147</v>
      </c>
      <c r="BX187" s="2">
        <v>490</v>
      </c>
      <c r="BY187" s="2">
        <v>48</v>
      </c>
      <c r="BZ187" s="2">
        <v>67</v>
      </c>
      <c r="CA187" s="2">
        <v>94</v>
      </c>
      <c r="CB187" s="9" t="str">
        <f>HYPERLINK(".\links\CDD\AGAP005012-PA-CDD.txt","PLN02521, galactokinase")</f>
        <v>PLN02521, galactokinase</v>
      </c>
      <c r="CC187" s="13">
        <v>4.0000000000000001E-91</v>
      </c>
      <c r="CD187" s="2">
        <v>97</v>
      </c>
      <c r="CE187" s="2" t="s">
        <v>2277</v>
      </c>
      <c r="CF187" s="2" t="s">
        <v>2278</v>
      </c>
      <c r="CG187" s="9" t="str">
        <f>HYPERLINK(".\links\KOG\AGAP005012-PA-KOG.txt","Galactokinase")</f>
        <v>Galactokinase</v>
      </c>
      <c r="CH187" s="13">
        <v>1E-87</v>
      </c>
      <c r="CI187" s="2">
        <v>92.4</v>
      </c>
      <c r="CJ187" s="2" t="s">
        <v>2279</v>
      </c>
      <c r="CK187" s="2" t="s">
        <v>556</v>
      </c>
      <c r="CL187" s="9" t="str">
        <f>HYPERLINK(".\links\PFAM\AGAP005012-PA-PFAM.txt","GalKase_gal_bdg, Galactokinase galactose-binding signature")</f>
        <v>GalKase_gal_bdg, Galactokinase galactose-binding signature</v>
      </c>
      <c r="CM187" s="13">
        <v>9.9999999999999998E-17</v>
      </c>
      <c r="CN187" s="2">
        <v>100</v>
      </c>
      <c r="CO187" s="2" t="s">
        <v>2280</v>
      </c>
      <c r="CP187" s="9" t="str">
        <f>HYPERLINK(".\links\SMART\AGAP005012-PA-SMART.txt","SynN, Syntaxin N-terminal domain")</f>
        <v>SynN, Syntaxin N-terminal domain</v>
      </c>
      <c r="CQ187" s="13">
        <v>2.1</v>
      </c>
      <c r="CR187" s="2">
        <v>91.5</v>
      </c>
      <c r="CS187" s="2" t="s">
        <v>2281</v>
      </c>
      <c r="CT187" s="2" t="s">
        <v>2275</v>
      </c>
      <c r="CU187" s="2" t="s">
        <v>2275</v>
      </c>
      <c r="CV187" s="2" t="s">
        <v>2275</v>
      </c>
      <c r="CW187" s="2" t="str">
        <f>HYPERLINK(".\links\pep\AGAP005012-PA-pep.txt","AGAP005012-PA")</f>
        <v>AGAP005012-PA</v>
      </c>
      <c r="CX187" s="2" t="s">
        <v>88</v>
      </c>
      <c r="CY187" s="2">
        <v>477</v>
      </c>
      <c r="CZ187" s="2" t="s">
        <v>106</v>
      </c>
      <c r="DA187" s="2" t="s">
        <v>2282</v>
      </c>
      <c r="DB187" s="2">
        <v>0</v>
      </c>
      <c r="DC187" s="2">
        <v>1</v>
      </c>
      <c r="DD187" s="2" t="str">
        <f>HYPERLINK("https://www.kegg.jp/kegg-bin/search_pathway_text?map=aga&amp;keyword=AGAP005012&amp;mode=1&amp;viewImage=true","AGAP005012")</f>
        <v>AGAP005012</v>
      </c>
      <c r="DE187" s="2" t="s">
        <v>2283</v>
      </c>
      <c r="DF187" s="2" t="s">
        <v>2272</v>
      </c>
      <c r="DG187" s="2" t="s">
        <v>87</v>
      </c>
      <c r="DH187" s="2" t="str">
        <f>HYPERLINK("https://vectorbase.org/vectorbase/app/record/gene/AGAP005012","AGAP005012-RA")</f>
        <v>AGAP005012-RA</v>
      </c>
      <c r="DI187" s="2" t="s">
        <v>108</v>
      </c>
      <c r="DJ187" s="2">
        <v>1769</v>
      </c>
      <c r="DK187" s="2" t="str">
        <f>HYPERLINK(".\links\netoglyc\AGAP005012-PA-netoglyc.txt","1")</f>
        <v>1</v>
      </c>
      <c r="DL187" s="2">
        <v>13.8</v>
      </c>
      <c r="DM187" s="2">
        <v>5.2</v>
      </c>
      <c r="DN187" s="2">
        <v>4</v>
      </c>
      <c r="DO187" s="2" t="s">
        <v>97</v>
      </c>
      <c r="DP187" s="2" t="s">
        <v>94</v>
      </c>
      <c r="DQ187" s="2" t="str">
        <f>HYPERLINK(".\links\Sigp\AGAP005012-PA-SigP.txt","CYT")</f>
        <v>CYT</v>
      </c>
      <c r="DR187" s="2" t="s">
        <v>94</v>
      </c>
      <c r="DS187" s="2">
        <v>52.707999999999998</v>
      </c>
      <c r="DT187" s="2">
        <v>6.12</v>
      </c>
      <c r="DU187" s="2" t="s">
        <v>94</v>
      </c>
      <c r="DV187" s="2" t="s">
        <v>94</v>
      </c>
      <c r="DW187" s="2" t="s">
        <v>2276</v>
      </c>
      <c r="DX187" s="2">
        <v>477</v>
      </c>
      <c r="DY187" s="8">
        <v>0</v>
      </c>
      <c r="DZ187" s="2" t="s">
        <v>94</v>
      </c>
      <c r="EA187" s="2" t="s">
        <v>94</v>
      </c>
      <c r="EB187" s="2" t="s">
        <v>94</v>
      </c>
      <c r="EC187" s="2" t="str">
        <f>HYPERLINK(".\links\gpi\AGAP005012-PA-gpi.txt","Y-NoSP")</f>
        <v>Y-NoSP</v>
      </c>
      <c r="ED187" s="2">
        <v>0.16</v>
      </c>
      <c r="EF187" s="2">
        <v>15</v>
      </c>
      <c r="EG187" s="2" t="s">
        <v>94</v>
      </c>
      <c r="EH187" s="2" t="s">
        <v>94</v>
      </c>
      <c r="EI187" s="2">
        <v>13.8364779874214</v>
      </c>
      <c r="EJ187" s="2">
        <v>3.9832285115303998</v>
      </c>
      <c r="EK187" s="2">
        <v>5.24109014675052</v>
      </c>
      <c r="EL187" s="2">
        <v>9.2243186582809198</v>
      </c>
      <c r="EM187" s="2" t="s">
        <v>94</v>
      </c>
      <c r="EN187" s="2">
        <v>1</v>
      </c>
      <c r="EO187" s="2">
        <v>1</v>
      </c>
      <c r="EP187" s="2" t="s">
        <v>94</v>
      </c>
      <c r="EQ187" s="2" t="s">
        <v>94</v>
      </c>
      <c r="ER187" s="2" t="s">
        <v>94</v>
      </c>
      <c r="ES187" s="2" t="s">
        <v>94</v>
      </c>
      <c r="ET187" s="2" t="str">
        <f>HYPERLINK(".\links\REFSEQ-INVERTEBRATE\AGAP005012-PA-REFSEQ-INVERTEBRATE.txt","AGAP005012-PA")</f>
        <v>AGAP005012-PA</v>
      </c>
      <c r="EU187" s="2" t="str">
        <f>HYPERLINK("http://www.ncbi.nlm.nih.gov/sutils/blink.cgi?pid=XP_315119.4","0.0")</f>
        <v>0.0</v>
      </c>
      <c r="EV187" s="2" t="str">
        <f>HYPERLINK("http://www.ncbi.nlm.nih.gov/protein/XP_315119.4","XP_315119.4")</f>
        <v>XP_315119.4</v>
      </c>
      <c r="EW187" s="2">
        <v>100</v>
      </c>
      <c r="EX187" s="2">
        <v>100</v>
      </c>
      <c r="EY187" s="2">
        <v>100</v>
      </c>
      <c r="EZ187" s="2" t="s">
        <v>98</v>
      </c>
    </row>
    <row r="188" spans="1:156" x14ac:dyDescent="0.25">
      <c r="A188" s="2" t="s">
        <v>2284</v>
      </c>
      <c r="B188" s="2">
        <v>-0.61938119434857697</v>
      </c>
      <c r="C188" s="2">
        <v>0.65095007556499052</v>
      </c>
      <c r="D188" s="2">
        <v>6.4842326174037099</v>
      </c>
      <c r="E188" s="2">
        <v>11.1818829670146</v>
      </c>
      <c r="F188" s="2">
        <v>8.2599903155602798E-4</v>
      </c>
      <c r="G188" s="2">
        <v>3.7302479462028498E-2</v>
      </c>
      <c r="H188" s="2" t="s">
        <v>2285</v>
      </c>
      <c r="I188" s="2" t="s">
        <v>87</v>
      </c>
      <c r="J188" s="2" t="str">
        <f>HYPERLINK("https://vectorbase.org/vectorbase/app/record/gene/AGAP008501","AGAP008501-RA")</f>
        <v>AGAP008501-RA</v>
      </c>
      <c r="K188" s="2" t="str">
        <f>HYPERLINK(".\links\pep\AGAP008501-PA-pep.txt","AGAP008501-PA")</f>
        <v>AGAP008501-PA</v>
      </c>
      <c r="L188" s="8" t="s">
        <v>88</v>
      </c>
      <c r="M188" s="2">
        <v>430</v>
      </c>
      <c r="N188" s="2">
        <v>0</v>
      </c>
      <c r="O188" s="2">
        <v>3</v>
      </c>
      <c r="P188" s="2" t="s">
        <v>2286</v>
      </c>
      <c r="Q188" s="9" t="s">
        <v>2287</v>
      </c>
      <c r="R188" s="2" t="s">
        <v>131</v>
      </c>
      <c r="S188" s="2" t="str">
        <f>HYPERLINK(".\links\CDD\AGAP008501-PA-CDD.txt","CDD")</f>
        <v>CDD</v>
      </c>
      <c r="T188" s="2">
        <v>3E-79</v>
      </c>
      <c r="U188" s="2">
        <v>99.2</v>
      </c>
      <c r="V188" s="2" t="s">
        <v>2288</v>
      </c>
      <c r="W188" s="10" t="s">
        <v>2289</v>
      </c>
      <c r="X188" s="2" t="s">
        <v>131</v>
      </c>
      <c r="Y188" s="2" t="str">
        <f>HYPERLINK(".\links\COG\AGAP008501-PA-COG.txt","COG")</f>
        <v>COG</v>
      </c>
      <c r="Z188" s="13">
        <v>2.9999999999999999E-56</v>
      </c>
      <c r="AA188" s="2">
        <v>100.5</v>
      </c>
      <c r="AB188" s="11" t="str">
        <f>HYPERLINK(".\links\pep\AGAP008501-PA-sulf.txt","1")</f>
        <v>1</v>
      </c>
      <c r="AC188" s="11" t="str">
        <f>HYPERLINK(".\links\Sigp\AGAP008501-PA-SigP.txt","CYT")</f>
        <v>CYT</v>
      </c>
      <c r="AD188" s="2" t="s">
        <v>94</v>
      </c>
      <c r="AE188" s="2">
        <v>47.231000000000002</v>
      </c>
      <c r="AF188" s="2">
        <v>8.43</v>
      </c>
      <c r="AG188" s="2" t="s">
        <v>94</v>
      </c>
      <c r="AH188" s="2" t="s">
        <v>94</v>
      </c>
      <c r="AI188" s="2" t="s">
        <v>2259</v>
      </c>
      <c r="AJ188" s="11">
        <v>0</v>
      </c>
      <c r="AK188" s="2" t="s">
        <v>94</v>
      </c>
      <c r="AL188" s="2" t="s">
        <v>94</v>
      </c>
      <c r="AM188" s="2" t="s">
        <v>94</v>
      </c>
      <c r="AN188" s="11" t="str">
        <f>HYPERLINK(".\links\gpi\AGAP008501-PA-gpi.txt","N")</f>
        <v>N</v>
      </c>
      <c r="AO188" s="12" t="str">
        <f>HYPERLINK(".\links\netoglyc\AGAP008501-PA-netoglyc.txt","1")</f>
        <v>1</v>
      </c>
      <c r="AP188" s="11">
        <v>10.9</v>
      </c>
      <c r="AQ188" s="2">
        <v>9.5</v>
      </c>
      <c r="AR188" s="2">
        <v>3.3</v>
      </c>
      <c r="AS188" s="2" t="s">
        <v>97</v>
      </c>
      <c r="AT188" s="9" t="str">
        <f>HYPERLINK(".\links\NR-LIGHT\AGAP008501-PA-NR-LIGHT.txt","AGAP008501-PA, partial")</f>
        <v>AGAP008501-PA, partial</v>
      </c>
      <c r="AU188" s="2" t="str">
        <f>HYPERLINK("http://www.ncbi.nlm.nih.gov/sutils/blink.cgi?pid=XP_316942.3","0.0")</f>
        <v>0.0</v>
      </c>
      <c r="AV188" s="2" t="str">
        <f>HYPERLINK("http://www.ncbi.nlm.nih.gov/protein/XP_316942.3","XP_316942.3")</f>
        <v>XP_316942.3</v>
      </c>
      <c r="AW188" s="2">
        <v>98</v>
      </c>
      <c r="AX188" s="2">
        <v>98</v>
      </c>
      <c r="AY188" s="2">
        <v>97</v>
      </c>
      <c r="AZ188" s="2" t="s">
        <v>98</v>
      </c>
      <c r="BA188" s="9" t="str">
        <f>HYPERLINK(".\links\REFSEQ-INVERTEBRATE\AGAP008501-PA-REFSEQ-INVERTEBRATE.txt","AGAP008501-PA, partial")</f>
        <v>AGAP008501-PA, partial</v>
      </c>
      <c r="BB188" s="2" t="str">
        <f>HYPERLINK("http://www.ncbi.nlm.nih.gov/sutils/blink.cgi?pid=XP_316942.3","0.0")</f>
        <v>0.0</v>
      </c>
      <c r="BC188" s="2" t="str">
        <f>HYPERLINK("http://www.ncbi.nlm.nih.gov/protein/XP_316942.3","XP_316942.3")</f>
        <v>XP_316942.3</v>
      </c>
      <c r="BD188" s="2">
        <v>98</v>
      </c>
      <c r="BE188" s="2">
        <v>98</v>
      </c>
      <c r="BF188" s="2">
        <v>97</v>
      </c>
      <c r="BG188" s="2" t="s">
        <v>98</v>
      </c>
      <c r="BH188" s="9" t="str">
        <f>HYPERLINK(".\links\REFSEQ-PROTOZOA\AGAP008501-PA-REFSEQ-PROTOZOA.txt","glutaryl-coenzyme A dehydrogenase")</f>
        <v>glutaryl-coenzyme A dehydrogenase</v>
      </c>
      <c r="BI188" s="2" t="str">
        <f>HYPERLINK("http://www.ncbi.nlm.nih.gov/sutils/blink.cgi?pid=XP_002681489.1","1E-153")</f>
        <v>1E-153</v>
      </c>
      <c r="BJ188" s="2" t="str">
        <f>HYPERLINK("http://www.ncbi.nlm.nih.gov/protein/XP_002681489.1","XP_002681489.1")</f>
        <v>XP_002681489.1</v>
      </c>
      <c r="BK188" s="2">
        <v>68</v>
      </c>
      <c r="BL188" s="2">
        <v>81</v>
      </c>
      <c r="BM188" s="2">
        <v>91</v>
      </c>
      <c r="BN188" s="2" t="s">
        <v>195</v>
      </c>
      <c r="BO188" s="9" t="str">
        <f>HYPERLINK(".\links\SWISSP\AGAP008501-PA-SWISSP.txt","Glutaryl-CoA dehydrogenase, mitochondrial")</f>
        <v>Glutaryl-CoA dehydrogenase, mitochondrial</v>
      </c>
      <c r="BP188" s="2" t="str">
        <f>HYPERLINK("http://www.uniprot.org/uniprot/Q2KHZ9","1E-171")</f>
        <v>1E-171</v>
      </c>
      <c r="BQ188" s="2" t="str">
        <f>HYPERLINK("http://www.uniprot.org/uniprot/Q2KHZ9#expression","Q2KHZ9")</f>
        <v>Q2KHZ9</v>
      </c>
      <c r="BR188" s="2">
        <v>67</v>
      </c>
      <c r="BS188" s="2">
        <v>80</v>
      </c>
      <c r="BT188" s="2">
        <v>101</v>
      </c>
      <c r="BU188" s="2" t="s">
        <v>1134</v>
      </c>
      <c r="BV188" s="9" t="str">
        <f>HYPERLINK(".\links\FLYBASE\AGAP008501-PA-FLYBASE.txt","FBpp0078893")</f>
        <v>FBpp0078893</v>
      </c>
      <c r="BW188" s="2" t="str">
        <f>HYPERLINK("http://flybase.org/reports/FBgn0031824#alliance_summary_container","0.0")</f>
        <v>0.0</v>
      </c>
      <c r="BX188" s="2">
        <v>419</v>
      </c>
      <c r="BY188" s="2">
        <v>72</v>
      </c>
      <c r="BZ188" s="2">
        <v>85</v>
      </c>
      <c r="CA188" s="2">
        <v>101</v>
      </c>
      <c r="CB188" s="9" t="str">
        <f>HYPERLINK(".\links\CDD\AGAP008501-PA-CDD.txt","GCD, Glutaryl-CoA dehydrogenase")</f>
        <v>GCD, Glutaryl-CoA dehydrogenase</v>
      </c>
      <c r="CC188" s="13">
        <v>0</v>
      </c>
      <c r="CD188" s="2">
        <v>101</v>
      </c>
      <c r="CE188" s="2" t="s">
        <v>2290</v>
      </c>
      <c r="CF188" s="2" t="s">
        <v>2291</v>
      </c>
      <c r="CG188" s="9" t="str">
        <f>HYPERLINK(".\links\KOG\AGAP008501-PA-KOG.txt","Glutaryl-CoA dehydrogenase")</f>
        <v>Glutaryl-CoA dehydrogenase</v>
      </c>
      <c r="CH188" s="13">
        <v>0</v>
      </c>
      <c r="CI188" s="2">
        <v>94</v>
      </c>
      <c r="CJ188" s="2" t="s">
        <v>2292</v>
      </c>
      <c r="CK188" s="2" t="s">
        <v>278</v>
      </c>
      <c r="CL188" s="9" t="str">
        <f>HYPERLINK(".\links\PFAM\AGAP008501-PA-PFAM.txt","Acyl-CoA_dh_N, Acyl-CoA dehydrogenase, N-terminal domain")</f>
        <v>Acyl-CoA_dh_N, Acyl-CoA dehydrogenase, N-terminal domain</v>
      </c>
      <c r="CM188" s="13">
        <v>9.9999999999999994E-30</v>
      </c>
      <c r="CN188" s="2">
        <v>100</v>
      </c>
      <c r="CO188" s="2" t="s">
        <v>2293</v>
      </c>
      <c r="CP188" s="9" t="str">
        <f>HYPERLINK(".\links\SMART\AGAP008501-PA-SMART.txt","CH, Calponin homology domain")</f>
        <v>CH, Calponin homology domain</v>
      </c>
      <c r="CQ188" s="13">
        <v>1.6</v>
      </c>
      <c r="CR188" s="2">
        <v>72.3</v>
      </c>
      <c r="CS188" s="2" t="s">
        <v>2294</v>
      </c>
      <c r="CT188" s="2" t="s">
        <v>2288</v>
      </c>
      <c r="CU188" s="2" t="s">
        <v>2288</v>
      </c>
      <c r="CV188" s="2" t="s">
        <v>2288</v>
      </c>
      <c r="CW188" s="2" t="str">
        <f>HYPERLINK(".\links\pep\AGAP008501-PA-pep.txt","AGAP008501-PA")</f>
        <v>AGAP008501-PA</v>
      </c>
      <c r="CX188" s="2" t="s">
        <v>88</v>
      </c>
      <c r="CY188" s="2">
        <v>430</v>
      </c>
      <c r="CZ188" s="2" t="s">
        <v>106</v>
      </c>
      <c r="DA188" s="2" t="s">
        <v>2295</v>
      </c>
      <c r="DB188" s="2">
        <v>0</v>
      </c>
      <c r="DC188" s="2">
        <v>3</v>
      </c>
      <c r="DD188" s="2" t="str">
        <f>HYPERLINK("https://www.kegg.jp/kegg-bin/search_pathway_text?map=aga&amp;keyword=AGAP008501&amp;mode=1&amp;viewImage=true","AGAP008501")</f>
        <v>AGAP008501</v>
      </c>
      <c r="DE188" s="2" t="s">
        <v>2284</v>
      </c>
      <c r="DF188" s="2" t="s">
        <v>2285</v>
      </c>
      <c r="DG188" s="2" t="s">
        <v>87</v>
      </c>
      <c r="DH188" s="2" t="str">
        <f>HYPERLINK("https://vectorbase.org/vectorbase/app/record/gene/AGAP008501","AGAP008501-RA")</f>
        <v>AGAP008501-RA</v>
      </c>
      <c r="DI188" s="2" t="s">
        <v>108</v>
      </c>
      <c r="DJ188" s="2">
        <v>1591</v>
      </c>
      <c r="DK188" s="2" t="str">
        <f>HYPERLINK(".\links\netoglyc\AGAP008501-PA-netoglyc.txt","1")</f>
        <v>1</v>
      </c>
      <c r="DL188" s="2">
        <v>10.9</v>
      </c>
      <c r="DM188" s="2">
        <v>9.5</v>
      </c>
      <c r="DN188" s="2">
        <v>3.3</v>
      </c>
      <c r="DO188" s="2" t="s">
        <v>97</v>
      </c>
      <c r="DP188" s="2" t="s">
        <v>94</v>
      </c>
      <c r="DQ188" s="2" t="str">
        <f>HYPERLINK(".\links\Sigp\AGAP008501-PA-SigP.txt","CYT")</f>
        <v>CYT</v>
      </c>
      <c r="DR188" s="2" t="s">
        <v>94</v>
      </c>
      <c r="DS188" s="2">
        <v>47.231000000000002</v>
      </c>
      <c r="DT188" s="2">
        <v>8.43</v>
      </c>
      <c r="DU188" s="2" t="s">
        <v>94</v>
      </c>
      <c r="DV188" s="2" t="s">
        <v>94</v>
      </c>
      <c r="DW188" s="2" t="s">
        <v>2259</v>
      </c>
      <c r="DX188" s="2">
        <v>430</v>
      </c>
      <c r="DY188" s="8">
        <v>0</v>
      </c>
      <c r="DZ188" s="2" t="s">
        <v>94</v>
      </c>
      <c r="EA188" s="2" t="s">
        <v>94</v>
      </c>
      <c r="EB188" s="2" t="s">
        <v>94</v>
      </c>
      <c r="EC188" s="2" t="str">
        <f>HYPERLINK(".\links\gpi\AGAP008501-PA-gpi.txt","N")</f>
        <v>N</v>
      </c>
      <c r="ED188" s="2">
        <v>0.23</v>
      </c>
      <c r="EF188" s="2">
        <v>10</v>
      </c>
      <c r="EG188" s="2" t="str">
        <f>HYPERLINK(".\links\pep\AGAP008501-PA-sulf.txt","1")</f>
        <v>1</v>
      </c>
      <c r="EH188" s="2" t="s">
        <v>94</v>
      </c>
      <c r="EI188" s="2">
        <v>10.930232558139499</v>
      </c>
      <c r="EJ188" s="2">
        <v>3.2558139534883699</v>
      </c>
      <c r="EK188" s="2">
        <v>9.53488372093023</v>
      </c>
      <c r="EL188" s="2">
        <v>12.790697674418601</v>
      </c>
      <c r="EM188" s="2" t="s">
        <v>94</v>
      </c>
      <c r="EN188" s="2">
        <v>1</v>
      </c>
      <c r="EO188" s="2">
        <v>1</v>
      </c>
      <c r="EP188" s="2" t="s">
        <v>94</v>
      </c>
      <c r="EQ188" s="2" t="s">
        <v>94</v>
      </c>
      <c r="ER188" s="2" t="s">
        <v>94</v>
      </c>
      <c r="ES188" s="2" t="s">
        <v>94</v>
      </c>
      <c r="ET188" s="2" t="str">
        <f>HYPERLINK(".\links\REFSEQ-INVERTEBRATE\AGAP008501-PA-REFSEQ-INVERTEBRATE.txt","glutaryl-CoA dehydrogenase, mitochondrial")</f>
        <v>glutaryl-CoA dehydrogenase, mitochondrial</v>
      </c>
      <c r="EU188" s="2" t="str">
        <f>HYPERLINK("http://www.ncbi.nlm.nih.gov/sutils/blink.cgi?pid=XP_035910875.1","0.0")</f>
        <v>0.0</v>
      </c>
      <c r="EV188" s="2" t="str">
        <f>HYPERLINK("http://www.ncbi.nlm.nih.gov/protein/XP_035910875.1","XP_035910875.1")</f>
        <v>XP_035910875.1</v>
      </c>
      <c r="EW188" s="2">
        <v>95</v>
      </c>
      <c r="EX188" s="2">
        <v>98</v>
      </c>
      <c r="EY188" s="2">
        <v>100</v>
      </c>
      <c r="EZ188" s="2" t="s">
        <v>184</v>
      </c>
    </row>
    <row r="189" spans="1:156" x14ac:dyDescent="0.25">
      <c r="A189" s="2" t="s">
        <v>2296</v>
      </c>
      <c r="B189" s="2">
        <v>-0.62669674969931199</v>
      </c>
      <c r="C189" s="2">
        <v>0.64765762086836842</v>
      </c>
      <c r="D189" s="2">
        <v>8.1946109332335197</v>
      </c>
      <c r="E189" s="2">
        <v>12.7210003753767</v>
      </c>
      <c r="F189" s="2">
        <v>3.6157230569969098E-4</v>
      </c>
      <c r="G189" s="2">
        <v>1.8787853269241601E-2</v>
      </c>
      <c r="H189" s="2" t="s">
        <v>2297</v>
      </c>
      <c r="I189" s="2" t="s">
        <v>87</v>
      </c>
      <c r="J189" s="2" t="str">
        <f>HYPERLINK("https://vectorbase.org/vectorbase/app/record/gene/AGAP010509","AGAP010509-RA")</f>
        <v>AGAP010509-RA</v>
      </c>
      <c r="K189" s="2" t="str">
        <f>HYPERLINK(".\links\pep\AGAP010509-PA-pep.txt","AGAP010509-PA")</f>
        <v>AGAP010509-PA</v>
      </c>
      <c r="L189" s="8" t="s">
        <v>88</v>
      </c>
      <c r="M189" s="2">
        <v>557</v>
      </c>
      <c r="N189" s="2">
        <v>0</v>
      </c>
      <c r="O189" s="2">
        <v>2</v>
      </c>
      <c r="P189" s="2" t="s">
        <v>2298</v>
      </c>
      <c r="Q189" s="9" t="s">
        <v>2299</v>
      </c>
      <c r="R189" s="2" t="s">
        <v>113</v>
      </c>
      <c r="S189" s="2" t="str">
        <f>HYPERLINK(".\links\CDD\AGAP010509-PA-CDD.txt","CDD")</f>
        <v>CDD</v>
      </c>
      <c r="T189" s="2">
        <v>2E-95</v>
      </c>
      <c r="U189" s="2">
        <v>102.9</v>
      </c>
      <c r="V189" s="2" t="s">
        <v>2300</v>
      </c>
      <c r="W189" s="10" t="s">
        <v>2301</v>
      </c>
      <c r="X189" s="2" t="s">
        <v>113</v>
      </c>
      <c r="Y189" s="2" t="str">
        <f>HYPERLINK(".\links\REFSEQVERTEBRATE95\AGAP010509-PA-REFSEQVERTEBRATE95.txt","REFSEQVERTEBRATE95")</f>
        <v>REFSEQVERTEBRATE95</v>
      </c>
      <c r="Z189" s="2">
        <v>0</v>
      </c>
      <c r="AA189" s="2">
        <v>89.7</v>
      </c>
      <c r="AB189" s="11" t="str">
        <f>HYPERLINK(".\links\pep\AGAP010509-PA-sulf.txt","1")</f>
        <v>1</v>
      </c>
      <c r="AC189" s="11" t="str">
        <f>HYPERLINK(".\links\Sigp\AGAP010509-PA-SigP.txt","CYT")</f>
        <v>CYT</v>
      </c>
      <c r="AD189" s="2" t="s">
        <v>94</v>
      </c>
      <c r="AE189" s="2">
        <v>61.058999999999997</v>
      </c>
      <c r="AF189" s="2">
        <v>7.47</v>
      </c>
      <c r="AG189" s="2" t="s">
        <v>94</v>
      </c>
      <c r="AH189" s="2" t="s">
        <v>94</v>
      </c>
      <c r="AI189" s="2" t="s">
        <v>2302</v>
      </c>
      <c r="AJ189" s="11" t="str">
        <f>HYPERLINK(".\links\tmhmm\AGAP010509-PA-tmhmm.txt","12")</f>
        <v>12</v>
      </c>
      <c r="AK189" s="2">
        <v>44.9</v>
      </c>
      <c r="AL189" s="2">
        <v>21.5</v>
      </c>
      <c r="AM189" s="2">
        <v>33.6</v>
      </c>
      <c r="AN189" s="11" t="str">
        <f>HYPERLINK(".\links\gpi\AGAP010509-PA-gpi.txt","N")</f>
        <v>N</v>
      </c>
      <c r="AO189" s="12" t="str">
        <f>HYPERLINK(".\links\netoglyc\AGAP010509-PA-netoglyc.txt","0")</f>
        <v>0</v>
      </c>
      <c r="AP189" s="11">
        <v>14</v>
      </c>
      <c r="AQ189" s="2">
        <v>9.1999999999999993</v>
      </c>
      <c r="AR189" s="2">
        <v>4.0999999999999996</v>
      </c>
      <c r="AS189" s="2" t="s">
        <v>97</v>
      </c>
      <c r="AT189" s="9" t="str">
        <f>HYPERLINK(".\links\NR-LIGHT\AGAP010509-PA-NR-LIGHT.txt","AGAP010509-PA, partial")</f>
        <v>AGAP010509-PA, partial</v>
      </c>
      <c r="AU189" s="2" t="str">
        <f>HYPERLINK("http://www.ncbi.nlm.nih.gov/sutils/blink.cgi?pid=XP_314482.4","0.0")</f>
        <v>0.0</v>
      </c>
      <c r="AV189" s="2" t="str">
        <f>HYPERLINK("http://www.ncbi.nlm.nih.gov/protein/XP_314482.4","XP_314482.4")</f>
        <v>XP_314482.4</v>
      </c>
      <c r="AW189" s="2">
        <v>98</v>
      </c>
      <c r="AX189" s="2">
        <v>98</v>
      </c>
      <c r="AY189" s="2">
        <v>99</v>
      </c>
      <c r="AZ189" s="2" t="s">
        <v>98</v>
      </c>
      <c r="BA189" s="9" t="str">
        <f>HYPERLINK(".\links\REFSEQ-INVERTEBRATE\AGAP010509-PA-REFSEQ-INVERTEBRATE.txt","AGAP010509-PA, partial")</f>
        <v>AGAP010509-PA, partial</v>
      </c>
      <c r="BB189" s="2" t="str">
        <f>HYPERLINK("http://www.ncbi.nlm.nih.gov/sutils/blink.cgi?pid=XP_314482.4","0.0")</f>
        <v>0.0</v>
      </c>
      <c r="BC189" s="2" t="str">
        <f>HYPERLINK("http://www.ncbi.nlm.nih.gov/protein/XP_314482.4","XP_314482.4")</f>
        <v>XP_314482.4</v>
      </c>
      <c r="BD189" s="2">
        <v>98</v>
      </c>
      <c r="BE189" s="2">
        <v>98</v>
      </c>
      <c r="BF189" s="2">
        <v>99</v>
      </c>
      <c r="BG189" s="2" t="s">
        <v>98</v>
      </c>
      <c r="BH189" s="9" t="str">
        <f>HYPERLINK(".\links\REFSEQ-PROTOZOA\AGAP010509-PA-REFSEQ-PROTOZOA.txt","sugar transporter, putative")</f>
        <v>sugar transporter, putative</v>
      </c>
      <c r="BI189" s="2" t="str">
        <f>HYPERLINK("http://www.ncbi.nlm.nih.gov/sutils/blink.cgi?pid=XP_002787695.1","4E-044")</f>
        <v>4E-044</v>
      </c>
      <c r="BJ189" s="2" t="str">
        <f>HYPERLINK("http://www.ncbi.nlm.nih.gov/protein/XP_002787695.1","XP_002787695.1")</f>
        <v>XP_002787695.1</v>
      </c>
      <c r="BK189" s="2">
        <v>30</v>
      </c>
      <c r="BL189" s="2">
        <v>46</v>
      </c>
      <c r="BM189" s="2">
        <v>76</v>
      </c>
      <c r="BN189" s="2" t="s">
        <v>2303</v>
      </c>
      <c r="BO189" s="9" t="str">
        <f>HYPERLINK(".\links\SWISSP\AGAP010509-PA-SWISSP.txt","Organic cation transporter protein")</f>
        <v>Organic cation transporter protein</v>
      </c>
      <c r="BP189" s="2" t="str">
        <f>HYPERLINK("http://www.uniprot.org/uniprot/Q9VCA2","4E-089")</f>
        <v>4E-089</v>
      </c>
      <c r="BQ189" s="2" t="str">
        <f>HYPERLINK("http://www.uniprot.org/uniprot/Q9VCA2#expression","Q9VCA2")</f>
        <v>Q9VCA2</v>
      </c>
      <c r="BR189" s="2">
        <v>36</v>
      </c>
      <c r="BS189" s="2">
        <v>53</v>
      </c>
      <c r="BT189" s="2">
        <v>97</v>
      </c>
      <c r="BU189" s="2" t="s">
        <v>100</v>
      </c>
      <c r="BV189" s="9" t="str">
        <f>HYPERLINK(".\links\FLYBASE\AGAP010509-PA-FLYBASE.txt","FBpp0082730")</f>
        <v>FBpp0082730</v>
      </c>
      <c r="BW189" s="2" t="str">
        <f>HYPERLINK("http://flybase.org/reports/FBgn0038407#alliance_summary_container","0.0")</f>
        <v>0.0</v>
      </c>
      <c r="BX189" s="2">
        <v>555</v>
      </c>
      <c r="BY189" s="2">
        <v>70</v>
      </c>
      <c r="BZ189" s="2">
        <v>83</v>
      </c>
      <c r="CA189" s="2">
        <v>100</v>
      </c>
      <c r="CB189" s="9" t="str">
        <f>HYPERLINK(".\links\CDD\AGAP010509-PA-CDD.txt","organic_anion_transporter, cation transport protein")</f>
        <v>organic_anion_transporter, cation transport protein</v>
      </c>
      <c r="CC189" s="13">
        <v>2E-95</v>
      </c>
      <c r="CD189" s="2">
        <v>103</v>
      </c>
      <c r="CE189" s="2" t="s">
        <v>2304</v>
      </c>
      <c r="CF189" s="2" t="s">
        <v>2305</v>
      </c>
      <c r="CG189" s="9" t="str">
        <f>HYPERLINK(".\links\KOG\AGAP010509-PA-KOG.txt","Synaptic vesicle transporter SVOP and related transporters (major facilitator superfamily)")</f>
        <v>Synaptic vesicle transporter SVOP and related transporters (major facilitator superfamily)</v>
      </c>
      <c r="CH189" s="13">
        <v>3.0000000000000001E-83</v>
      </c>
      <c r="CI189" s="2">
        <v>99.6</v>
      </c>
      <c r="CJ189" s="2" t="s">
        <v>570</v>
      </c>
      <c r="CK189" s="2" t="s">
        <v>122</v>
      </c>
      <c r="CL189" s="9" t="str">
        <f>HYPERLINK(".\links\PFAM\AGAP010509-PA-PFAM.txt","Sugar_tr, Sugar (and other) transporter")</f>
        <v>Sugar_tr, Sugar (and other) transporter</v>
      </c>
      <c r="CM189" s="13">
        <v>2.0000000000000001E-25</v>
      </c>
      <c r="CN189" s="2">
        <v>88.3</v>
      </c>
      <c r="CO189" s="2" t="s">
        <v>119</v>
      </c>
      <c r="CP189" s="9" t="str">
        <f>HYPERLINK(".\links\SMART\AGAP010509-PA-SMART.txt","AHS1, Allophanate hydrolase subunit 1")</f>
        <v>AHS1, Allophanate hydrolase subunit 1</v>
      </c>
      <c r="CQ189" s="13">
        <v>0.94</v>
      </c>
      <c r="CR189" s="2">
        <v>10.4</v>
      </c>
      <c r="CS189" s="2" t="s">
        <v>2306</v>
      </c>
      <c r="CT189" s="2" t="s">
        <v>2300</v>
      </c>
      <c r="CU189" s="2" t="s">
        <v>2300</v>
      </c>
      <c r="CV189" s="2" t="s">
        <v>2300</v>
      </c>
      <c r="CW189" s="2" t="str">
        <f>HYPERLINK(".\links\pep\AGAP010509-PA-pep.txt","AGAP010509-PA")</f>
        <v>AGAP010509-PA</v>
      </c>
      <c r="CX189" s="2" t="s">
        <v>88</v>
      </c>
      <c r="CY189" s="2">
        <v>557</v>
      </c>
      <c r="CZ189" s="2" t="s">
        <v>106</v>
      </c>
      <c r="DA189" s="2" t="s">
        <v>2307</v>
      </c>
      <c r="DB189" s="2">
        <v>0</v>
      </c>
      <c r="DC189" s="2">
        <v>2</v>
      </c>
      <c r="DD189" s="2" t="str">
        <f>HYPERLINK("https://www.kegg.jp/kegg-bin/search_pathway_text?map=aga&amp;keyword=AGAP010509&amp;mode=1&amp;viewImage=true","AGAP010509")</f>
        <v>AGAP010509</v>
      </c>
      <c r="DE189" s="2" t="s">
        <v>2296</v>
      </c>
      <c r="DF189" s="2" t="s">
        <v>2297</v>
      </c>
      <c r="DG189" s="2" t="s">
        <v>87</v>
      </c>
      <c r="DH189" s="2" t="str">
        <f>HYPERLINK("https://vectorbase.org/vectorbase/app/record/gene/AGAP010509","AGAP010509-RA")</f>
        <v>AGAP010509-RA</v>
      </c>
      <c r="DI189" s="2" t="s">
        <v>125</v>
      </c>
      <c r="DJ189" s="2">
        <v>2531</v>
      </c>
      <c r="DK189" s="2" t="str">
        <f>HYPERLINK(".\links\netoglyc\AGAP010509-PA-netoglyc.txt","0")</f>
        <v>0</v>
      </c>
      <c r="DL189" s="2">
        <v>14</v>
      </c>
      <c r="DM189" s="2">
        <v>9.1999999999999993</v>
      </c>
      <c r="DN189" s="2">
        <v>4.0999999999999996</v>
      </c>
      <c r="DO189" s="2" t="s">
        <v>97</v>
      </c>
      <c r="DP189" s="2" t="s">
        <v>94</v>
      </c>
      <c r="DQ189" s="2" t="str">
        <f>HYPERLINK(".\links\Sigp\AGAP010509-PA-SigP.txt","CYT")</f>
        <v>CYT</v>
      </c>
      <c r="DR189" s="2" t="s">
        <v>94</v>
      </c>
      <c r="DS189" s="2">
        <v>61.058999999999997</v>
      </c>
      <c r="DT189" s="2">
        <v>7.47</v>
      </c>
      <c r="DU189" s="2" t="s">
        <v>94</v>
      </c>
      <c r="DV189" s="2" t="s">
        <v>94</v>
      </c>
      <c r="DW189" s="2" t="s">
        <v>2302</v>
      </c>
      <c r="DX189" s="2">
        <v>557</v>
      </c>
      <c r="DY189" s="8" t="str">
        <f>HYPERLINK(".\links\tmhmm\AGAP010509-PA-tmhmm.txt","12")</f>
        <v>12</v>
      </c>
      <c r="DZ189" s="2">
        <v>44.9</v>
      </c>
      <c r="EA189" s="2">
        <v>21.5</v>
      </c>
      <c r="EB189" s="2">
        <v>33.6</v>
      </c>
      <c r="EC189" s="2" t="str">
        <f>HYPERLINK(".\links\gpi\AGAP010509-PA-gpi.txt","N")</f>
        <v>N</v>
      </c>
      <c r="ED189" s="2">
        <v>0.28999999999999998</v>
      </c>
      <c r="EF189" s="2">
        <v>12</v>
      </c>
      <c r="EG189" s="2" t="str">
        <f>HYPERLINK(".\links\pep\AGAP010509-PA-sulf.txt","1")</f>
        <v>1</v>
      </c>
      <c r="EH189" s="2" t="s">
        <v>94</v>
      </c>
      <c r="EI189" s="2">
        <v>14.003590664272901</v>
      </c>
      <c r="EJ189" s="2">
        <v>4.1292639138240599</v>
      </c>
      <c r="EK189" s="2">
        <v>9.1561938958707394</v>
      </c>
      <c r="EL189" s="2">
        <v>13.285457809694799</v>
      </c>
      <c r="EM189" s="2" t="s">
        <v>94</v>
      </c>
      <c r="EN189" s="2" t="s">
        <v>94</v>
      </c>
      <c r="EO189" s="2" t="s">
        <v>94</v>
      </c>
      <c r="EP189" s="2" t="s">
        <v>94</v>
      </c>
      <c r="EQ189" s="2" t="s">
        <v>94</v>
      </c>
      <c r="ER189" s="2" t="s">
        <v>94</v>
      </c>
      <c r="ES189" s="2" t="s">
        <v>94</v>
      </c>
      <c r="ET189" s="2" t="str">
        <f>HYPERLINK(".\links\REFSEQ-INVERTEBRATE\AGAP010509-PA-REFSEQ-INVERTEBRATE.txt","organic cation transporter protein")</f>
        <v>organic cation transporter protein</v>
      </c>
      <c r="EU189" s="2" t="str">
        <f>HYPERLINK("http://www.ncbi.nlm.nih.gov/sutils/blink.cgi?pid=XP_035898526.1","0.0")</f>
        <v>0.0</v>
      </c>
      <c r="EV189" s="2" t="str">
        <f>HYPERLINK("http://www.ncbi.nlm.nih.gov/protein/XP_035898526.1","XP_035898526.1")</f>
        <v>XP_035898526.1</v>
      </c>
      <c r="EW189" s="2">
        <v>97</v>
      </c>
      <c r="EX189" s="2">
        <v>98</v>
      </c>
      <c r="EY189" s="2">
        <v>100</v>
      </c>
      <c r="EZ189" s="2" t="s">
        <v>184</v>
      </c>
    </row>
    <row r="190" spans="1:156" x14ac:dyDescent="0.25">
      <c r="A190" s="2" t="s">
        <v>2308</v>
      </c>
      <c r="B190" s="2">
        <v>-0.63069501898832003</v>
      </c>
      <c r="C190" s="2">
        <v>0.6458651945098739</v>
      </c>
      <c r="D190" s="2">
        <v>6.4697334644706004</v>
      </c>
      <c r="E190" s="2">
        <v>10.5746377007865</v>
      </c>
      <c r="F190" s="2">
        <v>1.14649736022733E-3</v>
      </c>
      <c r="G190" s="2">
        <v>4.6734592826163199E-2</v>
      </c>
      <c r="H190" s="2" t="s">
        <v>86</v>
      </c>
      <c r="I190" s="2" t="s">
        <v>87</v>
      </c>
      <c r="J190" s="2" t="str">
        <f>HYPERLINK("https://vectorbase.org/vectorbase/app/record/gene/AGAP007480","AGAP007480-RA")</f>
        <v>AGAP007480-RA</v>
      </c>
      <c r="K190" s="2" t="str">
        <f>HYPERLINK(".\links\pep\AGAP007480-PA-pep.txt","AGAP007480-PA")</f>
        <v>AGAP007480-PA</v>
      </c>
      <c r="L190" s="8" t="s">
        <v>88</v>
      </c>
      <c r="M190" s="2">
        <v>499</v>
      </c>
      <c r="N190" s="2">
        <v>0</v>
      </c>
      <c r="O190" s="2">
        <v>4</v>
      </c>
      <c r="P190" s="2" t="s">
        <v>2309</v>
      </c>
      <c r="Q190" s="9" t="s">
        <v>146</v>
      </c>
      <c r="R190" s="2" t="s">
        <v>147</v>
      </c>
      <c r="S190" s="2" t="str">
        <f>HYPERLINK(".\links\PFAM\AGAP007480-PA-PFAM.txt","PFAM")</f>
        <v>PFAM</v>
      </c>
      <c r="T190" s="2">
        <v>9.9999999999999997E-73</v>
      </c>
      <c r="U190" s="2">
        <v>103</v>
      </c>
      <c r="V190" s="2" t="s">
        <v>2310</v>
      </c>
      <c r="W190" s="10" t="s">
        <v>2311</v>
      </c>
      <c r="X190" s="2" t="s">
        <v>147</v>
      </c>
      <c r="Y190" s="2" t="str">
        <f>HYPERLINK(".\links\CDD\AGAP007480-PA-CDD.txt","CDD")</f>
        <v>CDD</v>
      </c>
      <c r="Z190" s="2">
        <v>0</v>
      </c>
      <c r="AA190" s="2">
        <v>101.6</v>
      </c>
      <c r="AB190" s="11" t="s">
        <v>94</v>
      </c>
      <c r="AC190" s="11" t="str">
        <f>HYPERLINK(".\links\Sigp\AGAP007480-PA-SigP.txt","SIG")</f>
        <v>SIG</v>
      </c>
      <c r="AD190" s="2" t="s">
        <v>150</v>
      </c>
      <c r="AE190" s="2">
        <v>57.418999999999997</v>
      </c>
      <c r="AF190" s="2">
        <v>7.63</v>
      </c>
      <c r="AG190" s="2">
        <v>54.872999999999998</v>
      </c>
      <c r="AH190" s="2">
        <v>7.8</v>
      </c>
      <c r="AI190" s="2" t="s">
        <v>2312</v>
      </c>
      <c r="AJ190" s="11">
        <v>0</v>
      </c>
      <c r="AK190" s="2" t="s">
        <v>94</v>
      </c>
      <c r="AL190" s="2" t="s">
        <v>94</v>
      </c>
      <c r="AM190" s="2" t="s">
        <v>94</v>
      </c>
      <c r="AN190" s="11" t="str">
        <f>HYPERLINK(".\links\gpi\AGAP007480-PA-gpi.txt","N")</f>
        <v>N</v>
      </c>
      <c r="AO190" s="12" t="str">
        <f>HYPERLINK(".\links\netoglyc\AGAP007480-PA-netoglyc.txt","0")</f>
        <v>0</v>
      </c>
      <c r="AP190" s="11">
        <v>11.4</v>
      </c>
      <c r="AQ190" s="2">
        <v>5.4</v>
      </c>
      <c r="AR190" s="2">
        <v>6</v>
      </c>
      <c r="AS190" s="2" t="s">
        <v>97</v>
      </c>
      <c r="AT190" s="9" t="str">
        <f>HYPERLINK(".\links\NR-LIGHT\AGAP007480-PA-NR-LIGHT.txt","AGAP007480-PA")</f>
        <v>AGAP007480-PA</v>
      </c>
      <c r="AU190" s="2" t="str">
        <f>HYPERLINK("http://www.ncbi.nlm.nih.gov/sutils/blink.cgi?pid=XP_308393.4","0.0")</f>
        <v>0.0</v>
      </c>
      <c r="AV190" s="2" t="str">
        <f>HYPERLINK("http://www.ncbi.nlm.nih.gov/protein/XP_308393.4","XP_308393.4")</f>
        <v>XP_308393.4</v>
      </c>
      <c r="AW190" s="2">
        <v>100</v>
      </c>
      <c r="AX190" s="2">
        <v>100</v>
      </c>
      <c r="AY190" s="2">
        <v>100</v>
      </c>
      <c r="AZ190" s="2" t="s">
        <v>98</v>
      </c>
      <c r="BA190" s="9" t="str">
        <f>HYPERLINK(".\links\REFSEQ-INVERTEBRATE\AGAP007480-PA-REFSEQ-INVERTEBRATE.txt","AGAP007480-PA")</f>
        <v>AGAP007480-PA</v>
      </c>
      <c r="BB190" s="2" t="str">
        <f>HYPERLINK("http://www.ncbi.nlm.nih.gov/sutils/blink.cgi?pid=XP_308393.4","0.0")</f>
        <v>0.0</v>
      </c>
      <c r="BC190" s="2" t="str">
        <f>HYPERLINK("http://www.ncbi.nlm.nih.gov/protein/XP_308393.4","XP_308393.4")</f>
        <v>XP_308393.4</v>
      </c>
      <c r="BD190" s="2">
        <v>100</v>
      </c>
      <c r="BE190" s="2">
        <v>100</v>
      </c>
      <c r="BF190" s="2">
        <v>100</v>
      </c>
      <c r="BG190" s="2" t="s">
        <v>98</v>
      </c>
      <c r="BH190" s="9" t="str">
        <f>HYPERLINK(".\links\REFSEQ-PROTOZOA\AGAP007480-PA-REFSEQ-PROTOZOA.txt","cytochrome p450")</f>
        <v>cytochrome p450</v>
      </c>
      <c r="BI190" s="2" t="str">
        <f>HYPERLINK("http://www.ncbi.nlm.nih.gov/sutils/blink.cgi?pid=XP_005704852.1","4E-027")</f>
        <v>4E-027</v>
      </c>
      <c r="BJ190" s="2" t="str">
        <f>HYPERLINK("http://www.ncbi.nlm.nih.gov/protein/XP_005704852.1","XP_005704852.1")</f>
        <v>XP_005704852.1</v>
      </c>
      <c r="BK190" s="2">
        <v>24</v>
      </c>
      <c r="BL190" s="2">
        <v>45</v>
      </c>
      <c r="BM190" s="2">
        <v>97</v>
      </c>
      <c r="BN190" s="2" t="s">
        <v>399</v>
      </c>
      <c r="BO190" s="9" t="str">
        <f>HYPERLINK(".\links\SWISSP\AGAP007480-PA-SWISSP.txt","Probable cytochrome P450 308a1")</f>
        <v>Probable cytochrome P450 308a1</v>
      </c>
      <c r="BP190" s="2" t="str">
        <f>HYPERLINK("http://www.uniprot.org/uniprot/Q9VWR2","2E-078")</f>
        <v>2E-078</v>
      </c>
      <c r="BQ190" s="2" t="str">
        <f>HYPERLINK("http://www.uniprot.org/uniprot/Q9VWR2#expression","Q9VWR2")</f>
        <v>Q9VWR2</v>
      </c>
      <c r="BR190" s="2">
        <v>33</v>
      </c>
      <c r="BS190" s="2">
        <v>54</v>
      </c>
      <c r="BT190" s="2">
        <v>103</v>
      </c>
      <c r="BU190" s="2" t="s">
        <v>100</v>
      </c>
      <c r="BV190" s="9" t="str">
        <f>HYPERLINK(".\links\FLYBASE\AGAP007480-PA-FLYBASE.txt","FBpp0074375")</f>
        <v>FBpp0074375</v>
      </c>
      <c r="BW190" s="2" t="str">
        <f>HYPERLINK("http://flybase.org/reports/FBgn0030949#alliance_summary_container","4E-97")</f>
        <v>4E-97</v>
      </c>
      <c r="BX190" s="2">
        <v>490</v>
      </c>
      <c r="BY190" s="2">
        <v>33</v>
      </c>
      <c r="BZ190" s="2">
        <v>54</v>
      </c>
      <c r="CA190" s="2">
        <v>103</v>
      </c>
      <c r="CB190" s="9" t="str">
        <f>HYPERLINK(".\links\CDD\AGAP007480-PA-CDD.txt","p450, Cytochrome P450")</f>
        <v>p450, Cytochrome P450</v>
      </c>
      <c r="CC190" s="13">
        <v>4.9999999999999996E-72</v>
      </c>
      <c r="CD190" s="2">
        <v>103</v>
      </c>
      <c r="CE190" s="2" t="s">
        <v>101</v>
      </c>
      <c r="CF190" s="2" t="s">
        <v>2313</v>
      </c>
      <c r="CG190" s="9" t="str">
        <f>HYPERLINK(".\links\KOG\AGAP007480-PA-KOG.txt","Cytochrome P450 CYP3/CYP5/CYP6/CYP9 subfamilies")</f>
        <v>Cytochrome P450 CYP3/CYP5/CYP6/CYP9 subfamilies</v>
      </c>
      <c r="CH190" s="13">
        <v>9.9999999999999995E-127</v>
      </c>
      <c r="CI190" s="2">
        <v>102.6</v>
      </c>
      <c r="CJ190" s="2" t="s">
        <v>103</v>
      </c>
      <c r="CK190" s="2" t="s">
        <v>104</v>
      </c>
      <c r="CL190" s="9" t="str">
        <f>HYPERLINK(".\links\PFAM\AGAP007480-PA-PFAM.txt","p450, Cytochrome P450")</f>
        <v>p450, Cytochrome P450</v>
      </c>
      <c r="CM190" s="13">
        <v>9.9999999999999997E-73</v>
      </c>
      <c r="CN190" s="2">
        <v>103</v>
      </c>
      <c r="CO190" s="2" t="s">
        <v>101</v>
      </c>
      <c r="CP190" s="9" t="str">
        <f>HYPERLINK(".\links\SMART\AGAP007480-PA-SMART.txt","PKS_AT, Acyl transferase domain in polyketide synthase (PKS) enzymes")</f>
        <v>PKS_AT, Acyl transferase domain in polyketide synthase (PKS) enzymes</v>
      </c>
      <c r="CQ190" s="13">
        <v>1.4</v>
      </c>
      <c r="CR190" s="2">
        <v>8.6999999999999993</v>
      </c>
      <c r="CS190" s="2" t="s">
        <v>182</v>
      </c>
      <c r="CT190" s="2" t="s">
        <v>2310</v>
      </c>
      <c r="CU190" s="2" t="s">
        <v>2310</v>
      </c>
      <c r="CV190" s="2" t="s">
        <v>2310</v>
      </c>
      <c r="CW190" s="2" t="str">
        <f>HYPERLINK(".\links\pep\AGAP007480-PA-pep.txt","AGAP007480-PA")</f>
        <v>AGAP007480-PA</v>
      </c>
      <c r="CX190" s="2" t="s">
        <v>88</v>
      </c>
      <c r="CY190" s="2">
        <v>499</v>
      </c>
      <c r="CZ190" s="2" t="s">
        <v>106</v>
      </c>
      <c r="DA190" s="2" t="s">
        <v>2314</v>
      </c>
      <c r="DB190" s="2">
        <v>0</v>
      </c>
      <c r="DC190" s="2">
        <v>4</v>
      </c>
      <c r="DD190" s="2" t="str">
        <f>HYPERLINK("https://www.kegg.jp/kegg-bin/search_pathway_text?map=aga&amp;keyword=AGAP007480&amp;mode=1&amp;viewImage=true","AGAP007480")</f>
        <v>AGAP007480</v>
      </c>
      <c r="DE190" s="2" t="s">
        <v>2308</v>
      </c>
      <c r="DF190" s="2" t="s">
        <v>86</v>
      </c>
      <c r="DG190" s="2" t="s">
        <v>87</v>
      </c>
      <c r="DH190" s="2" t="str">
        <f>HYPERLINK("https://vectorbase.org/vectorbase/app/record/gene/AGAP007480","AGAP007480-RA")</f>
        <v>AGAP007480-RA</v>
      </c>
      <c r="DI190" s="2" t="s">
        <v>108</v>
      </c>
      <c r="DJ190" s="2">
        <v>1650</v>
      </c>
      <c r="DK190" s="2" t="str">
        <f>HYPERLINK(".\links\netoglyc\AGAP007480-PA-netoglyc.txt","0")</f>
        <v>0</v>
      </c>
      <c r="DL190" s="2">
        <v>11.4</v>
      </c>
      <c r="DM190" s="2">
        <v>5.4</v>
      </c>
      <c r="DN190" s="2">
        <v>6</v>
      </c>
      <c r="DO190" s="2" t="s">
        <v>97</v>
      </c>
      <c r="DP190" s="2" t="s">
        <v>94</v>
      </c>
      <c r="DQ190" s="2" t="str">
        <f>HYPERLINK(".\links\Sigp\AGAP007480-PA-SigP.txt","SIG")</f>
        <v>SIG</v>
      </c>
      <c r="DR190" s="2" t="s">
        <v>150</v>
      </c>
      <c r="DS190" s="2">
        <v>57.418999999999997</v>
      </c>
      <c r="DT190" s="2">
        <v>7.63</v>
      </c>
      <c r="DU190" s="2">
        <v>54.872999999999998</v>
      </c>
      <c r="DV190" s="2">
        <v>7.8</v>
      </c>
      <c r="DW190" s="2" t="s">
        <v>2312</v>
      </c>
      <c r="DX190" s="2">
        <v>499</v>
      </c>
      <c r="DY190" s="8">
        <v>0</v>
      </c>
      <c r="DZ190" s="2" t="s">
        <v>94</v>
      </c>
      <c r="EA190" s="2" t="s">
        <v>94</v>
      </c>
      <c r="EB190" s="2" t="s">
        <v>94</v>
      </c>
      <c r="EC190" s="2" t="str">
        <f>HYPERLINK(".\links\gpi\AGAP007480-PA-gpi.txt","Y-NoSP")</f>
        <v>Y-NoSP</v>
      </c>
      <c r="ED190" s="2">
        <v>0.2</v>
      </c>
      <c r="EF190" s="2">
        <v>6</v>
      </c>
      <c r="EG190" s="2" t="s">
        <v>94</v>
      </c>
      <c r="EH190" s="2" t="s">
        <v>94</v>
      </c>
      <c r="EI190" s="2">
        <v>11.4228456913828</v>
      </c>
      <c r="EJ190" s="2">
        <v>6.0120240480961904</v>
      </c>
      <c r="EK190" s="2">
        <v>5.4108216432865701</v>
      </c>
      <c r="EL190" s="2">
        <v>11.4228456913828</v>
      </c>
      <c r="EM190" s="2">
        <v>1</v>
      </c>
      <c r="EN190" s="2" t="s">
        <v>94</v>
      </c>
      <c r="EO190" s="2">
        <v>3</v>
      </c>
      <c r="EP190" s="2" t="s">
        <v>94</v>
      </c>
      <c r="EQ190" s="2" t="s">
        <v>94</v>
      </c>
      <c r="ER190" s="2" t="s">
        <v>94</v>
      </c>
      <c r="ES190" s="2" t="s">
        <v>94</v>
      </c>
      <c r="ET190" s="2" t="str">
        <f>HYPERLINK(".\links\REFSEQ-INVERTEBRATE\AGAP007480-PA-REFSEQ-INVERTEBRATE.txt","AGAP007480-PA")</f>
        <v>AGAP007480-PA</v>
      </c>
      <c r="EU190" s="2" t="str">
        <f>HYPERLINK("http://www.ncbi.nlm.nih.gov/sutils/blink.cgi?pid=XP_308393.4","0.0")</f>
        <v>0.0</v>
      </c>
      <c r="EV190" s="2" t="str">
        <f>HYPERLINK("http://www.ncbi.nlm.nih.gov/protein/XP_308393.4","XP_308393.4")</f>
        <v>XP_308393.4</v>
      </c>
      <c r="EW190" s="2">
        <v>100</v>
      </c>
      <c r="EX190" s="2">
        <v>100</v>
      </c>
      <c r="EY190" s="2">
        <v>100</v>
      </c>
      <c r="EZ190" s="2" t="s">
        <v>98</v>
      </c>
    </row>
    <row r="191" spans="1:156" x14ac:dyDescent="0.25">
      <c r="A191" s="2" t="s">
        <v>2315</v>
      </c>
      <c r="B191" s="2">
        <v>-0.639366079438076</v>
      </c>
      <c r="C191" s="2">
        <v>0.64199497956936269</v>
      </c>
      <c r="D191" s="2">
        <v>5.1353800136710301</v>
      </c>
      <c r="E191" s="2">
        <v>12.153889372328299</v>
      </c>
      <c r="F191" s="2">
        <v>4.8985604548612105E-4</v>
      </c>
      <c r="G191" s="2">
        <v>2.3756762164934601E-2</v>
      </c>
      <c r="H191" s="2" t="s">
        <v>2316</v>
      </c>
      <c r="I191" s="2" t="s">
        <v>87</v>
      </c>
      <c r="J191" s="2" t="str">
        <f>HYPERLINK("https://vectorbase.org/vectorbase/app/record/gene/AGAP009193","AGAP009193-RA")</f>
        <v>AGAP009193-RA</v>
      </c>
      <c r="K191" s="2" t="str">
        <f>HYPERLINK(".\links\pep\AGAP009193-PA-pep.txt","AGAP009193-PA")</f>
        <v>AGAP009193-PA</v>
      </c>
      <c r="L191" s="8" t="s">
        <v>88</v>
      </c>
      <c r="M191" s="2">
        <v>225</v>
      </c>
      <c r="N191" s="2">
        <v>0</v>
      </c>
      <c r="O191" s="2">
        <v>0</v>
      </c>
      <c r="P191" s="2" t="s">
        <v>2317</v>
      </c>
      <c r="Q191" s="9" t="s">
        <v>2318</v>
      </c>
      <c r="R191" s="2" t="s">
        <v>395</v>
      </c>
      <c r="S191" s="2" t="str">
        <f>HYPERLINK(".\links\REFSEQ-INVERTEBRATE\AGAP009193-PA-REFSEQ-INVERTEBRATE.txt","REFSEQ-INVERTEBRATE")</f>
        <v>REFSEQ-INVERTEBRATE</v>
      </c>
      <c r="T191" s="2">
        <v>1E-91</v>
      </c>
      <c r="U191" s="2">
        <v>99.1</v>
      </c>
      <c r="V191" s="2" t="s">
        <v>2319</v>
      </c>
      <c r="W191" s="10" t="s">
        <v>2320</v>
      </c>
      <c r="X191" s="2" t="s">
        <v>395</v>
      </c>
      <c r="Y191" s="2" t="str">
        <f>HYPERLINK(".\links\REFSEQ-INVERTEBRATE\AGAP009193-PA-REFSEQ-INVERTEBRATE.txt","REFSEQ-INVERTEBRATE")</f>
        <v>REFSEQ-INVERTEBRATE</v>
      </c>
      <c r="Z191" s="2">
        <v>0</v>
      </c>
      <c r="AA191" s="2">
        <v>100.8</v>
      </c>
      <c r="AB191" s="11" t="s">
        <v>94</v>
      </c>
      <c r="AC191" s="11" t="str">
        <f>HYPERLINK(".\links\Sigp\AGAP009193-PA-SigP.txt","CYT")</f>
        <v>CYT</v>
      </c>
      <c r="AD191" s="2" t="s">
        <v>94</v>
      </c>
      <c r="AE191" s="2">
        <v>25.311</v>
      </c>
      <c r="AF191" s="2">
        <v>5.98</v>
      </c>
      <c r="AG191" s="2" t="s">
        <v>94</v>
      </c>
      <c r="AH191" s="2" t="s">
        <v>94</v>
      </c>
      <c r="AI191" s="2" t="s">
        <v>1816</v>
      </c>
      <c r="AJ191" s="11">
        <v>0</v>
      </c>
      <c r="AK191" s="2" t="s">
        <v>94</v>
      </c>
      <c r="AL191" s="2" t="s">
        <v>94</v>
      </c>
      <c r="AM191" s="2" t="s">
        <v>94</v>
      </c>
      <c r="AN191" s="11" t="str">
        <f>HYPERLINK(".\links\gpi\AGAP009193-PA-gpi.txt","N")</f>
        <v>N</v>
      </c>
      <c r="AO191" s="12" t="str">
        <f>HYPERLINK(".\links\netoglyc\AGAP009193-PA-netoglyc.txt","0")</f>
        <v>0</v>
      </c>
      <c r="AP191" s="11">
        <v>9.3000000000000007</v>
      </c>
      <c r="AQ191" s="2">
        <v>4.9000000000000004</v>
      </c>
      <c r="AR191" s="2">
        <v>5.8</v>
      </c>
      <c r="AS191" s="2" t="s">
        <v>97</v>
      </c>
      <c r="AT191" s="9" t="str">
        <f>HYPERLINK(".\links\NR-LIGHT\AGAP009193-PA-NR-LIGHT.txt","AGAP009193-PA")</f>
        <v>AGAP009193-PA</v>
      </c>
      <c r="AU191" s="2" t="str">
        <f>HYPERLINK("http://www.ncbi.nlm.nih.gov/sutils/blink.cgi?pid=XP_319967.1","1E-125")</f>
        <v>1E-125</v>
      </c>
      <c r="AV191" s="2" t="str">
        <f>HYPERLINK("http://www.ncbi.nlm.nih.gov/protein/XP_319967.1","XP_319967.1")</f>
        <v>XP_319967.1</v>
      </c>
      <c r="AW191" s="2">
        <v>100</v>
      </c>
      <c r="AX191" s="2">
        <v>100</v>
      </c>
      <c r="AY191" s="2">
        <v>100</v>
      </c>
      <c r="AZ191" s="2" t="s">
        <v>98</v>
      </c>
      <c r="BA191" s="9" t="str">
        <f>HYPERLINK(".\links\REFSEQ-INVERTEBRATE\AGAP009193-PA-REFSEQ-INVERTEBRATE.txt","AGAP009193-PA")</f>
        <v>AGAP009193-PA</v>
      </c>
      <c r="BB191" s="2" t="str">
        <f>HYPERLINK("http://www.ncbi.nlm.nih.gov/sutils/blink.cgi?pid=XP_319967.1","1E-125")</f>
        <v>1E-125</v>
      </c>
      <c r="BC191" s="2" t="str">
        <f>HYPERLINK("http://www.ncbi.nlm.nih.gov/protein/XP_319967.1","XP_319967.1")</f>
        <v>XP_319967.1</v>
      </c>
      <c r="BD191" s="2">
        <v>100</v>
      </c>
      <c r="BE191" s="2">
        <v>100</v>
      </c>
      <c r="BF191" s="2">
        <v>100</v>
      </c>
      <c r="BG191" s="2" t="s">
        <v>98</v>
      </c>
      <c r="BH191" s="9" t="str">
        <f>HYPERLINK(".\links\REFSEQ-PROTOZOA\AGAP009193-PA-REFSEQ-PROTOZOA.txt","hypothetical protein PPTG_08344")</f>
        <v>hypothetical protein PPTG_08344</v>
      </c>
      <c r="BI191" s="2" t="str">
        <f>HYPERLINK("http://www.ncbi.nlm.nih.gov/sutils/blink.cgi?pid=XP_008900665.1","4E-016")</f>
        <v>4E-016</v>
      </c>
      <c r="BJ191" s="2" t="str">
        <f>HYPERLINK("http://www.ncbi.nlm.nih.gov/protein/XP_008900665.1","XP_008900665.1")</f>
        <v>XP_008900665.1</v>
      </c>
      <c r="BK191" s="2">
        <v>28</v>
      </c>
      <c r="BL191" s="2">
        <v>49</v>
      </c>
      <c r="BM191" s="2">
        <v>91</v>
      </c>
      <c r="BN191" s="2" t="s">
        <v>1339</v>
      </c>
      <c r="BO191" s="9" t="str">
        <f>HYPERLINK(".\links\SWISSP\AGAP009193-PA-SWISSP.txt","Glutathione S-transferase 1")</f>
        <v>Glutathione S-transferase 1</v>
      </c>
      <c r="BP191" s="2" t="str">
        <f>HYPERLINK("http://www.uniprot.org/uniprot/P46430","1E-044")</f>
        <v>1E-044</v>
      </c>
      <c r="BQ191" s="2" t="str">
        <f>HYPERLINK("http://www.uniprot.org/uniprot/P46430#expression","P46430")</f>
        <v>P46430</v>
      </c>
      <c r="BR191" s="2">
        <v>42</v>
      </c>
      <c r="BS191" s="2">
        <v>63</v>
      </c>
      <c r="BT191" s="2">
        <v>99</v>
      </c>
      <c r="BU191" s="2" t="s">
        <v>1619</v>
      </c>
      <c r="BV191" s="9" t="str">
        <f>HYPERLINK(".\links\FLYBASE\AGAP009193-PA-FLYBASE.txt","FBpp0293853")</f>
        <v>FBpp0293853</v>
      </c>
      <c r="BW191" s="2" t="str">
        <f>HYPERLINK("http://flybase.org/reports/FBgn0027590#alliance_summary_container","5E-77")</f>
        <v>5E-77</v>
      </c>
      <c r="BX191" s="2">
        <v>223</v>
      </c>
      <c r="BY191" s="2">
        <v>53</v>
      </c>
      <c r="BZ191" s="2">
        <v>70</v>
      </c>
      <c r="CA191" s="2">
        <v>100</v>
      </c>
      <c r="CB191" s="9" t="str">
        <f>HYPERLINK(".\links\CDD\AGAP009193-PA-CDD.txt","GST_C_Delta_Epsilon, C-terminal, alpha helical domain of Class Delta and Epsilon Glutathione S-transferases")</f>
        <v>GST_C_Delta_Epsilon, C-terminal, alpha helical domain of Class Delta and Epsilon Glutathione S-transferases</v>
      </c>
      <c r="CC191" s="13">
        <v>5.0000000000000003E-38</v>
      </c>
      <c r="CD191" s="2">
        <v>101.7</v>
      </c>
      <c r="CE191" s="2" t="s">
        <v>2321</v>
      </c>
      <c r="CF191" s="2" t="s">
        <v>2322</v>
      </c>
      <c r="CG191" s="9" t="str">
        <f>HYPERLINK(".\links\KOG\AGAP009193-PA-KOG.txt","Glutathione S-transferase")</f>
        <v>Glutathione S-transferase</v>
      </c>
      <c r="CH191" s="13">
        <v>4.9999999999999999E-48</v>
      </c>
      <c r="CI191" s="2">
        <v>98.2</v>
      </c>
      <c r="CJ191" s="2" t="s">
        <v>2323</v>
      </c>
      <c r="CK191" s="2" t="s">
        <v>214</v>
      </c>
      <c r="CL191" s="9" t="str">
        <f>HYPERLINK(".\links\PFAM\AGAP009193-PA-PFAM.txt","GST_N_2, Glutathione S-transferase, N-terminal domain")</f>
        <v>GST_N_2, Glutathione S-transferase, N-terminal domain</v>
      </c>
      <c r="CM191" s="13">
        <v>9.9999999999999995E-8</v>
      </c>
      <c r="CN191" s="2">
        <v>95.6</v>
      </c>
      <c r="CO191" s="2" t="s">
        <v>2324</v>
      </c>
      <c r="CP191" s="9" t="str">
        <f>HYPERLINK(".\links\SMART\AGAP009193-PA-SMART.txt","DoH, Possible catecholamine-binding domain present in a variety of eukaryotic proteins")</f>
        <v>DoH, Possible catecholamine-binding domain present in a variety of eukaryotic proteins</v>
      </c>
      <c r="CQ191" s="13">
        <v>0.11</v>
      </c>
      <c r="CR191" s="2">
        <v>38.5</v>
      </c>
      <c r="CS191" s="2" t="s">
        <v>2325</v>
      </c>
      <c r="CT191" s="2" t="s">
        <v>2319</v>
      </c>
      <c r="CU191" s="2" t="s">
        <v>2319</v>
      </c>
      <c r="CV191" s="2" t="s">
        <v>2319</v>
      </c>
      <c r="CW191" s="2" t="str">
        <f>HYPERLINK(".\links\pep\AGAP009193-PA-pep.txt","AGAP009193-PA")</f>
        <v>AGAP009193-PA</v>
      </c>
      <c r="CX191" s="2" t="s">
        <v>88</v>
      </c>
      <c r="CY191" s="2">
        <v>225</v>
      </c>
      <c r="CZ191" s="2" t="s">
        <v>106</v>
      </c>
      <c r="DA191" s="2" t="s">
        <v>2326</v>
      </c>
      <c r="DB191" s="2">
        <v>0</v>
      </c>
      <c r="DC191" s="2">
        <v>0</v>
      </c>
      <c r="DD191" s="2" t="str">
        <f>HYPERLINK("https://www.kegg.jp/kegg-bin/search_pathway_text?map=aga&amp;keyword=AGAP009193&amp;mode=1&amp;viewImage=true","AGAP009193")</f>
        <v>AGAP009193</v>
      </c>
      <c r="DE191" s="2" t="s">
        <v>2315</v>
      </c>
      <c r="DF191" s="2" t="s">
        <v>2316</v>
      </c>
      <c r="DG191" s="2" t="s">
        <v>87</v>
      </c>
      <c r="DH191" s="2" t="str">
        <f>HYPERLINK("https://vectorbase.org/vectorbase/app/record/gene/AGAP009193","AGAP009193-RA")</f>
        <v>AGAP009193-RA</v>
      </c>
      <c r="DI191" s="2" t="s">
        <v>108</v>
      </c>
      <c r="DJ191" s="2">
        <v>856</v>
      </c>
      <c r="DK191" s="2" t="str">
        <f>HYPERLINK(".\links\netoglyc\AGAP009193-PA-netoglyc.txt","0")</f>
        <v>0</v>
      </c>
      <c r="DL191" s="2">
        <v>9.3000000000000007</v>
      </c>
      <c r="DM191" s="2">
        <v>4.9000000000000004</v>
      </c>
      <c r="DN191" s="2">
        <v>5.8</v>
      </c>
      <c r="DO191" s="2" t="s">
        <v>97</v>
      </c>
      <c r="DP191" s="2" t="s">
        <v>94</v>
      </c>
      <c r="DQ191" s="2" t="str">
        <f>HYPERLINK(".\links\Sigp\AGAP009193-PA-SigP.txt","CYT")</f>
        <v>CYT</v>
      </c>
      <c r="DR191" s="2" t="s">
        <v>94</v>
      </c>
      <c r="DS191" s="2">
        <v>25.311</v>
      </c>
      <c r="DT191" s="2">
        <v>5.98</v>
      </c>
      <c r="DU191" s="2" t="s">
        <v>94</v>
      </c>
      <c r="DV191" s="2" t="s">
        <v>94</v>
      </c>
      <c r="DW191" s="2" t="s">
        <v>1816</v>
      </c>
      <c r="DX191" s="2">
        <v>225</v>
      </c>
      <c r="DY191" s="8">
        <v>0</v>
      </c>
      <c r="DZ191" s="2" t="s">
        <v>94</v>
      </c>
      <c r="EA191" s="2" t="s">
        <v>94</v>
      </c>
      <c r="EB191" s="2" t="s">
        <v>94</v>
      </c>
      <c r="EC191" s="2" t="str">
        <f>HYPERLINK(".\links\gpi\AGAP009193-PA-gpi.txt","Y-NoSP")</f>
        <v>Y-NoSP</v>
      </c>
      <c r="ED191" s="2">
        <v>0.28000000000000003</v>
      </c>
      <c r="EF191" s="2">
        <v>1</v>
      </c>
      <c r="EG191" s="2" t="s">
        <v>94</v>
      </c>
      <c r="EH191" s="2" t="s">
        <v>94</v>
      </c>
      <c r="EI191" s="2">
        <v>9.3333333333333304</v>
      </c>
      <c r="EJ191" s="2">
        <v>5.7777777777777803</v>
      </c>
      <c r="EK191" s="2">
        <v>4.8888888888888902</v>
      </c>
      <c r="EL191" s="2">
        <v>10.6666666666667</v>
      </c>
      <c r="EM191" s="2">
        <v>1</v>
      </c>
      <c r="EN191" s="2" t="s">
        <v>94</v>
      </c>
      <c r="EO191" s="2">
        <v>1</v>
      </c>
      <c r="EP191" s="2" t="s">
        <v>94</v>
      </c>
      <c r="EQ191" s="2" t="s">
        <v>94</v>
      </c>
      <c r="ER191" s="2" t="s">
        <v>94</v>
      </c>
      <c r="ES191" s="2" t="s">
        <v>94</v>
      </c>
      <c r="ET191" s="2" t="str">
        <f>HYPERLINK(".\links\REFSEQ-INVERTEBRATE\AGAP009193-PA-REFSEQ-INVERTEBRATE.txt","AGAP009193-PA")</f>
        <v>AGAP009193-PA</v>
      </c>
      <c r="EU191" s="2" t="str">
        <f>HYPERLINK("http://www.ncbi.nlm.nih.gov/sutils/blink.cgi?pid=XP_319967.1","1E-166")</f>
        <v>1E-166</v>
      </c>
      <c r="EV191" s="2" t="str">
        <f>HYPERLINK("http://www.ncbi.nlm.nih.gov/protein/XP_319967.1","XP_319967.1")</f>
        <v>XP_319967.1</v>
      </c>
      <c r="EW191" s="2">
        <v>100</v>
      </c>
      <c r="EX191" s="2">
        <v>100</v>
      </c>
      <c r="EY191" s="2">
        <v>100</v>
      </c>
      <c r="EZ191" s="2" t="s">
        <v>98</v>
      </c>
    </row>
    <row r="192" spans="1:156" x14ac:dyDescent="0.25">
      <c r="A192" s="2" t="s">
        <v>2327</v>
      </c>
      <c r="B192" s="2">
        <v>-0.65940468414152198</v>
      </c>
      <c r="C192" s="2">
        <v>0.633139502728984</v>
      </c>
      <c r="D192" s="2">
        <v>6.9706371014144199</v>
      </c>
      <c r="E192" s="2">
        <v>15.495912170749</v>
      </c>
      <c r="F192" s="2">
        <v>8.2683872739690799E-5</v>
      </c>
      <c r="G192" s="2">
        <v>6.2058840039623496E-3</v>
      </c>
      <c r="H192" s="2" t="s">
        <v>167</v>
      </c>
      <c r="I192" s="2" t="s">
        <v>87</v>
      </c>
      <c r="J192" s="2" t="str">
        <f>HYPERLINK("https://vectorbase.org/vectorbase/app/record/gene/AGAP011600","AGAP011600-RB")</f>
        <v>AGAP011600-RB</v>
      </c>
      <c r="K192" s="2" t="str">
        <f>HYPERLINK(".\links\pep\AGAP011600-PB-pep.txt","AGAP011600-PB")</f>
        <v>AGAP011600-PB</v>
      </c>
      <c r="L192" s="8" t="s">
        <v>88</v>
      </c>
      <c r="M192" s="2">
        <v>311</v>
      </c>
      <c r="N192" s="2">
        <v>0</v>
      </c>
      <c r="O192" s="2">
        <v>1</v>
      </c>
      <c r="P192" s="2" t="s">
        <v>94</v>
      </c>
      <c r="Q192" s="9" t="s">
        <v>2328</v>
      </c>
      <c r="R192" s="2" t="s">
        <v>318</v>
      </c>
      <c r="S192" s="2" t="str">
        <f>HYPERLINK(".\links\REFSEQ-INVERTEBRATE\AGAP011600-PB-REFSEQ-INVERTEBRATE.txt","REFSEQ-INVERTEBRATE")</f>
        <v>REFSEQ-INVERTEBRATE</v>
      </c>
      <c r="T192" s="2">
        <v>9.9999999999999994E-99</v>
      </c>
      <c r="U192" s="2">
        <v>126.9</v>
      </c>
      <c r="V192" s="2" t="s">
        <v>2329</v>
      </c>
      <c r="W192" s="10" t="s">
        <v>2330</v>
      </c>
      <c r="X192" s="2" t="s">
        <v>318</v>
      </c>
      <c r="Y192" s="2" t="str">
        <f>HYPERLINK(".\links\REFSEQ-INVERTEBRATE\AGAP011600-PB-REFSEQ-INVERTEBRATE.txt","REFSEQ-INVERTEBRATE")</f>
        <v>REFSEQ-INVERTEBRATE</v>
      </c>
      <c r="Z192" s="2">
        <v>0</v>
      </c>
      <c r="AA192" s="2">
        <v>58</v>
      </c>
      <c r="AB192" s="11" t="s">
        <v>94</v>
      </c>
      <c r="AC192" s="11" t="str">
        <f>HYPERLINK(".\links\Sigp\AGAP011600-PB-SigP.txt","CYT")</f>
        <v>CYT</v>
      </c>
      <c r="AD192" s="2" t="s">
        <v>94</v>
      </c>
      <c r="AE192" s="2">
        <v>36.35</v>
      </c>
      <c r="AF192" s="2">
        <v>6.79</v>
      </c>
      <c r="AG192" s="2" t="s">
        <v>94</v>
      </c>
      <c r="AH192" s="2" t="s">
        <v>94</v>
      </c>
      <c r="AI192" s="2" t="s">
        <v>463</v>
      </c>
      <c r="AJ192" s="11">
        <v>0</v>
      </c>
      <c r="AK192" s="2" t="s">
        <v>94</v>
      </c>
      <c r="AL192" s="2" t="s">
        <v>94</v>
      </c>
      <c r="AM192" s="2" t="s">
        <v>94</v>
      </c>
      <c r="AN192" s="11" t="str">
        <f>HYPERLINK(".\links\gpi\AGAP011600-PB-gpi.txt","N")</f>
        <v>N</v>
      </c>
      <c r="AO192" s="12" t="str">
        <f>HYPERLINK(".\links\netoglyc\AGAP011600-PB-netoglyc.txt","0")</f>
        <v>0</v>
      </c>
      <c r="AP192" s="11">
        <v>12.5</v>
      </c>
      <c r="AQ192" s="2">
        <v>2.2999999999999998</v>
      </c>
      <c r="AR192" s="2">
        <v>6.1</v>
      </c>
      <c r="AS192" s="2" t="s">
        <v>97</v>
      </c>
      <c r="AT192" s="9" t="str">
        <f>HYPERLINK(".\links\NR-LIGHT\AGAP011600-PB-NR-LIGHT.txt","hypothetical protein AND_010059")</f>
        <v>hypothetical protein AND_010059</v>
      </c>
      <c r="AU192" s="2" t="str">
        <f>HYPERLINK("http://www.ncbi.nlm.nih.gov/sutils/blink.cgi?pid=ETN58357.1","1E-119")</f>
        <v>1E-119</v>
      </c>
      <c r="AV192" s="2" t="str">
        <f>HYPERLINK("http://www.ncbi.nlm.nih.gov/protein/ETN58357.1","ETN58357.1")</f>
        <v>ETN58357.1</v>
      </c>
      <c r="AW192" s="2">
        <v>78</v>
      </c>
      <c r="AX192" s="2">
        <v>84</v>
      </c>
      <c r="AY192" s="2">
        <v>100</v>
      </c>
      <c r="AZ192" s="2" t="s">
        <v>291</v>
      </c>
      <c r="BA192" s="9" t="str">
        <f>HYPERLINK(".\links\REFSEQ-INVERTEBRATE\AGAP011600-PB-REFSEQ-INVERTEBRATE.txt","protein scylla isoform X1")</f>
        <v>protein scylla isoform X1</v>
      </c>
      <c r="BB192" s="2" t="str">
        <f>HYPERLINK("http://www.ncbi.nlm.nih.gov/sutils/blink.cgi?pid=XP_019537160.2","1E-098")</f>
        <v>1E-098</v>
      </c>
      <c r="BC192" s="2" t="str">
        <f>HYPERLINK("http://www.ncbi.nlm.nih.gov/protein/XP_019537160.2","XP_019537160.2")</f>
        <v>XP_019537160.2</v>
      </c>
      <c r="BD192" s="2">
        <v>64</v>
      </c>
      <c r="BE192" s="2">
        <v>68</v>
      </c>
      <c r="BF192" s="2">
        <v>127</v>
      </c>
      <c r="BG192" s="2" t="s">
        <v>495</v>
      </c>
      <c r="BH192" s="9" t="str">
        <f>HYPERLINK(".\links\REFSEQ-PROTOZOA\AGAP011600-PB-REFSEQ-PROTOZOA.txt","hypothetical protein DDB_G0284513")</f>
        <v>hypothetical protein DDB_G0284513</v>
      </c>
      <c r="BI192" s="2" t="str">
        <f>HYPERLINK("http://www.ncbi.nlm.nih.gov/sutils/blink.cgi?pid=XP_638538.1","3E-024")</f>
        <v>3E-024</v>
      </c>
      <c r="BJ192" s="2" t="str">
        <f>HYPERLINK("http://www.ncbi.nlm.nih.gov/protein/XP_638538.1","XP_638538.1")</f>
        <v>XP_638538.1</v>
      </c>
      <c r="BK192" s="2">
        <v>37</v>
      </c>
      <c r="BL192" s="2">
        <v>49</v>
      </c>
      <c r="BM192" s="2">
        <v>12</v>
      </c>
      <c r="BN192" s="2" t="s">
        <v>292</v>
      </c>
      <c r="BO192" s="9" t="str">
        <f>HYPERLINK(".\links\SWISSP\AGAP011600-PB-SWISSP.txt","Protein charybde")</f>
        <v>Protein charybde</v>
      </c>
      <c r="BP192" s="2" t="str">
        <f>HYPERLINK("http://www.uniprot.org/uniprot/Q2LZ58","3E-044")</f>
        <v>3E-044</v>
      </c>
      <c r="BQ192" s="2" t="str">
        <f>HYPERLINK("http://www.uniprot.org/uniprot/Q2LZ58#expression","Q2LZ58")</f>
        <v>Q2LZ58</v>
      </c>
      <c r="BR192" s="2">
        <v>66</v>
      </c>
      <c r="BS192" s="2">
        <v>83</v>
      </c>
      <c r="BT192" s="2">
        <v>44</v>
      </c>
      <c r="BU192" s="2" t="s">
        <v>765</v>
      </c>
      <c r="BV192" s="9" t="str">
        <f>HYPERLINK(".\links\FLYBASE\AGAP011600-PB-FLYBASE.txt","FBpp0308940")</f>
        <v>FBpp0308940</v>
      </c>
      <c r="BW192" s="2" t="str">
        <f>HYPERLINK("http://flybase.org/reports/FBgn0041094#alliance_summary_container","6E-58")</f>
        <v>6E-58</v>
      </c>
      <c r="BX192" s="2">
        <v>280</v>
      </c>
      <c r="BY192" s="2">
        <v>66</v>
      </c>
      <c r="BZ192" s="2">
        <v>81</v>
      </c>
      <c r="CA192" s="2">
        <v>46</v>
      </c>
      <c r="CB192" s="9" t="str">
        <f>HYPERLINK(".\links\CDD\AGAP011600-PB-CDD.txt","RTP801_C, RTP801 C-terminal region")</f>
        <v>RTP801_C, RTP801 C-terminal region</v>
      </c>
      <c r="CC192" s="13">
        <v>9.9999999999999998E-46</v>
      </c>
      <c r="CD192" s="2">
        <v>100.9</v>
      </c>
      <c r="CE192" s="2" t="s">
        <v>2331</v>
      </c>
      <c r="CF192" s="2" t="s">
        <v>2332</v>
      </c>
      <c r="CG192" s="9" t="str">
        <f>HYPERLINK(".\links\KOG\AGAP011600-PB-KOG.txt","subunit TRAP230")</f>
        <v>subunit TRAP230</v>
      </c>
      <c r="CH192" s="13">
        <v>7.0000000000000001E-12</v>
      </c>
      <c r="CI192" s="2">
        <v>7.9</v>
      </c>
      <c r="CJ192" s="2" t="s">
        <v>311</v>
      </c>
      <c r="CK192" s="2" t="s">
        <v>296</v>
      </c>
      <c r="CL192" s="9" t="str">
        <f>HYPERLINK(".\links\PFAM\AGAP011600-PB-PFAM.txt","RTP801_C, RTP801 C-terminal region")</f>
        <v>RTP801_C, RTP801 C-terminal region</v>
      </c>
      <c r="CM192" s="13">
        <v>2.9999999999999999E-46</v>
      </c>
      <c r="CN192" s="2">
        <v>100.9</v>
      </c>
      <c r="CO192" s="2" t="s">
        <v>2331</v>
      </c>
      <c r="CP192" s="9" t="str">
        <f>HYPERLINK(".\links\SMART\AGAP011600-PB-SMART.txt","OmpH, Outer membrane protein (OmpH-like)")</f>
        <v>OmpH, Outer membrane protein (OmpH-like)</v>
      </c>
      <c r="CQ192" s="13">
        <v>5.0000000000000001E-3</v>
      </c>
      <c r="CR192" s="2">
        <v>32.9</v>
      </c>
      <c r="CS192" s="2" t="s">
        <v>1995</v>
      </c>
      <c r="CT192" s="2" t="s">
        <v>2329</v>
      </c>
      <c r="CU192" s="2" t="s">
        <v>2329</v>
      </c>
      <c r="CV192" s="2" t="s">
        <v>2329</v>
      </c>
      <c r="CW192" s="2" t="str">
        <f>HYPERLINK(".\links\pep\AGAP011600-PB-pep.txt","AGAP011600-PB")</f>
        <v>AGAP011600-PB</v>
      </c>
      <c r="CX192" s="2" t="s">
        <v>88</v>
      </c>
      <c r="CY192" s="2">
        <v>311</v>
      </c>
      <c r="CZ192" s="2" t="s">
        <v>106</v>
      </c>
      <c r="DA192" s="2" t="s">
        <v>2333</v>
      </c>
      <c r="DB192" s="2">
        <v>0</v>
      </c>
      <c r="DC192" s="2">
        <v>1</v>
      </c>
      <c r="DD192" s="2" t="str">
        <f>HYPERLINK("https://www.kegg.jp/kegg-bin/search_pathway_text?map=aga&amp;keyword=AGAP011600&amp;mode=1&amp;viewImage=true","AGAP011600")</f>
        <v>AGAP011600</v>
      </c>
      <c r="DE192" s="2" t="s">
        <v>2327</v>
      </c>
      <c r="DF192" s="2" t="s">
        <v>167</v>
      </c>
      <c r="DG192" s="2" t="s">
        <v>87</v>
      </c>
      <c r="DH192" s="2" t="str">
        <f>HYPERLINK("https://vectorbase.org/vectorbase/app/record/gene/AGAP011600","AGAP011600-RB")</f>
        <v>AGAP011600-RB</v>
      </c>
      <c r="DI192" s="2" t="s">
        <v>125</v>
      </c>
      <c r="DJ192" s="2">
        <v>8266</v>
      </c>
      <c r="DK192" s="2" t="str">
        <f>HYPERLINK(".\links\netoglyc\AGAP011600-PB-netoglyc.txt","0")</f>
        <v>0</v>
      </c>
      <c r="DL192" s="2">
        <v>12.5</v>
      </c>
      <c r="DM192" s="2">
        <v>2.2999999999999998</v>
      </c>
      <c r="DN192" s="2">
        <v>6.1</v>
      </c>
      <c r="DO192" s="2" t="s">
        <v>97</v>
      </c>
      <c r="DP192" s="2" t="s">
        <v>94</v>
      </c>
      <c r="DQ192" s="2" t="str">
        <f>HYPERLINK(".\links\Sigp\AGAP011600-PB-SigP.txt","CYT")</f>
        <v>CYT</v>
      </c>
      <c r="DR192" s="2" t="s">
        <v>94</v>
      </c>
      <c r="DS192" s="2">
        <v>36.35</v>
      </c>
      <c r="DT192" s="2">
        <v>6.79</v>
      </c>
      <c r="DU192" s="2" t="s">
        <v>94</v>
      </c>
      <c r="DV192" s="2" t="s">
        <v>94</v>
      </c>
      <c r="DW192" s="2" t="s">
        <v>463</v>
      </c>
      <c r="DX192" s="2">
        <v>311</v>
      </c>
      <c r="DY192" s="8">
        <v>0</v>
      </c>
      <c r="DZ192" s="2" t="s">
        <v>94</v>
      </c>
      <c r="EA192" s="2" t="s">
        <v>94</v>
      </c>
      <c r="EB192" s="2" t="s">
        <v>94</v>
      </c>
      <c r="EC192" s="2" t="str">
        <f>HYPERLINK(".\links\gpi\AGAP011600-PB-gpi.txt","Y-NoSP")</f>
        <v>Y-NoSP</v>
      </c>
      <c r="ED192" s="2">
        <v>0.4</v>
      </c>
      <c r="EE192" s="2" t="s">
        <v>2334</v>
      </c>
      <c r="EF192" s="2">
        <v>3</v>
      </c>
      <c r="EG192" s="2" t="s">
        <v>94</v>
      </c>
      <c r="EH192" s="2" t="s">
        <v>94</v>
      </c>
      <c r="EI192" s="2">
        <v>12.540192926045</v>
      </c>
      <c r="EJ192" s="2">
        <v>6.1093247588424404</v>
      </c>
      <c r="EK192" s="2">
        <v>2.2508038585209</v>
      </c>
      <c r="EL192" s="2">
        <v>8.3601286173633405</v>
      </c>
      <c r="EM192" s="2" t="s">
        <v>94</v>
      </c>
      <c r="EN192" s="2" t="s">
        <v>94</v>
      </c>
      <c r="EO192" s="2">
        <v>1</v>
      </c>
      <c r="EP192" s="2" t="s">
        <v>94</v>
      </c>
      <c r="EQ192" s="2" t="s">
        <v>94</v>
      </c>
      <c r="ER192" s="2" t="s">
        <v>94</v>
      </c>
      <c r="ES192" s="2" t="s">
        <v>94</v>
      </c>
      <c r="ET192" s="2" t="str">
        <f>HYPERLINK(".\links\REFSEQ-INVERTEBRATE\AGAP011600-PB-REFSEQ-INVERTEBRATE.txt","AGAP011600-PA")</f>
        <v>AGAP011600-PA</v>
      </c>
      <c r="EU192" s="2" t="str">
        <f>HYPERLINK("http://www.ncbi.nlm.nih.gov/sutils/blink.cgi?pid=XP_309913.4","1E-121")</f>
        <v>1E-121</v>
      </c>
      <c r="EV192" s="2" t="str">
        <f>HYPERLINK("http://www.ncbi.nlm.nih.gov/protein/XP_309913.4","XP_309913.4")</f>
        <v>XP_309913.4</v>
      </c>
      <c r="EW192" s="2">
        <v>61</v>
      </c>
      <c r="EX192" s="2">
        <v>66</v>
      </c>
      <c r="EY192" s="2">
        <v>127</v>
      </c>
      <c r="EZ192" s="2" t="s">
        <v>98</v>
      </c>
    </row>
    <row r="193" spans="1:156" x14ac:dyDescent="0.25">
      <c r="A193" s="2" t="s">
        <v>2335</v>
      </c>
      <c r="B193" s="2">
        <v>-0.66873267216626697</v>
      </c>
      <c r="C193" s="2">
        <v>0.62905903820791909</v>
      </c>
      <c r="D193" s="2">
        <v>4.9779028170691397</v>
      </c>
      <c r="E193" s="2">
        <v>17.740155813782501</v>
      </c>
      <c r="F193" s="2">
        <v>2.5322443674180398E-5</v>
      </c>
      <c r="G193" s="2">
        <v>2.5347381488017001E-3</v>
      </c>
      <c r="H193" s="2" t="s">
        <v>2336</v>
      </c>
      <c r="I193" s="2" t="s">
        <v>87</v>
      </c>
      <c r="J193" s="2" t="str">
        <f>HYPERLINK("https://vectorbase.org/vectorbase/app/record/gene/AGAP002520","AGAP002520-RA")</f>
        <v>AGAP002520-RA</v>
      </c>
      <c r="K193" s="2" t="str">
        <f>HYPERLINK(".\links\pep\AGAP002520-PA-pep.txt","AGAP002520-PA")</f>
        <v>AGAP002520-PA</v>
      </c>
      <c r="L193" s="8" t="s">
        <v>88</v>
      </c>
      <c r="M193" s="2">
        <v>252</v>
      </c>
      <c r="N193" s="2">
        <v>0</v>
      </c>
      <c r="O193" s="2">
        <v>0</v>
      </c>
      <c r="P193" s="2" t="s">
        <v>2337</v>
      </c>
      <c r="Q193" s="9" t="s">
        <v>2338</v>
      </c>
      <c r="R193" s="2" t="s">
        <v>131</v>
      </c>
      <c r="S193" s="2" t="str">
        <f>HYPERLINK(".\links\KOG\AGAP002520-PA-KOG.txt","KOG")</f>
        <v>KOG</v>
      </c>
      <c r="T193" s="2">
        <v>1.9999999999999999E-39</v>
      </c>
      <c r="U193" s="2">
        <v>96.8</v>
      </c>
      <c r="V193" s="2" t="s">
        <v>2339</v>
      </c>
      <c r="W193" s="10" t="s">
        <v>133</v>
      </c>
      <c r="X193" s="2" t="s">
        <v>395</v>
      </c>
      <c r="Y193" s="2" t="str">
        <f>HYPERLINK(".\links\COG\AGAP002520-PA-COG.txt","COG")</f>
        <v>COG</v>
      </c>
      <c r="Z193" s="13">
        <v>1.9999999999999999E-34</v>
      </c>
      <c r="AA193" s="2">
        <v>101</v>
      </c>
      <c r="AB193" s="11" t="s">
        <v>94</v>
      </c>
      <c r="AC193" s="11" t="str">
        <f>HYPERLINK(".\links\Sigp\AGAP002520-PA-SigP.txt","BL/SIG")</f>
        <v>BL/SIG</v>
      </c>
      <c r="AD193" s="2" t="s">
        <v>94</v>
      </c>
      <c r="AE193" s="2">
        <v>26.6</v>
      </c>
      <c r="AF193" s="2">
        <v>8.33</v>
      </c>
      <c r="AG193" s="2" t="s">
        <v>94</v>
      </c>
      <c r="AH193" s="2" t="s">
        <v>94</v>
      </c>
      <c r="AI193" s="2" t="s">
        <v>2340</v>
      </c>
      <c r="AJ193" s="11">
        <v>0</v>
      </c>
      <c r="AK193" s="2" t="s">
        <v>94</v>
      </c>
      <c r="AL193" s="2" t="s">
        <v>94</v>
      </c>
      <c r="AM193" s="2" t="s">
        <v>94</v>
      </c>
      <c r="AN193" s="11" t="str">
        <f>HYPERLINK(".\links\gpi\AGAP002520-PA-gpi.txt","N")</f>
        <v>N</v>
      </c>
      <c r="AO193" s="12" t="str">
        <f>HYPERLINK(".\links\netoglyc\AGAP002520-PA-netoglyc.txt","0")</f>
        <v>0</v>
      </c>
      <c r="AP193" s="11">
        <v>13.9</v>
      </c>
      <c r="AQ193" s="2">
        <v>9.5</v>
      </c>
      <c r="AR193" s="2">
        <v>2.8</v>
      </c>
      <c r="AS193" s="2" t="s">
        <v>97</v>
      </c>
      <c r="AT193" s="9" t="str">
        <f>HYPERLINK(".\links\NR-LIGHT\AGAP002520-PA-NR-LIGHT.txt","AGAP002520-PA")</f>
        <v>AGAP002520-PA</v>
      </c>
      <c r="AU193" s="2" t="str">
        <f>HYPERLINK("http://www.ncbi.nlm.nih.gov/sutils/blink.cgi?pid=XP_312417.5","1E-137")</f>
        <v>1E-137</v>
      </c>
      <c r="AV193" s="2" t="str">
        <f>HYPERLINK("http://www.ncbi.nlm.nih.gov/protein/XP_312417.5","XP_312417.5")</f>
        <v>XP_312417.5</v>
      </c>
      <c r="AW193" s="2">
        <v>100</v>
      </c>
      <c r="AX193" s="2">
        <v>100</v>
      </c>
      <c r="AY193" s="2">
        <v>100</v>
      </c>
      <c r="AZ193" s="2" t="s">
        <v>98</v>
      </c>
      <c r="BA193" s="9" t="str">
        <f>HYPERLINK(".\links\REFSEQ-INVERTEBRATE\AGAP002520-PA-REFSEQ-INVERTEBRATE.txt","AGAP002520-PA")</f>
        <v>AGAP002520-PA</v>
      </c>
      <c r="BB193" s="2" t="str">
        <f>HYPERLINK("http://www.ncbi.nlm.nih.gov/sutils/blink.cgi?pid=XP_312417.5","1E-137")</f>
        <v>1E-137</v>
      </c>
      <c r="BC193" s="2" t="str">
        <f>HYPERLINK("http://www.ncbi.nlm.nih.gov/protein/XP_312417.5","XP_312417.5")</f>
        <v>XP_312417.5</v>
      </c>
      <c r="BD193" s="2">
        <v>100</v>
      </c>
      <c r="BE193" s="2">
        <v>100</v>
      </c>
      <c r="BF193" s="2">
        <v>100</v>
      </c>
      <c r="BG193" s="2" t="s">
        <v>98</v>
      </c>
      <c r="BH193" s="9" t="str">
        <f>HYPERLINK(".\links\REFSEQ-PROTOZOA\AGAP002520-PA-REFSEQ-PROTOZOA.txt","hypothetical protein SARC_02898")</f>
        <v>hypothetical protein SARC_02898</v>
      </c>
      <c r="BI193" s="2" t="str">
        <f>HYPERLINK("http://www.ncbi.nlm.nih.gov/sutils/blink.cgi?pid=XP_014158792.1","2E-049")</f>
        <v>2E-049</v>
      </c>
      <c r="BJ193" s="2" t="str">
        <f>HYPERLINK("http://www.ncbi.nlm.nih.gov/protein/XP_014158792.1","XP_014158792.1")</f>
        <v>XP_014158792.1</v>
      </c>
      <c r="BK193" s="2">
        <v>42</v>
      </c>
      <c r="BL193" s="2">
        <v>62</v>
      </c>
      <c r="BM193" s="2">
        <v>100</v>
      </c>
      <c r="BN193" s="2" t="s">
        <v>368</v>
      </c>
      <c r="BO193" s="9" t="str">
        <f>HYPERLINK(".\links\SWISSP\AGAP002520-PA-SWISSP.txt","3-oxoacyl-[acyl-carrier-protein] reductase FabG")</f>
        <v>3-oxoacyl-[acyl-carrier-protein] reductase FabG</v>
      </c>
      <c r="BP193" s="2" t="str">
        <f>HYPERLINK("http://www.uniprot.org/uniprot/Q9X248","4E-040")</f>
        <v>4E-040</v>
      </c>
      <c r="BQ193" s="2" t="str">
        <f>HYPERLINK("http://www.uniprot.org/uniprot/Q9X248#expression","Q9X248")</f>
        <v>Q9X248</v>
      </c>
      <c r="BR193" s="2">
        <v>40</v>
      </c>
      <c r="BS193" s="2">
        <v>57</v>
      </c>
      <c r="BT193" s="2">
        <v>101</v>
      </c>
      <c r="BU193" s="2" t="s">
        <v>2341</v>
      </c>
      <c r="BV193" s="9" t="str">
        <f>HYPERLINK(".\links\FLYBASE\AGAP002520-PA-FLYBASE.txt","FBpp0078385")</f>
        <v>FBpp0078385</v>
      </c>
      <c r="BW193" s="2" t="str">
        <f>HYPERLINK("http://flybase.org/reports/FBgn0051548#alliance_summary_container","1E-150")</f>
        <v>1E-150</v>
      </c>
      <c r="BX193" s="2">
        <v>256</v>
      </c>
      <c r="BY193" s="2">
        <v>77</v>
      </c>
      <c r="BZ193" s="2">
        <v>87</v>
      </c>
      <c r="CA193" s="2">
        <v>100</v>
      </c>
      <c r="CB193" s="9" t="str">
        <f>HYPERLINK(".\links\CDD\AGAP002520-PA-CDD.txt","SDR_c11, classical (c) SDR, subgroup 11")</f>
        <v>SDR_c11, classical (c) SDR, subgroup 11</v>
      </c>
      <c r="CC193" s="13">
        <v>7.9999999999999999E-95</v>
      </c>
      <c r="CD193" s="2">
        <v>100</v>
      </c>
      <c r="CE193" s="2" t="s">
        <v>2342</v>
      </c>
      <c r="CF193" s="2" t="s">
        <v>2343</v>
      </c>
      <c r="CG193" s="9" t="str">
        <f>HYPERLINK(".\links\KOG\AGAP002520-PA-KOG.txt","Reductases with broad range of substrate specificities")</f>
        <v>Reductases with broad range of substrate specificities</v>
      </c>
      <c r="CH193" s="13">
        <v>3.9999999999999999E-64</v>
      </c>
      <c r="CI193" s="2">
        <v>97.4</v>
      </c>
      <c r="CJ193" s="2" t="s">
        <v>2344</v>
      </c>
      <c r="CK193" s="2" t="s">
        <v>122</v>
      </c>
      <c r="CL193" s="9" t="str">
        <f>HYPERLINK(".\links\PFAM\AGAP002520-PA-PFAM.txt","adh_short_C2, Enoyl-(Acyl carrier protein) reductase")</f>
        <v>adh_short_C2, Enoyl-(Acyl carrier protein) reductase</v>
      </c>
      <c r="CM193" s="13">
        <v>1E-56</v>
      </c>
      <c r="CN193" s="2">
        <v>101.3</v>
      </c>
      <c r="CO193" s="2" t="s">
        <v>2345</v>
      </c>
      <c r="CP193" s="9" t="str">
        <f>HYPERLINK(".\links\SMART\AGAP002520-PA-SMART.txt","PKS_KR, This enzymatic domain is part of bacterial polyketide synthases")</f>
        <v>PKS_KR, This enzymatic domain is part of bacterial polyketide synthases</v>
      </c>
      <c r="CQ193" s="13">
        <v>4.0000000000000001E-13</v>
      </c>
      <c r="CR193" s="2">
        <v>102.8</v>
      </c>
      <c r="CS193" s="2" t="s">
        <v>404</v>
      </c>
      <c r="CT193" s="2" t="s">
        <v>2339</v>
      </c>
      <c r="CU193" s="2" t="s">
        <v>2339</v>
      </c>
      <c r="CV193" s="2" t="s">
        <v>2339</v>
      </c>
      <c r="CW193" s="2" t="str">
        <f>HYPERLINK(".\links\pep\AGAP002520-PA-pep.txt","AGAP002520-PA")</f>
        <v>AGAP002520-PA</v>
      </c>
      <c r="CX193" s="2" t="s">
        <v>88</v>
      </c>
      <c r="CY193" s="2">
        <v>252</v>
      </c>
      <c r="CZ193" s="2" t="s">
        <v>106</v>
      </c>
      <c r="DA193" s="2" t="s">
        <v>2346</v>
      </c>
      <c r="DB193" s="2">
        <v>0</v>
      </c>
      <c r="DC193" s="2">
        <v>0</v>
      </c>
      <c r="DD193" s="2" t="str">
        <f>HYPERLINK("https://www.kegg.jp/kegg-bin/search_pathway_text?map=aga&amp;keyword=AGAP002520&amp;mode=1&amp;viewImage=true","AGAP002520")</f>
        <v>AGAP002520</v>
      </c>
      <c r="DE193" s="2" t="s">
        <v>2335</v>
      </c>
      <c r="DF193" s="2" t="s">
        <v>2336</v>
      </c>
      <c r="DG193" s="2" t="s">
        <v>87</v>
      </c>
      <c r="DH193" s="2" t="str">
        <f>HYPERLINK("https://vectorbase.org/vectorbase/app/record/gene/AGAP002520","AGAP002520-RA")</f>
        <v>AGAP002520-RA</v>
      </c>
      <c r="DI193" s="2" t="s">
        <v>108</v>
      </c>
      <c r="DJ193" s="2">
        <v>989</v>
      </c>
      <c r="DK193" s="2" t="str">
        <f>HYPERLINK(".\links\netoglyc\AGAP002520-PA-netoglyc.txt","0")</f>
        <v>0</v>
      </c>
      <c r="DL193" s="2">
        <v>13.9</v>
      </c>
      <c r="DM193" s="2">
        <v>9.5</v>
      </c>
      <c r="DN193" s="2">
        <v>2.8</v>
      </c>
      <c r="DO193" s="2" t="s">
        <v>97</v>
      </c>
      <c r="DP193" s="2" t="s">
        <v>94</v>
      </c>
      <c r="DQ193" s="2" t="str">
        <f>HYPERLINK(".\links\Sigp\AGAP002520-PA-SigP.txt","BL/SIG")</f>
        <v>BL/SIG</v>
      </c>
      <c r="DR193" s="2" t="s">
        <v>94</v>
      </c>
      <c r="DS193" s="2">
        <v>26.6</v>
      </c>
      <c r="DT193" s="2">
        <v>8.33</v>
      </c>
      <c r="DU193" s="2" t="s">
        <v>94</v>
      </c>
      <c r="DV193" s="2" t="s">
        <v>94</v>
      </c>
      <c r="DW193" s="2" t="s">
        <v>2340</v>
      </c>
      <c r="DX193" s="2">
        <v>252</v>
      </c>
      <c r="DY193" s="8">
        <v>0</v>
      </c>
      <c r="DZ193" s="2" t="s">
        <v>94</v>
      </c>
      <c r="EA193" s="2" t="s">
        <v>94</v>
      </c>
      <c r="EB193" s="2" t="s">
        <v>94</v>
      </c>
      <c r="EC193" s="2" t="str">
        <f>HYPERLINK(".\links\gpi\AGAP002520-PA-gpi.txt","Y-NoSP")</f>
        <v>Y-NoSP</v>
      </c>
      <c r="ED193" s="2">
        <v>0.27</v>
      </c>
      <c r="EF193" s="2">
        <v>4</v>
      </c>
      <c r="EG193" s="2" t="s">
        <v>94</v>
      </c>
      <c r="EH193" s="2" t="s">
        <v>94</v>
      </c>
      <c r="EI193" s="2">
        <v>13.8888888888889</v>
      </c>
      <c r="EJ193" s="2">
        <v>2.7777777777777799</v>
      </c>
      <c r="EK193" s="2">
        <v>9.5238095238095202</v>
      </c>
      <c r="EL193" s="2">
        <v>12.301587301587301</v>
      </c>
      <c r="EM193" s="2" t="s">
        <v>94</v>
      </c>
      <c r="EN193" s="2">
        <v>1</v>
      </c>
      <c r="EO193" s="2">
        <v>3</v>
      </c>
      <c r="EP193" s="2" t="s">
        <v>94</v>
      </c>
      <c r="EQ193" s="2" t="s">
        <v>94</v>
      </c>
      <c r="ER193" s="2" t="s">
        <v>94</v>
      </c>
      <c r="ES193" s="2" t="s">
        <v>94</v>
      </c>
      <c r="ET193" s="2" t="str">
        <f>HYPERLINK(".\links\REFSEQ-INVERTEBRATE\AGAP002520-PA-REFSEQ-INVERTEBRATE.txt","AGAP002520-PA")</f>
        <v>AGAP002520-PA</v>
      </c>
      <c r="EU193" s="2" t="str">
        <f>HYPERLINK("http://www.ncbi.nlm.nih.gov/sutils/blink.cgi?pid=XP_312417.5","0.0")</f>
        <v>0.0</v>
      </c>
      <c r="EV193" s="2" t="str">
        <f>HYPERLINK("http://www.ncbi.nlm.nih.gov/protein/XP_312417.5","XP_312417.5")</f>
        <v>XP_312417.5</v>
      </c>
      <c r="EW193" s="2">
        <v>100</v>
      </c>
      <c r="EX193" s="2">
        <v>100</v>
      </c>
      <c r="EY193" s="2">
        <v>100</v>
      </c>
      <c r="EZ193" s="2" t="s">
        <v>98</v>
      </c>
    </row>
    <row r="194" spans="1:156" x14ac:dyDescent="0.25">
      <c r="A194" s="2" t="s">
        <v>2347</v>
      </c>
      <c r="B194" s="2">
        <v>-0.67384998699795995</v>
      </c>
      <c r="C194" s="2">
        <v>0.62683168547332269</v>
      </c>
      <c r="D194" s="2">
        <v>7.3603012060013899</v>
      </c>
      <c r="E194" s="2">
        <v>14.016352220490701</v>
      </c>
      <c r="F194" s="2">
        <v>1.81227706985644E-4</v>
      </c>
      <c r="G194" s="2">
        <v>1.10304320656928E-2</v>
      </c>
      <c r="H194" s="2" t="s">
        <v>167</v>
      </c>
      <c r="I194" s="2" t="s">
        <v>87</v>
      </c>
      <c r="J194" s="2" t="str">
        <f>HYPERLINK("https://vectorbase.org/vectorbase/app/record/gene/AGAP012329","AGAP012329-RA")</f>
        <v>AGAP012329-RA</v>
      </c>
      <c r="K194" s="2" t="str">
        <f>HYPERLINK(".\links\pep\AGAP012329-PA-pep.txt","AGAP012329-PA")</f>
        <v>AGAP012329-PA</v>
      </c>
      <c r="L194" s="8" t="s">
        <v>88</v>
      </c>
      <c r="M194" s="2">
        <v>97</v>
      </c>
      <c r="N194" s="2">
        <v>0</v>
      </c>
      <c r="O194" s="2">
        <v>0</v>
      </c>
      <c r="P194" s="2" t="s">
        <v>94</v>
      </c>
      <c r="Q194" s="9" t="s">
        <v>605</v>
      </c>
      <c r="R194" s="2" t="s">
        <v>606</v>
      </c>
      <c r="S194" s="2" t="str">
        <f>HYPERLINK(".\links\REFSEQ-INVERTEBRATE\AGAP012329-PA-REFSEQ-INVERTEBRATE.txt","REFSEQ-INVERTEBRATE")</f>
        <v>REFSEQ-INVERTEBRATE</v>
      </c>
      <c r="T194" s="2">
        <v>6.9999999999999999E-53</v>
      </c>
      <c r="V194" s="2" t="s">
        <v>2348</v>
      </c>
      <c r="W194" s="10" t="s">
        <v>605</v>
      </c>
      <c r="X194" s="2" t="s">
        <v>606</v>
      </c>
      <c r="Y194" s="2" t="str">
        <f>HYPERLINK(".\links\REFSEQ-INVERTEBRATE\AGAP012329-PA-REFSEQ-INVERTEBRATE.txt","REFSEQ-INVERTEBRATE")</f>
        <v>REFSEQ-INVERTEBRATE</v>
      </c>
      <c r="Z194" s="13">
        <v>9.9999999999999997E-65</v>
      </c>
      <c r="AA194" s="2">
        <v>100</v>
      </c>
      <c r="AB194" s="11" t="s">
        <v>94</v>
      </c>
      <c r="AC194" s="11" t="str">
        <f>HYPERLINK(".\links\Sigp\AGAP012329-PA-SigP.txt","SIG")</f>
        <v>SIG</v>
      </c>
      <c r="AD194" s="2" t="s">
        <v>511</v>
      </c>
      <c r="AE194" s="2">
        <v>10.997</v>
      </c>
      <c r="AF194" s="2">
        <v>9.2200000000000006</v>
      </c>
      <c r="AG194" s="2">
        <v>8.7479999999999993</v>
      </c>
      <c r="AH194" s="2">
        <v>9.59</v>
      </c>
      <c r="AI194" s="2" t="s">
        <v>2349</v>
      </c>
      <c r="AJ194" s="11">
        <v>0</v>
      </c>
      <c r="AK194" s="2" t="s">
        <v>94</v>
      </c>
      <c r="AL194" s="2" t="s">
        <v>94</v>
      </c>
      <c r="AM194" s="2" t="s">
        <v>94</v>
      </c>
      <c r="AN194" s="11" t="str">
        <f>HYPERLINK(".\links\gpi\AGAP012329-PA-gpi.txt","N")</f>
        <v>N</v>
      </c>
      <c r="AO194" s="12" t="str">
        <f>HYPERLINK(".\links\netoglyc\AGAP012329-PA-netoglyc.txt","0")</f>
        <v>0</v>
      </c>
      <c r="AP194" s="11">
        <v>9.3000000000000007</v>
      </c>
      <c r="AQ194" s="2">
        <v>9.3000000000000007</v>
      </c>
      <c r="AR194" s="2">
        <v>4.0999999999999996</v>
      </c>
      <c r="AS194" s="2" t="s">
        <v>97</v>
      </c>
      <c r="AT194" s="9" t="str">
        <f>HYPERLINK(".\links\NR-LIGHT\AGAP012329-PA-NR-LIGHT.txt","AGAP012329-PA")</f>
        <v>AGAP012329-PA</v>
      </c>
      <c r="AU194" s="2" t="str">
        <f>HYPERLINK("http://www.ncbi.nlm.nih.gov/sutils/blink.cgi?pid=XP_551860.2","8E-053")</f>
        <v>8E-053</v>
      </c>
      <c r="AV194" s="2" t="str">
        <f>HYPERLINK("http://www.ncbi.nlm.nih.gov/protein/XP_551860.2","XP_551860.2")</f>
        <v>XP_551860.2</v>
      </c>
      <c r="AW194" s="2">
        <v>100</v>
      </c>
      <c r="AX194" s="2">
        <v>100</v>
      </c>
      <c r="AY194" s="2">
        <v>100</v>
      </c>
      <c r="AZ194" s="2" t="s">
        <v>98</v>
      </c>
      <c r="BA194" s="9" t="str">
        <f>HYPERLINK(".\links\REFSEQ-INVERTEBRATE\AGAP012329-PA-REFSEQ-INVERTEBRATE.txt","AGAP012329-PA")</f>
        <v>AGAP012329-PA</v>
      </c>
      <c r="BB194" s="2" t="str">
        <f>HYPERLINK("http://www.ncbi.nlm.nih.gov/sutils/blink.cgi?pid=XP_551860.2","7E-053")</f>
        <v>7E-053</v>
      </c>
      <c r="BC194" s="2" t="str">
        <f>HYPERLINK("http://www.ncbi.nlm.nih.gov/protein/XP_551860.2","XP_551860.2")</f>
        <v>XP_551860.2</v>
      </c>
      <c r="BD194" s="2">
        <v>100</v>
      </c>
      <c r="BE194" s="2">
        <v>100</v>
      </c>
      <c r="BF194" s="2">
        <v>100</v>
      </c>
      <c r="BG194" s="2" t="s">
        <v>98</v>
      </c>
      <c r="BH194" s="9" t="str">
        <f>HYPERLINK(".\links\REFSEQ-PROTOZOA\AGAP012329-PA-REFSEQ-PROTOZOA.txt","hypothetical protein Pmar_PMAR000570")</f>
        <v>hypothetical protein Pmar_PMAR000570</v>
      </c>
      <c r="BI194" s="2" t="str">
        <f>HYPERLINK("http://www.ncbi.nlm.nih.gov/sutils/blink.cgi?pid=XP_002771517.1","18")</f>
        <v>18</v>
      </c>
      <c r="BJ194" s="2" t="str">
        <f>HYPERLINK("http://www.ncbi.nlm.nih.gov/protein/XP_002771517.1","XP_002771517.1")</f>
        <v>XP_002771517.1</v>
      </c>
      <c r="BK194" s="2">
        <v>37</v>
      </c>
      <c r="BL194" s="2">
        <v>48</v>
      </c>
      <c r="BM194" s="2">
        <v>6</v>
      </c>
      <c r="BN194" s="2" t="s">
        <v>2303</v>
      </c>
      <c r="BO194" s="9" t="str">
        <f>HYPERLINK(".\links\SWISSP\AGAP012329-PA-SWISSP.txt","1-deoxy-D-xylulose-5-phosphate synthase")</f>
        <v>1-deoxy-D-xylulose-5-phosphate synthase</v>
      </c>
      <c r="BP194" s="2" t="str">
        <f>HYPERLINK("http://www.uniprot.org/uniprot/Q2NV94","7.6")</f>
        <v>7.6</v>
      </c>
      <c r="BQ194" s="2" t="str">
        <f>HYPERLINK("http://www.uniprot.org/uniprot/Q2NV94#expression","Q2NV94")</f>
        <v>Q2NV94</v>
      </c>
      <c r="BR194" s="2">
        <v>27</v>
      </c>
      <c r="BS194" s="2">
        <v>43</v>
      </c>
      <c r="BT194" s="2">
        <v>9</v>
      </c>
      <c r="BU194" s="2" t="s">
        <v>2350</v>
      </c>
      <c r="BV194" s="9" t="str">
        <f>HYPERLINK(".\links\FLYBASE\AGAP012329-PA-FLYBASE.txt","FBpp0311638")</f>
        <v>FBpp0311638</v>
      </c>
      <c r="BW194" s="2" t="str">
        <f>HYPERLINK("http://flybase.org/reports/FBgn0034674#alliance_summary_container","5.6")</f>
        <v>5.6</v>
      </c>
      <c r="BX194" s="2">
        <v>637</v>
      </c>
      <c r="BY194" s="2">
        <v>24</v>
      </c>
      <c r="BZ194" s="2">
        <v>48</v>
      </c>
      <c r="CA194" s="2">
        <v>9</v>
      </c>
      <c r="CB194" s="9" t="str">
        <f>HYPERLINK(".\links\CDD\AGAP012329-PA-CDD.txt","Fructosamin_kin, Fructosamine kinase")</f>
        <v>Fructosamin_kin, Fructosamine kinase</v>
      </c>
      <c r="CC194" s="13">
        <v>1.9</v>
      </c>
      <c r="CD194" s="2">
        <v>15.7</v>
      </c>
      <c r="CE194" s="2" t="s">
        <v>2351</v>
      </c>
      <c r="CF194" s="2" t="s">
        <v>2352</v>
      </c>
      <c r="CG194" s="9" t="str">
        <f>HYPERLINK(".\links\KOG\AGAP012329-PA-KOG.txt","Diphthine synthase")</f>
        <v>Diphthine synthase</v>
      </c>
      <c r="CH194" s="13">
        <v>1.6</v>
      </c>
      <c r="CI194" s="2">
        <v>4</v>
      </c>
      <c r="CJ194" s="2" t="s">
        <v>2353</v>
      </c>
      <c r="CK194" s="2" t="s">
        <v>613</v>
      </c>
      <c r="CL194" s="9" t="str">
        <f>HYPERLINK(".\links\PFAM\AGAP012329-PA-PFAM.txt","Fructosamin_kin, Fructosamine kinase")</f>
        <v>Fructosamin_kin, Fructosamine kinase</v>
      </c>
      <c r="CM194" s="13">
        <v>0.45</v>
      </c>
      <c r="CN194" s="2">
        <v>15.7</v>
      </c>
      <c r="CO194" s="2" t="s">
        <v>2351</v>
      </c>
      <c r="CP194" s="9" t="str">
        <f>HYPERLINK(".\links\SMART\AGAP012329-PA-SMART.txt","LamGL, LamG-like jellyroll fold domain")</f>
        <v>LamGL, LamG-like jellyroll fold domain</v>
      </c>
      <c r="CQ194" s="13">
        <v>6.9000000000000006E-2</v>
      </c>
      <c r="CR194" s="2">
        <v>24.8</v>
      </c>
      <c r="CS194" s="2" t="s">
        <v>2354</v>
      </c>
      <c r="CT194" s="2" t="s">
        <v>2348</v>
      </c>
      <c r="CU194" s="2" t="s">
        <v>2348</v>
      </c>
      <c r="CV194" s="2" t="s">
        <v>2348</v>
      </c>
      <c r="CW194" s="2" t="str">
        <f>HYPERLINK(".\links\pep\AGAP012329-PA-pep.txt","AGAP012329-PA")</f>
        <v>AGAP012329-PA</v>
      </c>
      <c r="CX194" s="2" t="s">
        <v>88</v>
      </c>
      <c r="CY194" s="2">
        <v>97</v>
      </c>
      <c r="CZ194" s="2" t="s">
        <v>106</v>
      </c>
      <c r="DA194" s="2" t="s">
        <v>2355</v>
      </c>
      <c r="DB194" s="2">
        <v>0</v>
      </c>
      <c r="DC194" s="2">
        <v>0</v>
      </c>
      <c r="DD194" s="2" t="str">
        <f>HYPERLINK("https://www.kegg.jp/kegg-bin/search_pathway_text?map=aga&amp;keyword=AGAP012329&amp;mode=1&amp;viewImage=true","AGAP012329")</f>
        <v>AGAP012329</v>
      </c>
      <c r="DE194" s="2" t="s">
        <v>2347</v>
      </c>
      <c r="DF194" s="2" t="s">
        <v>167</v>
      </c>
      <c r="DG194" s="2" t="s">
        <v>87</v>
      </c>
      <c r="DH194" s="2" t="str">
        <f>HYPERLINK("https://vectorbase.org/vectorbase/app/record/gene/AGAP012329","AGAP012329-RA")</f>
        <v>AGAP012329-RA</v>
      </c>
      <c r="DI194" s="2" t="s">
        <v>108</v>
      </c>
      <c r="DJ194" s="2">
        <v>721</v>
      </c>
      <c r="DK194" s="2" t="str">
        <f>HYPERLINK(".\links\netoglyc\AGAP012329-PA-netoglyc.txt","0")</f>
        <v>0</v>
      </c>
      <c r="DL194" s="2">
        <v>9.3000000000000007</v>
      </c>
      <c r="DM194" s="2">
        <v>9.3000000000000007</v>
      </c>
      <c r="DN194" s="2">
        <v>4.0999999999999996</v>
      </c>
      <c r="DO194" s="2" t="s">
        <v>97</v>
      </c>
      <c r="DP194" s="2" t="s">
        <v>94</v>
      </c>
      <c r="DQ194" s="2" t="str">
        <f>HYPERLINK(".\links\Sigp\AGAP012329-PA-SigP.txt","SIG")</f>
        <v>SIG</v>
      </c>
      <c r="DR194" s="2" t="s">
        <v>511</v>
      </c>
      <c r="DS194" s="2">
        <v>10.997</v>
      </c>
      <c r="DT194" s="2">
        <v>9.2200000000000006</v>
      </c>
      <c r="DU194" s="2">
        <v>8.7479999999999993</v>
      </c>
      <c r="DV194" s="2">
        <v>9.59</v>
      </c>
      <c r="DW194" s="2" t="s">
        <v>2349</v>
      </c>
      <c r="DX194" s="2">
        <v>97</v>
      </c>
      <c r="DY194" s="8">
        <v>0</v>
      </c>
      <c r="DZ194" s="2" t="s">
        <v>94</v>
      </c>
      <c r="EA194" s="2" t="s">
        <v>94</v>
      </c>
      <c r="EB194" s="2" t="s">
        <v>94</v>
      </c>
      <c r="EC194" s="2" t="str">
        <f>HYPERLINK(".\links\gpi\AGAP012329-PA-gpi.txt","Y-NoSP")</f>
        <v>Y-NoSP</v>
      </c>
      <c r="ED194" s="2">
        <v>0.6</v>
      </c>
      <c r="EF194" s="2">
        <v>5</v>
      </c>
      <c r="EG194" s="2" t="s">
        <v>94</v>
      </c>
      <c r="EH194" s="2" t="s">
        <v>94</v>
      </c>
      <c r="EI194" s="2">
        <v>9.2783505154639201</v>
      </c>
      <c r="EJ194" s="2">
        <v>4.1237113402061896</v>
      </c>
      <c r="EK194" s="2">
        <v>9.2783505154639201</v>
      </c>
      <c r="EL194" s="2">
        <v>13.4020618556701</v>
      </c>
      <c r="EM194" s="2" t="s">
        <v>94</v>
      </c>
      <c r="EN194" s="2">
        <v>1</v>
      </c>
      <c r="EO194" s="2">
        <v>1</v>
      </c>
      <c r="EP194" s="2" t="s">
        <v>94</v>
      </c>
      <c r="EQ194" s="2" t="s">
        <v>94</v>
      </c>
      <c r="ER194" s="2" t="s">
        <v>94</v>
      </c>
      <c r="ES194" s="2" t="s">
        <v>94</v>
      </c>
      <c r="ET194" s="2" t="str">
        <f>HYPERLINK(".\links\REFSEQ-INVERTEBRATE\AGAP012329-PA-REFSEQ-INVERTEBRATE.txt","AGAP012329-PA")</f>
        <v>AGAP012329-PA</v>
      </c>
      <c r="EU194" s="2" t="str">
        <f>HYPERLINK("http://www.ncbi.nlm.nih.gov/sutils/blink.cgi?pid=XP_551860.2","2E-64")</f>
        <v>2E-64</v>
      </c>
      <c r="EV194" s="2" t="str">
        <f>HYPERLINK("http://www.ncbi.nlm.nih.gov/protein/XP_551860.2","XP_551860.2")</f>
        <v>XP_551860.2</v>
      </c>
      <c r="EW194" s="2">
        <v>100</v>
      </c>
      <c r="EX194" s="2">
        <v>100</v>
      </c>
      <c r="EY194" s="2">
        <v>100</v>
      </c>
      <c r="EZ194" s="2" t="s">
        <v>98</v>
      </c>
    </row>
    <row r="195" spans="1:156" x14ac:dyDescent="0.25">
      <c r="A195" s="2" t="s">
        <v>2356</v>
      </c>
      <c r="B195" s="2">
        <v>-0.67663744590720998</v>
      </c>
      <c r="C195" s="2">
        <v>0.62562174114086744</v>
      </c>
      <c r="D195" s="2">
        <v>11.7329742115488</v>
      </c>
      <c r="E195" s="2">
        <v>15.7440547091184</v>
      </c>
      <c r="F195" s="2">
        <v>7.2515480276406704E-5</v>
      </c>
      <c r="G195" s="2">
        <v>5.6675941898675902E-3</v>
      </c>
      <c r="H195" s="2" t="s">
        <v>167</v>
      </c>
      <c r="I195" s="2" t="s">
        <v>87</v>
      </c>
      <c r="J195" s="2" t="str">
        <f>HYPERLINK("https://vectorbase.org/vectorbase/app/record/gene/AGAP002643","AGAP002643-RA")</f>
        <v>AGAP002643-RA</v>
      </c>
      <c r="K195" s="2" t="str">
        <f>HYPERLINK(".\links\pep\AGAP002643-PA-pep.txt","AGAP002643-PA")</f>
        <v>AGAP002643-PA</v>
      </c>
      <c r="L195" s="8" t="s">
        <v>88</v>
      </c>
      <c r="M195" s="2">
        <v>155</v>
      </c>
      <c r="N195" s="2">
        <v>0</v>
      </c>
      <c r="O195" s="2">
        <v>0</v>
      </c>
      <c r="P195" s="2" t="s">
        <v>94</v>
      </c>
      <c r="Q195" s="9" t="s">
        <v>2357</v>
      </c>
      <c r="R195" s="2" t="s">
        <v>2358</v>
      </c>
      <c r="S195" s="2" t="str">
        <f>HYPERLINK(".\links\REFSEQ-INVERTEBRATE\AGAP002643-PA-REFSEQ-INVERTEBRATE.txt","REFSEQ-INVERTEBRATE")</f>
        <v>REFSEQ-INVERTEBRATE</v>
      </c>
      <c r="T195" s="2">
        <v>2.0000000000000001E-83</v>
      </c>
      <c r="V195" s="2" t="s">
        <v>2359</v>
      </c>
      <c r="W195" s="10" t="s">
        <v>2360</v>
      </c>
      <c r="X195" s="2" t="s">
        <v>2358</v>
      </c>
      <c r="Y195" s="2" t="str">
        <f>HYPERLINK(".\links\REFSEQ-INVERTEBRATE\AGAP002643-PA-REFSEQ-INVERTEBRATE.txt","REFSEQ-INVERTEBRATE")</f>
        <v>REFSEQ-INVERTEBRATE</v>
      </c>
      <c r="Z195" s="13">
        <v>0</v>
      </c>
      <c r="AB195" s="11" t="s">
        <v>94</v>
      </c>
      <c r="AC195" s="11" t="str">
        <f>HYPERLINK(".\links\Sigp\AGAP002643-PA-SigP.txt","SIG")</f>
        <v>SIG</v>
      </c>
      <c r="AD195" s="2" t="s">
        <v>1065</v>
      </c>
      <c r="AE195" s="2">
        <v>16.510999999999999</v>
      </c>
      <c r="AF195" s="2">
        <v>5.18</v>
      </c>
      <c r="AG195" s="2">
        <v>13.675000000000001</v>
      </c>
      <c r="AH195" s="2">
        <v>4.6399999999999997</v>
      </c>
      <c r="AI195" s="2" t="s">
        <v>2361</v>
      </c>
      <c r="AJ195" s="11" t="str">
        <f>HYPERLINK(".\links\tmhmm\AGAP002643-PA-tmhmm.txt","2")</f>
        <v>2</v>
      </c>
      <c r="AK195" s="2">
        <v>26.5</v>
      </c>
      <c r="AL195" s="2">
        <v>68.400000000000006</v>
      </c>
      <c r="AM195" s="2">
        <v>5.2</v>
      </c>
      <c r="AN195" s="11" t="str">
        <f>HYPERLINK(".\links\gpi\AGAP002643-PA-gpi.txt","Y")</f>
        <v>Y</v>
      </c>
      <c r="AO195" s="12" t="str">
        <f>HYPERLINK(".\links\netoglyc\AGAP002643-PA-netoglyc.txt","0")</f>
        <v>0</v>
      </c>
      <c r="AP195" s="11">
        <v>19.399999999999999</v>
      </c>
      <c r="AQ195" s="2">
        <v>5.2</v>
      </c>
      <c r="AR195" s="2">
        <v>2.6</v>
      </c>
      <c r="AS195" s="2" t="s">
        <v>97</v>
      </c>
      <c r="AT195" s="9" t="str">
        <f>HYPERLINK(".\links\NR-LIGHT\AGAP002643-PA-NR-LIGHT.txt","AGAP002643-PA")</f>
        <v>AGAP002643-PA</v>
      </c>
      <c r="AU195" s="2" t="str">
        <f>HYPERLINK("http://www.ncbi.nlm.nih.gov/sutils/blink.cgi?pid=XP_312285.2","2E-083")</f>
        <v>2E-083</v>
      </c>
      <c r="AV195" s="2" t="str">
        <f>HYPERLINK("http://www.ncbi.nlm.nih.gov/protein/XP_312285.2","XP_312285.2")</f>
        <v>XP_312285.2</v>
      </c>
      <c r="AW195" s="2">
        <v>100</v>
      </c>
      <c r="AX195" s="2">
        <v>100</v>
      </c>
      <c r="AY195" s="2">
        <v>100</v>
      </c>
      <c r="AZ195" s="2" t="s">
        <v>98</v>
      </c>
      <c r="BA195" s="9" t="str">
        <f>HYPERLINK(".\links\REFSEQ-INVERTEBRATE\AGAP002643-PA-REFSEQ-INVERTEBRATE.txt","AGAP002643-PA")</f>
        <v>AGAP002643-PA</v>
      </c>
      <c r="BB195" s="2" t="str">
        <f>HYPERLINK("http://www.ncbi.nlm.nih.gov/sutils/blink.cgi?pid=XP_312285.2","2E-083")</f>
        <v>2E-083</v>
      </c>
      <c r="BC195" s="2" t="str">
        <f>HYPERLINK("http://www.ncbi.nlm.nih.gov/protein/XP_312285.2","XP_312285.2")</f>
        <v>XP_312285.2</v>
      </c>
      <c r="BD195" s="2">
        <v>100</v>
      </c>
      <c r="BE195" s="2">
        <v>100</v>
      </c>
      <c r="BF195" s="2">
        <v>100</v>
      </c>
      <c r="BG195" s="2" t="s">
        <v>98</v>
      </c>
      <c r="BH195" s="9" t="str">
        <f>HYPERLINK(".\links\REFSEQ-PROTOZOA\AGAP002643-PA-REFSEQ-PROTOZOA.txt","hypothetical protein GUITHDRAFT_113657")</f>
        <v>hypothetical protein GUITHDRAFT_113657</v>
      </c>
      <c r="BI195" s="2" t="str">
        <f>HYPERLINK("http://www.ncbi.nlm.nih.gov/sutils/blink.cgi?pid=XP_005827158.1","2.8")</f>
        <v>2.8</v>
      </c>
      <c r="BJ195" s="2" t="str">
        <f>HYPERLINK("http://www.ncbi.nlm.nih.gov/protein/XP_005827158.1","XP_005827158.1")</f>
        <v>XP_005827158.1</v>
      </c>
      <c r="BK195" s="2">
        <v>30</v>
      </c>
      <c r="BL195" s="2">
        <v>54</v>
      </c>
      <c r="BM195" s="2">
        <v>7</v>
      </c>
      <c r="BN195" s="2" t="s">
        <v>690</v>
      </c>
      <c r="BO195" s="9" t="str">
        <f>HYPERLINK(".\links\SWISSP\AGAP002643-PA-SWISSP.txt","Ly6/PLAUR domain-containing protein 2")</f>
        <v>Ly6/PLAUR domain-containing protein 2</v>
      </c>
      <c r="BP195" s="2" t="str">
        <f>HYPERLINK("http://www.uniprot.org/uniprot/Q6UXB3","0.14")</f>
        <v>0.14</v>
      </c>
      <c r="BQ195" s="2" t="str">
        <f>HYPERLINK("http://www.uniprot.org/uniprot/Q6UXB3#expression","Q6UXB3")</f>
        <v>Q6UXB3</v>
      </c>
      <c r="BR195" s="2">
        <v>23</v>
      </c>
      <c r="BS195" s="2">
        <v>36</v>
      </c>
      <c r="BT195" s="2">
        <v>114</v>
      </c>
      <c r="BU195" s="2" t="s">
        <v>196</v>
      </c>
      <c r="BV195" s="9" t="str">
        <f>HYPERLINK(".\links\FLYBASE\AGAP002643-PA-FLYBASE.txt","FBpp0305225")</f>
        <v>FBpp0305225</v>
      </c>
      <c r="BW195" s="2" t="str">
        <f>HYPERLINK("http://flybase.org/reports/FBgn0032900#alliance_summary_container","0.006")</f>
        <v>0.006</v>
      </c>
      <c r="BX195" s="2">
        <v>150</v>
      </c>
      <c r="BY195" s="2">
        <v>26</v>
      </c>
      <c r="BZ195" s="2">
        <v>44</v>
      </c>
      <c r="CA195" s="2">
        <v>92</v>
      </c>
      <c r="CB195" s="9" t="str">
        <f>HYPERLINK(".\links\CDD\AGAP002643-PA-CDD.txt","dCO2ase_PEP1, pyridoxal-dependent decarboxylase, exosortase A system-associated")</f>
        <v>dCO2ase_PEP1, pyridoxal-dependent decarboxylase, exosortase A system-associated</v>
      </c>
      <c r="CC195" s="13">
        <v>4.2</v>
      </c>
      <c r="CD195" s="2">
        <v>8.5</v>
      </c>
      <c r="CE195" s="2" t="s">
        <v>2362</v>
      </c>
      <c r="CF195" s="2" t="s">
        <v>2363</v>
      </c>
      <c r="CG195" s="9" t="str">
        <f>HYPERLINK(".\links\KOG\AGAP002643-PA-KOG.txt","Myosin class I heavy chain")</f>
        <v>Myosin class I heavy chain</v>
      </c>
      <c r="CH195" s="13">
        <v>1.1000000000000001</v>
      </c>
      <c r="CI195" s="2">
        <v>4.3</v>
      </c>
      <c r="CJ195" s="2" t="s">
        <v>2364</v>
      </c>
      <c r="CK195" s="2" t="s">
        <v>246</v>
      </c>
      <c r="CL195" s="9" t="str">
        <f>HYPERLINK(".\links\PFAM\AGAP002643-PA-PFAM.txt","LANC_like, Lanthionine synthetase C-like protein")</f>
        <v>LANC_like, Lanthionine synthetase C-like protein</v>
      </c>
      <c r="CM195" s="13">
        <v>3.4</v>
      </c>
      <c r="CN195" s="2">
        <v>14.3</v>
      </c>
      <c r="CO195" s="2" t="s">
        <v>2365</v>
      </c>
      <c r="CP195" s="9" t="str">
        <f>HYPERLINK(".\links\SMART\AGAP002643-PA-SMART.txt","FIST, FIST N domain")</f>
        <v>FIST, FIST N domain</v>
      </c>
      <c r="CQ195" s="13">
        <v>1.1000000000000001</v>
      </c>
      <c r="CR195" s="2">
        <v>23</v>
      </c>
      <c r="CS195" s="2" t="s">
        <v>2366</v>
      </c>
      <c r="CT195" s="2" t="s">
        <v>2359</v>
      </c>
      <c r="CU195" s="2" t="s">
        <v>2359</v>
      </c>
      <c r="CV195" s="2" t="s">
        <v>2359</v>
      </c>
      <c r="CW195" s="2" t="str">
        <f>HYPERLINK(".\links\pep\AGAP002643-PA-pep.txt","AGAP002643-PA")</f>
        <v>AGAP002643-PA</v>
      </c>
      <c r="CX195" s="2" t="s">
        <v>88</v>
      </c>
      <c r="CY195" s="2">
        <v>155</v>
      </c>
      <c r="CZ195" s="2" t="s">
        <v>106</v>
      </c>
      <c r="DA195" s="2" t="s">
        <v>2367</v>
      </c>
      <c r="DB195" s="2">
        <v>0</v>
      </c>
      <c r="DC195" s="2">
        <v>0</v>
      </c>
      <c r="DD195" s="2" t="str">
        <f>HYPERLINK("https://www.kegg.jp/kegg-bin/search_pathway_text?map=aga&amp;keyword=AGAP002643&amp;mode=1&amp;viewImage=true","AGAP002643")</f>
        <v>AGAP002643</v>
      </c>
      <c r="DE195" s="2" t="s">
        <v>2356</v>
      </c>
      <c r="DF195" s="2" t="s">
        <v>167</v>
      </c>
      <c r="DG195" s="2" t="s">
        <v>87</v>
      </c>
      <c r="DH195" s="2" t="str">
        <f>HYPERLINK("https://vectorbase.org/vectorbase/app/record/gene/AGAP002643","AGAP002643-RA")</f>
        <v>AGAP002643-RA</v>
      </c>
      <c r="DI195" s="2" t="s">
        <v>250</v>
      </c>
      <c r="DJ195" s="2">
        <v>707</v>
      </c>
      <c r="DK195" s="2" t="str">
        <f>HYPERLINK(".\links\netoglyc\AGAP002643-PA-netoglyc.txt","0")</f>
        <v>0</v>
      </c>
      <c r="DL195" s="2">
        <v>19.399999999999999</v>
      </c>
      <c r="DM195" s="2">
        <v>5.2</v>
      </c>
      <c r="DN195" s="2">
        <v>2.6</v>
      </c>
      <c r="DO195" s="2" t="s">
        <v>97</v>
      </c>
      <c r="DP195" s="2" t="s">
        <v>94</v>
      </c>
      <c r="DQ195" s="2" t="str">
        <f>HYPERLINK(".\links\Sigp\AGAP002643-PA-SigP.txt","SIG")</f>
        <v>SIG</v>
      </c>
      <c r="DR195" s="2" t="s">
        <v>1065</v>
      </c>
      <c r="DS195" s="2">
        <v>16.510999999999999</v>
      </c>
      <c r="DT195" s="2">
        <v>5.18</v>
      </c>
      <c r="DU195" s="2">
        <v>13.675000000000001</v>
      </c>
      <c r="DV195" s="2">
        <v>4.6399999999999997</v>
      </c>
      <c r="DW195" s="2" t="s">
        <v>2361</v>
      </c>
      <c r="DX195" s="2">
        <v>155</v>
      </c>
      <c r="DY195" s="8" t="str">
        <f>HYPERLINK(".\links\tmhmm\AGAP002643-PA-tmhmm.txt","2")</f>
        <v>2</v>
      </c>
      <c r="DZ195" s="2">
        <v>26.5</v>
      </c>
      <c r="EA195" s="2">
        <v>68.400000000000006</v>
      </c>
      <c r="EB195" s="2">
        <v>5.2</v>
      </c>
      <c r="EC195" s="2" t="str">
        <f>HYPERLINK(".\links\gpi\AGAP002643-PA-gpi.txt","Y-NoSP")</f>
        <v>Y-NoSP</v>
      </c>
      <c r="ED195" s="2">
        <v>0.46</v>
      </c>
      <c r="EE195" s="2" t="s">
        <v>2368</v>
      </c>
      <c r="EF195" s="2">
        <v>11</v>
      </c>
      <c r="EG195" s="2" t="s">
        <v>94</v>
      </c>
      <c r="EH195" s="2" t="s">
        <v>94</v>
      </c>
      <c r="EI195" s="2">
        <v>19.354838709677399</v>
      </c>
      <c r="EJ195" s="2">
        <v>2.5806451612903198</v>
      </c>
      <c r="EK195" s="2">
        <v>5.1612903225806503</v>
      </c>
      <c r="EL195" s="2">
        <v>7.7419354838709697</v>
      </c>
      <c r="EM195" s="2" t="s">
        <v>94</v>
      </c>
      <c r="EN195" s="2">
        <v>1</v>
      </c>
      <c r="EO195" s="2">
        <v>1</v>
      </c>
      <c r="EP195" s="2" t="s">
        <v>94</v>
      </c>
      <c r="EQ195" s="2" t="s">
        <v>94</v>
      </c>
      <c r="ER195" s="2" t="s">
        <v>94</v>
      </c>
      <c r="ES195" s="2" t="s">
        <v>94</v>
      </c>
      <c r="ET195" s="2" t="str">
        <f>HYPERLINK(".\links\REFSEQ-INVERTEBRATE\AGAP002643-PA-REFSEQ-INVERTEBRATE.txt","AGAP002643-PA")</f>
        <v>AGAP002643-PA</v>
      </c>
      <c r="EU195" s="2" t="str">
        <f>HYPERLINK("http://www.ncbi.nlm.nih.gov/sutils/blink.cgi?pid=XP_312285.2","1E-109")</f>
        <v>1E-109</v>
      </c>
      <c r="EV195" s="2" t="str">
        <f>HYPERLINK("http://www.ncbi.nlm.nih.gov/protein/XP_312285.2","XP_312285.2")</f>
        <v>XP_312285.2</v>
      </c>
      <c r="EW195" s="2">
        <v>100</v>
      </c>
      <c r="EX195" s="2">
        <v>100</v>
      </c>
      <c r="EY195" s="2">
        <v>100</v>
      </c>
      <c r="EZ195" s="2" t="s">
        <v>98</v>
      </c>
    </row>
    <row r="196" spans="1:156" x14ac:dyDescent="0.25">
      <c r="A196" s="2" t="s">
        <v>2369</v>
      </c>
      <c r="B196" s="2">
        <v>-0.68020955987236797</v>
      </c>
      <c r="C196" s="2">
        <v>0.62407461738727399</v>
      </c>
      <c r="D196" s="2">
        <v>4.2908863418500998</v>
      </c>
      <c r="E196" s="2">
        <v>12.372126727610601</v>
      </c>
      <c r="F196" s="2">
        <v>4.3579092702739899E-4</v>
      </c>
      <c r="G196" s="2">
        <v>2.1464972900511001E-2</v>
      </c>
      <c r="H196" s="2" t="s">
        <v>167</v>
      </c>
      <c r="I196" s="2" t="s">
        <v>87</v>
      </c>
      <c r="J196" s="2" t="str">
        <f>HYPERLINK("https://vectorbase.org/vectorbase/app/record/gene/AGAP028496","AGAP028496-RA")</f>
        <v>AGAP028496-RA</v>
      </c>
      <c r="K196" s="2" t="str">
        <f>HYPERLINK(".\links\pep\AGAP028496-PA-pep.txt","AGAP028496-PA")</f>
        <v>AGAP028496-PA</v>
      </c>
      <c r="L196" s="8" t="s">
        <v>88</v>
      </c>
      <c r="M196" s="2">
        <v>1294</v>
      </c>
      <c r="N196" s="2">
        <v>0</v>
      </c>
      <c r="O196" s="2">
        <v>4</v>
      </c>
      <c r="P196" s="2" t="s">
        <v>94</v>
      </c>
      <c r="Q196" s="9" t="s">
        <v>2370</v>
      </c>
      <c r="R196" s="2" t="s">
        <v>253</v>
      </c>
      <c r="S196" s="2" t="str">
        <f>HYPERLINK(".\links\REFSEQ-INVERTEBRATE\AGAP028496-PA-REFSEQ-INVERTEBRATE.txt","REFSEQ-INVERTEBRATE")</f>
        <v>REFSEQ-INVERTEBRATE</v>
      </c>
      <c r="T196" s="2">
        <v>0</v>
      </c>
      <c r="U196" s="2">
        <v>99.3</v>
      </c>
      <c r="V196" s="2" t="s">
        <v>2371</v>
      </c>
      <c r="W196" s="10" t="s">
        <v>2372</v>
      </c>
      <c r="X196" s="2" t="s">
        <v>253</v>
      </c>
      <c r="Y196" s="2" t="str">
        <f>HYPERLINK(".\links\ARTHORPODA\AGAP028496-PA-ARTHORPODA.txt","ARTHORPODA")</f>
        <v>ARTHORPODA</v>
      </c>
      <c r="Z196" s="2">
        <v>0</v>
      </c>
      <c r="AA196" s="2">
        <v>88.3</v>
      </c>
      <c r="AB196" s="11" t="str">
        <f>HYPERLINK(".\links\pep\AGAP028496-PA-sulf.txt","3")</f>
        <v>3</v>
      </c>
      <c r="AC196" s="11" t="str">
        <f>HYPERLINK(".\links\Sigp\AGAP028496-PA-SigP.txt","CYT")</f>
        <v>CYT</v>
      </c>
      <c r="AD196" s="2" t="s">
        <v>94</v>
      </c>
      <c r="AE196" s="2">
        <v>142.60499999999999</v>
      </c>
      <c r="AF196" s="2">
        <v>8.91</v>
      </c>
      <c r="AG196" s="2" t="s">
        <v>94</v>
      </c>
      <c r="AH196" s="2" t="s">
        <v>94</v>
      </c>
      <c r="AI196" s="2" t="s">
        <v>390</v>
      </c>
      <c r="AJ196" s="11">
        <v>0</v>
      </c>
      <c r="AK196" s="2" t="s">
        <v>94</v>
      </c>
      <c r="AL196" s="2" t="s">
        <v>94</v>
      </c>
      <c r="AM196" s="2" t="s">
        <v>94</v>
      </c>
      <c r="AN196" s="11" t="str">
        <f>HYPERLINK(".\links\gpi\AGAP028496-PA-gpi.txt","N")</f>
        <v>N</v>
      </c>
      <c r="AO196" s="12" t="str">
        <f>HYPERLINK(".\links\netoglyc\AGAP028496-PA-netoglyc.txt","14")</f>
        <v>14</v>
      </c>
      <c r="AP196" s="11">
        <v>21.5</v>
      </c>
      <c r="AQ196" s="2">
        <v>3.4</v>
      </c>
      <c r="AR196" s="2">
        <v>7.9</v>
      </c>
      <c r="AS196" s="2" t="s">
        <v>97</v>
      </c>
      <c r="AT196" s="9" t="str">
        <f>HYPERLINK(".\links\NR-LIGHT\AGAP028496-PA-NR-LIGHT.txt","hypothetical protein ZHAS_00008963")</f>
        <v>hypothetical protein ZHAS_00008963</v>
      </c>
      <c r="AU196" s="2" t="str">
        <f>HYPERLINK("http://www.ncbi.nlm.nih.gov/sutils/blink.cgi?pid=KFB41352.1","0.0")</f>
        <v>0.0</v>
      </c>
      <c r="AV196" s="2" t="str">
        <f>HYPERLINK("http://www.ncbi.nlm.nih.gov/protein/KFB41352.1","KFB41352.1")</f>
        <v>KFB41352.1</v>
      </c>
      <c r="AW196" s="2">
        <v>58</v>
      </c>
      <c r="AX196" s="2">
        <v>70</v>
      </c>
      <c r="AY196" s="2">
        <v>73</v>
      </c>
      <c r="AZ196" s="2" t="s">
        <v>174</v>
      </c>
      <c r="BA196" s="9" t="str">
        <f>HYPERLINK(".\links\REFSEQ-INVERTEBRATE\AGAP028496-PA-REFSEQ-INVERTEBRATE.txt","uncharacterized protein DDB_G0284459-like isoform X4")</f>
        <v>uncharacterized protein DDB_G0284459-like isoform X4</v>
      </c>
      <c r="BB196" s="2" t="str">
        <f>HYPERLINK("http://www.ncbi.nlm.nih.gov/sutils/blink.cgi?pid=XP_019529229.1","0.0")</f>
        <v>0.0</v>
      </c>
      <c r="BC196" s="2" t="str">
        <f>HYPERLINK("http://www.ncbi.nlm.nih.gov/protein/XP_019529229.1","XP_019529229.1")</f>
        <v>XP_019529229.1</v>
      </c>
      <c r="BD196" s="2">
        <v>42</v>
      </c>
      <c r="BE196" s="2">
        <v>53</v>
      </c>
      <c r="BF196" s="2">
        <v>99</v>
      </c>
      <c r="BG196" s="2" t="s">
        <v>495</v>
      </c>
      <c r="BH196" s="9" t="str">
        <f>HYPERLINK(".\links\REFSEQ-PROTOZOA\AGAP028496-PA-REFSEQ-PROTOZOA.txt","proteophosphoglycan ppg4")</f>
        <v>proteophosphoglycan ppg4</v>
      </c>
      <c r="BI196" s="2" t="str">
        <f>HYPERLINK("http://www.ncbi.nlm.nih.gov/sutils/blink.cgi?pid=XP_001568166.1","1E-030")</f>
        <v>1E-030</v>
      </c>
      <c r="BJ196" s="2" t="str">
        <f>HYPERLINK("http://www.ncbi.nlm.nih.gov/protein/XP_001568166.1","XP_001568166.1")</f>
        <v>XP_001568166.1</v>
      </c>
      <c r="BK196" s="2">
        <v>19</v>
      </c>
      <c r="BL196" s="2">
        <v>37</v>
      </c>
      <c r="BM196" s="2">
        <v>26</v>
      </c>
      <c r="BN196" s="2" t="s">
        <v>653</v>
      </c>
      <c r="BO196" s="9" t="str">
        <f>HYPERLINK(".\links\SWISSP\AGAP028496-PA-SWISSP.txt","Zinc finger C2HC domain-containing protein 1A")</f>
        <v>Zinc finger C2HC domain-containing protein 1A</v>
      </c>
      <c r="BP196" s="2" t="str">
        <f>HYPERLINK("http://www.uniprot.org/uniprot/Q7SXT7","3E-023")</f>
        <v>3E-023</v>
      </c>
      <c r="BQ196" s="2" t="str">
        <f>HYPERLINK("http://www.uniprot.org/uniprot/Q7SXT7#expression","Q7SXT7")</f>
        <v>Q7SXT7</v>
      </c>
      <c r="BR196" s="2">
        <v>30</v>
      </c>
      <c r="BS196" s="2">
        <v>42</v>
      </c>
      <c r="BT196" s="2">
        <v>89</v>
      </c>
      <c r="BU196" s="2" t="s">
        <v>2373</v>
      </c>
      <c r="BV196" s="9" t="str">
        <f>HYPERLINK(".\links\FLYBASE\AGAP028496-PA-FLYBASE.txt","FBpp0271849")</f>
        <v>FBpp0271849</v>
      </c>
      <c r="BW196" s="2" t="str">
        <f>HYPERLINK("http://flybase.org/reports/FBgn0050460#alliance_summary_container","6E-73")</f>
        <v>6E-73</v>
      </c>
      <c r="BX196" s="2">
        <v>1480</v>
      </c>
      <c r="BY196" s="2">
        <v>35</v>
      </c>
      <c r="BZ196" s="2">
        <v>48</v>
      </c>
      <c r="CA196" s="2">
        <v>44</v>
      </c>
      <c r="CB196" s="9" t="str">
        <f>HYPERLINK(".\links\CDD\AGAP028496-PA-CDD.txt","zf-C2HC_2, zinc-finger of a C2HC-type")</f>
        <v>zf-C2HC_2, zinc-finger of a C2HC-type</v>
      </c>
      <c r="CC196" s="13">
        <v>5.0000000000000001E-4</v>
      </c>
      <c r="CD196" s="2">
        <v>100</v>
      </c>
      <c r="CE196" s="2" t="s">
        <v>2374</v>
      </c>
      <c r="CF196" s="2" t="s">
        <v>2375</v>
      </c>
      <c r="CG196" s="9" t="str">
        <f>HYPERLINK(".\links\KOG\AGAP028496-PA-KOG.txt","Uncharacterized conserved protein")</f>
        <v>Uncharacterized conserved protein</v>
      </c>
      <c r="CH196" s="13">
        <v>1.9999999999999999E-11</v>
      </c>
      <c r="CI196" s="2">
        <v>50.7</v>
      </c>
      <c r="CJ196" s="2" t="s">
        <v>2376</v>
      </c>
      <c r="CK196" s="2" t="s">
        <v>447</v>
      </c>
      <c r="CL196" s="9" t="str">
        <f>HYPERLINK(".\links\PFAM\AGAP028496-PA-PFAM.txt","zf-C2HC_2, zinc-finger of a C2HC-type")</f>
        <v>zf-C2HC_2, zinc-finger of a C2HC-type</v>
      </c>
      <c r="CM196" s="13">
        <v>1E-4</v>
      </c>
      <c r="CN196" s="2">
        <v>100</v>
      </c>
      <c r="CO196" s="2" t="s">
        <v>2374</v>
      </c>
      <c r="CP196" s="9" t="str">
        <f>HYPERLINK(".\links\SMART\AGAP028496-PA-SMART.txt","OmpH, Outer membrane protein (OmpH-like)")</f>
        <v>OmpH, Outer membrane protein (OmpH-like)</v>
      </c>
      <c r="CQ196" s="13">
        <v>3.0000000000000001E-3</v>
      </c>
      <c r="CR196" s="2">
        <v>62.9</v>
      </c>
      <c r="CS196" s="2" t="s">
        <v>1995</v>
      </c>
      <c r="CT196" s="2" t="s">
        <v>2371</v>
      </c>
      <c r="CU196" s="2" t="s">
        <v>2371</v>
      </c>
      <c r="CV196" s="2" t="s">
        <v>2371</v>
      </c>
      <c r="CW196" s="2" t="str">
        <f>HYPERLINK(".\links\pep\AGAP028496-PA-pep.txt","AGAP028496-PA")</f>
        <v>AGAP028496-PA</v>
      </c>
      <c r="CX196" s="2" t="s">
        <v>88</v>
      </c>
      <c r="CY196" s="2">
        <v>1294</v>
      </c>
      <c r="CZ196" s="2" t="s">
        <v>106</v>
      </c>
      <c r="DA196" s="2" t="s">
        <v>2377</v>
      </c>
      <c r="DB196" s="2">
        <v>0</v>
      </c>
      <c r="DC196" s="2">
        <v>4</v>
      </c>
      <c r="DD196" s="2" t="str">
        <f>HYPERLINK("https://www.kegg.jp/kegg-bin/search_pathway_text?map=aga&amp;keyword=AGAP028496&amp;mode=1&amp;viewImage=true","AGAP028496")</f>
        <v>AGAP028496</v>
      </c>
      <c r="DE196" s="2" t="s">
        <v>2378</v>
      </c>
      <c r="DF196" s="2" t="s">
        <v>167</v>
      </c>
      <c r="DG196" s="2" t="s">
        <v>87</v>
      </c>
      <c r="DH196" s="2" t="str">
        <f>HYPERLINK("https://vectorbase.org/vectorbase/app/record/gene/AGAP028496","AGAP028496-RA")</f>
        <v>AGAP028496-RA</v>
      </c>
      <c r="DI196" s="2" t="s">
        <v>125</v>
      </c>
      <c r="DJ196" s="2">
        <v>5465</v>
      </c>
      <c r="DK196" s="2" t="str">
        <f>HYPERLINK(".\links\netoglyc\AGAP028496-PA-netoglyc.txt","14")</f>
        <v>14</v>
      </c>
      <c r="DL196" s="2">
        <v>21.5</v>
      </c>
      <c r="DM196" s="2">
        <v>3.4</v>
      </c>
      <c r="DN196" s="2">
        <v>7.9</v>
      </c>
      <c r="DO196" s="2" t="s">
        <v>97</v>
      </c>
      <c r="DP196" s="2" t="s">
        <v>2379</v>
      </c>
      <c r="DQ196" s="2" t="str">
        <f>HYPERLINK(".\links\Sigp\AGAP028496-PA-SigP.txt","CYT")</f>
        <v>CYT</v>
      </c>
      <c r="DR196" s="2" t="s">
        <v>94</v>
      </c>
      <c r="DS196" s="2">
        <v>142.60499999999999</v>
      </c>
      <c r="DT196" s="2">
        <v>8.91</v>
      </c>
      <c r="DU196" s="2" t="s">
        <v>94</v>
      </c>
      <c r="DV196" s="2" t="s">
        <v>94</v>
      </c>
      <c r="DW196" s="2" t="s">
        <v>390</v>
      </c>
      <c r="DX196" s="2">
        <v>1294</v>
      </c>
      <c r="DY196" s="8">
        <v>0</v>
      </c>
      <c r="DZ196" s="2" t="s">
        <v>94</v>
      </c>
      <c r="EA196" s="2" t="s">
        <v>94</v>
      </c>
      <c r="EB196" s="2" t="s">
        <v>94</v>
      </c>
      <c r="EC196" s="2" t="str">
        <f>HYPERLINK(".\links\gpi\AGAP028496-PA-gpi.txt","Y-NoSP")</f>
        <v>Y-NoSP</v>
      </c>
      <c r="ED196" s="2">
        <v>0.32</v>
      </c>
      <c r="EF196" s="2">
        <v>22</v>
      </c>
      <c r="EG196" s="2" t="str">
        <f>HYPERLINK(".\links\pep\AGAP028496-PA-sulf.txt","3")</f>
        <v>3</v>
      </c>
      <c r="EH196" s="2" t="s">
        <v>94</v>
      </c>
      <c r="EI196" s="2">
        <v>21.483771251932001</v>
      </c>
      <c r="EJ196" s="2">
        <v>7.8825347758887201</v>
      </c>
      <c r="EK196" s="2">
        <v>3.4003091190108199</v>
      </c>
      <c r="EL196" s="2">
        <v>11.2828438948995</v>
      </c>
      <c r="EM196" s="2" t="s">
        <v>94</v>
      </c>
      <c r="EN196" s="2">
        <v>2</v>
      </c>
      <c r="EO196" s="2">
        <v>2</v>
      </c>
      <c r="EP196" s="2" t="s">
        <v>94</v>
      </c>
      <c r="EQ196" s="2" t="s">
        <v>94</v>
      </c>
      <c r="ER196" s="2" t="s">
        <v>94</v>
      </c>
      <c r="ES196" s="2" t="s">
        <v>94</v>
      </c>
      <c r="ET196" s="2" t="str">
        <f>HYPERLINK(".\links\REFSEQ-INVERTEBRATE\AGAP028496-PA-REFSEQ-INVERTEBRATE.txt","uncharacterized protein LOC118507368 isoform X11")</f>
        <v>uncharacterized protein LOC118507368 isoform X11</v>
      </c>
      <c r="EU196" s="2" t="str">
        <f>HYPERLINK("http://www.ncbi.nlm.nih.gov/sutils/blink.cgi?pid=XP_035901701.1","0.0")</f>
        <v>0.0</v>
      </c>
      <c r="EV196" s="2" t="str">
        <f>HYPERLINK("http://www.ncbi.nlm.nih.gov/protein/XP_035901701.1","XP_035901701.1")</f>
        <v>XP_035901701.1</v>
      </c>
      <c r="EW196" s="2">
        <v>76</v>
      </c>
      <c r="EX196" s="2">
        <v>84</v>
      </c>
      <c r="EY196" s="2">
        <v>101</v>
      </c>
      <c r="EZ196" s="2" t="s">
        <v>184</v>
      </c>
    </row>
    <row r="197" spans="1:156" x14ac:dyDescent="0.25">
      <c r="A197" s="2" t="s">
        <v>2380</v>
      </c>
      <c r="B197" s="2">
        <v>-0.68658444177951405</v>
      </c>
      <c r="C197" s="2">
        <v>0.62132308288977423</v>
      </c>
      <c r="D197" s="2">
        <v>7.1634214245108003</v>
      </c>
      <c r="E197" s="2">
        <v>13.817288911797901</v>
      </c>
      <c r="F197" s="2">
        <v>2.0147373656890399E-4</v>
      </c>
      <c r="G197" s="2">
        <v>1.1834392091503901E-2</v>
      </c>
      <c r="H197" s="2" t="s">
        <v>2381</v>
      </c>
      <c r="I197" s="2" t="s">
        <v>87</v>
      </c>
      <c r="J197" s="2" t="str">
        <f>HYPERLINK("https://vectorbase.org/vectorbase/app/record/gene/AGAP004380","AGAP004380-RA")</f>
        <v>AGAP004380-RA</v>
      </c>
      <c r="K197" s="2" t="str">
        <f>HYPERLINK(".\links\pep\AGAP004380-PA-pep.txt","AGAP004380-PA")</f>
        <v>AGAP004380-PA</v>
      </c>
      <c r="L197" s="8" t="s">
        <v>88</v>
      </c>
      <c r="M197" s="2">
        <v>211</v>
      </c>
      <c r="N197" s="2">
        <v>0</v>
      </c>
      <c r="O197" s="2">
        <v>1</v>
      </c>
      <c r="P197" s="2" t="s">
        <v>2382</v>
      </c>
      <c r="Q197" s="9" t="s">
        <v>2383</v>
      </c>
      <c r="R197" s="2" t="s">
        <v>395</v>
      </c>
      <c r="S197" s="2" t="str">
        <f>HYPERLINK(".\links\KOG\AGAP004380-PA-KOG.txt","KOG")</f>
        <v>KOG</v>
      </c>
      <c r="T197" s="2">
        <v>3.0000000000000002E-40</v>
      </c>
      <c r="U197" s="2">
        <v>98.2</v>
      </c>
      <c r="V197" s="2" t="s">
        <v>2384</v>
      </c>
      <c r="W197" s="10" t="s">
        <v>2385</v>
      </c>
      <c r="X197" s="2" t="s">
        <v>395</v>
      </c>
      <c r="Y197" s="2" t="str">
        <f>HYPERLINK(".\links\ARTHORPODA\AGAP004380-PA-ARTHORPODA.txt","ARTHORPODA")</f>
        <v>ARTHORPODA</v>
      </c>
      <c r="Z197" s="13">
        <v>0</v>
      </c>
      <c r="AA197" s="2">
        <v>100</v>
      </c>
      <c r="AB197" s="11" t="str">
        <f>HYPERLINK(".\links\pep\AGAP004380-PA-sulf.txt","1")</f>
        <v>1</v>
      </c>
      <c r="AC197" s="11" t="str">
        <f>HYPERLINK(".\links\Sigp\AGAP004380-PA-SigP.txt","CYT")</f>
        <v>CYT</v>
      </c>
      <c r="AD197" s="2" t="s">
        <v>94</v>
      </c>
      <c r="AE197" s="2">
        <v>24.472999999999999</v>
      </c>
      <c r="AF197" s="2">
        <v>5.82</v>
      </c>
      <c r="AG197" s="2" t="s">
        <v>94</v>
      </c>
      <c r="AH197" s="2" t="s">
        <v>94</v>
      </c>
      <c r="AI197" s="2" t="s">
        <v>2386</v>
      </c>
      <c r="AJ197" s="11">
        <v>0</v>
      </c>
      <c r="AK197" s="2" t="s">
        <v>94</v>
      </c>
      <c r="AL197" s="2" t="s">
        <v>94</v>
      </c>
      <c r="AM197" s="2" t="s">
        <v>94</v>
      </c>
      <c r="AN197" s="11" t="str">
        <f>HYPERLINK(".\links\gpi\AGAP004380-PA-gpi.txt","N")</f>
        <v>N</v>
      </c>
      <c r="AO197" s="12" t="str">
        <f>HYPERLINK(".\links\netoglyc\AGAP004380-PA-netoglyc.txt","0")</f>
        <v>0</v>
      </c>
      <c r="AP197" s="11">
        <v>11.4</v>
      </c>
      <c r="AQ197" s="2">
        <v>2.8</v>
      </c>
      <c r="AR197" s="2">
        <v>5.7</v>
      </c>
      <c r="AS197" s="2" t="s">
        <v>97</v>
      </c>
      <c r="AT197" s="9" t="str">
        <f>HYPERLINK(".\links\NR-LIGHT\AGAP004380-PA-NR-LIGHT.txt","AGAP004380-PA")</f>
        <v>AGAP004380-PA</v>
      </c>
      <c r="AU197" s="2" t="str">
        <f>HYPERLINK("http://www.ncbi.nlm.nih.gov/sutils/blink.cgi?pid=XP_313666.2","1E-120")</f>
        <v>1E-120</v>
      </c>
      <c r="AV197" s="2" t="str">
        <f>HYPERLINK("http://www.ncbi.nlm.nih.gov/protein/XP_313666.2","XP_313666.2")</f>
        <v>XP_313666.2</v>
      </c>
      <c r="AW197" s="2">
        <v>100</v>
      </c>
      <c r="AX197" s="2">
        <v>100</v>
      </c>
      <c r="AY197" s="2">
        <v>100</v>
      </c>
      <c r="AZ197" s="2" t="s">
        <v>98</v>
      </c>
      <c r="BA197" s="9" t="str">
        <f>HYPERLINK(".\links\REFSEQ-INVERTEBRATE\AGAP004380-PA-REFSEQ-INVERTEBRATE.txt","AGAP004380-PA")</f>
        <v>AGAP004380-PA</v>
      </c>
      <c r="BB197" s="2" t="str">
        <f>HYPERLINK("http://www.ncbi.nlm.nih.gov/sutils/blink.cgi?pid=XP_313666.2","1E-120")</f>
        <v>1E-120</v>
      </c>
      <c r="BC197" s="2" t="str">
        <f>HYPERLINK("http://www.ncbi.nlm.nih.gov/protein/XP_313666.2","XP_313666.2")</f>
        <v>XP_313666.2</v>
      </c>
      <c r="BD197" s="2">
        <v>100</v>
      </c>
      <c r="BE197" s="2">
        <v>100</v>
      </c>
      <c r="BF197" s="2">
        <v>100</v>
      </c>
      <c r="BG197" s="2" t="s">
        <v>98</v>
      </c>
      <c r="BH197" s="9" t="str">
        <f>HYPERLINK(".\links\REFSEQ-PROTOZOA\AGAP004380-PA-REFSEQ-PROTOZOA.txt","glutathione S-transferase domain-containing protein")</f>
        <v>glutathione S-transferase domain-containing protein</v>
      </c>
      <c r="BI197" s="2" t="str">
        <f>HYPERLINK("http://www.ncbi.nlm.nih.gov/sutils/blink.cgi?pid=XP_004346352.1","3E-016")</f>
        <v>3E-016</v>
      </c>
      <c r="BJ197" s="2" t="str">
        <f>HYPERLINK("http://www.ncbi.nlm.nih.gov/protein/XP_004346352.1","XP_004346352.1")</f>
        <v>XP_004346352.1</v>
      </c>
      <c r="BK197" s="2">
        <v>27</v>
      </c>
      <c r="BL197" s="2">
        <v>43</v>
      </c>
      <c r="BM197" s="2">
        <v>94</v>
      </c>
      <c r="BN197" s="2" t="s">
        <v>227</v>
      </c>
      <c r="BO197" s="9" t="str">
        <f>HYPERLINK(".\links\SWISSP\AGAP004380-PA-SWISSP.txt","Glutathione S-transferase D4")</f>
        <v>Glutathione S-transferase D4</v>
      </c>
      <c r="BP197" s="2" t="str">
        <f>HYPERLINK("http://www.uniprot.org/uniprot/Q9VG96","8E-036")</f>
        <v>8E-036</v>
      </c>
      <c r="BQ197" s="2" t="str">
        <f>HYPERLINK("http://www.uniprot.org/uniprot/Q9VG96#expression","Q9VG96")</f>
        <v>Q9VG96</v>
      </c>
      <c r="BR197" s="2">
        <v>40</v>
      </c>
      <c r="BS197" s="2">
        <v>63</v>
      </c>
      <c r="BT197" s="2">
        <v>86</v>
      </c>
      <c r="BU197" s="2" t="s">
        <v>100</v>
      </c>
      <c r="BV197" s="9" t="str">
        <f>HYPERLINK(".\links\FLYBASE\AGAP004380-PA-FLYBASE.txt","FBpp0082047")</f>
        <v>FBpp0082047</v>
      </c>
      <c r="BW197" s="2" t="str">
        <f>HYPERLINK("http://flybase.org/reports/FBgn0010044#alliance_summary_container","2E-51")</f>
        <v>2E-51</v>
      </c>
      <c r="BX197" s="2">
        <v>212</v>
      </c>
      <c r="BY197" s="2">
        <v>39</v>
      </c>
      <c r="BZ197" s="2">
        <v>58</v>
      </c>
      <c r="CA197" s="2">
        <v>100</v>
      </c>
      <c r="CB197" s="9" t="str">
        <f>HYPERLINK(".\links\CDD\AGAP004380-PA-CDD.txt","Gst, Glutathione S-transferase")</f>
        <v>Gst, Glutathione S-transferase</v>
      </c>
      <c r="CC197" s="13">
        <v>8.0000000000000003E-27</v>
      </c>
      <c r="CD197" s="2">
        <v>100.9</v>
      </c>
      <c r="CE197" s="2" t="s">
        <v>2387</v>
      </c>
      <c r="CF197" s="2" t="s">
        <v>2388</v>
      </c>
      <c r="CG197" s="9" t="str">
        <f>HYPERLINK(".\links\KOG\AGAP004380-PA-KOG.txt","Glutathione S-transferase")</f>
        <v>Glutathione S-transferase</v>
      </c>
      <c r="CH197" s="13">
        <v>3.0000000000000002E-40</v>
      </c>
      <c r="CI197" s="2">
        <v>98.2</v>
      </c>
      <c r="CJ197" s="2" t="s">
        <v>2323</v>
      </c>
      <c r="CK197" s="2" t="s">
        <v>214</v>
      </c>
      <c r="CL197" s="9" t="str">
        <f>HYPERLINK(".\links\PFAM\AGAP004380-PA-PFAM.txt","GST_N_3, Glutathione S-transferase, N-terminal domain")</f>
        <v>GST_N_3, Glutathione S-transferase, N-terminal domain</v>
      </c>
      <c r="CM197" s="13">
        <v>1.0000000000000001E-9</v>
      </c>
      <c r="CN197" s="2">
        <v>97.3</v>
      </c>
      <c r="CO197" s="2" t="s">
        <v>2389</v>
      </c>
      <c r="CP197" s="9" t="str">
        <f>HYPERLINK(".\links\SMART\AGAP004380-PA-SMART.txt","LRR_RI, Leucine rich repeat, ribonuclease inhibitor type")</f>
        <v>LRR_RI, Leucine rich repeat, ribonuclease inhibitor type</v>
      </c>
      <c r="CQ197" s="13">
        <v>0.38</v>
      </c>
      <c r="CR197" s="2">
        <v>96.4</v>
      </c>
      <c r="CS197" s="2" t="s">
        <v>2390</v>
      </c>
      <c r="CT197" s="2" t="s">
        <v>2384</v>
      </c>
      <c r="CU197" s="2" t="s">
        <v>2384</v>
      </c>
      <c r="CV197" s="2" t="s">
        <v>2384</v>
      </c>
      <c r="CW197" s="2" t="str">
        <f>HYPERLINK(".\links\pep\AGAP004380-PA-pep.txt","AGAP004380-PA")</f>
        <v>AGAP004380-PA</v>
      </c>
      <c r="CX197" s="2" t="s">
        <v>88</v>
      </c>
      <c r="CY197" s="2">
        <v>211</v>
      </c>
      <c r="CZ197" s="2" t="s">
        <v>106</v>
      </c>
      <c r="DA197" s="2" t="s">
        <v>2391</v>
      </c>
      <c r="DB197" s="2">
        <v>0</v>
      </c>
      <c r="DC197" s="2">
        <v>1</v>
      </c>
      <c r="DD197" s="2" t="str">
        <f>HYPERLINK("https://www.kegg.jp/kegg-bin/search_pathway_text?map=aga&amp;keyword=AGAP004380&amp;mode=1&amp;viewImage=true","AGAP004380")</f>
        <v>AGAP004380</v>
      </c>
      <c r="DE197" s="2" t="s">
        <v>2380</v>
      </c>
      <c r="DF197" s="2" t="s">
        <v>2381</v>
      </c>
      <c r="DG197" s="2" t="s">
        <v>87</v>
      </c>
      <c r="DH197" s="2" t="str">
        <f>HYPERLINK("https://vectorbase.org/vectorbase/app/record/gene/AGAP004380","AGAP004380-RA")</f>
        <v>AGAP004380-RA</v>
      </c>
      <c r="DI197" s="2" t="s">
        <v>143</v>
      </c>
      <c r="DJ197" s="2">
        <v>756</v>
      </c>
      <c r="DK197" s="2" t="str">
        <f>HYPERLINK(".\links\netoglyc\AGAP004380-PA-netoglyc.txt","0")</f>
        <v>0</v>
      </c>
      <c r="DL197" s="2">
        <v>11.4</v>
      </c>
      <c r="DM197" s="2">
        <v>2.8</v>
      </c>
      <c r="DN197" s="2">
        <v>5.7</v>
      </c>
      <c r="DO197" s="2" t="s">
        <v>97</v>
      </c>
      <c r="DP197" s="2" t="s">
        <v>2392</v>
      </c>
      <c r="DQ197" s="2" t="str">
        <f>HYPERLINK(".\links\Sigp\AGAP004380-PA-SigP.txt","CYT")</f>
        <v>CYT</v>
      </c>
      <c r="DR197" s="2" t="s">
        <v>94</v>
      </c>
      <c r="DS197" s="2">
        <v>24.472999999999999</v>
      </c>
      <c r="DT197" s="2">
        <v>5.82</v>
      </c>
      <c r="DU197" s="2" t="s">
        <v>94</v>
      </c>
      <c r="DV197" s="2" t="s">
        <v>94</v>
      </c>
      <c r="DW197" s="2" t="s">
        <v>2386</v>
      </c>
      <c r="DX197" s="2">
        <v>211</v>
      </c>
      <c r="DY197" s="8">
        <v>0</v>
      </c>
      <c r="DZ197" s="2" t="s">
        <v>94</v>
      </c>
      <c r="EA197" s="2" t="s">
        <v>94</v>
      </c>
      <c r="EB197" s="2" t="s">
        <v>94</v>
      </c>
      <c r="EC197" s="2" t="str">
        <f>HYPERLINK(".\links\gpi\AGAP004380-PA-gpi.txt","N")</f>
        <v>N</v>
      </c>
      <c r="ED197" s="2">
        <v>0.26</v>
      </c>
      <c r="EF197" s="2">
        <v>3</v>
      </c>
      <c r="EG197" s="2" t="str">
        <f>HYPERLINK(".\links\pep\AGAP004380-PA-sulf.txt","1")</f>
        <v>1</v>
      </c>
      <c r="EH197" s="2" t="s">
        <v>94</v>
      </c>
      <c r="EI197" s="2">
        <v>11.374407582938399</v>
      </c>
      <c r="EJ197" s="2">
        <v>5.68720379146919</v>
      </c>
      <c r="EK197" s="2">
        <v>2.8436018957345999</v>
      </c>
      <c r="EL197" s="2">
        <v>8.5308056872037898</v>
      </c>
      <c r="EM197" s="2" t="s">
        <v>94</v>
      </c>
      <c r="EN197" s="2" t="s">
        <v>94</v>
      </c>
      <c r="EO197" s="2" t="s">
        <v>94</v>
      </c>
      <c r="EP197" s="2" t="s">
        <v>94</v>
      </c>
      <c r="EQ197" s="2" t="s">
        <v>94</v>
      </c>
      <c r="ER197" s="2" t="s">
        <v>94</v>
      </c>
      <c r="ES197" s="2" t="s">
        <v>94</v>
      </c>
      <c r="ET197" s="2" t="str">
        <f>HYPERLINK(".\links\REFSEQ-INVERTEBRATE\AGAP004380-PA-REFSEQ-INVERTEBRATE.txt","AGAP004380-PA")</f>
        <v>AGAP004380-PA</v>
      </c>
      <c r="EU197" s="2" t="str">
        <f>HYPERLINK("http://www.ncbi.nlm.nih.gov/sutils/blink.cgi?pid=XP_313666.2","1E-158")</f>
        <v>1E-158</v>
      </c>
      <c r="EV197" s="2" t="str">
        <f>HYPERLINK("http://www.ncbi.nlm.nih.gov/protein/XP_313666.2","XP_313666.2")</f>
        <v>XP_313666.2</v>
      </c>
      <c r="EW197" s="2">
        <v>100</v>
      </c>
      <c r="EX197" s="2">
        <v>100</v>
      </c>
      <c r="EY197" s="2">
        <v>100</v>
      </c>
      <c r="EZ197" s="2" t="s">
        <v>98</v>
      </c>
    </row>
    <row r="198" spans="1:156" x14ac:dyDescent="0.25">
      <c r="A198" s="2" t="s">
        <v>2393</v>
      </c>
      <c r="B198" s="2">
        <v>-0.68918136133062402</v>
      </c>
      <c r="C198" s="2">
        <v>0.62020567784225378</v>
      </c>
      <c r="D198" s="2">
        <v>6.61539308638232</v>
      </c>
      <c r="E198" s="2">
        <v>11.9041572768816</v>
      </c>
      <c r="F198" s="2">
        <v>5.6008801827075896E-4</v>
      </c>
      <c r="G198" s="2">
        <v>2.6616846174806901E-2</v>
      </c>
      <c r="H198" s="2" t="s">
        <v>2394</v>
      </c>
      <c r="I198" s="2" t="s">
        <v>87</v>
      </c>
      <c r="J198" s="2" t="str">
        <f>HYPERLINK("https://vectorbase.org/vectorbase/app/record/gene/AGAP012394","AGAP012394-RA")</f>
        <v>AGAP012394-RA</v>
      </c>
      <c r="K198" s="2" t="str">
        <f>HYPERLINK(".\links\pep\AGAP012394-PA-pep.txt","AGAP012394-PA")</f>
        <v>AGAP012394-PA</v>
      </c>
      <c r="L198" s="8" t="s">
        <v>88</v>
      </c>
      <c r="M198" s="2">
        <v>236</v>
      </c>
      <c r="N198" s="2">
        <v>0</v>
      </c>
      <c r="O198" s="2">
        <v>1</v>
      </c>
      <c r="P198" s="2" t="s">
        <v>2395</v>
      </c>
      <c r="Q198" s="9" t="s">
        <v>2396</v>
      </c>
      <c r="R198" s="2" t="s">
        <v>267</v>
      </c>
      <c r="S198" s="2" t="str">
        <f>HYPERLINK(".\links\CDD\AGAP012394-PA-CDD.txt","CDD")</f>
        <v>CDD</v>
      </c>
      <c r="T198" s="2">
        <v>9.0000000000000002E-42</v>
      </c>
      <c r="U198" s="2">
        <v>83.9</v>
      </c>
      <c r="V198" s="2" t="s">
        <v>2397</v>
      </c>
      <c r="W198" s="10" t="s">
        <v>2398</v>
      </c>
      <c r="X198" s="2" t="s">
        <v>147</v>
      </c>
      <c r="Y198" s="2" t="str">
        <f>HYPERLINK(".\links\EC\AGAP012394-PA-EC.txt","EC")</f>
        <v>EC</v>
      </c>
      <c r="Z198" s="13">
        <v>0</v>
      </c>
      <c r="AA198" s="2">
        <v>87</v>
      </c>
      <c r="AB198" s="11" t="s">
        <v>94</v>
      </c>
      <c r="AC198" s="11" t="str">
        <f>HYPERLINK(".\links\Sigp\AGAP012394-PA-SigP.txt","CYT")</f>
        <v>CYT</v>
      </c>
      <c r="AD198" s="2" t="s">
        <v>94</v>
      </c>
      <c r="AE198" s="2">
        <v>26.617000000000001</v>
      </c>
      <c r="AF198" s="2">
        <v>5.43</v>
      </c>
      <c r="AG198" s="2" t="s">
        <v>94</v>
      </c>
      <c r="AH198" s="2" t="s">
        <v>94</v>
      </c>
      <c r="AI198" s="2" t="s">
        <v>2399</v>
      </c>
      <c r="AJ198" s="11">
        <v>0</v>
      </c>
      <c r="AK198" s="2" t="s">
        <v>94</v>
      </c>
      <c r="AL198" s="2" t="s">
        <v>94</v>
      </c>
      <c r="AM198" s="2" t="s">
        <v>94</v>
      </c>
      <c r="AN198" s="11" t="str">
        <f>HYPERLINK(".\links\gpi\AGAP012394-PA-gpi.txt","N")</f>
        <v>N</v>
      </c>
      <c r="AO198" s="12" t="str">
        <f>HYPERLINK(".\links\netoglyc\AGAP012394-PA-netoglyc.txt","0")</f>
        <v>0</v>
      </c>
      <c r="AP198" s="11">
        <v>9.6999999999999993</v>
      </c>
      <c r="AQ198" s="2">
        <v>9.3000000000000007</v>
      </c>
      <c r="AR198" s="2">
        <v>4.2</v>
      </c>
      <c r="AS198" s="2" t="s">
        <v>97</v>
      </c>
      <c r="AT198" s="9" t="str">
        <f>HYPERLINK(".\links\NR-LIGHT\AGAP012394-PA-NR-LIGHT.txt","AGAP012394-PA")</f>
        <v>AGAP012394-PA</v>
      </c>
      <c r="AU198" s="2" t="str">
        <f>HYPERLINK("http://www.ncbi.nlm.nih.gov/sutils/blink.cgi?pid=XP_320164.3","1E-137")</f>
        <v>1E-137</v>
      </c>
      <c r="AV198" s="2" t="str">
        <f>HYPERLINK("http://www.ncbi.nlm.nih.gov/protein/XP_320164.3","XP_320164.3")</f>
        <v>XP_320164.3</v>
      </c>
      <c r="AW198" s="2">
        <v>100</v>
      </c>
      <c r="AX198" s="2">
        <v>100</v>
      </c>
      <c r="AY198" s="2">
        <v>100</v>
      </c>
      <c r="AZ198" s="2" t="s">
        <v>98</v>
      </c>
      <c r="BA198" s="9" t="str">
        <f>HYPERLINK(".\links\REFSEQ-INVERTEBRATE\AGAP012394-PA-REFSEQ-INVERTEBRATE.txt","AGAP012394-PA")</f>
        <v>AGAP012394-PA</v>
      </c>
      <c r="BB198" s="2" t="str">
        <f>HYPERLINK("http://www.ncbi.nlm.nih.gov/sutils/blink.cgi?pid=XP_320164.3","1E-137")</f>
        <v>1E-137</v>
      </c>
      <c r="BC198" s="2" t="str">
        <f>HYPERLINK("http://www.ncbi.nlm.nih.gov/protein/XP_320164.3","XP_320164.3")</f>
        <v>XP_320164.3</v>
      </c>
      <c r="BD198" s="2">
        <v>100</v>
      </c>
      <c r="BE198" s="2">
        <v>100</v>
      </c>
      <c r="BF198" s="2">
        <v>100</v>
      </c>
      <c r="BG198" s="2" t="s">
        <v>98</v>
      </c>
      <c r="BH198" s="9" t="str">
        <f>HYPERLINK(".\links\REFSEQ-PROTOZOA\AGAP012394-PA-REFSEQ-PROTOZOA.txt","hypothetical protein DICPUDRAFT_47974")</f>
        <v>hypothetical protein DICPUDRAFT_47974</v>
      </c>
      <c r="BI198" s="2" t="str">
        <f>HYPERLINK("http://www.ncbi.nlm.nih.gov/sutils/blink.cgi?pid=XP_003288540.1","1E-030")</f>
        <v>1E-030</v>
      </c>
      <c r="BJ198" s="2" t="str">
        <f>HYPERLINK("http://www.ncbi.nlm.nih.gov/protein/XP_003288540.1","XP_003288540.1")</f>
        <v>XP_003288540.1</v>
      </c>
      <c r="BK198" s="2">
        <v>43</v>
      </c>
      <c r="BL198" s="2">
        <v>61</v>
      </c>
      <c r="BM198" s="2">
        <v>94</v>
      </c>
      <c r="BN198" s="2" t="s">
        <v>894</v>
      </c>
      <c r="BO198" s="9" t="str">
        <f>HYPERLINK(".\links\SWISSP\AGAP012394-PA-SWISSP.txt","Peptide methionine sulfoxide reductase")</f>
        <v>Peptide methionine sulfoxide reductase</v>
      </c>
      <c r="BP198" s="2" t="str">
        <f>HYPERLINK("http://www.uniprot.org/uniprot/P08761","4E-081")</f>
        <v>4E-081</v>
      </c>
      <c r="BQ198" s="2" t="str">
        <f>HYPERLINK("http://www.uniprot.org/uniprot/P08761#expression","P08761")</f>
        <v>P08761</v>
      </c>
      <c r="BR198" s="2">
        <v>64</v>
      </c>
      <c r="BS198" s="2">
        <v>79</v>
      </c>
      <c r="BT198" s="2">
        <v>88</v>
      </c>
      <c r="BU198" s="2" t="s">
        <v>100</v>
      </c>
      <c r="BV198" s="9" t="str">
        <f>HYPERLINK(".\links\FLYBASE\AGAP012394-PA-FLYBASE.txt","FBpp0075308")</f>
        <v>FBpp0075308</v>
      </c>
      <c r="BW198" s="2" t="str">
        <f>HYPERLINK("http://flybase.org/reports/FBgn0000565#alliance_summary_container","1E-106")</f>
        <v>1E-106</v>
      </c>
      <c r="BX198" s="2">
        <v>246</v>
      </c>
      <c r="BY198" s="2">
        <v>64</v>
      </c>
      <c r="BZ198" s="2">
        <v>79</v>
      </c>
      <c r="CA198" s="2">
        <v>88</v>
      </c>
      <c r="CB198" s="9" t="str">
        <f>HYPERLINK(".\links\CDD\AGAP012394-PA-CDD.txt","PMSR, Peptide methionine sulfoxide reductase")</f>
        <v>PMSR, Peptide methionine sulfoxide reductase</v>
      </c>
      <c r="CC198" s="13">
        <v>2E-46</v>
      </c>
      <c r="CD198" s="2">
        <v>94.8</v>
      </c>
      <c r="CE198" s="2" t="s">
        <v>2400</v>
      </c>
      <c r="CF198" s="2" t="s">
        <v>2401</v>
      </c>
      <c r="CG198" s="9" t="str">
        <f>HYPERLINK(".\links\KOG\AGAP012394-PA-KOG.txt","Peptide methionine sulfoxide reductase")</f>
        <v>Peptide methionine sulfoxide reductase</v>
      </c>
      <c r="CH198" s="13">
        <v>4.9999999999999996E-41</v>
      </c>
      <c r="CI198" s="2">
        <v>87.4</v>
      </c>
      <c r="CJ198" s="2" t="s">
        <v>2402</v>
      </c>
      <c r="CK198" s="2" t="s">
        <v>214</v>
      </c>
      <c r="CL198" s="9" t="str">
        <f>HYPERLINK(".\links\PFAM\AGAP012394-PA-PFAM.txt","PMSR, Peptide methionine sulfoxide reductase")</f>
        <v>PMSR, Peptide methionine sulfoxide reductase</v>
      </c>
      <c r="CM198" s="13">
        <v>3.9999999999999999E-47</v>
      </c>
      <c r="CN198" s="2">
        <v>94.8</v>
      </c>
      <c r="CO198" s="2" t="s">
        <v>2400</v>
      </c>
      <c r="CP198" s="9" t="str">
        <f>HYPERLINK(".\links\SMART\AGAP012394-PA-SMART.txt","c-SKI_SMAD_bind, c-SKI Smad4 binding domain")</f>
        <v>c-SKI_SMAD_bind, c-SKI Smad4 binding domain</v>
      </c>
      <c r="CQ198" s="13">
        <v>1.5</v>
      </c>
      <c r="CR198" s="2">
        <v>9.5</v>
      </c>
      <c r="CS198" s="2" t="s">
        <v>2403</v>
      </c>
      <c r="CT198" s="2" t="s">
        <v>2397</v>
      </c>
      <c r="CU198" s="2" t="s">
        <v>2397</v>
      </c>
      <c r="CV198" s="2" t="s">
        <v>2397</v>
      </c>
      <c r="CW198" s="2" t="str">
        <f>HYPERLINK(".\links\pep\AGAP012394-PA-pep.txt","AGAP012394-PA")</f>
        <v>AGAP012394-PA</v>
      </c>
      <c r="CX198" s="2" t="s">
        <v>88</v>
      </c>
      <c r="CY198" s="2">
        <v>236</v>
      </c>
      <c r="CZ198" s="2" t="s">
        <v>106</v>
      </c>
      <c r="DA198" s="2" t="s">
        <v>2404</v>
      </c>
      <c r="DB198" s="2">
        <v>0</v>
      </c>
      <c r="DC198" s="2">
        <v>1</v>
      </c>
      <c r="DD198" s="2" t="str">
        <f>HYPERLINK("https://www.kegg.jp/kegg-bin/search_pathway_text?map=aga&amp;keyword=AGAP012394&amp;mode=1&amp;viewImage=true","AGAP012394")</f>
        <v>AGAP012394</v>
      </c>
      <c r="DE198" s="2" t="s">
        <v>2393</v>
      </c>
      <c r="DF198" s="2" t="s">
        <v>2394</v>
      </c>
      <c r="DG198" s="2" t="s">
        <v>87</v>
      </c>
      <c r="DH198" s="2" t="str">
        <f>HYPERLINK("https://vectorbase.org/vectorbase/app/record/gene/AGAP012394","AGAP012394-RA")</f>
        <v>AGAP012394-RA</v>
      </c>
      <c r="DI198" s="2" t="s">
        <v>108</v>
      </c>
      <c r="DJ198" s="2">
        <v>1055</v>
      </c>
      <c r="DK198" s="2" t="str">
        <f>HYPERLINK(".\links\netoglyc\AGAP012394-PA-netoglyc.txt","0")</f>
        <v>0</v>
      </c>
      <c r="DL198" s="2">
        <v>9.6999999999999993</v>
      </c>
      <c r="DM198" s="2">
        <v>9.3000000000000007</v>
      </c>
      <c r="DN198" s="2">
        <v>4.2</v>
      </c>
      <c r="DO198" s="2" t="s">
        <v>97</v>
      </c>
      <c r="DP198" s="2" t="s">
        <v>94</v>
      </c>
      <c r="DQ198" s="2" t="str">
        <f>HYPERLINK(".\links\Sigp\AGAP012394-PA-SigP.txt","CYT")</f>
        <v>CYT</v>
      </c>
      <c r="DR198" s="2" t="s">
        <v>94</v>
      </c>
      <c r="DS198" s="2">
        <v>26.617000000000001</v>
      </c>
      <c r="DT198" s="2">
        <v>5.43</v>
      </c>
      <c r="DU198" s="2" t="s">
        <v>94</v>
      </c>
      <c r="DV198" s="2" t="s">
        <v>94</v>
      </c>
      <c r="DW198" s="2" t="s">
        <v>2399</v>
      </c>
      <c r="DX198" s="2">
        <v>236</v>
      </c>
      <c r="DY198" s="8">
        <v>0</v>
      </c>
      <c r="DZ198" s="2" t="s">
        <v>94</v>
      </c>
      <c r="EA198" s="2" t="s">
        <v>94</v>
      </c>
      <c r="EB198" s="2" t="s">
        <v>94</v>
      </c>
      <c r="EC198" s="2" t="str">
        <f>HYPERLINK(".\links\gpi\AGAP012394-PA-gpi.txt","Y-NoSP")</f>
        <v>Y-NoSP</v>
      </c>
      <c r="ED198" s="2">
        <v>0.23</v>
      </c>
      <c r="EF198" s="2">
        <v>3</v>
      </c>
      <c r="EG198" s="2" t="s">
        <v>94</v>
      </c>
      <c r="EH198" s="2" t="s">
        <v>94</v>
      </c>
      <c r="EI198" s="2">
        <v>9.7457627118644101</v>
      </c>
      <c r="EJ198" s="2">
        <v>4.2372881355932197</v>
      </c>
      <c r="EK198" s="2">
        <v>9.3220338983050794</v>
      </c>
      <c r="EL198" s="2">
        <v>13.559322033898299</v>
      </c>
      <c r="EM198" s="2" t="s">
        <v>94</v>
      </c>
      <c r="EN198" s="2">
        <v>2</v>
      </c>
      <c r="EO198" s="2">
        <v>2</v>
      </c>
      <c r="EP198" s="2" t="s">
        <v>94</v>
      </c>
      <c r="EQ198" s="2" t="s">
        <v>94</v>
      </c>
      <c r="ER198" s="2" t="s">
        <v>94</v>
      </c>
      <c r="ES198" s="2" t="s">
        <v>94</v>
      </c>
      <c r="ET198" s="2" t="str">
        <f>HYPERLINK(".\links\REFSEQ-INVERTEBRATE\AGAP012394-PA-REFSEQ-INVERTEBRATE.txt","AGAP012394-PA")</f>
        <v>AGAP012394-PA</v>
      </c>
      <c r="EU198" s="2" t="str">
        <f>HYPERLINK("http://www.ncbi.nlm.nih.gov/sutils/blink.cgi?pid=XP_320164.3","1E-178")</f>
        <v>1E-178</v>
      </c>
      <c r="EV198" s="2" t="str">
        <f>HYPERLINK("http://www.ncbi.nlm.nih.gov/protein/XP_320164.3","XP_320164.3")</f>
        <v>XP_320164.3</v>
      </c>
      <c r="EW198" s="2">
        <v>100</v>
      </c>
      <c r="EX198" s="2">
        <v>100</v>
      </c>
      <c r="EY198" s="2">
        <v>100</v>
      </c>
      <c r="EZ198" s="2" t="s">
        <v>98</v>
      </c>
    </row>
    <row r="199" spans="1:156" x14ac:dyDescent="0.25">
      <c r="A199" s="2" t="s">
        <v>2405</v>
      </c>
      <c r="B199" s="2">
        <v>-0.69226488126505903</v>
      </c>
      <c r="C199" s="2">
        <v>0.61888150728885405</v>
      </c>
      <c r="D199" s="2">
        <v>5.9512379819818904</v>
      </c>
      <c r="E199" s="2">
        <v>17.8187530246508</v>
      </c>
      <c r="F199" s="2">
        <v>2.4297665498646101E-5</v>
      </c>
      <c r="G199" s="2">
        <v>2.4976415502249599E-3</v>
      </c>
      <c r="H199" s="2" t="s">
        <v>2406</v>
      </c>
      <c r="I199" s="2" t="s">
        <v>87</v>
      </c>
      <c r="J199" s="2" t="str">
        <f>HYPERLINK("https://vectorbase.org/vectorbase/app/record/gene/AGAP012399","AGAP012399-RA")</f>
        <v>AGAP012399-RA</v>
      </c>
      <c r="K199" s="2" t="str">
        <f>HYPERLINK(".\links\pep\AGAP012399-PA-pep.txt","AGAP012399-PA")</f>
        <v>AGAP012399-PA</v>
      </c>
      <c r="L199" s="8" t="s">
        <v>88</v>
      </c>
      <c r="M199" s="2">
        <v>605</v>
      </c>
      <c r="N199" s="2">
        <v>0</v>
      </c>
      <c r="O199" s="2">
        <v>4</v>
      </c>
      <c r="P199" s="2" t="s">
        <v>2407</v>
      </c>
      <c r="Q199" s="9" t="s">
        <v>1496</v>
      </c>
      <c r="R199" s="2" t="s">
        <v>1497</v>
      </c>
      <c r="S199" s="2" t="str">
        <f>HYPERLINK(".\links\KOG\AGAP012399-PA-KOG.txt","KOG")</f>
        <v>KOG</v>
      </c>
      <c r="T199" s="2">
        <v>0</v>
      </c>
      <c r="U199" s="2">
        <v>103.6</v>
      </c>
      <c r="V199" s="2" t="s">
        <v>2408</v>
      </c>
      <c r="W199" s="10" t="s">
        <v>1499</v>
      </c>
      <c r="X199" s="2" t="s">
        <v>550</v>
      </c>
      <c r="Y199" s="2" t="str">
        <f>HYPERLINK(".\links\COG\AGAP012399-PA-COG.txt","COG")</f>
        <v>COG</v>
      </c>
      <c r="Z199" s="13">
        <v>9.9999999999999993E-78</v>
      </c>
      <c r="AA199" s="2">
        <v>109.1</v>
      </c>
      <c r="AB199" s="11" t="str">
        <f>HYPERLINK(".\links\pep\AGAP012399-PA-sulf.txt","2")</f>
        <v>2</v>
      </c>
      <c r="AC199" s="11" t="str">
        <f>HYPERLINK(".\links\Sigp\AGAP012399-PA-SigP.txt","SIG")</f>
        <v>SIG</v>
      </c>
      <c r="AD199" s="2" t="s">
        <v>1065</v>
      </c>
      <c r="AE199" s="2">
        <v>69.296000000000006</v>
      </c>
      <c r="AF199" s="2">
        <v>4.96</v>
      </c>
      <c r="AG199" s="2">
        <v>66.361999999999995</v>
      </c>
      <c r="AH199" s="2">
        <v>4.8499999999999996</v>
      </c>
      <c r="AI199" s="2" t="s">
        <v>2409</v>
      </c>
      <c r="AJ199" s="11" t="str">
        <f>HYPERLINK(".\links\tmhmm\AGAP012399-PA-tmhmm.txt","1")</f>
        <v>1</v>
      </c>
      <c r="AK199" s="2">
        <v>3.1</v>
      </c>
      <c r="AL199" s="2">
        <v>96</v>
      </c>
      <c r="AM199" s="2">
        <v>0.8</v>
      </c>
      <c r="AN199" s="11" t="str">
        <f>HYPERLINK(".\links\gpi\AGAP012399-PA-gpi.txt","N")</f>
        <v>N</v>
      </c>
      <c r="AO199" s="12" t="str">
        <f>HYPERLINK(".\links\netoglyc\AGAP012399-PA-netoglyc.txt","0")</f>
        <v>0</v>
      </c>
      <c r="AP199" s="11">
        <v>11.4</v>
      </c>
      <c r="AQ199" s="2">
        <v>6</v>
      </c>
      <c r="AR199" s="2">
        <v>6.1</v>
      </c>
      <c r="AS199" s="2" t="s">
        <v>97</v>
      </c>
      <c r="AT199" s="9" t="str">
        <f>HYPERLINK(".\links\NR-LIGHT\AGAP012399-PA-NR-LIGHT.txt","AGAP012399-PA, partial")</f>
        <v>AGAP012399-PA, partial</v>
      </c>
      <c r="AU199" s="2" t="str">
        <f>HYPERLINK("http://www.ncbi.nlm.nih.gov/sutils/blink.cgi?pid=XP_320159.3","0.0")</f>
        <v>0.0</v>
      </c>
      <c r="AV199" s="2" t="str">
        <f>HYPERLINK("http://www.ncbi.nlm.nih.gov/protein/XP_320159.3","XP_320159.3")</f>
        <v>XP_320159.3</v>
      </c>
      <c r="AW199" s="2">
        <v>100</v>
      </c>
      <c r="AX199" s="2">
        <v>100</v>
      </c>
      <c r="AY199" s="2">
        <v>100</v>
      </c>
      <c r="AZ199" s="2" t="s">
        <v>98</v>
      </c>
      <c r="BA199" s="9" t="str">
        <f>HYPERLINK(".\links\REFSEQ-INVERTEBRATE\AGAP012399-PA-REFSEQ-INVERTEBRATE.txt","AGAP012399-PA, partial")</f>
        <v>AGAP012399-PA, partial</v>
      </c>
      <c r="BB199" s="2" t="str">
        <f>HYPERLINK("http://www.ncbi.nlm.nih.gov/sutils/blink.cgi?pid=XP_320159.3","0.0")</f>
        <v>0.0</v>
      </c>
      <c r="BC199" s="2" t="str">
        <f>HYPERLINK("http://www.ncbi.nlm.nih.gov/protein/XP_320159.3","XP_320159.3")</f>
        <v>XP_320159.3</v>
      </c>
      <c r="BD199" s="2">
        <v>100</v>
      </c>
      <c r="BE199" s="2">
        <v>100</v>
      </c>
      <c r="BF199" s="2">
        <v>100</v>
      </c>
      <c r="BG199" s="2" t="s">
        <v>98</v>
      </c>
      <c r="BH199" s="9" t="str">
        <f>HYPERLINK(".\links\REFSEQ-PROTOZOA\AGAP012399-PA-REFSEQ-PROTOZOA.txt","alpha amylase")</f>
        <v>alpha amylase</v>
      </c>
      <c r="BI199" s="2" t="str">
        <f>HYPERLINK("http://www.ncbi.nlm.nih.gov/sutils/blink.cgi?pid=XP_004990214.1","4E-085")</f>
        <v>4E-085</v>
      </c>
      <c r="BJ199" s="2" t="str">
        <f>HYPERLINK("http://www.ncbi.nlm.nih.gov/protein/XP_004990214.1","XP_004990214.1")</f>
        <v>XP_004990214.1</v>
      </c>
      <c r="BK199" s="2">
        <v>39</v>
      </c>
      <c r="BL199" s="2">
        <v>54</v>
      </c>
      <c r="BM199" s="2">
        <v>72</v>
      </c>
      <c r="BN199" s="2" t="s">
        <v>117</v>
      </c>
      <c r="BO199" s="9" t="str">
        <f>HYPERLINK(".\links\SWISSP\AGAP012399-PA-SWISSP.txt","Maltase A1")</f>
        <v>Maltase A1</v>
      </c>
      <c r="BP199" s="2" t="str">
        <f>HYPERLINK("http://www.uniprot.org/uniprot/P07190","1E-164")</f>
        <v>1E-164</v>
      </c>
      <c r="BQ199" s="2" t="str">
        <f>HYPERLINK("http://www.uniprot.org/uniprot/P07190#expression","P07190")</f>
        <v>P07190</v>
      </c>
      <c r="BR199" s="2">
        <v>51</v>
      </c>
      <c r="BS199" s="2">
        <v>68</v>
      </c>
      <c r="BT199" s="2">
        <v>98</v>
      </c>
      <c r="BU199" s="2" t="s">
        <v>100</v>
      </c>
      <c r="BV199" s="9" t="str">
        <f>HYPERLINK(".\links\FLYBASE\AGAP012399-PA-FLYBASE.txt","FBpp0087828")</f>
        <v>FBpp0087828</v>
      </c>
      <c r="BW199" s="2" t="str">
        <f>HYPERLINK("http://flybase.org/reports/FBgn0050359#alliance_summary_container","0.0")</f>
        <v>0.0</v>
      </c>
      <c r="BX199" s="2">
        <v>630</v>
      </c>
      <c r="BY199" s="2">
        <v>52</v>
      </c>
      <c r="BZ199" s="2">
        <v>69</v>
      </c>
      <c r="CA199" s="2">
        <v>90</v>
      </c>
      <c r="CB199" s="9" t="str">
        <f>HYPERLINK(".\links\CDD\AGAP012399-PA-CDD.txt","AmyAc_maltase, Alpha amylase catalytic domain found in maltase (also known as alpha glucosidase) and related proteins")</f>
        <v>AmyAc_maltase, Alpha amylase catalytic domain found in maltase (also known as alpha glucosidase) and related proteins</v>
      </c>
      <c r="CC199" s="13">
        <v>0</v>
      </c>
      <c r="CD199" s="2">
        <v>100</v>
      </c>
      <c r="CE199" s="2" t="s">
        <v>1502</v>
      </c>
      <c r="CF199" s="2" t="s">
        <v>2410</v>
      </c>
      <c r="CG199" s="9" t="str">
        <f>HYPERLINK(".\links\KOG\AGAP012399-PA-KOG.txt","Alpha-amylase")</f>
        <v>Alpha-amylase</v>
      </c>
      <c r="CH199" s="13">
        <v>1E-127</v>
      </c>
      <c r="CI199" s="2">
        <v>103.7</v>
      </c>
      <c r="CJ199" s="2" t="s">
        <v>1504</v>
      </c>
      <c r="CK199" s="2" t="s">
        <v>556</v>
      </c>
      <c r="CL199" s="9" t="str">
        <f>HYPERLINK(".\links\PFAM\AGAP012399-PA-PFAM.txt","Alpha-amylase, Alpha amylase, catalytic domain")</f>
        <v>Alpha-amylase, Alpha amylase, catalytic domain</v>
      </c>
      <c r="CM199" s="13">
        <v>9.9999999999999999E-91</v>
      </c>
      <c r="CN199" s="2">
        <v>109.8</v>
      </c>
      <c r="CO199" s="2" t="s">
        <v>1505</v>
      </c>
      <c r="CP199" s="9" t="str">
        <f>HYPERLINK(".\links\SMART\AGAP012399-PA-SMART.txt","Aamy, Alpha-amylase domain")</f>
        <v>Aamy, Alpha-amylase domain</v>
      </c>
      <c r="CQ199" s="13">
        <v>6E-34</v>
      </c>
      <c r="CR199" s="2">
        <v>58.4</v>
      </c>
      <c r="CS199" s="2" t="s">
        <v>672</v>
      </c>
      <c r="CT199" s="2" t="s">
        <v>2408</v>
      </c>
      <c r="CU199" s="2" t="s">
        <v>2408</v>
      </c>
      <c r="CV199" s="2" t="s">
        <v>2408</v>
      </c>
      <c r="CW199" s="2" t="str">
        <f>HYPERLINK(".\links\pep\AGAP012399-PA-pep.txt","AGAP012399-PA")</f>
        <v>AGAP012399-PA</v>
      </c>
      <c r="CX199" s="2" t="s">
        <v>88</v>
      </c>
      <c r="CY199" s="2">
        <v>605</v>
      </c>
      <c r="CZ199" s="2" t="s">
        <v>106</v>
      </c>
      <c r="DA199" s="2" t="s">
        <v>2411</v>
      </c>
      <c r="DB199" s="2">
        <v>0</v>
      </c>
      <c r="DC199" s="2">
        <v>4</v>
      </c>
      <c r="DD199" s="2" t="str">
        <f>HYPERLINK("https://www.kegg.jp/kegg-bin/search_pathway_text?map=aga&amp;keyword=AGAP012399&amp;mode=1&amp;viewImage=true","AGAP012399")</f>
        <v>AGAP012399</v>
      </c>
      <c r="DE199" s="2" t="s">
        <v>2405</v>
      </c>
      <c r="DF199" s="2" t="s">
        <v>2406</v>
      </c>
      <c r="DG199" s="2" t="s">
        <v>87</v>
      </c>
      <c r="DH199" s="2" t="str">
        <f>HYPERLINK("https://vectorbase.org/vectorbase/app/record/gene/AGAP012399","AGAP012399-RA")</f>
        <v>AGAP012399-RA</v>
      </c>
      <c r="DI199" s="2" t="s">
        <v>125</v>
      </c>
      <c r="DJ199" s="2">
        <v>1925</v>
      </c>
      <c r="DK199" s="2" t="str">
        <f>HYPERLINK(".\links\netoglyc\AGAP012399-PA-netoglyc.txt","0")</f>
        <v>0</v>
      </c>
      <c r="DL199" s="2">
        <v>11.4</v>
      </c>
      <c r="DM199" s="2">
        <v>6</v>
      </c>
      <c r="DN199" s="2">
        <v>6.1</v>
      </c>
      <c r="DO199" s="2" t="s">
        <v>97</v>
      </c>
      <c r="DP199" s="2" t="s">
        <v>94</v>
      </c>
      <c r="DQ199" s="2" t="str">
        <f>HYPERLINK(".\links\Sigp\AGAP012399-PA-SigP.txt","SIG")</f>
        <v>SIG</v>
      </c>
      <c r="DR199" s="2" t="s">
        <v>1065</v>
      </c>
      <c r="DS199" s="2">
        <v>69.296000000000006</v>
      </c>
      <c r="DT199" s="2">
        <v>4.96</v>
      </c>
      <c r="DU199" s="2">
        <v>66.361999999999995</v>
      </c>
      <c r="DV199" s="2">
        <v>4.8499999999999996</v>
      </c>
      <c r="DW199" s="2" t="s">
        <v>2409</v>
      </c>
      <c r="DX199" s="2">
        <v>605</v>
      </c>
      <c r="DY199" s="8" t="str">
        <f>HYPERLINK(".\links\tmhmm\AGAP012399-PA-tmhmm.txt","1")</f>
        <v>1</v>
      </c>
      <c r="DZ199" s="2">
        <v>3.1</v>
      </c>
      <c r="EA199" s="2">
        <v>96</v>
      </c>
      <c r="EB199" s="2">
        <v>0.8</v>
      </c>
      <c r="EC199" s="2" t="str">
        <f>HYPERLINK(".\links\gpi\AGAP012399-PA-gpi.txt","N")</f>
        <v>N</v>
      </c>
      <c r="ED199" s="2">
        <v>0.28999999999999998</v>
      </c>
      <c r="EF199" s="2">
        <v>3</v>
      </c>
      <c r="EG199" s="2" t="str">
        <f>HYPERLINK(".\links\pep\AGAP012399-PA-sulf.txt","2")</f>
        <v>2</v>
      </c>
      <c r="EH199" s="2" t="s">
        <v>94</v>
      </c>
      <c r="EI199" s="2">
        <v>11.404958677686</v>
      </c>
      <c r="EJ199" s="2">
        <v>6.1157024793388404</v>
      </c>
      <c r="EK199" s="2">
        <v>5.9504132231405</v>
      </c>
      <c r="EL199" s="2">
        <v>12.0661157024793</v>
      </c>
      <c r="EM199" s="2">
        <v>1</v>
      </c>
      <c r="EN199" s="2" t="s">
        <v>94</v>
      </c>
      <c r="EO199" s="2">
        <v>5</v>
      </c>
      <c r="EP199" s="2" t="s">
        <v>94</v>
      </c>
      <c r="EQ199" s="2" t="s">
        <v>94</v>
      </c>
      <c r="ER199" s="2" t="s">
        <v>94</v>
      </c>
      <c r="ES199" s="2" t="s">
        <v>94</v>
      </c>
      <c r="ET199" s="2" t="str">
        <f>HYPERLINK(".\links\REFSEQ-INVERTEBRATE\AGAP012399-PA-REFSEQ-INVERTEBRATE.txt","maltase A1-like")</f>
        <v>maltase A1-like</v>
      </c>
      <c r="EU199" s="2" t="str">
        <f>HYPERLINK("http://www.ncbi.nlm.nih.gov/sutils/blink.cgi?pid=XP_035892410.1","0.0")</f>
        <v>0.0</v>
      </c>
      <c r="EV199" s="2" t="str">
        <f>HYPERLINK("http://www.ncbi.nlm.nih.gov/protein/XP_035892410.1","XP_035892410.1")</f>
        <v>XP_035892410.1</v>
      </c>
      <c r="EW199" s="2">
        <v>79</v>
      </c>
      <c r="EX199" s="2">
        <v>88</v>
      </c>
      <c r="EY199" s="2">
        <v>98</v>
      </c>
      <c r="EZ199" s="2" t="s">
        <v>184</v>
      </c>
    </row>
    <row r="200" spans="1:156" x14ac:dyDescent="0.25">
      <c r="A200" s="2" t="s">
        <v>2412</v>
      </c>
      <c r="B200" s="2">
        <v>-0.69368074580697803</v>
      </c>
      <c r="C200" s="2">
        <v>0.61827443336160171</v>
      </c>
      <c r="D200" s="2">
        <v>11.1803468214906</v>
      </c>
      <c r="E200" s="2">
        <v>14.171467029444599</v>
      </c>
      <c r="F200" s="2">
        <v>1.6688206696950999E-4</v>
      </c>
      <c r="G200" s="2">
        <v>1.0513263111153699E-2</v>
      </c>
      <c r="H200" s="2" t="s">
        <v>2413</v>
      </c>
      <c r="I200" s="2" t="s">
        <v>87</v>
      </c>
      <c r="J200" s="2" t="str">
        <f>HYPERLINK("https://vectorbase.org/vectorbase/app/record/gene/AGAP010056","AGAP010056-RA")</f>
        <v>AGAP010056-RA</v>
      </c>
      <c r="K200" s="2" t="str">
        <f>HYPERLINK(".\links\pep\AGAP010056-PA-pep.txt","AGAP010056-PA")</f>
        <v>AGAP010056-PA</v>
      </c>
      <c r="L200" s="8" t="s">
        <v>88</v>
      </c>
      <c r="M200" s="2">
        <v>599</v>
      </c>
      <c r="N200" s="2">
        <v>0</v>
      </c>
      <c r="O200" s="2">
        <v>3</v>
      </c>
      <c r="P200" s="2" t="s">
        <v>2414</v>
      </c>
      <c r="Q200" s="9" t="s">
        <v>2415</v>
      </c>
      <c r="R200" s="2" t="s">
        <v>550</v>
      </c>
      <c r="S200" s="2" t="str">
        <f>HYPERLINK(".\links\KOG\AGAP010056-PA-KOG.txt","KOG")</f>
        <v>KOG</v>
      </c>
      <c r="T200" s="2">
        <v>0</v>
      </c>
      <c r="U200" s="2">
        <v>97</v>
      </c>
      <c r="V200" s="2" t="s">
        <v>2416</v>
      </c>
      <c r="W200" s="10" t="s">
        <v>133</v>
      </c>
      <c r="X200" s="2" t="s">
        <v>550</v>
      </c>
      <c r="Y200" s="2" t="str">
        <f>HYPERLINK(".\links\COG\AGAP010056-PA-COG.txt","COG")</f>
        <v>COG</v>
      </c>
      <c r="Z200" s="13">
        <v>4.9999999999999999E-46</v>
      </c>
      <c r="AA200" s="2">
        <v>62.8</v>
      </c>
      <c r="AB200" s="11" t="str">
        <f>HYPERLINK(".\links\pep\AGAP010056-PA-sulf.txt","1")</f>
        <v>1</v>
      </c>
      <c r="AC200" s="11" t="str">
        <f>HYPERLINK(".\links\Sigp\AGAP010056-PA-SigP.txt","CYT")</f>
        <v>CYT</v>
      </c>
      <c r="AD200" s="2" t="s">
        <v>94</v>
      </c>
      <c r="AE200" s="2">
        <v>68.674999999999997</v>
      </c>
      <c r="AF200" s="2">
        <v>6.66</v>
      </c>
      <c r="AG200" s="2" t="s">
        <v>94</v>
      </c>
      <c r="AH200" s="2" t="s">
        <v>94</v>
      </c>
      <c r="AI200" s="2" t="s">
        <v>2417</v>
      </c>
      <c r="AJ200" s="11">
        <v>0</v>
      </c>
      <c r="AK200" s="2" t="s">
        <v>94</v>
      </c>
      <c r="AL200" s="2" t="s">
        <v>94</v>
      </c>
      <c r="AM200" s="2" t="s">
        <v>94</v>
      </c>
      <c r="AN200" s="11" t="str">
        <f>HYPERLINK(".\links\gpi\AGAP010056-PA-gpi.txt","N")</f>
        <v>N</v>
      </c>
      <c r="AO200" s="12" t="str">
        <f>HYPERLINK(".\links\netoglyc\AGAP010056-PA-netoglyc.txt","0")</f>
        <v>0</v>
      </c>
      <c r="AP200" s="11">
        <v>13.7</v>
      </c>
      <c r="AQ200" s="2">
        <v>6.3</v>
      </c>
      <c r="AR200" s="2">
        <v>4.5</v>
      </c>
      <c r="AS200" s="2" t="s">
        <v>97</v>
      </c>
      <c r="AT200" s="9" t="str">
        <f>HYPERLINK(".\links\NR-LIGHT\AGAP010056-PA-NR-LIGHT.txt","AGAP010056-PA")</f>
        <v>AGAP010056-PA</v>
      </c>
      <c r="AU200" s="2" t="str">
        <f>HYPERLINK("http://www.ncbi.nlm.nih.gov/sutils/blink.cgi?pid=XP_319210.4","0.0")</f>
        <v>0.0</v>
      </c>
      <c r="AV200" s="2" t="str">
        <f>HYPERLINK("http://www.ncbi.nlm.nih.gov/protein/XP_319210.4","XP_319210.4")</f>
        <v>XP_319210.4</v>
      </c>
      <c r="AW200" s="2">
        <v>100</v>
      </c>
      <c r="AX200" s="2">
        <v>100</v>
      </c>
      <c r="AY200" s="2">
        <v>100</v>
      </c>
      <c r="AZ200" s="2" t="s">
        <v>98</v>
      </c>
      <c r="BA200" s="9" t="str">
        <f>HYPERLINK(".\links\REFSEQ-INVERTEBRATE\AGAP010056-PA-REFSEQ-INVERTEBRATE.txt","AGAP010056-PA")</f>
        <v>AGAP010056-PA</v>
      </c>
      <c r="BB200" s="2" t="str">
        <f>HYPERLINK("http://www.ncbi.nlm.nih.gov/sutils/blink.cgi?pid=XP_319210.4","0.0")</f>
        <v>0.0</v>
      </c>
      <c r="BC200" s="2" t="str">
        <f>HYPERLINK("http://www.ncbi.nlm.nih.gov/protein/XP_319210.4","XP_319210.4")</f>
        <v>XP_319210.4</v>
      </c>
      <c r="BD200" s="2">
        <v>100</v>
      </c>
      <c r="BE200" s="2">
        <v>100</v>
      </c>
      <c r="BF200" s="2">
        <v>100</v>
      </c>
      <c r="BG200" s="2" t="s">
        <v>98</v>
      </c>
      <c r="BH200" s="9" t="str">
        <f>HYPERLINK(".\links\REFSEQ-PROTOZOA\AGAP010056-PA-REFSEQ-PROTOZOA.txt","hypothetical protein SARC_05491")</f>
        <v>hypothetical protein SARC_05491</v>
      </c>
      <c r="BI200" s="2" t="str">
        <f>HYPERLINK("http://www.ncbi.nlm.nih.gov/sutils/blink.cgi?pid=XP_014156127.1","7E-094")</f>
        <v>7E-094</v>
      </c>
      <c r="BJ200" s="2" t="str">
        <f>HYPERLINK("http://www.ncbi.nlm.nih.gov/protein/XP_014156127.1","XP_014156127.1")</f>
        <v>XP_014156127.1</v>
      </c>
      <c r="BK200" s="2">
        <v>35</v>
      </c>
      <c r="BL200" s="2">
        <v>56</v>
      </c>
      <c r="BM200" s="2">
        <v>99</v>
      </c>
      <c r="BN200" s="2" t="s">
        <v>368</v>
      </c>
      <c r="BO200" s="9" t="str">
        <f>HYPERLINK(".\links\SWISSP\AGAP010056-PA-SWISSP.txt","Beta-hexosaminidase subunit beta")</f>
        <v>Beta-hexosaminidase subunit beta</v>
      </c>
      <c r="BP200" s="2" t="str">
        <f>HYPERLINK("http://www.uniprot.org/uniprot/P20060","1E-124")</f>
        <v>1E-124</v>
      </c>
      <c r="BQ200" s="2" t="str">
        <f>HYPERLINK("http://www.uniprot.org/uniprot/P20060#expression","P20060")</f>
        <v>P20060</v>
      </c>
      <c r="BR200" s="2">
        <v>45</v>
      </c>
      <c r="BS200" s="2">
        <v>61</v>
      </c>
      <c r="BT200" s="2">
        <v>96</v>
      </c>
      <c r="BU200" s="2" t="s">
        <v>339</v>
      </c>
      <c r="BV200" s="9" t="str">
        <f>HYPERLINK(".\links\FLYBASE\AGAP010056-PA-FLYBASE.txt","FBpp0071192")</f>
        <v>FBpp0071192</v>
      </c>
      <c r="BW200" s="2" t="str">
        <f>HYPERLINK("http://flybase.org/reports/FBgn0041629#alliance_summary_container","1E-61")</f>
        <v>1E-61</v>
      </c>
      <c r="BX200" s="2">
        <v>622</v>
      </c>
      <c r="BY200" s="2">
        <v>33</v>
      </c>
      <c r="BZ200" s="2">
        <v>50</v>
      </c>
      <c r="CA200" s="2">
        <v>73</v>
      </c>
      <c r="CB200" s="9" t="str">
        <f>HYPERLINK(".\links\CDD\AGAP010056-PA-CDD.txt","GH20_HexA_HexB-like, Beta-N-acetylhexosaminidases catalyze the removal of beta-1,4-linked N-acetyl-D-hexosamine residues from the non-reducing ends of N-acetyl-beta-D-hexosaminides including N-acetylglucosides and N-acetylgalactosides")</f>
        <v>GH20_HexA_HexB-like, Beta-N-acetylhexosaminidases catalyze the removal of beta-1,4-linked N-acetyl-D-hexosamine residues from the non-reducing ends of N-acetyl-beta-D-hexosaminides including N-acetylglucosides and N-acetylgalactosides</v>
      </c>
      <c r="CC200" s="13">
        <v>1E-146</v>
      </c>
      <c r="CD200" s="2">
        <v>100.6</v>
      </c>
      <c r="CE200" s="2" t="s">
        <v>2418</v>
      </c>
      <c r="CF200" s="2" t="s">
        <v>2419</v>
      </c>
      <c r="CG200" s="9" t="str">
        <f>HYPERLINK(".\links\KOG\AGAP010056-PA-KOG.txt","Beta-N-acetylhexosaminidase")</f>
        <v>Beta-N-acetylhexosaminidase</v>
      </c>
      <c r="CH200" s="13">
        <v>9.9999999999999991E-146</v>
      </c>
      <c r="CI200" s="2">
        <v>97.6</v>
      </c>
      <c r="CJ200" s="2" t="s">
        <v>2420</v>
      </c>
      <c r="CK200" s="2" t="s">
        <v>556</v>
      </c>
      <c r="CL200" s="9" t="str">
        <f>HYPERLINK(".\links\PFAM\AGAP010056-PA-PFAM.txt","Glyco_hydro_20, Glycosyl hydrolase family 20, catalytic domain")</f>
        <v>Glyco_hydro_20, Glycosyl hydrolase family 20, catalytic domain</v>
      </c>
      <c r="CM200" s="13">
        <v>4.9999999999999997E-89</v>
      </c>
      <c r="CN200" s="2">
        <v>100</v>
      </c>
      <c r="CO200" s="2" t="s">
        <v>2421</v>
      </c>
      <c r="CP200" s="9" t="str">
        <f>HYPERLINK(".\links\SMART\AGAP010056-PA-SMART.txt","COG6, Conserved oligomeric complex COG6")</f>
        <v>COG6, Conserved oligomeric complex COG6</v>
      </c>
      <c r="CQ200" s="13">
        <v>2.6</v>
      </c>
      <c r="CR200" s="2">
        <v>15.4</v>
      </c>
      <c r="CS200" s="2" t="s">
        <v>1520</v>
      </c>
      <c r="CT200" s="2" t="s">
        <v>2416</v>
      </c>
      <c r="CU200" s="2" t="s">
        <v>2416</v>
      </c>
      <c r="CV200" s="2" t="s">
        <v>2416</v>
      </c>
      <c r="CW200" s="2" t="str">
        <f>HYPERLINK(".\links\pep\AGAP010056-PA-pep.txt","AGAP010056-PA")</f>
        <v>AGAP010056-PA</v>
      </c>
      <c r="CX200" s="2" t="s">
        <v>88</v>
      </c>
      <c r="CY200" s="2">
        <v>599</v>
      </c>
      <c r="CZ200" s="2" t="s">
        <v>106</v>
      </c>
      <c r="DA200" s="2" t="s">
        <v>2422</v>
      </c>
      <c r="DB200" s="2">
        <v>0</v>
      </c>
      <c r="DC200" s="2">
        <v>3</v>
      </c>
      <c r="DD200" s="2" t="str">
        <f>HYPERLINK("https://www.kegg.jp/kegg-bin/search_pathway_text?map=aga&amp;keyword=AGAP010056&amp;mode=1&amp;viewImage=true","AGAP010056")</f>
        <v>AGAP010056</v>
      </c>
      <c r="DE200" s="2" t="s">
        <v>2412</v>
      </c>
      <c r="DF200" s="2" t="s">
        <v>2413</v>
      </c>
      <c r="DG200" s="2" t="s">
        <v>87</v>
      </c>
      <c r="DH200" s="2" t="str">
        <f>HYPERLINK("https://vectorbase.org/vectorbase/app/record/gene/AGAP010056","AGAP010056-RA")</f>
        <v>AGAP010056-RA</v>
      </c>
      <c r="DI200" s="2" t="s">
        <v>250</v>
      </c>
      <c r="DJ200" s="2">
        <v>2048</v>
      </c>
      <c r="DK200" s="2" t="str">
        <f>HYPERLINK(".\links\netoglyc\AGAP010056-PA-netoglyc.txt","0")</f>
        <v>0</v>
      </c>
      <c r="DL200" s="2">
        <v>13.7</v>
      </c>
      <c r="DM200" s="2">
        <v>6.3</v>
      </c>
      <c r="DN200" s="2">
        <v>4.5</v>
      </c>
      <c r="DO200" s="2" t="s">
        <v>97</v>
      </c>
      <c r="DP200" s="2" t="s">
        <v>2423</v>
      </c>
      <c r="DQ200" s="2" t="str">
        <f>HYPERLINK(".\links\Sigp\AGAP010056-PA-SigP.txt","CYT")</f>
        <v>CYT</v>
      </c>
      <c r="DR200" s="2" t="s">
        <v>94</v>
      </c>
      <c r="DS200" s="2">
        <v>68.674999999999997</v>
      </c>
      <c r="DT200" s="2">
        <v>6.66</v>
      </c>
      <c r="DU200" s="2" t="s">
        <v>94</v>
      </c>
      <c r="DV200" s="2" t="s">
        <v>94</v>
      </c>
      <c r="DW200" s="2" t="s">
        <v>2417</v>
      </c>
      <c r="DX200" s="2">
        <v>599</v>
      </c>
      <c r="DY200" s="8">
        <v>0</v>
      </c>
      <c r="DZ200" s="2" t="s">
        <v>94</v>
      </c>
      <c r="EA200" s="2" t="s">
        <v>94</v>
      </c>
      <c r="EB200" s="2" t="s">
        <v>94</v>
      </c>
      <c r="EC200" s="2" t="str">
        <f>HYPERLINK(".\links\gpi\AGAP010056-PA-gpi.txt","Y-NoSP")</f>
        <v>Y-NoSP</v>
      </c>
      <c r="ED200" s="2">
        <v>0.15</v>
      </c>
      <c r="EF200" s="2">
        <v>12</v>
      </c>
      <c r="EG200" s="2" t="str">
        <f>HYPERLINK(".\links\pep\AGAP010056-PA-sulf.txt","1")</f>
        <v>1</v>
      </c>
      <c r="EH200" s="2" t="s">
        <v>94</v>
      </c>
      <c r="EI200" s="2">
        <v>13.689482470784601</v>
      </c>
      <c r="EJ200" s="2">
        <v>4.5075125208681097</v>
      </c>
      <c r="EK200" s="2">
        <v>6.3439065108514203</v>
      </c>
      <c r="EL200" s="2">
        <v>10.8514190317195</v>
      </c>
      <c r="EM200" s="2">
        <v>1</v>
      </c>
      <c r="EN200" s="2">
        <v>3</v>
      </c>
      <c r="EO200" s="2">
        <v>4</v>
      </c>
      <c r="EP200" s="2" t="s">
        <v>94</v>
      </c>
      <c r="EQ200" s="2" t="s">
        <v>94</v>
      </c>
      <c r="ER200" s="2" t="s">
        <v>94</v>
      </c>
      <c r="ES200" s="2" t="s">
        <v>94</v>
      </c>
      <c r="ET200" s="2" t="str">
        <f>HYPERLINK(".\links\REFSEQ-INVERTEBRATE\AGAP010056-PA-REFSEQ-INVERTEBRATE.txt","AGAP010056-PA")</f>
        <v>AGAP010056-PA</v>
      </c>
      <c r="EU200" s="2" t="str">
        <f>HYPERLINK("http://www.ncbi.nlm.nih.gov/sutils/blink.cgi?pid=XP_319210.4","0.0")</f>
        <v>0.0</v>
      </c>
      <c r="EV200" s="2" t="str">
        <f>HYPERLINK("http://www.ncbi.nlm.nih.gov/protein/XP_319210.4","XP_319210.4")</f>
        <v>XP_319210.4</v>
      </c>
      <c r="EW200" s="2">
        <v>100</v>
      </c>
      <c r="EX200" s="2">
        <v>100</v>
      </c>
      <c r="EY200" s="2">
        <v>100</v>
      </c>
      <c r="EZ200" s="2" t="s">
        <v>98</v>
      </c>
    </row>
    <row r="201" spans="1:156" x14ac:dyDescent="0.25">
      <c r="A201" s="2" t="s">
        <v>2424</v>
      </c>
      <c r="B201" s="2">
        <v>-0.69434104666965502</v>
      </c>
      <c r="C201" s="2">
        <v>0.61799152275335278</v>
      </c>
      <c r="D201" s="2">
        <v>11.4273925921654</v>
      </c>
      <c r="E201" s="2">
        <v>10.495993006230499</v>
      </c>
      <c r="F201" s="2">
        <v>1.19633702495351E-3</v>
      </c>
      <c r="G201" s="2">
        <v>4.7622059092064101E-2</v>
      </c>
      <c r="H201" s="2" t="s">
        <v>2425</v>
      </c>
      <c r="I201" s="2" t="s">
        <v>94</v>
      </c>
      <c r="J201" s="2" t="str">
        <f>HYPERLINK("https://vectorbase.org/vectorbase/app/record/gene/AGAP003692","AGAP003692-RA")</f>
        <v>AGAP003692-RA</v>
      </c>
      <c r="K201" s="2" t="str">
        <f>HYPERLINK(".\links\pep\AGAP003692-PA-pep.txt","AGAP003692-PA")</f>
        <v>AGAP003692-PA</v>
      </c>
      <c r="L201" s="8" t="s">
        <v>88</v>
      </c>
      <c r="M201" s="2">
        <v>956</v>
      </c>
      <c r="N201" s="2">
        <v>0</v>
      </c>
      <c r="O201" s="2">
        <v>1</v>
      </c>
      <c r="P201" s="2" t="s">
        <v>505</v>
      </c>
      <c r="Q201" s="9" t="s">
        <v>2426</v>
      </c>
      <c r="R201" s="2" t="s">
        <v>2427</v>
      </c>
      <c r="S201" s="2" t="str">
        <f>HYPERLINK(".\links\KOG\AGAP003692-PA-KOG.txt","KOG")</f>
        <v>KOG</v>
      </c>
      <c r="T201" s="2">
        <v>0</v>
      </c>
      <c r="U201" s="2">
        <v>108.5</v>
      </c>
      <c r="V201" s="2" t="s">
        <v>2428</v>
      </c>
      <c r="W201" s="10" t="s">
        <v>2429</v>
      </c>
      <c r="X201" s="2" t="s">
        <v>2427</v>
      </c>
      <c r="Y201" s="2" t="str">
        <f>HYPERLINK(".\links\COG\AGAP003692-PA-COG.txt","COG")</f>
        <v>COG</v>
      </c>
      <c r="Z201" s="13">
        <v>3.9999999999999997E-76</v>
      </c>
      <c r="AA201" s="2">
        <v>61.8</v>
      </c>
      <c r="AB201" s="11" t="str">
        <f>HYPERLINK(".\links\pep\AGAP003692-PA-sulf.txt","3")</f>
        <v>3</v>
      </c>
      <c r="AC201" s="11" t="str">
        <f>HYPERLINK(".\links\Sigp\AGAP003692-PA-SigP.txt","SIG")</f>
        <v>SIG</v>
      </c>
      <c r="AD201" s="2" t="s">
        <v>2430</v>
      </c>
      <c r="AE201" s="2">
        <v>109.16800000000001</v>
      </c>
      <c r="AF201" s="2">
        <v>5.0199999999999996</v>
      </c>
      <c r="AG201" s="2">
        <v>107.166</v>
      </c>
      <c r="AH201" s="2">
        <v>4.99</v>
      </c>
      <c r="AI201" s="2" t="s">
        <v>2431</v>
      </c>
      <c r="AJ201" s="11" t="str">
        <f>HYPERLINK(".\links\tmhmm\AGAP003692-PA-tmhmm.txt","1")</f>
        <v>1</v>
      </c>
      <c r="AK201" s="2">
        <v>2.2999999999999998</v>
      </c>
      <c r="AL201" s="2">
        <v>97.6</v>
      </c>
      <c r="AM201" s="2">
        <v>0.1</v>
      </c>
      <c r="AN201" s="11" t="str">
        <f>HYPERLINK(".\links\gpi\AGAP003692-PA-gpi.txt","Y")</f>
        <v>Y</v>
      </c>
      <c r="AO201" s="12" t="str">
        <f>HYPERLINK(".\links\netoglyc\AGAP003692-PA-netoglyc.txt","3")</f>
        <v>3</v>
      </c>
      <c r="AP201" s="11">
        <v>15.8</v>
      </c>
      <c r="AQ201" s="2">
        <v>4.5</v>
      </c>
      <c r="AR201" s="2">
        <v>4.0999999999999996</v>
      </c>
      <c r="AS201" s="2" t="s">
        <v>97</v>
      </c>
      <c r="AT201" s="9" t="str">
        <f>HYPERLINK(".\links\NR-LIGHT\AGAP003692-PA-NR-LIGHT.txt","AGAP003692-PA")</f>
        <v>AGAP003692-PA</v>
      </c>
      <c r="AU201" s="2" t="str">
        <f>HYPERLINK("http://www.ncbi.nlm.nih.gov/sutils/blink.cgi?pid=XP_562562.2","0.0")</f>
        <v>0.0</v>
      </c>
      <c r="AV201" s="2" t="str">
        <f>HYPERLINK("http://www.ncbi.nlm.nih.gov/protein/XP_562562.2","XP_562562.2")</f>
        <v>XP_562562.2</v>
      </c>
      <c r="AW201" s="2">
        <v>94</v>
      </c>
      <c r="AX201" s="2">
        <v>94</v>
      </c>
      <c r="AY201" s="2">
        <v>103</v>
      </c>
      <c r="AZ201" s="2" t="s">
        <v>98</v>
      </c>
      <c r="BA201" s="9" t="str">
        <f>HYPERLINK(".\links\REFSEQ-INVERTEBRATE\AGAP003692-PA-REFSEQ-INVERTEBRATE.txt","AGAP003692-PA")</f>
        <v>AGAP003692-PA</v>
      </c>
      <c r="BB201" s="2" t="str">
        <f>HYPERLINK("http://www.ncbi.nlm.nih.gov/sutils/blink.cgi?pid=XP_562562.2","0.0")</f>
        <v>0.0</v>
      </c>
      <c r="BC201" s="2" t="str">
        <f>HYPERLINK("http://www.ncbi.nlm.nih.gov/protein/XP_562562.2","XP_562562.2")</f>
        <v>XP_562562.2</v>
      </c>
      <c r="BD201" s="2">
        <v>94</v>
      </c>
      <c r="BE201" s="2">
        <v>94</v>
      </c>
      <c r="BF201" s="2">
        <v>103</v>
      </c>
      <c r="BG201" s="2" t="s">
        <v>98</v>
      </c>
      <c r="BH201" s="9" t="str">
        <f>HYPERLINK(".\links\REFSEQ-PROTOZOA\AGAP003692-PA-REFSEQ-PROTOZOA.txt","hypothetical protein DICPUDRAFT_46283")</f>
        <v>hypothetical protein DICPUDRAFT_46283</v>
      </c>
      <c r="BI201" s="2" t="str">
        <f>HYPERLINK("http://www.ncbi.nlm.nih.gov/sutils/blink.cgi?pid=XP_003285699.1","3E-096")</f>
        <v>3E-096</v>
      </c>
      <c r="BJ201" s="2" t="str">
        <f>HYPERLINK("http://www.ncbi.nlm.nih.gov/protein/XP_003285699.1","XP_003285699.1")</f>
        <v>XP_003285699.1</v>
      </c>
      <c r="BK201" s="2">
        <v>29</v>
      </c>
      <c r="BL201" s="2">
        <v>47</v>
      </c>
      <c r="BM201" s="2">
        <v>105</v>
      </c>
      <c r="BN201" s="2" t="s">
        <v>894</v>
      </c>
      <c r="BO201" s="9" t="str">
        <f>HYPERLINK(".\links\SWISSP\AGAP003692-PA-SWISSP.txt","Aminopeptidase N")</f>
        <v>Aminopeptidase N</v>
      </c>
      <c r="BP201" s="2" t="str">
        <f>HYPERLINK("http://www.uniprot.org/uniprot/P91887","1E-117")</f>
        <v>1E-117</v>
      </c>
      <c r="BQ201" s="2" t="str">
        <f>HYPERLINK("http://www.uniprot.org/uniprot/P91887#expression","P91887")</f>
        <v>P91887</v>
      </c>
      <c r="BR201" s="2">
        <v>29</v>
      </c>
      <c r="BS201" s="2">
        <v>48</v>
      </c>
      <c r="BT201" s="2">
        <v>101</v>
      </c>
      <c r="BU201" s="2" t="s">
        <v>2432</v>
      </c>
      <c r="BV201" s="9" t="str">
        <f>HYPERLINK(".\links\FLYBASE\AGAP003692-PA-FLYBASE.txt","FBpp0307389")</f>
        <v>FBpp0307389</v>
      </c>
      <c r="BW201" s="2" t="str">
        <f>HYPERLINK("http://flybase.org/reports/FBgn0039640#alliance_summary_container","1E-133")</f>
        <v>1E-133</v>
      </c>
      <c r="BX201" s="2">
        <v>990</v>
      </c>
      <c r="BY201" s="2">
        <v>29</v>
      </c>
      <c r="BZ201" s="2">
        <v>50</v>
      </c>
      <c r="CA201" s="2">
        <v>98</v>
      </c>
      <c r="CB201" s="9" t="str">
        <f>HYPERLINK(".\links\CDD\AGAP003692-PA-CDD.txt","M1_APN_2, Peptidase M1 Aminopeptidase N family incudes tricorn interacting factor F3, Endoplasmic reticulum aminopeptidase 1 (ERAP1), Aminopeptidase Q (APQ)")</f>
        <v>M1_APN_2, Peptidase M1 Aminopeptidase N family incudes tricorn interacting factor F3, Endoplasmic reticulum aminopeptidase 1 (ERAP1), Aminopeptidase Q (APQ)</v>
      </c>
      <c r="CC201" s="13">
        <v>1.0000000000000001E-152</v>
      </c>
      <c r="CD201" s="2">
        <v>100.9</v>
      </c>
      <c r="CE201" s="2" t="s">
        <v>513</v>
      </c>
      <c r="CF201" s="2" t="s">
        <v>2433</v>
      </c>
      <c r="CG201" s="9" t="str">
        <f>HYPERLINK(".\links\KOG\AGAP003692-PA-KOG.txt","Puromycin-sensitive aminopeptidase and related aminopeptidases")</f>
        <v>Puromycin-sensitive aminopeptidase and related aminopeptidases</v>
      </c>
      <c r="CH201" s="13">
        <v>9.9999999999999999E-161</v>
      </c>
      <c r="CI201" s="2">
        <v>108.5</v>
      </c>
      <c r="CJ201" s="2" t="s">
        <v>515</v>
      </c>
      <c r="CK201" s="2" t="s">
        <v>516</v>
      </c>
      <c r="CL201" s="9" t="str">
        <f>HYPERLINK(".\links\PFAM\AGAP003692-PA-PFAM.txt","Peptidase_M1, Peptidase family M1")</f>
        <v>Peptidase_M1, Peptidase family M1</v>
      </c>
      <c r="CM201" s="13">
        <v>1.0000000000000001E-101</v>
      </c>
      <c r="CN201" s="2">
        <v>100.3</v>
      </c>
      <c r="CO201" s="2" t="s">
        <v>517</v>
      </c>
      <c r="CP201" s="9" t="str">
        <f>HYPERLINK(".\links\SMART\AGAP003692-PA-SMART.txt","RhoGAP, GTPase-activator protein for Rho-like GTPases")</f>
        <v>RhoGAP, GTPase-activator protein for Rho-like GTPases</v>
      </c>
      <c r="CQ201" s="13">
        <v>1.3</v>
      </c>
      <c r="CR201" s="2">
        <v>15.5</v>
      </c>
      <c r="CS201" s="2" t="s">
        <v>343</v>
      </c>
      <c r="CT201" s="2" t="s">
        <v>2428</v>
      </c>
      <c r="CU201" s="2" t="s">
        <v>2428</v>
      </c>
      <c r="CV201" s="2" t="s">
        <v>2428</v>
      </c>
      <c r="CW201" s="2" t="str">
        <f>HYPERLINK(".\links\pep\AGAP003692-PA-pep.txt","AGAP003692-PA")</f>
        <v>AGAP003692-PA</v>
      </c>
      <c r="CX201" s="2" t="s">
        <v>88</v>
      </c>
      <c r="CY201" s="2">
        <v>956</v>
      </c>
      <c r="CZ201" s="2" t="s">
        <v>106</v>
      </c>
      <c r="DA201" s="2">
        <v>0</v>
      </c>
      <c r="DB201" s="2">
        <v>1</v>
      </c>
      <c r="DD201" s="2" t="str">
        <f>HYPERLINK("https://www.kegg.jp/kegg-bin/search_pathway_text?map=aga&amp;keyword=AGAP003692&amp;mode=1&amp;viewImage=true","AGAP003692")</f>
        <v>AGAP003692</v>
      </c>
      <c r="DE201" s="2" t="s">
        <v>2424</v>
      </c>
      <c r="DF201" s="2" t="s">
        <v>2425</v>
      </c>
      <c r="DG201" s="2" t="s">
        <v>94</v>
      </c>
      <c r="DH201" s="2" t="str">
        <f>HYPERLINK("https://vectorbase.org/vectorbase/app/record/gene/AGAP003692","AGAP003692-RA")</f>
        <v>AGAP003692-RA</v>
      </c>
      <c r="DI201" s="2" t="s">
        <v>108</v>
      </c>
      <c r="DJ201" s="2">
        <v>2970</v>
      </c>
      <c r="DK201" s="2" t="str">
        <f>HYPERLINK(".\links\netoglyc\AGAP003692-PA-netoglyc.txt","3")</f>
        <v>3</v>
      </c>
      <c r="DL201" s="2">
        <v>15.8</v>
      </c>
      <c r="DM201" s="2">
        <v>4.5</v>
      </c>
      <c r="DN201" s="2">
        <v>4.0999999999999996</v>
      </c>
      <c r="DO201" s="2" t="s">
        <v>97</v>
      </c>
      <c r="DP201" s="2" t="s">
        <v>2434</v>
      </c>
      <c r="DQ201" s="2" t="str">
        <f>HYPERLINK(".\links\Sigp\AGAP003692-PA-SigP.txt","SIG")</f>
        <v>SIG</v>
      </c>
      <c r="DR201" s="2" t="s">
        <v>2430</v>
      </c>
      <c r="DS201" s="2">
        <v>109.16800000000001</v>
      </c>
      <c r="DT201" s="2">
        <v>5.0199999999999996</v>
      </c>
      <c r="DU201" s="2">
        <v>107.166</v>
      </c>
      <c r="DV201" s="2">
        <v>4.99</v>
      </c>
      <c r="DW201" s="2" t="s">
        <v>2431</v>
      </c>
      <c r="DX201" s="2">
        <v>956</v>
      </c>
      <c r="DY201" s="8" t="str">
        <f>HYPERLINK(".\links\tmhmm\AGAP003692-PA-tmhmm.txt","1")</f>
        <v>1</v>
      </c>
      <c r="DZ201" s="2">
        <v>2.2999999999999998</v>
      </c>
      <c r="EA201" s="2">
        <v>97.6</v>
      </c>
      <c r="EB201" s="2">
        <v>0.1</v>
      </c>
      <c r="EC201" s="2" t="str">
        <f>HYPERLINK(".\links\gpi\AGAP003692-PA-gpi.txt","Y-NoSP")</f>
        <v>Y-NoSP</v>
      </c>
      <c r="ED201" s="2">
        <v>0.23</v>
      </c>
      <c r="EF201" s="2">
        <v>8</v>
      </c>
      <c r="EG201" s="2" t="str">
        <f>HYPERLINK(".\links\pep\AGAP003692-PA-sulf.txt","3")</f>
        <v>3</v>
      </c>
      <c r="EH201" s="2" t="s">
        <v>94</v>
      </c>
      <c r="EI201" s="2">
        <v>15.794979079497899</v>
      </c>
      <c r="EJ201" s="2">
        <v>4.0794979079497899</v>
      </c>
      <c r="EK201" s="2">
        <v>4.4979079497908003</v>
      </c>
      <c r="EL201" s="2">
        <v>8.5774058577405796</v>
      </c>
      <c r="EM201" s="2">
        <v>1</v>
      </c>
      <c r="EN201" s="2">
        <v>1</v>
      </c>
      <c r="EO201" s="2">
        <v>5</v>
      </c>
      <c r="EP201" s="2" t="s">
        <v>94</v>
      </c>
      <c r="EQ201" s="2" t="s">
        <v>94</v>
      </c>
      <c r="ER201" s="2" t="s">
        <v>94</v>
      </c>
      <c r="ES201" s="2" t="s">
        <v>94</v>
      </c>
      <c r="ET201" s="2" t="str">
        <f>HYPERLINK(".\links\REFSEQ-INVERTEBRATE\AGAP003692-PA-REFSEQ-INVERTEBRATE.txt","AGAP003692-PA")</f>
        <v>AGAP003692-PA</v>
      </c>
      <c r="EU201" s="2" t="str">
        <f>HYPERLINK("http://www.ncbi.nlm.nih.gov/sutils/blink.cgi?pid=XP_562562.2","0.0")</f>
        <v>0.0</v>
      </c>
      <c r="EV201" s="2" t="str">
        <f>HYPERLINK("http://www.ncbi.nlm.nih.gov/protein/XP_562562.2","XP_562562.2")</f>
        <v>XP_562562.2</v>
      </c>
      <c r="EW201" s="2">
        <v>94</v>
      </c>
      <c r="EX201" s="2">
        <v>94</v>
      </c>
      <c r="EY201" s="2">
        <v>103</v>
      </c>
      <c r="EZ201" s="2" t="s">
        <v>98</v>
      </c>
    </row>
    <row r="202" spans="1:156" x14ac:dyDescent="0.25">
      <c r="A202" s="2" t="s">
        <v>2435</v>
      </c>
      <c r="B202" s="2">
        <v>-0.70146409201042603</v>
      </c>
      <c r="C202" s="2">
        <v>0.61494782163735462</v>
      </c>
      <c r="D202" s="2">
        <v>4.4382597912622499</v>
      </c>
      <c r="E202" s="2">
        <v>11.1832933378272</v>
      </c>
      <c r="F202" s="2">
        <v>8.2537140102854098E-4</v>
      </c>
      <c r="G202" s="2">
        <v>3.7302479462028498E-2</v>
      </c>
      <c r="H202" s="2" t="s">
        <v>2436</v>
      </c>
      <c r="I202" s="2" t="s">
        <v>87</v>
      </c>
      <c r="J202" s="2" t="str">
        <f>HYPERLINK("https://vectorbase.org/vectorbase/app/record/gene/AGAP005091","AGAP005091-RD")</f>
        <v>AGAP005091-RD</v>
      </c>
      <c r="K202" s="2" t="str">
        <f>HYPERLINK(".\links\pep\AGAP005091-PD-pep.txt","AGAP005091-PD")</f>
        <v>AGAP005091-PD</v>
      </c>
      <c r="L202" s="8" t="s">
        <v>88</v>
      </c>
      <c r="M202" s="2">
        <v>218</v>
      </c>
      <c r="N202" s="2">
        <v>0</v>
      </c>
      <c r="O202" s="2">
        <v>1</v>
      </c>
      <c r="P202" s="2" t="s">
        <v>2437</v>
      </c>
      <c r="Q202" s="9" t="s">
        <v>2438</v>
      </c>
      <c r="R202" s="2" t="s">
        <v>318</v>
      </c>
      <c r="S202" s="2" t="str">
        <f>HYPERLINK(".\links\KOG\AGAP005091-PD-KOG.txt","KOG")</f>
        <v>KOG</v>
      </c>
      <c r="T202" s="2">
        <v>4.9999999999999998E-24</v>
      </c>
      <c r="U202" s="2">
        <v>41.3</v>
      </c>
      <c r="V202" s="2" t="s">
        <v>2439</v>
      </c>
      <c r="W202" s="10" t="s">
        <v>2440</v>
      </c>
      <c r="X202" s="2" t="s">
        <v>318</v>
      </c>
      <c r="Y202" s="2" t="str">
        <f>HYPERLINK(".\links\KOG\AGAP005091-PD-KOG.txt","KOG")</f>
        <v>KOG</v>
      </c>
      <c r="Z202" s="13">
        <v>7.0000000000000003E-19</v>
      </c>
      <c r="AA202" s="2">
        <v>29.1</v>
      </c>
      <c r="AB202" s="11" t="s">
        <v>94</v>
      </c>
      <c r="AC202" s="11" t="str">
        <f>HYPERLINK(".\links\Sigp\AGAP005091-PD-SigP.txt","CYT")</f>
        <v>CYT</v>
      </c>
      <c r="AD202" s="2" t="s">
        <v>94</v>
      </c>
      <c r="AE202" s="2">
        <v>25.161999999999999</v>
      </c>
      <c r="AF202" s="2">
        <v>5.96</v>
      </c>
      <c r="AG202" s="2" t="s">
        <v>94</v>
      </c>
      <c r="AH202" s="2" t="s">
        <v>94</v>
      </c>
      <c r="AI202" s="2" t="s">
        <v>2441</v>
      </c>
      <c r="AJ202" s="11">
        <v>0</v>
      </c>
      <c r="AK202" s="2" t="s">
        <v>94</v>
      </c>
      <c r="AL202" s="2" t="s">
        <v>94</v>
      </c>
      <c r="AM202" s="2" t="s">
        <v>94</v>
      </c>
      <c r="AN202" s="11" t="str">
        <f>HYPERLINK(".\links\gpi\AGAP005091-PD-gpi.txt","N")</f>
        <v>N</v>
      </c>
      <c r="AO202" s="12" t="str">
        <f>HYPERLINK(".\links\netoglyc\AGAP005091-PD-netoglyc.txt","4")</f>
        <v>4</v>
      </c>
      <c r="AP202" s="11">
        <v>14.2</v>
      </c>
      <c r="AQ202" s="2">
        <v>3.7</v>
      </c>
      <c r="AR202" s="2">
        <v>6.4</v>
      </c>
      <c r="AS202" s="2" t="s">
        <v>97</v>
      </c>
      <c r="AT202" s="9" t="str">
        <f>HYPERLINK(".\links\NR-LIGHT\AGAP005091-PD-NR-LIGHT.txt","AGAP005091-PD")</f>
        <v>AGAP005091-PD</v>
      </c>
      <c r="AU202" s="2" t="str">
        <f>HYPERLINK("http://www.ncbi.nlm.nih.gov/sutils/blink.cgi?pid=XP_001688496.1","1E-125")</f>
        <v>1E-125</v>
      </c>
      <c r="AV202" s="2" t="str">
        <f>HYPERLINK("http://www.ncbi.nlm.nih.gov/protein/XP_001688496.1","XP_001688496.1")</f>
        <v>XP_001688496.1</v>
      </c>
      <c r="AW202" s="2">
        <v>100</v>
      </c>
      <c r="AX202" s="2">
        <v>100</v>
      </c>
      <c r="AY202" s="2">
        <v>100</v>
      </c>
      <c r="AZ202" s="2" t="s">
        <v>98</v>
      </c>
      <c r="BA202" s="9" t="str">
        <f>HYPERLINK(".\links\REFSEQ-INVERTEBRATE\AGAP005091-PD-REFSEQ-INVERTEBRATE.txt","AGAP005091-PE")</f>
        <v>AGAP005091-PE</v>
      </c>
      <c r="BB202" s="2" t="str">
        <f>HYPERLINK("http://www.ncbi.nlm.nih.gov/sutils/blink.cgi?pid=XP_001688497.1","1E-125")</f>
        <v>1E-125</v>
      </c>
      <c r="BC202" s="2" t="str">
        <f>HYPERLINK("http://www.ncbi.nlm.nih.gov/protein/XP_001688497.1","XP_001688497.1")</f>
        <v>XP_001688497.1</v>
      </c>
      <c r="BD202" s="2">
        <v>100</v>
      </c>
      <c r="BE202" s="2">
        <v>100</v>
      </c>
      <c r="BF202" s="2">
        <v>100</v>
      </c>
      <c r="BG202" s="2" t="s">
        <v>98</v>
      </c>
      <c r="BH202" s="9" t="str">
        <f>HYPERLINK(".\links\REFSEQ-PROTOZOA\AGAP005091-PD-REFSEQ-PROTOZOA.txt","ganglioside-induced differentiation-associated protein 2")</f>
        <v>ganglioside-induced differentiation-associated protein 2</v>
      </c>
      <c r="BI202" s="2" t="str">
        <f>HYPERLINK("http://www.ncbi.nlm.nih.gov/sutils/blink.cgi?pid=XP_004365513.1","7E-049")</f>
        <v>7E-049</v>
      </c>
      <c r="BJ202" s="2" t="str">
        <f>HYPERLINK("http://www.ncbi.nlm.nih.gov/protein/XP_004365513.1","XP_004365513.1")</f>
        <v>XP_004365513.1</v>
      </c>
      <c r="BK202" s="2">
        <v>46</v>
      </c>
      <c r="BL202" s="2">
        <v>71</v>
      </c>
      <c r="BM202" s="2">
        <v>37</v>
      </c>
      <c r="BN202" s="2" t="s">
        <v>227</v>
      </c>
      <c r="BO202" s="9" t="str">
        <f>HYPERLINK(".\links\SWISSP\AGAP005091-PD-SWISSP.txt","Protein GDAP2 homolog")</f>
        <v>Protein GDAP2 homolog</v>
      </c>
      <c r="BP202" s="2" t="str">
        <f>HYPERLINK("http://www.uniprot.org/uniprot/Q292F9","3E-095")</f>
        <v>3E-095</v>
      </c>
      <c r="BQ202" s="2" t="str">
        <f>HYPERLINK("http://www.uniprot.org/uniprot/Q292F9#expression","Q292F9")</f>
        <v>Q292F9</v>
      </c>
      <c r="BR202" s="2">
        <v>88</v>
      </c>
      <c r="BS202" s="2">
        <v>94</v>
      </c>
      <c r="BT202" s="2">
        <v>33</v>
      </c>
      <c r="BU202" s="2" t="s">
        <v>765</v>
      </c>
      <c r="BV202" s="9" t="str">
        <f>HYPERLINK(".\links\FLYBASE\AGAP005091-PD-FLYBASE.txt","FBpp0303359")</f>
        <v>FBpp0303359</v>
      </c>
      <c r="BW202" s="2" t="str">
        <f>HYPERLINK("http://flybase.org/reports/FBgn0042135#alliance_summary_container","1E-128")</f>
        <v>1E-128</v>
      </c>
      <c r="BX202" s="2">
        <v>225</v>
      </c>
      <c r="BY202" s="2">
        <v>77</v>
      </c>
      <c r="BZ202" s="2">
        <v>86</v>
      </c>
      <c r="CA202" s="2">
        <v>99</v>
      </c>
      <c r="CB202" s="9" t="str">
        <f>HYPERLINK(".\links\CDD\AGAP005091-PD-CDD.txt","CRAL_TRIO_2, Divergent CRAL/TRIO domain")</f>
        <v>CRAL_TRIO_2, Divergent CRAL/TRIO domain</v>
      </c>
      <c r="CC202" s="13">
        <v>4.9999999999999999E-29</v>
      </c>
      <c r="CD202" s="2">
        <v>100</v>
      </c>
      <c r="CE202" s="2" t="s">
        <v>2442</v>
      </c>
      <c r="CF202" s="2" t="s">
        <v>2443</v>
      </c>
      <c r="CG202" s="9" t="str">
        <f>HYPERLINK(".\links\KOG\AGAP005091-PD-KOG.txt","CDC42 Rho GTPase-activating protein")</f>
        <v>CDC42 Rho GTPase-activating protein</v>
      </c>
      <c r="CH202" s="13">
        <v>4.9999999999999998E-24</v>
      </c>
      <c r="CI202" s="2">
        <v>41.3</v>
      </c>
      <c r="CJ202" s="2" t="s">
        <v>2444</v>
      </c>
      <c r="CK202" s="2" t="s">
        <v>1720</v>
      </c>
      <c r="CL202" s="9" t="str">
        <f>HYPERLINK(".\links\PFAM\AGAP005091-PD-PFAM.txt","CRAL_TRIO_2, Divergent CRAL/TRIO domain")</f>
        <v>CRAL_TRIO_2, Divergent CRAL/TRIO domain</v>
      </c>
      <c r="CM202" s="13">
        <v>9.9999999999999994E-30</v>
      </c>
      <c r="CN202" s="2">
        <v>100</v>
      </c>
      <c r="CO202" s="2" t="s">
        <v>2442</v>
      </c>
      <c r="CP202" s="9" t="str">
        <f>HYPERLINK(".\links\SMART\AGAP005091-PD-SMART.txt","SEC14, Domain in homologues of a S")</f>
        <v>SEC14, Domain in homologues of a S</v>
      </c>
      <c r="CQ202" s="13">
        <v>5.9999999999999999E-19</v>
      </c>
      <c r="CR202" s="2">
        <v>91.1</v>
      </c>
      <c r="CS202" s="2" t="s">
        <v>2445</v>
      </c>
      <c r="CT202" s="2" t="s">
        <v>2439</v>
      </c>
      <c r="CU202" s="2" t="s">
        <v>2439</v>
      </c>
      <c r="CV202" s="2" t="s">
        <v>2439</v>
      </c>
      <c r="CW202" s="2" t="str">
        <f>HYPERLINK(".\links\pep\AGAP005091-PD-pep.txt","AGAP005091-PD")</f>
        <v>AGAP005091-PD</v>
      </c>
      <c r="CX202" s="2" t="s">
        <v>88</v>
      </c>
      <c r="CY202" s="2">
        <v>218</v>
      </c>
      <c r="CZ202" s="2" t="s">
        <v>106</v>
      </c>
      <c r="DA202" s="2" t="s">
        <v>2446</v>
      </c>
      <c r="DB202" s="2">
        <v>0</v>
      </c>
      <c r="DC202" s="2">
        <v>1</v>
      </c>
      <c r="DD202" s="2" t="str">
        <f>HYPERLINK("https://www.kegg.jp/kegg-bin/search_pathway_text?map=aga&amp;keyword=AGAP005091&amp;mode=1&amp;viewImage=true","AGAP005091")</f>
        <v>AGAP005091</v>
      </c>
      <c r="DE202" s="2" t="s">
        <v>2435</v>
      </c>
      <c r="DF202" s="2" t="s">
        <v>2436</v>
      </c>
      <c r="DG202" s="2" t="s">
        <v>87</v>
      </c>
      <c r="DH202" s="2" t="str">
        <f>HYPERLINK("https://vectorbase.org/vectorbase/app/record/gene/AGAP005091","AGAP005091-RD")</f>
        <v>AGAP005091-RD</v>
      </c>
      <c r="DI202" s="2" t="s">
        <v>250</v>
      </c>
      <c r="DJ202" s="2">
        <v>1928</v>
      </c>
      <c r="DK202" s="2" t="str">
        <f>HYPERLINK(".\links\netoglyc\AGAP005091-PD-netoglyc.txt","4")</f>
        <v>4</v>
      </c>
      <c r="DL202" s="2">
        <v>14.2</v>
      </c>
      <c r="DM202" s="2">
        <v>3.7</v>
      </c>
      <c r="DN202" s="2">
        <v>6.4</v>
      </c>
      <c r="DO202" s="2" t="s">
        <v>97</v>
      </c>
      <c r="DP202" s="2" t="s">
        <v>94</v>
      </c>
      <c r="DQ202" s="2" t="str">
        <f>HYPERLINK(".\links\Sigp\AGAP005091-PD-SigP.txt","CYT")</f>
        <v>CYT</v>
      </c>
      <c r="DR202" s="2" t="s">
        <v>94</v>
      </c>
      <c r="DS202" s="2">
        <v>25.161999999999999</v>
      </c>
      <c r="DT202" s="2">
        <v>5.96</v>
      </c>
      <c r="DU202" s="2" t="s">
        <v>94</v>
      </c>
      <c r="DV202" s="2" t="s">
        <v>94</v>
      </c>
      <c r="DW202" s="2" t="s">
        <v>2441</v>
      </c>
      <c r="DX202" s="2">
        <v>218</v>
      </c>
      <c r="DY202" s="8">
        <v>0</v>
      </c>
      <c r="DZ202" s="2" t="s">
        <v>94</v>
      </c>
      <c r="EA202" s="2" t="s">
        <v>94</v>
      </c>
      <c r="EB202" s="2" t="s">
        <v>94</v>
      </c>
      <c r="EC202" s="2" t="str">
        <f>HYPERLINK(".\links\gpi\AGAP005091-PD-gpi.txt","Y-NoSP")</f>
        <v>Y-NoSP</v>
      </c>
      <c r="ED202" s="2">
        <v>0.28000000000000003</v>
      </c>
      <c r="EF202" s="2">
        <v>2</v>
      </c>
      <c r="EG202" s="2" t="s">
        <v>94</v>
      </c>
      <c r="EH202" s="2" t="s">
        <v>94</v>
      </c>
      <c r="EI202" s="2">
        <v>14.220183486238501</v>
      </c>
      <c r="EJ202" s="2">
        <v>6.4220183486238502</v>
      </c>
      <c r="EK202" s="2">
        <v>3.6697247706421998</v>
      </c>
      <c r="EL202" s="2">
        <v>10.0917431192661</v>
      </c>
      <c r="EM202" s="2">
        <v>1</v>
      </c>
      <c r="EN202" s="2">
        <v>1</v>
      </c>
      <c r="EO202" s="2">
        <v>2</v>
      </c>
      <c r="EP202" s="2" t="s">
        <v>94</v>
      </c>
      <c r="EQ202" s="2" t="s">
        <v>94</v>
      </c>
      <c r="ER202" s="2" t="s">
        <v>94</v>
      </c>
      <c r="ES202" s="2" t="s">
        <v>94</v>
      </c>
      <c r="ET202" s="2" t="str">
        <f>HYPERLINK(".\links\REFSEQ-INVERTEBRATE\AGAP005091-PD-REFSEQ-INVERTEBRATE.txt","AGAP005091-PE")</f>
        <v>AGAP005091-PE</v>
      </c>
      <c r="EU202" s="2" t="str">
        <f>HYPERLINK("http://www.ncbi.nlm.nih.gov/sutils/blink.cgi?pid=XP_001688497.1","1E-163")</f>
        <v>1E-163</v>
      </c>
      <c r="EV202" s="2" t="str">
        <f>HYPERLINK("http://www.ncbi.nlm.nih.gov/protein/XP_001688497.1","XP_001688497.1")</f>
        <v>XP_001688497.1</v>
      </c>
      <c r="EW202" s="2">
        <v>100</v>
      </c>
      <c r="EX202" s="2">
        <v>100</v>
      </c>
      <c r="EY202" s="2">
        <v>100</v>
      </c>
      <c r="EZ202" s="2" t="s">
        <v>98</v>
      </c>
    </row>
    <row r="203" spans="1:156" x14ac:dyDescent="0.25">
      <c r="A203" s="2" t="s">
        <v>2447</v>
      </c>
      <c r="B203" s="2">
        <v>-0.70568468332567702</v>
      </c>
      <c r="C203" s="2">
        <v>0.61315142628823938</v>
      </c>
      <c r="D203" s="2">
        <v>7.1132076160404401</v>
      </c>
      <c r="E203" s="2">
        <v>11.104710754938599</v>
      </c>
      <c r="F203" s="2">
        <v>8.6108717781967399E-4</v>
      </c>
      <c r="G203" s="2">
        <v>3.8052810470283402E-2</v>
      </c>
      <c r="H203" s="2" t="s">
        <v>167</v>
      </c>
      <c r="I203" s="2" t="s">
        <v>87</v>
      </c>
      <c r="J203" s="2" t="str">
        <f>HYPERLINK("https://vectorbase.org/vectorbase/app/record/gene/AGAP029733","AGAP029733-RA")</f>
        <v>AGAP029733-RA</v>
      </c>
      <c r="K203" s="2" t="str">
        <f>HYPERLINK(".\links\pep\AGAP029733-PA-pep.txt","AGAP029733-PA")</f>
        <v>AGAP029733-PA</v>
      </c>
      <c r="L203" s="8" t="s">
        <v>88</v>
      </c>
      <c r="M203" s="2">
        <v>319</v>
      </c>
      <c r="N203" s="2">
        <v>0</v>
      </c>
      <c r="O203" s="2">
        <v>2</v>
      </c>
      <c r="P203" s="2" t="s">
        <v>94</v>
      </c>
      <c r="Q203" s="9" t="s">
        <v>2448</v>
      </c>
      <c r="R203" s="2" t="s">
        <v>2100</v>
      </c>
      <c r="S203" s="2" t="str">
        <f>HYPERLINK(".\links\KOG\AGAP029733-PA-KOG.txt","KOG")</f>
        <v>KOG</v>
      </c>
      <c r="T203" s="2">
        <v>0</v>
      </c>
      <c r="U203" s="2">
        <v>105</v>
      </c>
      <c r="V203" s="2" t="s">
        <v>2449</v>
      </c>
      <c r="W203" s="10" t="s">
        <v>2450</v>
      </c>
      <c r="X203" s="2" t="s">
        <v>253</v>
      </c>
      <c r="Y203" s="2" t="str">
        <f>HYPERLINK(".\links\REFSEQVERTEBRATE95\AGAP029733-PA-REFSEQVERTEBRATE95.txt","REFSEQVERTEBRATE95")</f>
        <v>REFSEQVERTEBRATE95</v>
      </c>
      <c r="Z203" s="2">
        <v>0</v>
      </c>
      <c r="AA203" s="2">
        <v>1</v>
      </c>
      <c r="AB203" s="11" t="str">
        <f>HYPERLINK(".\links\pep\AGAP029733-PA-sulf.txt","2")</f>
        <v>2</v>
      </c>
      <c r="AC203" s="11" t="str">
        <f>HYPERLINK(".\links\Sigp\AGAP029733-PA-SigP.txt","CYT")</f>
        <v>CYT</v>
      </c>
      <c r="AD203" s="2" t="s">
        <v>94</v>
      </c>
      <c r="AE203" s="2">
        <v>36.380000000000003</v>
      </c>
      <c r="AF203" s="2">
        <v>5.86</v>
      </c>
      <c r="AG203" s="2" t="s">
        <v>94</v>
      </c>
      <c r="AH203" s="2" t="s">
        <v>94</v>
      </c>
      <c r="AI203" s="2" t="s">
        <v>2451</v>
      </c>
      <c r="AJ203" s="11">
        <v>0</v>
      </c>
      <c r="AK203" s="2" t="s">
        <v>94</v>
      </c>
      <c r="AL203" s="2" t="s">
        <v>94</v>
      </c>
      <c r="AM203" s="2" t="s">
        <v>94</v>
      </c>
      <c r="AN203" s="9" t="str">
        <f>HYPERLINK(".\links\gpi\AGAP029733-PA-gpi.txt","N")</f>
        <v>N</v>
      </c>
      <c r="AO203" s="12" t="str">
        <f>HYPERLINK(".\links\netoglyc\AGAP029733-PA-netoglyc.txt","1")</f>
        <v>1</v>
      </c>
      <c r="AP203" s="11">
        <v>10</v>
      </c>
      <c r="AQ203" s="2">
        <v>7.8</v>
      </c>
      <c r="AR203" s="2">
        <v>4.7</v>
      </c>
      <c r="AS203" s="2" t="s">
        <v>97</v>
      </c>
      <c r="AT203" s="9" t="str">
        <f>HYPERLINK(".\links\NR-LIGHT\AGAP029733-PA-NR-LIGHT.txt","AGAP011052-PA")</f>
        <v>AGAP011052-PA</v>
      </c>
      <c r="AU203" s="2" t="str">
        <f>HYPERLINK("http://www.ncbi.nlm.nih.gov/sutils/blink.cgi?pid=XP_308083.4","1E-176")</f>
        <v>1E-176</v>
      </c>
      <c r="AV203" s="2" t="str">
        <f>HYPERLINK("http://www.ncbi.nlm.nih.gov/protein/XP_308083.4","XP_308083.4")</f>
        <v>XP_308083.4</v>
      </c>
      <c r="AW203" s="2">
        <v>95</v>
      </c>
      <c r="AX203" s="2">
        <v>96</v>
      </c>
      <c r="AY203" s="2">
        <v>100</v>
      </c>
      <c r="AZ203" s="2" t="s">
        <v>98</v>
      </c>
      <c r="BA203" s="9" t="str">
        <f>HYPERLINK(".\links\REFSEQ-INVERTEBRATE\AGAP029733-PA-REFSEQ-INVERTEBRATE.txt","AGAP011052-PA")</f>
        <v>AGAP011052-PA</v>
      </c>
      <c r="BB203" s="2" t="str">
        <f>HYPERLINK("http://www.ncbi.nlm.nih.gov/sutils/blink.cgi?pid=XP_308083.4","1E-176")</f>
        <v>1E-176</v>
      </c>
      <c r="BC203" s="2" t="str">
        <f>HYPERLINK("http://www.ncbi.nlm.nih.gov/protein/XP_308083.4","XP_308083.4")</f>
        <v>XP_308083.4</v>
      </c>
      <c r="BD203" s="2">
        <v>95</v>
      </c>
      <c r="BE203" s="2">
        <v>96</v>
      </c>
      <c r="BF203" s="2">
        <v>100</v>
      </c>
      <c r="BG203" s="2" t="s">
        <v>98</v>
      </c>
      <c r="BH203" s="9" t="str">
        <f>HYPERLINK(".\links\REFSEQ-PROTOZOA\AGAP029733-PA-REFSEQ-PROTOZOA.txt","oxidoreductase, aldo/keto reductase family member protein")</f>
        <v>oxidoreductase, aldo/keto reductase family member protein</v>
      </c>
      <c r="BI203" s="2" t="str">
        <f>HYPERLINK("http://www.ncbi.nlm.nih.gov/sutils/blink.cgi?pid=XP_004831485.1","2E-064")</f>
        <v>2E-064</v>
      </c>
      <c r="BJ203" s="2" t="str">
        <f>HYPERLINK("http://www.ncbi.nlm.nih.gov/protein/XP_004831485.1","XP_004831485.1")</f>
        <v>XP_004831485.1</v>
      </c>
      <c r="BK203" s="2">
        <v>42</v>
      </c>
      <c r="BL203" s="2">
        <v>62</v>
      </c>
      <c r="BM203" s="2">
        <v>98</v>
      </c>
      <c r="BN203" s="2" t="s">
        <v>2452</v>
      </c>
      <c r="BO203" s="9" t="str">
        <f>HYPERLINK(".\links\SWISSP\AGAP029733-PA-SWISSP.txt","Aldose reductase")</f>
        <v>Aldose reductase</v>
      </c>
      <c r="BP203" s="2" t="str">
        <f>HYPERLINK("http://www.uniprot.org/uniprot/P45376","1E-066")</f>
        <v>1E-066</v>
      </c>
      <c r="BQ203" s="2" t="str">
        <f>HYPERLINK("http://www.uniprot.org/uniprot/P45376#expression","P45376")</f>
        <v>P45376</v>
      </c>
      <c r="BR203" s="2">
        <v>43</v>
      </c>
      <c r="BS203" s="2">
        <v>63</v>
      </c>
      <c r="BT203" s="2">
        <v>100</v>
      </c>
      <c r="BU203" s="2" t="s">
        <v>339</v>
      </c>
      <c r="BV203" s="9" t="str">
        <f>HYPERLINK(".\links\FLYBASE\AGAP029733-PA-FLYBASE.txt","FBpp0311505")</f>
        <v>FBpp0311505</v>
      </c>
      <c r="BW203" s="2" t="str">
        <f>HYPERLINK("http://flybase.org/reports/FBgn0036290#alliance_summary_container","1E-112")</f>
        <v>1E-112</v>
      </c>
      <c r="BX203" s="2">
        <v>317</v>
      </c>
      <c r="BY203" s="2">
        <v>50</v>
      </c>
      <c r="BZ203" s="2">
        <v>68</v>
      </c>
      <c r="CA203" s="2">
        <v>101</v>
      </c>
      <c r="CB203" s="9" t="str">
        <f>HYPERLINK(".\links\CDD\AGAP029733-PA-CDD.txt","ARA1, Aldo/keto reductases, related to diketogulonate reductase")</f>
        <v>ARA1, Aldo/keto reductases, related to diketogulonate reductase</v>
      </c>
      <c r="CC203" s="13">
        <v>8.9999999999999999E-83</v>
      </c>
      <c r="CD203" s="2">
        <v>108.2</v>
      </c>
      <c r="CE203" s="2" t="s">
        <v>2453</v>
      </c>
      <c r="CF203" s="2" t="s">
        <v>2454</v>
      </c>
      <c r="CG203" s="9" t="str">
        <f>HYPERLINK(".\links\KOG\AGAP029733-PA-KOG.txt","Aldo/keto reductase family proteins")</f>
        <v>Aldo/keto reductase family proteins</v>
      </c>
      <c r="CH203" s="13">
        <v>9.9999999999999994E-107</v>
      </c>
      <c r="CI203" s="2">
        <v>105</v>
      </c>
      <c r="CJ203" s="2" t="s">
        <v>2455</v>
      </c>
      <c r="CK203" s="2" t="s">
        <v>122</v>
      </c>
      <c r="CL203" s="9" t="str">
        <f>HYPERLINK(".\links\PFAM\AGAP029733-PA-PFAM.txt","Aldo_ket_red, Aldo/keto reductase family")</f>
        <v>Aldo_ket_red, Aldo/keto reductase family</v>
      </c>
      <c r="CM203" s="13">
        <v>5.9999999999999997E-46</v>
      </c>
      <c r="CN203" s="2">
        <v>109</v>
      </c>
      <c r="CO203" s="2" t="s">
        <v>2456</v>
      </c>
      <c r="CP203" s="9" t="str">
        <f>HYPERLINK(".\links\SMART\AGAP029733-PA-SMART.txt","L51_S25_CI-B8, Mitochondrial ribosomal protein L51 / S25 / CI-B8 domain")</f>
        <v>L51_S25_CI-B8, Mitochondrial ribosomal protein L51 / S25 / CI-B8 domain</v>
      </c>
      <c r="CQ203" s="13">
        <v>0.41</v>
      </c>
      <c r="CR203" s="2">
        <v>30</v>
      </c>
      <c r="CS203" s="2" t="s">
        <v>2457</v>
      </c>
      <c r="CT203" s="2" t="s">
        <v>2449</v>
      </c>
      <c r="CU203" s="2" t="s">
        <v>2449</v>
      </c>
      <c r="CV203" s="2" t="s">
        <v>2449</v>
      </c>
      <c r="CW203" s="2" t="str">
        <f>HYPERLINK(".\links\pep\AGAP029733-PA-pep.txt","AGAP029733-PA")</f>
        <v>AGAP029733-PA</v>
      </c>
      <c r="CX203" s="2" t="s">
        <v>88</v>
      </c>
      <c r="CY203" s="2">
        <v>319</v>
      </c>
      <c r="CZ203" s="2" t="s">
        <v>106</v>
      </c>
      <c r="DA203" s="2" t="s">
        <v>2458</v>
      </c>
      <c r="DB203" s="2">
        <v>0</v>
      </c>
      <c r="DC203" s="2">
        <v>2</v>
      </c>
      <c r="DD203" s="2" t="str">
        <f>HYPERLINK("https://www.kegg.jp/kegg-bin/search_pathway_text?map=aga&amp;keyword=AGAP029733&amp;mode=1&amp;viewImage=true","AGAP029733")</f>
        <v>AGAP029733</v>
      </c>
      <c r="DE203" s="2" t="s">
        <v>2447</v>
      </c>
      <c r="DF203" s="2" t="s">
        <v>167</v>
      </c>
      <c r="DG203" s="2" t="s">
        <v>87</v>
      </c>
      <c r="DH203" s="2" t="str">
        <f>HYPERLINK("https://vectorbase.org/vectorbase/app/record/gene/AGAP029733","AGAP029733-RA")</f>
        <v>AGAP029733-RA</v>
      </c>
      <c r="DI203" s="2" t="s">
        <v>250</v>
      </c>
      <c r="DJ203" s="2">
        <v>1066</v>
      </c>
      <c r="DK203" s="2" t="str">
        <f>HYPERLINK(".\links\netoglyc\AGAP029733-PA-netoglyc.txt","1")</f>
        <v>1</v>
      </c>
      <c r="DL203" s="2">
        <v>10</v>
      </c>
      <c r="DM203" s="2">
        <v>7.8</v>
      </c>
      <c r="DN203" s="2">
        <v>4.7</v>
      </c>
      <c r="DO203" s="2" t="s">
        <v>97</v>
      </c>
      <c r="DP203" s="2" t="s">
        <v>94</v>
      </c>
      <c r="DQ203" s="2" t="str">
        <f>HYPERLINK(".\links\Sigp\AGAP029733-PA-SigP.txt","CYT")</f>
        <v>CYT</v>
      </c>
      <c r="DR203" s="2" t="s">
        <v>94</v>
      </c>
      <c r="DS203" s="2">
        <v>36.380000000000003</v>
      </c>
      <c r="DT203" s="2">
        <v>5.86</v>
      </c>
      <c r="DU203" s="2" t="s">
        <v>94</v>
      </c>
      <c r="DV203" s="2" t="s">
        <v>94</v>
      </c>
      <c r="DW203" s="2" t="s">
        <v>2451</v>
      </c>
      <c r="DX203" s="2">
        <v>319</v>
      </c>
      <c r="DY203" s="8">
        <v>0</v>
      </c>
      <c r="DZ203" s="2" t="s">
        <v>94</v>
      </c>
      <c r="EA203" s="2" t="s">
        <v>94</v>
      </c>
      <c r="EB203" s="2" t="s">
        <v>94</v>
      </c>
      <c r="EC203" s="2" t="str">
        <f>HYPERLINK(".\links\gpi\AGAP029733-PA-gpi.txt","Y-NoSP")</f>
        <v>Y-NoSP</v>
      </c>
      <c r="ED203" s="2">
        <v>0.21</v>
      </c>
      <c r="EF203" s="2">
        <v>3</v>
      </c>
      <c r="EG203" s="2" t="str">
        <f>HYPERLINK(".\links\pep\AGAP029733-PA-sulf.txt","2")</f>
        <v>2</v>
      </c>
      <c r="EH203" s="2" t="s">
        <v>94</v>
      </c>
      <c r="EI203" s="2">
        <v>10.0313479623824</v>
      </c>
      <c r="EJ203" s="2">
        <v>4.7021943573667704</v>
      </c>
      <c r="EK203" s="2">
        <v>7.8369905956112804</v>
      </c>
      <c r="EL203" s="2">
        <v>12.539184952978101</v>
      </c>
      <c r="EM203" s="2" t="s">
        <v>94</v>
      </c>
      <c r="EN203" s="2">
        <v>1</v>
      </c>
      <c r="EO203" s="2">
        <v>2</v>
      </c>
      <c r="EP203" s="2" t="s">
        <v>94</v>
      </c>
      <c r="EQ203" s="2" t="s">
        <v>94</v>
      </c>
      <c r="ER203" s="2" t="s">
        <v>94</v>
      </c>
      <c r="ES203" s="2" t="s">
        <v>94</v>
      </c>
      <c r="ET203" s="2" t="str">
        <f>HYPERLINK(".\links\REFSEQ-INVERTEBRATE\AGAP029733-PA-REFSEQ-INVERTEBRATE.txt","AGAP011052-PA")</f>
        <v>AGAP011052-PA</v>
      </c>
      <c r="EU203" s="2" t="str">
        <f>HYPERLINK("http://www.ncbi.nlm.nih.gov/sutils/blink.cgi?pid=XP_308083.4","0.0")</f>
        <v>0.0</v>
      </c>
      <c r="EV203" s="2" t="str">
        <f>HYPERLINK("http://www.ncbi.nlm.nih.gov/protein/XP_308083.4","XP_308083.4")</f>
        <v>XP_308083.4</v>
      </c>
      <c r="EW203" s="2">
        <v>95</v>
      </c>
      <c r="EX203" s="2">
        <v>96</v>
      </c>
      <c r="EY203" s="2">
        <v>100</v>
      </c>
      <c r="EZ203" s="2" t="s">
        <v>98</v>
      </c>
    </row>
    <row r="204" spans="1:156" x14ac:dyDescent="0.25">
      <c r="A204" s="2" t="s">
        <v>2459</v>
      </c>
      <c r="B204" s="2">
        <v>-0.714231918880884</v>
      </c>
      <c r="C204" s="2">
        <v>0.60952955489771987</v>
      </c>
      <c r="D204" s="2">
        <v>9.08471739724828</v>
      </c>
      <c r="E204" s="2">
        <v>24.015827455034501</v>
      </c>
      <c r="F204" s="2">
        <v>9.5547035170317893E-7</v>
      </c>
      <c r="G204" s="2">
        <v>2.0193893514103501E-4</v>
      </c>
      <c r="H204" s="2" t="s">
        <v>2460</v>
      </c>
      <c r="I204" s="2" t="s">
        <v>94</v>
      </c>
      <c r="J204" s="2" t="str">
        <f>HYPERLINK("https://vectorbase.org/vectorbase/app/record/gene/AGAP004598","AGAP004598-RA")</f>
        <v>AGAP004598-RA</v>
      </c>
      <c r="K204" s="2" t="str">
        <f>HYPERLINK(".\links\pep\AGAP004598-PA-pep.txt","AGAP004598-PA")</f>
        <v>AGAP004598-PA</v>
      </c>
      <c r="L204" s="8" t="s">
        <v>88</v>
      </c>
      <c r="M204" s="2">
        <v>364</v>
      </c>
      <c r="N204" s="2">
        <v>0</v>
      </c>
      <c r="O204" s="2">
        <v>2</v>
      </c>
      <c r="P204" s="2" t="s">
        <v>2461</v>
      </c>
      <c r="Q204" s="9" t="s">
        <v>2461</v>
      </c>
      <c r="R204" s="2" t="s">
        <v>2100</v>
      </c>
      <c r="S204" s="2" t="str">
        <f>HYPERLINK(".\links\KOG\AGAP004598-PA-KOG.txt","KOG")</f>
        <v>KOG</v>
      </c>
      <c r="T204" s="2">
        <v>0</v>
      </c>
      <c r="U204" s="2">
        <v>99.4</v>
      </c>
      <c r="V204" s="2" t="s">
        <v>2462</v>
      </c>
      <c r="W204" s="10" t="s">
        <v>133</v>
      </c>
      <c r="X204" s="2" t="s">
        <v>2100</v>
      </c>
      <c r="Y204" s="2" t="str">
        <f>HYPERLINK(".\links\COG\AGAP004598-PA-COG.txt","COG")</f>
        <v>COG</v>
      </c>
      <c r="Z204" s="13">
        <v>0</v>
      </c>
      <c r="AA204" s="2">
        <v>100.5</v>
      </c>
      <c r="AB204" s="11" t="s">
        <v>94</v>
      </c>
      <c r="AC204" s="11" t="str">
        <f>HYPERLINK(".\links\Sigp\AGAP004598-PA-SigP.txt","CYT")</f>
        <v>CYT</v>
      </c>
      <c r="AD204" s="2" t="s">
        <v>94</v>
      </c>
      <c r="AE204" s="2">
        <v>40.146999999999998</v>
      </c>
      <c r="AF204" s="2">
        <v>7.65</v>
      </c>
      <c r="AG204" s="2" t="s">
        <v>94</v>
      </c>
      <c r="AH204" s="2" t="s">
        <v>94</v>
      </c>
      <c r="AI204" s="2" t="s">
        <v>2463</v>
      </c>
      <c r="AJ204" s="11">
        <v>0</v>
      </c>
      <c r="AK204" s="2" t="s">
        <v>94</v>
      </c>
      <c r="AL204" s="2" t="s">
        <v>94</v>
      </c>
      <c r="AM204" s="2" t="s">
        <v>94</v>
      </c>
      <c r="AN204" s="11" t="str">
        <f>HYPERLINK(".\links\gpi\AGAP004598-PA-gpi.txt","N")</f>
        <v>N</v>
      </c>
      <c r="AO204" s="12" t="str">
        <f>HYPERLINK(".\links\netoglyc\AGAP004598-PA-netoglyc.txt","0")</f>
        <v>0</v>
      </c>
      <c r="AP204" s="11">
        <v>11.5</v>
      </c>
      <c r="AQ204" s="2">
        <v>9.1</v>
      </c>
      <c r="AR204" s="2">
        <v>4.4000000000000004</v>
      </c>
      <c r="AS204" s="2" t="s">
        <v>97</v>
      </c>
      <c r="AT204" s="9" t="str">
        <f>HYPERLINK(".\links\NR-LIGHT\AGAP004598-PA-NR-LIGHT.txt","AGAP004598-PA")</f>
        <v>AGAP004598-PA</v>
      </c>
      <c r="AU204" s="2" t="str">
        <f>HYPERLINK("http://www.ncbi.nlm.nih.gov/sutils/blink.cgi?pid=XP_557484.2","0.0")</f>
        <v>0.0</v>
      </c>
      <c r="AV204" s="2" t="str">
        <f>HYPERLINK("http://www.ncbi.nlm.nih.gov/protein/XP_557484.2","XP_557484.2")</f>
        <v>XP_557484.2</v>
      </c>
      <c r="AW204" s="2">
        <v>100</v>
      </c>
      <c r="AX204" s="2">
        <v>100</v>
      </c>
      <c r="AY204" s="2">
        <v>100</v>
      </c>
      <c r="AZ204" s="2" t="s">
        <v>98</v>
      </c>
      <c r="BA204" s="9" t="str">
        <f>HYPERLINK(".\links\REFSEQ-INVERTEBRATE\AGAP004598-PA-REFSEQ-INVERTEBRATE.txt","AGAP004598-PA")</f>
        <v>AGAP004598-PA</v>
      </c>
      <c r="BB204" s="2" t="str">
        <f>HYPERLINK("http://www.ncbi.nlm.nih.gov/sutils/blink.cgi?pid=XP_557484.2","0.0")</f>
        <v>0.0</v>
      </c>
      <c r="BC204" s="2" t="str">
        <f>HYPERLINK("http://www.ncbi.nlm.nih.gov/protein/XP_557484.2","XP_557484.2")</f>
        <v>XP_557484.2</v>
      </c>
      <c r="BD204" s="2">
        <v>100</v>
      </c>
      <c r="BE204" s="2">
        <v>100</v>
      </c>
      <c r="BF204" s="2">
        <v>100</v>
      </c>
      <c r="BG204" s="2" t="s">
        <v>98</v>
      </c>
      <c r="BH204" s="9" t="str">
        <f>HYPERLINK(".\links\REFSEQ-PROTOZOA\AGAP004598-PA-REFSEQ-PROTOZOA.txt","phosphoserine aminotransferase")</f>
        <v>phosphoserine aminotransferase</v>
      </c>
      <c r="BI204" s="2" t="str">
        <f>HYPERLINK("http://www.ncbi.nlm.nih.gov/sutils/blink.cgi?pid=XP_004364238.1","1E-107")</f>
        <v>1E-107</v>
      </c>
      <c r="BJ204" s="2" t="str">
        <f>HYPERLINK("http://www.ncbi.nlm.nih.gov/protein/XP_004364238.1","XP_004364238.1")</f>
        <v>XP_004364238.1</v>
      </c>
      <c r="BK204" s="2">
        <v>55</v>
      </c>
      <c r="BL204" s="2">
        <v>71</v>
      </c>
      <c r="BM204" s="2">
        <v>98</v>
      </c>
      <c r="BN204" s="2" t="s">
        <v>227</v>
      </c>
      <c r="BO204" s="9" t="str">
        <f>HYPERLINK(".\links\SWISSP\AGAP004598-PA-SWISSP.txt","Probable phosphoserine aminotransferase")</f>
        <v>Probable phosphoserine aminotransferase</v>
      </c>
      <c r="BP204" s="2" t="str">
        <f>HYPERLINK("http://www.uniprot.org/uniprot/Q9VAN0","1E-134")</f>
        <v>1E-134</v>
      </c>
      <c r="BQ204" s="2" t="str">
        <f>HYPERLINK("http://www.uniprot.org/uniprot/Q9VAN0#expression","Q9VAN0")</f>
        <v>Q9VAN0</v>
      </c>
      <c r="BR204" s="2">
        <v>66</v>
      </c>
      <c r="BS204" s="2">
        <v>78</v>
      </c>
      <c r="BT204" s="2">
        <v>100</v>
      </c>
      <c r="BU204" s="2" t="s">
        <v>100</v>
      </c>
      <c r="BV204" s="9" t="str">
        <f>HYPERLINK(".\links\FLYBASE\AGAP004598-PA-FLYBASE.txt","FBpp0084759")</f>
        <v>FBpp0084759</v>
      </c>
      <c r="BW204" s="2" t="str">
        <f>HYPERLINK("http://flybase.org/reports/FBgn0014427#alliance_summary_container","1E-178")</f>
        <v>1E-178</v>
      </c>
      <c r="BX204" s="2">
        <v>364</v>
      </c>
      <c r="BY204" s="2">
        <v>66</v>
      </c>
      <c r="BZ204" s="2">
        <v>78</v>
      </c>
      <c r="CA204" s="2">
        <v>100</v>
      </c>
      <c r="CB204" s="9" t="str">
        <f>HYPERLINK(".\links\CDD\AGAP004598-PA-CDD.txt","PRK05355, 3-phosphoserine/phosphohydroxythreonine aminotransferase")</f>
        <v>PRK05355, 3-phosphoserine/phosphohydroxythreonine aminotransferase</v>
      </c>
      <c r="CC204" s="13">
        <v>9.9999999999999994E-158</v>
      </c>
      <c r="CD204" s="2">
        <v>100.6</v>
      </c>
      <c r="CE204" s="2" t="s">
        <v>2464</v>
      </c>
      <c r="CF204" s="2" t="s">
        <v>2465</v>
      </c>
      <c r="CG204" s="9" t="str">
        <f>HYPERLINK(".\links\KOG\AGAP004598-PA-KOG.txt","Phosphoserine aminotransferase")</f>
        <v>Phosphoserine aminotransferase</v>
      </c>
      <c r="CH204" s="13">
        <v>9.9999999999999994E-149</v>
      </c>
      <c r="CI204" s="2">
        <v>99.5</v>
      </c>
      <c r="CJ204" s="2" t="s">
        <v>2466</v>
      </c>
      <c r="CK204" s="2" t="s">
        <v>2467</v>
      </c>
      <c r="CL204" s="9" t="str">
        <f>HYPERLINK(".\links\PFAM\AGAP004598-PA-PFAM.txt","Aminotran_5, Aminotransferase class-V")</f>
        <v>Aminotran_5, Aminotransferase class-V</v>
      </c>
      <c r="CM204" s="13">
        <v>8E-41</v>
      </c>
      <c r="CN204" s="2">
        <v>103.8</v>
      </c>
      <c r="CO204" s="2" t="s">
        <v>2468</v>
      </c>
      <c r="CP204" s="9" t="str">
        <f>HYPERLINK(".\links\SMART\AGAP004598-PA-SMART.txt","ADF, Actin depolymerisation factor/cofilin -like domains")</f>
        <v>ADF, Actin depolymerisation factor/cofilin -like domains</v>
      </c>
      <c r="CQ204" s="13">
        <v>0.2</v>
      </c>
      <c r="CR204" s="2">
        <v>11</v>
      </c>
      <c r="CS204" s="2" t="s">
        <v>2469</v>
      </c>
      <c r="CT204" s="2" t="s">
        <v>2462</v>
      </c>
      <c r="CU204" s="2" t="s">
        <v>2462</v>
      </c>
      <c r="CV204" s="2" t="s">
        <v>2462</v>
      </c>
      <c r="CW204" s="2" t="str">
        <f>HYPERLINK(".\links\pep\AGAP004598-PA-pep.txt","AGAP004598-PA")</f>
        <v>AGAP004598-PA</v>
      </c>
      <c r="CX204" s="2" t="s">
        <v>88</v>
      </c>
      <c r="CY204" s="2">
        <v>364</v>
      </c>
      <c r="CZ204" s="2" t="s">
        <v>106</v>
      </c>
      <c r="DA204" s="2">
        <v>0</v>
      </c>
      <c r="DB204" s="2">
        <v>2</v>
      </c>
      <c r="DD204" s="2" t="str">
        <f>HYPERLINK("https://www.kegg.jp/kegg-bin/search_pathway_text?map=aga&amp;keyword=AGAP004598&amp;mode=1&amp;viewImage=true","AGAP004598")</f>
        <v>AGAP004598</v>
      </c>
      <c r="DE204" s="2" t="s">
        <v>2459</v>
      </c>
      <c r="DF204" s="2" t="s">
        <v>2460</v>
      </c>
      <c r="DG204" s="2" t="s">
        <v>94</v>
      </c>
      <c r="DH204" s="2" t="str">
        <f>HYPERLINK("https://vectorbase.org/vectorbase/app/record/gene/AGAP004598","AGAP004598-RA")</f>
        <v>AGAP004598-RA</v>
      </c>
      <c r="DI204" s="2" t="s">
        <v>250</v>
      </c>
      <c r="DJ204" s="2">
        <v>1659</v>
      </c>
      <c r="DK204" s="2" t="str">
        <f>HYPERLINK(".\links\netoglyc\AGAP004598-PA-netoglyc.txt","0")</f>
        <v>0</v>
      </c>
      <c r="DL204" s="2">
        <v>11.5</v>
      </c>
      <c r="DM204" s="2">
        <v>9.1</v>
      </c>
      <c r="DN204" s="2">
        <v>4.4000000000000004</v>
      </c>
      <c r="DO204" s="2" t="s">
        <v>97</v>
      </c>
      <c r="DP204" s="2" t="s">
        <v>94</v>
      </c>
      <c r="DQ204" s="2" t="str">
        <f>HYPERLINK(".\links\Sigp\AGAP004598-PA-SigP.txt","CYT")</f>
        <v>CYT</v>
      </c>
      <c r="DR204" s="2" t="s">
        <v>94</v>
      </c>
      <c r="DS204" s="2">
        <v>40.146999999999998</v>
      </c>
      <c r="DT204" s="2">
        <v>7.65</v>
      </c>
      <c r="DU204" s="2" t="s">
        <v>94</v>
      </c>
      <c r="DV204" s="2" t="s">
        <v>94</v>
      </c>
      <c r="DW204" s="2" t="s">
        <v>2463</v>
      </c>
      <c r="DX204" s="2">
        <v>364</v>
      </c>
      <c r="DY204" s="8">
        <v>0</v>
      </c>
      <c r="DZ204" s="2" t="s">
        <v>94</v>
      </c>
      <c r="EA204" s="2" t="s">
        <v>94</v>
      </c>
      <c r="EB204" s="2" t="s">
        <v>94</v>
      </c>
      <c r="EC204" s="2" t="str">
        <f>HYPERLINK(".\links\gpi\AGAP004598-PA-gpi.txt","Y-NoSP")</f>
        <v>Y-NoSP</v>
      </c>
      <c r="ED204" s="2">
        <v>0.26</v>
      </c>
      <c r="EF204" s="2">
        <v>3</v>
      </c>
      <c r="EG204" s="2" t="s">
        <v>94</v>
      </c>
      <c r="EH204" s="2" t="s">
        <v>94</v>
      </c>
      <c r="EI204" s="2">
        <v>11.538461538461499</v>
      </c>
      <c r="EJ204" s="2">
        <v>4.3956043956044004</v>
      </c>
      <c r="EK204" s="2">
        <v>9.0659340659340693</v>
      </c>
      <c r="EL204" s="2">
        <v>13.461538461538501</v>
      </c>
      <c r="EM204" s="2" t="s">
        <v>94</v>
      </c>
      <c r="EN204" s="2">
        <v>2</v>
      </c>
      <c r="EO204" s="2">
        <v>2</v>
      </c>
      <c r="EP204" s="2" t="s">
        <v>94</v>
      </c>
      <c r="EQ204" s="2" t="s">
        <v>94</v>
      </c>
      <c r="ER204" s="2" t="s">
        <v>94</v>
      </c>
      <c r="ES204" s="2" t="s">
        <v>94</v>
      </c>
      <c r="ET204" s="2" t="str">
        <f>HYPERLINK(".\links\REFSEQ-INVERTEBRATE\AGAP004598-PA-REFSEQ-INVERTEBRATE.txt","AGAP004598-PA")</f>
        <v>AGAP004598-PA</v>
      </c>
      <c r="EU204" s="2" t="str">
        <f>HYPERLINK("http://www.ncbi.nlm.nih.gov/sutils/blink.cgi?pid=XP_557484.2","0.0")</f>
        <v>0.0</v>
      </c>
      <c r="EV204" s="2" t="str">
        <f>HYPERLINK("http://www.ncbi.nlm.nih.gov/protein/XP_557484.2","XP_557484.2")</f>
        <v>XP_557484.2</v>
      </c>
      <c r="EW204" s="2">
        <v>100</v>
      </c>
      <c r="EX204" s="2">
        <v>100</v>
      </c>
      <c r="EY204" s="2">
        <v>100</v>
      </c>
      <c r="EZ204" s="2" t="s">
        <v>98</v>
      </c>
    </row>
    <row r="205" spans="1:156" x14ac:dyDescent="0.25">
      <c r="A205" s="2" t="s">
        <v>2470</v>
      </c>
      <c r="B205" s="2">
        <v>-0.72111375697888702</v>
      </c>
      <c r="C205" s="2">
        <v>0.60662894534644374</v>
      </c>
      <c r="D205" s="2">
        <v>7.61583232417658</v>
      </c>
      <c r="E205" s="2">
        <v>11.600349724157899</v>
      </c>
      <c r="F205" s="2">
        <v>6.5939418347450804E-4</v>
      </c>
      <c r="G205" s="2">
        <v>3.0718673857726201E-2</v>
      </c>
      <c r="H205" s="2" t="s">
        <v>167</v>
      </c>
      <c r="I205" s="2" t="s">
        <v>87</v>
      </c>
      <c r="J205" s="2" t="str">
        <f>HYPERLINK("https://vectorbase.org/vectorbase/app/record/gene/AGAP011053","AGAP011053-RA")</f>
        <v>AGAP011053-RA</v>
      </c>
      <c r="K205" s="2" t="str">
        <f>HYPERLINK(".\links\pep\AGAP011053-PA-pep.txt","AGAP011053-PA")</f>
        <v>AGAP011053-PA</v>
      </c>
      <c r="L205" s="8" t="s">
        <v>88</v>
      </c>
      <c r="M205" s="2">
        <v>325</v>
      </c>
      <c r="N205" s="2">
        <v>0</v>
      </c>
      <c r="O205" s="2">
        <v>2</v>
      </c>
      <c r="P205" s="2" t="s">
        <v>94</v>
      </c>
      <c r="Q205" s="9" t="s">
        <v>2471</v>
      </c>
      <c r="R205" s="2" t="s">
        <v>577</v>
      </c>
      <c r="S205" s="2" t="str">
        <f>HYPERLINK(".\links\KOG\AGAP011053-PA-KOG.txt","KOG")</f>
        <v>KOG</v>
      </c>
      <c r="T205" s="2">
        <v>9.9999999999999993E-40</v>
      </c>
      <c r="U205" s="2">
        <v>97.3</v>
      </c>
      <c r="V205" s="2" t="s">
        <v>2472</v>
      </c>
      <c r="W205" s="10" t="s">
        <v>2473</v>
      </c>
      <c r="X205" s="2" t="s">
        <v>131</v>
      </c>
      <c r="Y205" s="2" t="str">
        <f>HYPERLINK(".\links\CDD\AGAP011053-PA-CDD.txt","CDD")</f>
        <v>CDD</v>
      </c>
      <c r="Z205" s="13">
        <v>4.9999999999999998E-95</v>
      </c>
      <c r="AA205" s="2">
        <v>102.2</v>
      </c>
      <c r="AB205" s="11" t="str">
        <f>HYPERLINK(".\links\pep\AGAP011053-PA-sulf.txt","2")</f>
        <v>2</v>
      </c>
      <c r="AC205" s="11" t="str">
        <f>HYPERLINK(".\links\Sigp\AGAP011053-PA-SigP.txt","CYT")</f>
        <v>CYT</v>
      </c>
      <c r="AD205" s="2" t="s">
        <v>94</v>
      </c>
      <c r="AE205" s="2">
        <v>36.569000000000003</v>
      </c>
      <c r="AF205" s="2">
        <v>5.95</v>
      </c>
      <c r="AG205" s="2" t="s">
        <v>94</v>
      </c>
      <c r="AH205" s="2" t="s">
        <v>94</v>
      </c>
      <c r="AI205" s="2" t="s">
        <v>2474</v>
      </c>
      <c r="AJ205" s="11">
        <v>0</v>
      </c>
      <c r="AK205" s="2" t="s">
        <v>94</v>
      </c>
      <c r="AL205" s="2" t="s">
        <v>94</v>
      </c>
      <c r="AM205" s="2" t="s">
        <v>94</v>
      </c>
      <c r="AN205" s="11" t="str">
        <f>HYPERLINK(".\links\gpi\AGAP011053-PA-gpi.txt","N")</f>
        <v>N</v>
      </c>
      <c r="AO205" s="12" t="str">
        <f>HYPERLINK(".\links\netoglyc\AGAP011053-PA-netoglyc.txt","0")</f>
        <v>0</v>
      </c>
      <c r="AP205" s="11">
        <v>8.9</v>
      </c>
      <c r="AQ205" s="2">
        <v>8</v>
      </c>
      <c r="AR205" s="2">
        <v>5.2</v>
      </c>
      <c r="AS205" s="2" t="s">
        <v>97</v>
      </c>
      <c r="AT205" s="9" t="str">
        <f>HYPERLINK(".\links\NR-LIGHT\AGAP011053-PA-NR-LIGHT.txt","AGAP011053-PA")</f>
        <v>AGAP011053-PA</v>
      </c>
      <c r="AU205" s="2" t="str">
        <f>HYPERLINK("http://www.ncbi.nlm.nih.gov/sutils/blink.cgi?pid=XP_308082.4","0.0")</f>
        <v>0.0</v>
      </c>
      <c r="AV205" s="2" t="str">
        <f>HYPERLINK("http://www.ncbi.nlm.nih.gov/protein/XP_308082.4","XP_308082.4")</f>
        <v>XP_308082.4</v>
      </c>
      <c r="AW205" s="2">
        <v>100</v>
      </c>
      <c r="AX205" s="2">
        <v>100</v>
      </c>
      <c r="AY205" s="2">
        <v>100</v>
      </c>
      <c r="AZ205" s="2" t="s">
        <v>98</v>
      </c>
      <c r="BA205" s="9" t="str">
        <f>HYPERLINK(".\links\REFSEQ-INVERTEBRATE\AGAP011053-PA-REFSEQ-INVERTEBRATE.txt","AGAP011053-PA")</f>
        <v>AGAP011053-PA</v>
      </c>
      <c r="BB205" s="2" t="str">
        <f>HYPERLINK("http://www.ncbi.nlm.nih.gov/sutils/blink.cgi?pid=XP_308082.4","0.0")</f>
        <v>0.0</v>
      </c>
      <c r="BC205" s="2" t="str">
        <f>HYPERLINK("http://www.ncbi.nlm.nih.gov/protein/XP_308082.4","XP_308082.4")</f>
        <v>XP_308082.4</v>
      </c>
      <c r="BD205" s="2">
        <v>100</v>
      </c>
      <c r="BE205" s="2">
        <v>100</v>
      </c>
      <c r="BF205" s="2">
        <v>100</v>
      </c>
      <c r="BG205" s="2" t="s">
        <v>98</v>
      </c>
      <c r="BH205" s="9" t="str">
        <f>HYPERLINK(".\links\REFSEQ-PROTOZOA\AGAP011053-PA-REFSEQ-PROTOZOA.txt","oxidoreductase, aldo/keto reductase family member protein")</f>
        <v>oxidoreductase, aldo/keto reductase family member protein</v>
      </c>
      <c r="BI205" s="2" t="str">
        <f>HYPERLINK("http://www.ncbi.nlm.nih.gov/sutils/blink.cgi?pid=XP_004829671.1","5E-076")</f>
        <v>5E-076</v>
      </c>
      <c r="BJ205" s="2" t="str">
        <f>HYPERLINK("http://www.ncbi.nlm.nih.gov/protein/XP_004829671.1","XP_004829671.1")</f>
        <v>XP_004829671.1</v>
      </c>
      <c r="BK205" s="2">
        <v>46</v>
      </c>
      <c r="BL205" s="2">
        <v>65</v>
      </c>
      <c r="BM205" s="2">
        <v>100</v>
      </c>
      <c r="BN205" s="2" t="s">
        <v>2452</v>
      </c>
      <c r="BO205" s="9" t="str">
        <f>HYPERLINK(".\links\SWISSP\AGAP011053-PA-SWISSP.txt","1,5-anhydro-D-fructose reductase")</f>
        <v>1,5-anhydro-D-fructose reductase</v>
      </c>
      <c r="BP205" s="2" t="str">
        <f>HYPERLINK("http://www.uniprot.org/uniprot/P82125","1E-078")</f>
        <v>1E-078</v>
      </c>
      <c r="BQ205" s="2" t="str">
        <f>HYPERLINK("http://www.uniprot.org/uniprot/P82125#expression","P82125")</f>
        <v>P82125</v>
      </c>
      <c r="BR205" s="2">
        <v>48</v>
      </c>
      <c r="BS205" s="2">
        <v>66</v>
      </c>
      <c r="BT205" s="2">
        <v>104</v>
      </c>
      <c r="BU205" s="2" t="s">
        <v>1105</v>
      </c>
      <c r="BV205" s="9" t="str">
        <f>HYPERLINK(".\links\FLYBASE\AGAP011053-PA-FLYBASE.txt","FBpp0311505")</f>
        <v>FBpp0311505</v>
      </c>
      <c r="BW205" s="2" t="str">
        <f>HYPERLINK("http://flybase.org/reports/FBgn0036290#alliance_summary_container","1E-135")</f>
        <v>1E-135</v>
      </c>
      <c r="BX205" s="2">
        <v>317</v>
      </c>
      <c r="BY205" s="2">
        <v>57</v>
      </c>
      <c r="BZ205" s="2">
        <v>73</v>
      </c>
      <c r="CA205" s="2">
        <v>102</v>
      </c>
      <c r="CB205" s="9" t="str">
        <f>HYPERLINK(".\links\CDD\AGAP011053-PA-CDD.txt","ARA1, Aldo/keto reductases, related to diketogulonate reductase")</f>
        <v>ARA1, Aldo/keto reductases, related to diketogulonate reductase</v>
      </c>
      <c r="CC205" s="13">
        <v>1E-97</v>
      </c>
      <c r="CD205" s="2">
        <v>109.3</v>
      </c>
      <c r="CE205" s="2" t="s">
        <v>2453</v>
      </c>
      <c r="CF205" s="2" t="s">
        <v>2475</v>
      </c>
      <c r="CG205" s="9" t="str">
        <f>HYPERLINK(".\links\KOG\AGAP011053-PA-KOG.txt","Aldo/keto reductase family proteins")</f>
        <v>Aldo/keto reductase family proteins</v>
      </c>
      <c r="CH205" s="13">
        <v>9.9999999999999999E-119</v>
      </c>
      <c r="CI205" s="2">
        <v>107.3</v>
      </c>
      <c r="CJ205" s="2" t="s">
        <v>2455</v>
      </c>
      <c r="CK205" s="2" t="s">
        <v>122</v>
      </c>
      <c r="CL205" s="9" t="str">
        <f>HYPERLINK(".\links\PFAM\AGAP011053-PA-PFAM.txt","Aldo_ket_red, Aldo/keto reductase family")</f>
        <v>Aldo_ket_red, Aldo/keto reductase family</v>
      </c>
      <c r="CM205" s="13">
        <v>4.0000000000000001E-59</v>
      </c>
      <c r="CN205" s="2">
        <v>109.3</v>
      </c>
      <c r="CO205" s="2" t="s">
        <v>2456</v>
      </c>
      <c r="CP205" s="9" t="str">
        <f>HYPERLINK(".\links\SMART\AGAP011053-PA-SMART.txt","AlaDh_PNT_C, Alanine dehydrogenase/PNT, C-terminal domain")</f>
        <v>AlaDh_PNT_C, Alanine dehydrogenase/PNT, C-terminal domain</v>
      </c>
      <c r="CQ205" s="13">
        <v>2.6</v>
      </c>
      <c r="CR205" s="2">
        <v>12.1</v>
      </c>
      <c r="CS205" s="2" t="s">
        <v>1367</v>
      </c>
      <c r="CT205" s="2" t="s">
        <v>2472</v>
      </c>
      <c r="CU205" s="2" t="s">
        <v>2472</v>
      </c>
      <c r="CV205" s="2" t="s">
        <v>2472</v>
      </c>
      <c r="CW205" s="2" t="str">
        <f>HYPERLINK(".\links\pep\AGAP011053-PA-pep.txt","AGAP011053-PA")</f>
        <v>AGAP011053-PA</v>
      </c>
      <c r="CX205" s="2" t="s">
        <v>88</v>
      </c>
      <c r="CY205" s="2">
        <v>325</v>
      </c>
      <c r="CZ205" s="2" t="s">
        <v>106</v>
      </c>
      <c r="DA205" s="2" t="s">
        <v>2476</v>
      </c>
      <c r="DB205" s="2">
        <v>0</v>
      </c>
      <c r="DC205" s="2">
        <v>2</v>
      </c>
      <c r="DD205" s="2" t="str">
        <f>HYPERLINK("https://www.kegg.jp/kegg-bin/search_pathway_text?map=aga&amp;keyword=AGAP011053&amp;mode=1&amp;viewImage=true","AGAP011053")</f>
        <v>AGAP011053</v>
      </c>
      <c r="DE205" s="2" t="s">
        <v>2470</v>
      </c>
      <c r="DF205" s="2" t="s">
        <v>167</v>
      </c>
      <c r="DG205" s="2" t="s">
        <v>87</v>
      </c>
      <c r="DH205" s="2" t="str">
        <f>HYPERLINK("https://vectorbase.org/vectorbase/app/record/gene/AGAP011053","AGAP011053-RA")</f>
        <v>AGAP011053-RA</v>
      </c>
      <c r="DI205" s="2" t="s">
        <v>250</v>
      </c>
      <c r="DJ205" s="2">
        <v>1292</v>
      </c>
      <c r="DK205" s="2" t="str">
        <f>HYPERLINK(".\links\netoglyc\AGAP011053-PA-netoglyc.txt","0")</f>
        <v>0</v>
      </c>
      <c r="DL205" s="2">
        <v>8.9</v>
      </c>
      <c r="DM205" s="2">
        <v>8</v>
      </c>
      <c r="DN205" s="2">
        <v>5.2</v>
      </c>
      <c r="DO205" s="2" t="s">
        <v>97</v>
      </c>
      <c r="DP205" s="2" t="s">
        <v>94</v>
      </c>
      <c r="DQ205" s="2" t="str">
        <f>HYPERLINK(".\links\Sigp\AGAP011053-PA-SigP.txt","CYT")</f>
        <v>CYT</v>
      </c>
      <c r="DR205" s="2" t="s">
        <v>94</v>
      </c>
      <c r="DS205" s="2">
        <v>36.569000000000003</v>
      </c>
      <c r="DT205" s="2">
        <v>5.95</v>
      </c>
      <c r="DU205" s="2" t="s">
        <v>94</v>
      </c>
      <c r="DV205" s="2" t="s">
        <v>94</v>
      </c>
      <c r="DW205" s="2" t="s">
        <v>2474</v>
      </c>
      <c r="DX205" s="2">
        <v>325</v>
      </c>
      <c r="DY205" s="8">
        <v>0</v>
      </c>
      <c r="DZ205" s="2" t="s">
        <v>94</v>
      </c>
      <c r="EA205" s="2" t="s">
        <v>94</v>
      </c>
      <c r="EB205" s="2" t="s">
        <v>94</v>
      </c>
      <c r="EC205" s="2" t="str">
        <f>HYPERLINK(".\links\gpi\AGAP011053-PA-gpi.txt","N")</f>
        <v>N</v>
      </c>
      <c r="ED205" s="2">
        <v>0.19</v>
      </c>
      <c r="EF205" s="2">
        <v>5</v>
      </c>
      <c r="EG205" s="2" t="str">
        <f>HYPERLINK(".\links\pep\AGAP011053-PA-sulf.txt","2")</f>
        <v>2</v>
      </c>
      <c r="EH205" s="2" t="s">
        <v>94</v>
      </c>
      <c r="EI205" s="2">
        <v>8.9230769230769198</v>
      </c>
      <c r="EJ205" s="2">
        <v>5.2307692307692299</v>
      </c>
      <c r="EK205" s="2">
        <v>8</v>
      </c>
      <c r="EL205" s="2">
        <v>13.2307692307692</v>
      </c>
      <c r="EM205" s="2" t="s">
        <v>94</v>
      </c>
      <c r="EN205" s="2" t="s">
        <v>94</v>
      </c>
      <c r="EO205" s="2">
        <v>1</v>
      </c>
      <c r="EP205" s="2" t="s">
        <v>94</v>
      </c>
      <c r="EQ205" s="2" t="s">
        <v>94</v>
      </c>
      <c r="ER205" s="2" t="s">
        <v>94</v>
      </c>
      <c r="ES205" s="2" t="s">
        <v>94</v>
      </c>
      <c r="ET205" s="2" t="str">
        <f>HYPERLINK(".\links\REFSEQ-INVERTEBRATE\AGAP011053-PA-REFSEQ-INVERTEBRATE.txt","AGAP011053-PA")</f>
        <v>AGAP011053-PA</v>
      </c>
      <c r="EU205" s="2" t="str">
        <f>HYPERLINK("http://www.ncbi.nlm.nih.gov/sutils/blink.cgi?pid=XP_308082.4","0.0")</f>
        <v>0.0</v>
      </c>
      <c r="EV205" s="2" t="str">
        <f>HYPERLINK("http://www.ncbi.nlm.nih.gov/protein/XP_308082.4","XP_308082.4")</f>
        <v>XP_308082.4</v>
      </c>
      <c r="EW205" s="2">
        <v>100</v>
      </c>
      <c r="EX205" s="2">
        <v>100</v>
      </c>
      <c r="EY205" s="2">
        <v>100</v>
      </c>
      <c r="EZ205" s="2" t="s">
        <v>98</v>
      </c>
    </row>
    <row r="206" spans="1:156" x14ac:dyDescent="0.25">
      <c r="A206" s="2" t="s">
        <v>2477</v>
      </c>
      <c r="B206" s="2">
        <v>-0.73047934905371303</v>
      </c>
      <c r="C206" s="2">
        <v>0.60270362660103316</v>
      </c>
      <c r="D206" s="2">
        <v>3.4417280701272599</v>
      </c>
      <c r="E206" s="2">
        <v>16.751568186759101</v>
      </c>
      <c r="F206" s="2">
        <v>4.2607035468100598E-5</v>
      </c>
      <c r="G206" s="2">
        <v>3.8743724463637199E-3</v>
      </c>
      <c r="H206" s="2" t="s">
        <v>2478</v>
      </c>
      <c r="I206" s="2" t="s">
        <v>87</v>
      </c>
      <c r="J206" s="2" t="str">
        <f>HYPERLINK("https://vectorbase.org/vectorbase/app/record/gene/AGAP003902","AGAP003902-RA")</f>
        <v>AGAP003902-RA</v>
      </c>
      <c r="K206" s="2" t="str">
        <f>HYPERLINK(".\links\pep\AGAP003902-PA-pep.txt","AGAP003902-PA")</f>
        <v>AGAP003902-PA</v>
      </c>
      <c r="L206" s="8" t="s">
        <v>88</v>
      </c>
      <c r="M206" s="2">
        <v>585</v>
      </c>
      <c r="N206" s="2">
        <v>0</v>
      </c>
      <c r="O206" s="2">
        <v>1</v>
      </c>
      <c r="P206" s="2" t="s">
        <v>2479</v>
      </c>
      <c r="Q206" s="9" t="s">
        <v>2480</v>
      </c>
      <c r="R206" s="2" t="s">
        <v>286</v>
      </c>
      <c r="S206" s="2" t="str">
        <f>HYPERLINK(".\links\KOG\AGAP003902-PA-KOG.txt","KOG")</f>
        <v>KOG</v>
      </c>
      <c r="T206" s="2">
        <v>1.9999999999999999E-98</v>
      </c>
      <c r="U206" s="2">
        <v>103.1</v>
      </c>
      <c r="V206" s="2" t="s">
        <v>2481</v>
      </c>
      <c r="W206" s="10" t="s">
        <v>2482</v>
      </c>
      <c r="X206" s="2" t="s">
        <v>651</v>
      </c>
      <c r="Y206" s="2" t="str">
        <f>HYPERLINK(".\links\UNIPROTKB\AGAP003902-PA-UNIPROTKB.txt","UNIPROTKB")</f>
        <v>UNIPROTKB</v>
      </c>
      <c r="Z206" s="13">
        <v>2E-91</v>
      </c>
      <c r="AA206" s="2">
        <v>91.1</v>
      </c>
      <c r="AB206" s="11" t="s">
        <v>94</v>
      </c>
      <c r="AC206" s="11" t="str">
        <f>HYPERLINK(".\links\Sigp\AGAP003902-PA-SigP.txt","CYT")</f>
        <v>CYT</v>
      </c>
      <c r="AD206" s="2" t="s">
        <v>94</v>
      </c>
      <c r="AE206" s="2">
        <v>66.349999999999994</v>
      </c>
      <c r="AF206" s="2">
        <v>8.44</v>
      </c>
      <c r="AG206" s="2" t="s">
        <v>94</v>
      </c>
      <c r="AH206" s="2" t="s">
        <v>94</v>
      </c>
      <c r="AI206" s="2" t="s">
        <v>2349</v>
      </c>
      <c r="AJ206" s="11">
        <v>0</v>
      </c>
      <c r="AK206" s="2" t="s">
        <v>94</v>
      </c>
      <c r="AL206" s="2" t="s">
        <v>94</v>
      </c>
      <c r="AM206" s="2" t="s">
        <v>94</v>
      </c>
      <c r="AN206" s="11" t="str">
        <f>HYPERLINK(".\links\gpi\AGAP003902-PA-gpi.txt","N")</f>
        <v>N</v>
      </c>
      <c r="AO206" s="12" t="str">
        <f>HYPERLINK(".\links\netoglyc\AGAP003902-PA-netoglyc.txt","0")</f>
        <v>0</v>
      </c>
      <c r="AP206" s="11">
        <v>12.1</v>
      </c>
      <c r="AQ206" s="2">
        <v>4.3</v>
      </c>
      <c r="AR206" s="2">
        <v>2.6</v>
      </c>
      <c r="AS206" s="2" t="s">
        <v>97</v>
      </c>
      <c r="AT206" s="9" t="str">
        <f>HYPERLINK(".\links\NR-LIGHT\AGAP003902-PA-NR-LIGHT.txt","AGAP003902-PA")</f>
        <v>AGAP003902-PA</v>
      </c>
      <c r="AU206" s="2" t="str">
        <f>HYPERLINK("http://www.ncbi.nlm.nih.gov/sutils/blink.cgi?pid=XP_308135.4","0.0")</f>
        <v>0.0</v>
      </c>
      <c r="AV206" s="2" t="str">
        <f>HYPERLINK("http://www.ncbi.nlm.nih.gov/protein/XP_308135.4","XP_308135.4")</f>
        <v>XP_308135.4</v>
      </c>
      <c r="AW206" s="2">
        <v>100</v>
      </c>
      <c r="AX206" s="2">
        <v>100</v>
      </c>
      <c r="AY206" s="2">
        <v>100</v>
      </c>
      <c r="AZ206" s="2" t="s">
        <v>98</v>
      </c>
      <c r="BA206" s="9" t="str">
        <f>HYPERLINK(".\links\REFSEQ-INVERTEBRATE\AGAP003902-PA-REFSEQ-INVERTEBRATE.txt","AGAP003902-PA")</f>
        <v>AGAP003902-PA</v>
      </c>
      <c r="BB206" s="2" t="str">
        <f>HYPERLINK("http://www.ncbi.nlm.nih.gov/sutils/blink.cgi?pid=XP_308135.4","0.0")</f>
        <v>0.0</v>
      </c>
      <c r="BC206" s="2" t="str">
        <f>HYPERLINK("http://www.ncbi.nlm.nih.gov/protein/XP_308135.4","XP_308135.4")</f>
        <v>XP_308135.4</v>
      </c>
      <c r="BD206" s="2">
        <v>100</v>
      </c>
      <c r="BE206" s="2">
        <v>100</v>
      </c>
      <c r="BF206" s="2">
        <v>100</v>
      </c>
      <c r="BG206" s="2" t="s">
        <v>98</v>
      </c>
      <c r="BH206" s="9" t="str">
        <f>HYPERLINK(".\links\REFSEQ-PROTOZOA\AGAP003902-PA-REFSEQ-PROTOZOA.txt","anaphase-promoting complex subunit 7, putative")</f>
        <v>anaphase-promoting complex subunit 7, putative</v>
      </c>
      <c r="BI206" s="2" t="str">
        <f>HYPERLINK("http://www.ncbi.nlm.nih.gov/sutils/blink.cgi?pid=XP_002907248.1","5E-031")</f>
        <v>5E-031</v>
      </c>
      <c r="BJ206" s="2" t="str">
        <f>HYPERLINK("http://www.ncbi.nlm.nih.gov/protein/XP_002907248.1","XP_002907248.1")</f>
        <v>XP_002907248.1</v>
      </c>
      <c r="BK206" s="2">
        <v>22</v>
      </c>
      <c r="BL206" s="2">
        <v>41</v>
      </c>
      <c r="BM206" s="2">
        <v>88</v>
      </c>
      <c r="BN206" s="2" t="s">
        <v>2047</v>
      </c>
      <c r="BO206" s="9" t="str">
        <f>HYPERLINK(".\links\SWISSP\AGAP003902-PA-SWISSP.txt","Anaphase-promoting complex subunit 7")</f>
        <v>Anaphase-promoting complex subunit 7</v>
      </c>
      <c r="BP206" s="2" t="str">
        <f>HYPERLINK("http://www.uniprot.org/uniprot/Q9WVM3","4E-082")</f>
        <v>4E-082</v>
      </c>
      <c r="BQ206" s="2" t="str">
        <f>HYPERLINK("http://www.uniprot.org/uniprot/Q9WVM3#expression","Q9WVM3")</f>
        <v>Q9WVM3</v>
      </c>
      <c r="BR206" s="2">
        <v>33</v>
      </c>
      <c r="BS206" s="2">
        <v>56</v>
      </c>
      <c r="BT206" s="2">
        <v>91</v>
      </c>
      <c r="BU206" s="2" t="s">
        <v>339</v>
      </c>
      <c r="BV206" s="9" t="str">
        <f>HYPERLINK(".\links\FLYBASE\AGAP003902-PA-FLYBASE.txt","FBpp0070907")</f>
        <v>FBpp0070907</v>
      </c>
      <c r="BW206" s="2" t="str">
        <f>HYPERLINK("http://flybase.org/reports/FBgn0029879#alliance_summary_container","3E-77")</f>
        <v>3E-77</v>
      </c>
      <c r="BX206" s="2">
        <v>615</v>
      </c>
      <c r="BY206" s="2">
        <v>29</v>
      </c>
      <c r="BZ206" s="2">
        <v>51</v>
      </c>
      <c r="CA206" s="2">
        <v>86</v>
      </c>
      <c r="CB206" s="9" t="str">
        <f>HYPERLINK(".\links\CDD\AGAP003902-PA-CDD.txt","TPR_domain_protein, putative PEP-CTERM system TPR-repeat lipoprotein")</f>
        <v>TPR_domain_protein, putative PEP-CTERM system TPR-repeat lipoprotein</v>
      </c>
      <c r="CC206" s="13">
        <v>8.9999999999999999E-10</v>
      </c>
      <c r="CD206" s="2">
        <v>36.4</v>
      </c>
      <c r="CE206" s="2" t="s">
        <v>2483</v>
      </c>
      <c r="CF206" s="2" t="s">
        <v>2484</v>
      </c>
      <c r="CG206" s="9" t="str">
        <f>HYPERLINK(".\links\KOG\AGAP003902-PA-KOG.txt","subunit 7")</f>
        <v>subunit 7</v>
      </c>
      <c r="CH206" s="13">
        <v>1.9999999999999999E-98</v>
      </c>
      <c r="CI206" s="2">
        <v>103.2</v>
      </c>
      <c r="CJ206" s="2" t="s">
        <v>2485</v>
      </c>
      <c r="CK206" s="2" t="s">
        <v>2486</v>
      </c>
      <c r="CL206" s="9" t="str">
        <f>HYPERLINK(".\links\PFAM\AGAP003902-PA-PFAM.txt","ANAPC3, Anaphase-promoting complex, cyclosome, subunit 3")</f>
        <v>ANAPC3, Anaphase-promoting complex, cyclosome, subunit 3</v>
      </c>
      <c r="CM206" s="13">
        <v>9.0000000000000002E-6</v>
      </c>
      <c r="CN206" s="2">
        <v>89</v>
      </c>
      <c r="CO206" s="2" t="s">
        <v>2487</v>
      </c>
      <c r="CP206" s="9" t="str">
        <f>HYPERLINK(".\links\SMART\AGAP003902-PA-SMART.txt","TPR, Tetratricopeptide repeats")</f>
        <v>TPR, Tetratricopeptide repeats</v>
      </c>
      <c r="CQ206" s="13">
        <v>5.1999999999999998E-2</v>
      </c>
      <c r="CR206" s="2">
        <v>94.1</v>
      </c>
      <c r="CS206" s="2" t="s">
        <v>2488</v>
      </c>
      <c r="CT206" s="2" t="s">
        <v>2481</v>
      </c>
      <c r="CU206" s="2" t="s">
        <v>2481</v>
      </c>
      <c r="CV206" s="2" t="s">
        <v>2481</v>
      </c>
      <c r="CW206" s="2" t="str">
        <f>HYPERLINK(".\links\pep\AGAP003902-PA-pep.txt","AGAP003902-PA")</f>
        <v>AGAP003902-PA</v>
      </c>
      <c r="CX206" s="2" t="s">
        <v>88</v>
      </c>
      <c r="CY206" s="2">
        <v>585</v>
      </c>
      <c r="CZ206" s="2" t="s">
        <v>106</v>
      </c>
      <c r="DA206" s="2" t="s">
        <v>2489</v>
      </c>
      <c r="DB206" s="2">
        <v>0</v>
      </c>
      <c r="DC206" s="2">
        <v>1</v>
      </c>
      <c r="DD206" s="2" t="str">
        <f>HYPERLINK("https://www.kegg.jp/kegg-bin/search_pathway_text?map=aga&amp;keyword=AGAP003902&amp;mode=1&amp;viewImage=true","AGAP003902")</f>
        <v>AGAP003902</v>
      </c>
      <c r="DE206" s="2" t="s">
        <v>2477</v>
      </c>
      <c r="DF206" s="2" t="s">
        <v>2478</v>
      </c>
      <c r="DG206" s="2" t="s">
        <v>87</v>
      </c>
      <c r="DH206" s="2" t="str">
        <f>HYPERLINK("https://vectorbase.org/vectorbase/app/record/gene/AGAP003902","AGAP003902-RA")</f>
        <v>AGAP003902-RA</v>
      </c>
      <c r="DI206" s="2" t="s">
        <v>125</v>
      </c>
      <c r="DJ206" s="2">
        <v>1838</v>
      </c>
      <c r="DK206" s="2" t="str">
        <f>HYPERLINK(".\links\netoglyc\AGAP003902-PA-netoglyc.txt","0")</f>
        <v>0</v>
      </c>
      <c r="DL206" s="2">
        <v>12.1</v>
      </c>
      <c r="DM206" s="2">
        <v>4.3</v>
      </c>
      <c r="DN206" s="2">
        <v>2.6</v>
      </c>
      <c r="DO206" s="2" t="s">
        <v>97</v>
      </c>
      <c r="DP206" s="2" t="s">
        <v>94</v>
      </c>
      <c r="DQ206" s="2" t="str">
        <f>HYPERLINK(".\links\Sigp\AGAP003902-PA-SigP.txt","CYT")</f>
        <v>CYT</v>
      </c>
      <c r="DR206" s="2" t="s">
        <v>94</v>
      </c>
      <c r="DS206" s="2">
        <v>66.349999999999994</v>
      </c>
      <c r="DT206" s="2">
        <v>8.44</v>
      </c>
      <c r="DU206" s="2" t="s">
        <v>94</v>
      </c>
      <c r="DV206" s="2" t="s">
        <v>94</v>
      </c>
      <c r="DW206" s="2" t="s">
        <v>2349</v>
      </c>
      <c r="DX206" s="2">
        <v>585</v>
      </c>
      <c r="DY206" s="8">
        <v>0</v>
      </c>
      <c r="DZ206" s="2" t="s">
        <v>94</v>
      </c>
      <c r="EA206" s="2" t="s">
        <v>94</v>
      </c>
      <c r="EB206" s="2" t="s">
        <v>94</v>
      </c>
      <c r="EC206" s="2" t="str">
        <f>HYPERLINK(".\links\gpi\AGAP003902-PA-gpi.txt","Y-NoSP")</f>
        <v>Y-NoSP</v>
      </c>
      <c r="ED206" s="2">
        <v>0.28999999999999998</v>
      </c>
      <c r="EF206" s="2">
        <v>10</v>
      </c>
      <c r="EG206" s="2" t="s">
        <v>94</v>
      </c>
      <c r="EH206" s="2" t="s">
        <v>94</v>
      </c>
      <c r="EI206" s="2">
        <v>12.136752136752101</v>
      </c>
      <c r="EJ206" s="2">
        <v>2.5641025641025599</v>
      </c>
      <c r="EK206" s="2">
        <v>4.2735042735042699</v>
      </c>
      <c r="EL206" s="2">
        <v>6.83760683760684</v>
      </c>
      <c r="EM206" s="2" t="s">
        <v>94</v>
      </c>
      <c r="EN206" s="2">
        <v>2</v>
      </c>
      <c r="EO206" s="2">
        <v>2</v>
      </c>
      <c r="EP206" s="2" t="s">
        <v>94</v>
      </c>
      <c r="EQ206" s="2" t="s">
        <v>94</v>
      </c>
      <c r="ER206" s="2" t="s">
        <v>94</v>
      </c>
      <c r="ES206" s="2" t="s">
        <v>94</v>
      </c>
      <c r="ET206" s="2" t="str">
        <f>HYPERLINK(".\links\REFSEQ-INVERTEBRATE\AGAP003902-PA-REFSEQ-INVERTEBRATE.txt","AGAP003902-PA")</f>
        <v>AGAP003902-PA</v>
      </c>
      <c r="EU206" s="2" t="str">
        <f>HYPERLINK("http://www.ncbi.nlm.nih.gov/sutils/blink.cgi?pid=XP_308135.4","0.0")</f>
        <v>0.0</v>
      </c>
      <c r="EV206" s="2" t="str">
        <f>HYPERLINK("http://www.ncbi.nlm.nih.gov/protein/XP_308135.4","XP_308135.4")</f>
        <v>XP_308135.4</v>
      </c>
      <c r="EW206" s="2">
        <v>100</v>
      </c>
      <c r="EX206" s="2">
        <v>100</v>
      </c>
      <c r="EY206" s="2">
        <v>100</v>
      </c>
      <c r="EZ206" s="2" t="s">
        <v>98</v>
      </c>
    </row>
    <row r="207" spans="1:156" x14ac:dyDescent="0.25">
      <c r="A207" s="2" t="s">
        <v>2490</v>
      </c>
      <c r="B207" s="2">
        <v>-0.73625339905763099</v>
      </c>
      <c r="C207" s="2">
        <v>0.6002962667398255</v>
      </c>
      <c r="D207" s="2">
        <v>4.369970773725</v>
      </c>
      <c r="E207" s="2">
        <v>14.251114203718</v>
      </c>
      <c r="F207" s="2">
        <v>1.5996607798402101E-4</v>
      </c>
      <c r="G207" s="2">
        <v>1.02216162128033E-2</v>
      </c>
      <c r="H207" s="2" t="s">
        <v>167</v>
      </c>
      <c r="I207" s="2" t="s">
        <v>87</v>
      </c>
      <c r="J207" s="2" t="str">
        <f>HYPERLINK("https://vectorbase.org/vectorbase/app/record/gene/AGAP007085","AGAP007085-RA")</f>
        <v>AGAP007085-RA</v>
      </c>
      <c r="K207" s="2" t="str">
        <f>HYPERLINK(".\links\pep\AGAP007085-PA-pep.txt","AGAP007085-PA")</f>
        <v>AGAP007085-PA</v>
      </c>
      <c r="L207" s="8" t="s">
        <v>88</v>
      </c>
      <c r="M207" s="2">
        <v>468</v>
      </c>
      <c r="N207" s="2">
        <v>0</v>
      </c>
      <c r="O207" s="2">
        <v>0</v>
      </c>
      <c r="P207" s="2" t="s">
        <v>94</v>
      </c>
      <c r="Q207" s="9" t="s">
        <v>2491</v>
      </c>
      <c r="R207" s="2" t="s">
        <v>333</v>
      </c>
      <c r="S207" s="2" t="str">
        <f>HYPERLINK(".\links\KOG\AGAP007085-PA-KOG.txt","KOG")</f>
        <v>KOG</v>
      </c>
      <c r="T207" s="2">
        <v>0</v>
      </c>
      <c r="U207" s="2">
        <v>100</v>
      </c>
      <c r="V207" s="2" t="s">
        <v>2492</v>
      </c>
      <c r="W207" s="10" t="s">
        <v>2493</v>
      </c>
      <c r="X207" s="2" t="s">
        <v>523</v>
      </c>
      <c r="Y207" s="2" t="str">
        <f>HYPERLINK(".\links\UNIPROTKB\AGAP007085-PA-UNIPROTKB.txt","UNIPROTKB")</f>
        <v>UNIPROTKB</v>
      </c>
      <c r="Z207" s="13">
        <v>1E-78</v>
      </c>
      <c r="AA207" s="2">
        <v>99.5</v>
      </c>
      <c r="AB207" s="11" t="s">
        <v>94</v>
      </c>
      <c r="AC207" s="11" t="str">
        <f>HYPERLINK(".\links\Sigp\AGAP007085-PA-SigP.txt","CYT")</f>
        <v>CYT</v>
      </c>
      <c r="AD207" s="2" t="s">
        <v>94</v>
      </c>
      <c r="AE207" s="2">
        <v>52.542000000000002</v>
      </c>
      <c r="AF207" s="2">
        <v>9.81</v>
      </c>
      <c r="AG207" s="2" t="s">
        <v>94</v>
      </c>
      <c r="AH207" s="2" t="s">
        <v>94</v>
      </c>
      <c r="AI207" s="2" t="s">
        <v>2494</v>
      </c>
      <c r="AJ207" s="11" t="str">
        <f>HYPERLINK(".\links\tmhmm\AGAP007085-PA-tmhmm.txt","5")</f>
        <v>5</v>
      </c>
      <c r="AK207" s="2">
        <v>22.9</v>
      </c>
      <c r="AL207" s="2">
        <v>22.2</v>
      </c>
      <c r="AM207" s="2">
        <v>54.9</v>
      </c>
      <c r="AN207" s="11" t="str">
        <f>HYPERLINK(".\links\gpi\AGAP007085-PA-gpi.txt","N")</f>
        <v>N</v>
      </c>
      <c r="AO207" s="12" t="str">
        <f>HYPERLINK(".\links\netoglyc\AGAP007085-PA-netoglyc.txt","0")</f>
        <v>0</v>
      </c>
      <c r="AP207" s="11">
        <v>15.6</v>
      </c>
      <c r="AQ207" s="2">
        <v>6.6</v>
      </c>
      <c r="AR207" s="2">
        <v>4.0999999999999996</v>
      </c>
      <c r="AS207" s="2" t="s">
        <v>97</v>
      </c>
      <c r="AT207" s="9" t="str">
        <f>HYPERLINK(".\links\NR-LIGHT\AGAP007085-PA-NR-LIGHT.txt","AGAP007085-PA")</f>
        <v>AGAP007085-PA</v>
      </c>
      <c r="AU207" s="2" t="str">
        <f>HYPERLINK("http://www.ncbi.nlm.nih.gov/sutils/blink.cgi?pid=XP_308673.4","0.0")</f>
        <v>0.0</v>
      </c>
      <c r="AV207" s="2" t="str">
        <f>HYPERLINK("http://www.ncbi.nlm.nih.gov/protein/XP_308673.4","XP_308673.4")</f>
        <v>XP_308673.4</v>
      </c>
      <c r="AW207" s="2">
        <v>100</v>
      </c>
      <c r="AX207" s="2">
        <v>100</v>
      </c>
      <c r="AY207" s="2">
        <v>100</v>
      </c>
      <c r="AZ207" s="2" t="s">
        <v>98</v>
      </c>
      <c r="BA207" s="9" t="str">
        <f>HYPERLINK(".\links\REFSEQ-INVERTEBRATE\AGAP007085-PA-REFSEQ-INVERTEBRATE.txt","AGAP007085-PA")</f>
        <v>AGAP007085-PA</v>
      </c>
      <c r="BB207" s="2" t="str">
        <f>HYPERLINK("http://www.ncbi.nlm.nih.gov/sutils/blink.cgi?pid=XP_308673.4","0.0")</f>
        <v>0.0</v>
      </c>
      <c r="BC207" s="2" t="str">
        <f>HYPERLINK("http://www.ncbi.nlm.nih.gov/protein/XP_308673.4","XP_308673.4")</f>
        <v>XP_308673.4</v>
      </c>
      <c r="BD207" s="2">
        <v>100</v>
      </c>
      <c r="BE207" s="2">
        <v>100</v>
      </c>
      <c r="BF207" s="2">
        <v>100</v>
      </c>
      <c r="BG207" s="2" t="s">
        <v>98</v>
      </c>
      <c r="BH207" s="9" t="str">
        <f>HYPERLINK(".\links\REFSEQ-PROTOZOA\AGAP007085-PA-REFSEQ-PROTOZOA.txt","hypothetical protein CAOG_03685")</f>
        <v>hypothetical protein CAOG_03685</v>
      </c>
      <c r="BI207" s="2" t="str">
        <f>HYPERLINK("http://www.ncbi.nlm.nih.gov/sutils/blink.cgi?pid=XP_004363413.2","8E-044")</f>
        <v>8E-044</v>
      </c>
      <c r="BJ207" s="2" t="str">
        <f>HYPERLINK("http://www.ncbi.nlm.nih.gov/protein/XP_004363413.2","XP_004363413.2")</f>
        <v>XP_004363413.2</v>
      </c>
      <c r="BK207" s="2">
        <v>28</v>
      </c>
      <c r="BL207" s="2">
        <v>48</v>
      </c>
      <c r="BM207" s="2">
        <v>86</v>
      </c>
      <c r="BN207" s="2" t="s">
        <v>227</v>
      </c>
      <c r="BO207" s="9" t="str">
        <f>HYPERLINK(".\links\SWISSP\AGAP007085-PA-SWISSP.txt","Transmembrane protein 135")</f>
        <v>Transmembrane protein 135</v>
      </c>
      <c r="BP207" s="2" t="str">
        <f>HYPERLINK("http://www.uniprot.org/uniprot/Q5U4F4","1E-066")</f>
        <v>1E-066</v>
      </c>
      <c r="BQ207" s="2" t="str">
        <f>HYPERLINK("http://www.uniprot.org/uniprot/Q5U4F4#expression","Q5U4F4")</f>
        <v>Q5U4F4</v>
      </c>
      <c r="BR207" s="2">
        <v>32</v>
      </c>
      <c r="BS207" s="2">
        <v>52</v>
      </c>
      <c r="BT207" s="2">
        <v>100</v>
      </c>
      <c r="BU207" s="2" t="s">
        <v>177</v>
      </c>
      <c r="BV207" s="9" t="str">
        <f>HYPERLINK(".\links\FLYBASE\AGAP007085-PA-FLYBASE.txt","FBpp0301749")</f>
        <v>FBpp0301749</v>
      </c>
      <c r="BW207" s="2" t="str">
        <f>HYPERLINK("http://flybase.org/reports/FBgn0037592#alliance_summary_container","1E-128")</f>
        <v>1E-128</v>
      </c>
      <c r="BX207" s="2">
        <v>455</v>
      </c>
      <c r="BY207" s="2">
        <v>42</v>
      </c>
      <c r="BZ207" s="2">
        <v>62</v>
      </c>
      <c r="CA207" s="2">
        <v>97</v>
      </c>
      <c r="CB207" s="9" t="str">
        <f>HYPERLINK(".\links\CDD\AGAP007085-PA-CDD.txt","TMEM135_C_rich, N-terminal cysteine-rich region of Transmembrane protein 135")</f>
        <v>TMEM135_C_rich, N-terminal cysteine-rich region of Transmembrane protein 135</v>
      </c>
      <c r="CC207" s="13">
        <v>8.9999999999999995E-23</v>
      </c>
      <c r="CD207" s="2">
        <v>99.3</v>
      </c>
      <c r="CE207" s="2" t="s">
        <v>2495</v>
      </c>
      <c r="CF207" s="2" t="s">
        <v>2496</v>
      </c>
      <c r="CG207" s="9" t="str">
        <f>HYPERLINK(".\links\KOG\AGAP007085-PA-KOG.txt","Uncharacterized conserved protein")</f>
        <v>Uncharacterized conserved protein</v>
      </c>
      <c r="CH207" s="13">
        <v>2E-90</v>
      </c>
      <c r="CI207" s="2">
        <v>95.7</v>
      </c>
      <c r="CJ207" s="2" t="s">
        <v>2497</v>
      </c>
      <c r="CK207" s="2" t="s">
        <v>447</v>
      </c>
      <c r="CL207" s="9" t="str">
        <f>HYPERLINK(".\links\PFAM\AGAP007085-PA-PFAM.txt","TMEM135_C_rich, N-terminal cysteine-rich region of Transmembrane protein 135")</f>
        <v>TMEM135_C_rich, N-terminal cysteine-rich region of Transmembrane protein 135</v>
      </c>
      <c r="CM207" s="13">
        <v>1.9999999999999999E-23</v>
      </c>
      <c r="CN207" s="2">
        <v>99.3</v>
      </c>
      <c r="CO207" s="2" t="s">
        <v>2495</v>
      </c>
      <c r="CP207" s="9" t="str">
        <f>HYPERLINK(".\links\SMART\AGAP007085-PA-SMART.txt","GuKc, Guanylate kinase homologues")</f>
        <v>GuKc, Guanylate kinase homologues</v>
      </c>
      <c r="CQ207" s="13">
        <v>2.7</v>
      </c>
      <c r="CR207" s="2">
        <v>11.5</v>
      </c>
      <c r="CS207" s="2" t="s">
        <v>2498</v>
      </c>
      <c r="CT207" s="2" t="s">
        <v>2492</v>
      </c>
      <c r="CU207" s="2" t="s">
        <v>2492</v>
      </c>
      <c r="CV207" s="2" t="s">
        <v>2492</v>
      </c>
      <c r="CW207" s="2" t="str">
        <f>HYPERLINK(".\links\pep\AGAP007085-PA-pep.txt","AGAP007085-PA")</f>
        <v>AGAP007085-PA</v>
      </c>
      <c r="CX207" s="2" t="s">
        <v>88</v>
      </c>
      <c r="CY207" s="2">
        <v>468</v>
      </c>
      <c r="CZ207" s="2" t="s">
        <v>106</v>
      </c>
      <c r="DA207" s="2" t="s">
        <v>2499</v>
      </c>
      <c r="DB207" s="2">
        <v>0</v>
      </c>
      <c r="DC207" s="2">
        <v>0</v>
      </c>
      <c r="DD207" s="2" t="str">
        <f>HYPERLINK("https://www.kegg.jp/kegg-bin/search_pathway_text?map=aga&amp;keyword=AGAP007085&amp;mode=1&amp;viewImage=true","AGAP007085")</f>
        <v>AGAP007085</v>
      </c>
      <c r="DE207" s="2" t="s">
        <v>2490</v>
      </c>
      <c r="DF207" s="2" t="s">
        <v>167</v>
      </c>
      <c r="DG207" s="2" t="s">
        <v>87</v>
      </c>
      <c r="DH207" s="2" t="str">
        <f>HYPERLINK("https://vectorbase.org/vectorbase/app/record/gene/AGAP007085","AGAP007085-RA")</f>
        <v>AGAP007085-RA</v>
      </c>
      <c r="DI207" s="2" t="s">
        <v>125</v>
      </c>
      <c r="DJ207" s="2">
        <v>2690</v>
      </c>
      <c r="DK207" s="2" t="str">
        <f>HYPERLINK(".\links\netoglyc\AGAP007085-PA-netoglyc.txt","0")</f>
        <v>0</v>
      </c>
      <c r="DL207" s="2">
        <v>15.6</v>
      </c>
      <c r="DM207" s="2">
        <v>6.6</v>
      </c>
      <c r="DN207" s="2">
        <v>4.0999999999999996</v>
      </c>
      <c r="DO207" s="2" t="s">
        <v>97</v>
      </c>
      <c r="DP207" s="2" t="s">
        <v>94</v>
      </c>
      <c r="DQ207" s="2" t="str">
        <f>HYPERLINK(".\links\Sigp\AGAP007085-PA-SigP.txt","CYT")</f>
        <v>CYT</v>
      </c>
      <c r="DR207" s="2" t="s">
        <v>94</v>
      </c>
      <c r="DS207" s="2">
        <v>52.542000000000002</v>
      </c>
      <c r="DT207" s="2">
        <v>9.81</v>
      </c>
      <c r="DU207" s="2" t="s">
        <v>94</v>
      </c>
      <c r="DV207" s="2" t="s">
        <v>94</v>
      </c>
      <c r="DW207" s="2" t="s">
        <v>2494</v>
      </c>
      <c r="DX207" s="2">
        <v>468</v>
      </c>
      <c r="DY207" s="8" t="str">
        <f>HYPERLINK(".\links\tmhmm\AGAP007085-PA-tmhmm.txt","5")</f>
        <v>5</v>
      </c>
      <c r="DZ207" s="2">
        <v>22.9</v>
      </c>
      <c r="EA207" s="2">
        <v>22.2</v>
      </c>
      <c r="EB207" s="2">
        <v>54.9</v>
      </c>
      <c r="EC207" s="2" t="str">
        <f>HYPERLINK(".\links\gpi\AGAP007085-PA-gpi.txt","N")</f>
        <v>N</v>
      </c>
      <c r="ED207" s="2">
        <v>0.27</v>
      </c>
      <c r="EF207" s="2">
        <v>10</v>
      </c>
      <c r="EG207" s="2" t="s">
        <v>94</v>
      </c>
      <c r="EH207" s="2" t="s">
        <v>94</v>
      </c>
      <c r="EI207" s="2">
        <v>15.5982905982906</v>
      </c>
      <c r="EJ207" s="2">
        <v>4.0598290598290596</v>
      </c>
      <c r="EK207" s="2">
        <v>6.6239316239316199</v>
      </c>
      <c r="EL207" s="2">
        <v>10.683760683760701</v>
      </c>
      <c r="EM207" s="2" t="s">
        <v>94</v>
      </c>
      <c r="EN207" s="2">
        <v>2</v>
      </c>
      <c r="EO207" s="2">
        <v>3</v>
      </c>
      <c r="EP207" s="2" t="s">
        <v>94</v>
      </c>
      <c r="EQ207" s="2" t="s">
        <v>94</v>
      </c>
      <c r="ER207" s="2" t="s">
        <v>94</v>
      </c>
      <c r="ES207" s="2" t="s">
        <v>94</v>
      </c>
      <c r="ET207" s="2" t="str">
        <f>HYPERLINK(".\links\REFSEQ-INVERTEBRATE\AGAP007085-PA-REFSEQ-INVERTEBRATE.txt","AGAP007085-PA")</f>
        <v>AGAP007085-PA</v>
      </c>
      <c r="EU207" s="2" t="str">
        <f>HYPERLINK("http://www.ncbi.nlm.nih.gov/sutils/blink.cgi?pid=XP_308673.4","0.0")</f>
        <v>0.0</v>
      </c>
      <c r="EV207" s="2" t="str">
        <f>HYPERLINK("http://www.ncbi.nlm.nih.gov/protein/XP_308673.4","XP_308673.4")</f>
        <v>XP_308673.4</v>
      </c>
      <c r="EW207" s="2">
        <v>100</v>
      </c>
      <c r="EX207" s="2">
        <v>100</v>
      </c>
      <c r="EY207" s="2">
        <v>100</v>
      </c>
      <c r="EZ207" s="2" t="s">
        <v>98</v>
      </c>
    </row>
    <row r="208" spans="1:156" x14ac:dyDescent="0.25">
      <c r="A208" s="2" t="s">
        <v>2500</v>
      </c>
      <c r="B208" s="2">
        <v>-0.74584913237341199</v>
      </c>
      <c r="C208" s="2">
        <v>0.5963167918210297</v>
      </c>
      <c r="D208" s="2">
        <v>10.179953117944301</v>
      </c>
      <c r="E208" s="2">
        <v>14.1479954497836</v>
      </c>
      <c r="F208" s="2">
        <v>1.68977053282791E-4</v>
      </c>
      <c r="G208" s="2">
        <v>1.0513263111153699E-2</v>
      </c>
      <c r="H208" s="2" t="s">
        <v>167</v>
      </c>
      <c r="I208" s="2" t="s">
        <v>87</v>
      </c>
      <c r="J208" s="2" t="str">
        <f>HYPERLINK("https://vectorbase.org/vectorbase/app/record/gene/AGAP008648","AGAP008648-RA")</f>
        <v>AGAP008648-RA</v>
      </c>
      <c r="K208" s="2" t="str">
        <f>HYPERLINK(".\links\pep\AGAP008648-PA-pep.txt","AGAP008648-PA")</f>
        <v>AGAP008648-PA</v>
      </c>
      <c r="L208" s="8" t="s">
        <v>88</v>
      </c>
      <c r="M208" s="2">
        <v>206</v>
      </c>
      <c r="N208" s="2">
        <v>0</v>
      </c>
      <c r="O208" s="2">
        <v>0</v>
      </c>
      <c r="P208" s="2" t="s">
        <v>94</v>
      </c>
      <c r="Q208" s="9" t="s">
        <v>2501</v>
      </c>
      <c r="R208" s="2" t="s">
        <v>131</v>
      </c>
      <c r="S208" s="2" t="str">
        <f>HYPERLINK(".\links\PFAM\AGAP008648-PA-PFAM.txt","PFAM")</f>
        <v>PFAM</v>
      </c>
      <c r="T208" s="2">
        <v>7.9999999999999997E-23</v>
      </c>
      <c r="U208" s="2">
        <v>107.5</v>
      </c>
      <c r="V208" s="2" t="s">
        <v>2502</v>
      </c>
      <c r="W208" s="10" t="s">
        <v>2503</v>
      </c>
      <c r="X208" s="2" t="s">
        <v>131</v>
      </c>
      <c r="Y208" s="2" t="str">
        <f>HYPERLINK(".\links\PFAM\AGAP008648-PA-PFAM.txt","PFAM")</f>
        <v>PFAM</v>
      </c>
      <c r="Z208" s="13">
        <v>1E-10</v>
      </c>
      <c r="AA208" s="2">
        <v>95</v>
      </c>
      <c r="AB208" s="11" t="s">
        <v>94</v>
      </c>
      <c r="AC208" s="11" t="str">
        <f>HYPERLINK(".\links\Sigp\AGAP008648-PA-SigP.txt","SIG")</f>
        <v>SIG</v>
      </c>
      <c r="AD208" s="2" t="s">
        <v>2504</v>
      </c>
      <c r="AE208" s="2">
        <v>23.082000000000001</v>
      </c>
      <c r="AF208" s="2">
        <v>7.73</v>
      </c>
      <c r="AG208" s="2">
        <v>21.402999999999999</v>
      </c>
      <c r="AH208" s="2">
        <v>7.09</v>
      </c>
      <c r="AI208" s="2" t="s">
        <v>2505</v>
      </c>
      <c r="AJ208" s="11">
        <v>0</v>
      </c>
      <c r="AK208" s="2" t="s">
        <v>94</v>
      </c>
      <c r="AL208" s="2" t="s">
        <v>94</v>
      </c>
      <c r="AM208" s="2" t="s">
        <v>94</v>
      </c>
      <c r="AN208" s="11" t="str">
        <f>HYPERLINK(".\links\gpi\AGAP008648-PA-gpi.txt","N")</f>
        <v>N</v>
      </c>
      <c r="AO208" s="12" t="str">
        <f>HYPERLINK(".\links\netoglyc\AGAP008648-PA-netoglyc.txt","0")</f>
        <v>0</v>
      </c>
      <c r="AP208" s="11">
        <v>13.6</v>
      </c>
      <c r="AQ208" s="2">
        <v>7.3</v>
      </c>
      <c r="AR208" s="2">
        <v>3.9</v>
      </c>
      <c r="AS208" s="2" t="s">
        <v>97</v>
      </c>
      <c r="AT208" s="9" t="str">
        <f>HYPERLINK(".\links\NR-LIGHT\AGAP008648-PA-NR-LIGHT.txt","AGAP008648-PA")</f>
        <v>AGAP008648-PA</v>
      </c>
      <c r="AU208" s="2" t="str">
        <f>HYPERLINK("http://www.ncbi.nlm.nih.gov/sutils/blink.cgi?pid=XP_314745.2","1E-116")</f>
        <v>1E-116</v>
      </c>
      <c r="AV208" s="2" t="str">
        <f>HYPERLINK("http://www.ncbi.nlm.nih.gov/protein/XP_314745.2","XP_314745.2")</f>
        <v>XP_314745.2</v>
      </c>
      <c r="AW208" s="2">
        <v>100</v>
      </c>
      <c r="AX208" s="2">
        <v>100</v>
      </c>
      <c r="AY208" s="2">
        <v>100</v>
      </c>
      <c r="AZ208" s="2" t="s">
        <v>98</v>
      </c>
      <c r="BA208" s="9" t="str">
        <f>HYPERLINK(".\links\REFSEQ-INVERTEBRATE\AGAP008648-PA-REFSEQ-INVERTEBRATE.txt","AGAP008648-PA")</f>
        <v>AGAP008648-PA</v>
      </c>
      <c r="BB208" s="2" t="str">
        <f>HYPERLINK("http://www.ncbi.nlm.nih.gov/sutils/blink.cgi?pid=XP_314745.2","1E-116")</f>
        <v>1E-116</v>
      </c>
      <c r="BC208" s="2" t="str">
        <f>HYPERLINK("http://www.ncbi.nlm.nih.gov/protein/XP_314745.2","XP_314745.2")</f>
        <v>XP_314745.2</v>
      </c>
      <c r="BD208" s="2">
        <v>100</v>
      </c>
      <c r="BE208" s="2">
        <v>100</v>
      </c>
      <c r="BF208" s="2">
        <v>100</v>
      </c>
      <c r="BG208" s="2" t="s">
        <v>98</v>
      </c>
      <c r="BH208" s="9" t="str">
        <f>HYPERLINK(".\links\REFSEQ-PROTOZOA\AGAP008648-PA-REFSEQ-PROTOZOA.txt","predicted protein")</f>
        <v>predicted protein</v>
      </c>
      <c r="BI208" s="2" t="str">
        <f>HYPERLINK("http://www.ncbi.nlm.nih.gov/sutils/blink.cgi?pid=XP_002181617.1","0.52")</f>
        <v>0.52</v>
      </c>
      <c r="BJ208" s="2" t="str">
        <f>HYPERLINK("http://www.ncbi.nlm.nih.gov/protein/XP_002181617.1","XP_002181617.1")</f>
        <v>XP_002181617.1</v>
      </c>
      <c r="BK208" s="2">
        <v>28</v>
      </c>
      <c r="BL208" s="2">
        <v>46</v>
      </c>
      <c r="BM208" s="2">
        <v>4</v>
      </c>
      <c r="BN208" s="2" t="s">
        <v>2506</v>
      </c>
      <c r="BO208" s="9" t="str">
        <f>HYPERLINK(".\links\SWISSP\AGAP008648-PA-SWISSP.txt","Endoglin")</f>
        <v>Endoglin</v>
      </c>
      <c r="BP208" s="2" t="str">
        <f>HYPERLINK("http://www.uniprot.org/uniprot/P37176","5.3")</f>
        <v>5.3</v>
      </c>
      <c r="BQ208" s="2" t="str">
        <f>HYPERLINK("http://www.uniprot.org/uniprot/P37176#expression","P37176")</f>
        <v>P37176</v>
      </c>
      <c r="BR208" s="2">
        <v>29</v>
      </c>
      <c r="BS208" s="2">
        <v>50</v>
      </c>
      <c r="BT208" s="2">
        <v>12</v>
      </c>
      <c r="BU208" s="2" t="s">
        <v>1105</v>
      </c>
      <c r="BV208" s="9" t="str">
        <f>HYPERLINK(".\links\FLYBASE\AGAP008648-PA-FLYBASE.txt","FBpp0300669")</f>
        <v>FBpp0300669</v>
      </c>
      <c r="BW208" s="2" t="str">
        <f>HYPERLINK("http://flybase.org/reports/FBgn0029147#alliance_summary_container","4E-08")</f>
        <v>4E-08</v>
      </c>
      <c r="BX208" s="2">
        <v>578</v>
      </c>
      <c r="BY208" s="2">
        <v>27</v>
      </c>
      <c r="BZ208" s="2">
        <v>42</v>
      </c>
      <c r="CA208" s="2">
        <v>32</v>
      </c>
      <c r="CB208" s="9" t="str">
        <f>HYPERLINK(".\links\CDD\AGAP008648-PA-CDD.txt","Methyltransf_FA, Farnesoic acid 0-methyl transferase")</f>
        <v>Methyltransf_FA, Farnesoic acid 0-methyl transferase</v>
      </c>
      <c r="CC208" s="13">
        <v>2.9999999999999999E-22</v>
      </c>
      <c r="CD208" s="2">
        <v>107.5</v>
      </c>
      <c r="CE208" s="2" t="s">
        <v>2507</v>
      </c>
      <c r="CF208" s="2" t="s">
        <v>2508</v>
      </c>
      <c r="CG208" s="9" t="str">
        <f>HYPERLINK(".\links\KOG\AGAP008648-PA-KOG.txt","Aminoacylase ACY1 and related metalloexopeptidases")</f>
        <v>Aminoacylase ACY1 and related metalloexopeptidases</v>
      </c>
      <c r="CH208" s="13">
        <v>0.38</v>
      </c>
      <c r="CI208" s="2">
        <v>17.899999999999999</v>
      </c>
      <c r="CJ208" s="2" t="s">
        <v>2509</v>
      </c>
      <c r="CK208" s="2" t="s">
        <v>278</v>
      </c>
      <c r="CL208" s="9" t="str">
        <f>HYPERLINK(".\links\PFAM\AGAP008648-PA-PFAM.txt","Methyltransf_FA, Farnesoic acid 0-methyl transferase")</f>
        <v>Methyltransf_FA, Farnesoic acid 0-methyl transferase</v>
      </c>
      <c r="CM208" s="13">
        <v>7.9999999999999997E-23</v>
      </c>
      <c r="CN208" s="2">
        <v>107.5</v>
      </c>
      <c r="CO208" s="2" t="s">
        <v>2507</v>
      </c>
      <c r="CP208" s="9" t="str">
        <f>HYPERLINK(".\links\SMART\AGAP008648-PA-SMART.txt","RHO, Rho (Ras homology) subfamily of Ras-like small GTPases")</f>
        <v>RHO, Rho (Ras homology) subfamily of Ras-like small GTPases</v>
      </c>
      <c r="CQ208" s="13">
        <v>0.35</v>
      </c>
      <c r="CR208" s="2">
        <v>12.1</v>
      </c>
      <c r="CS208" s="2" t="s">
        <v>2510</v>
      </c>
      <c r="CT208" s="2" t="s">
        <v>2502</v>
      </c>
      <c r="CU208" s="2" t="s">
        <v>2502</v>
      </c>
      <c r="CV208" s="2" t="s">
        <v>2502</v>
      </c>
      <c r="CW208" s="2" t="str">
        <f>HYPERLINK(".\links\pep\AGAP008648-PA-pep.txt","AGAP008648-PA")</f>
        <v>AGAP008648-PA</v>
      </c>
      <c r="CX208" s="2" t="s">
        <v>88</v>
      </c>
      <c r="CY208" s="2">
        <v>206</v>
      </c>
      <c r="CZ208" s="2" t="s">
        <v>106</v>
      </c>
      <c r="DA208" s="2" t="s">
        <v>2511</v>
      </c>
      <c r="DB208" s="2">
        <v>0</v>
      </c>
      <c r="DC208" s="2">
        <v>0</v>
      </c>
      <c r="DD208" s="2" t="str">
        <f>HYPERLINK("https://www.kegg.jp/kegg-bin/search_pathway_text?map=aga&amp;keyword=AGAP008648&amp;mode=1&amp;viewImage=true","AGAP008648")</f>
        <v>AGAP008648</v>
      </c>
      <c r="DE208" s="2" t="s">
        <v>2500</v>
      </c>
      <c r="DF208" s="2" t="s">
        <v>167</v>
      </c>
      <c r="DG208" s="2" t="s">
        <v>87</v>
      </c>
      <c r="DH208" s="2" t="str">
        <f>HYPERLINK("https://vectorbase.org/vectorbase/app/record/gene/AGAP008648","AGAP008648-RA")</f>
        <v>AGAP008648-RA</v>
      </c>
      <c r="DI208" s="2" t="s">
        <v>143</v>
      </c>
      <c r="DJ208" s="2">
        <v>913</v>
      </c>
      <c r="DK208" s="2" t="str">
        <f>HYPERLINK(".\links\netoglyc\AGAP008648-PA-netoglyc.txt","0")</f>
        <v>0</v>
      </c>
      <c r="DL208" s="2">
        <v>13.6</v>
      </c>
      <c r="DM208" s="2">
        <v>7.3</v>
      </c>
      <c r="DN208" s="2">
        <v>3.9</v>
      </c>
      <c r="DO208" s="2" t="s">
        <v>97</v>
      </c>
      <c r="DP208" s="2" t="s">
        <v>94</v>
      </c>
      <c r="DQ208" s="2" t="str">
        <f>HYPERLINK(".\links\Sigp\AGAP008648-PA-SigP.txt","SIG")</f>
        <v>SIG</v>
      </c>
      <c r="DR208" s="2" t="s">
        <v>2504</v>
      </c>
      <c r="DS208" s="2">
        <v>23.082000000000001</v>
      </c>
      <c r="DT208" s="2">
        <v>7.73</v>
      </c>
      <c r="DU208" s="2">
        <v>21.402999999999999</v>
      </c>
      <c r="DV208" s="2">
        <v>7.09</v>
      </c>
      <c r="DW208" s="2" t="s">
        <v>2505</v>
      </c>
      <c r="DX208" s="2">
        <v>206</v>
      </c>
      <c r="DY208" s="8">
        <v>0</v>
      </c>
      <c r="DZ208" s="2" t="s">
        <v>94</v>
      </c>
      <c r="EA208" s="2" t="s">
        <v>94</v>
      </c>
      <c r="EB208" s="2" t="s">
        <v>94</v>
      </c>
      <c r="EC208" s="2" t="str">
        <f>HYPERLINK(".\links\gpi\AGAP008648-PA-gpi.txt","N")</f>
        <v>N</v>
      </c>
      <c r="ED208" s="2">
        <v>0.23</v>
      </c>
      <c r="EF208" s="2">
        <v>3</v>
      </c>
      <c r="EG208" s="2" t="s">
        <v>94</v>
      </c>
      <c r="EH208" s="2" t="s">
        <v>94</v>
      </c>
      <c r="EI208" s="2">
        <v>13.5922330097087</v>
      </c>
      <c r="EJ208" s="2">
        <v>3.8834951456310698</v>
      </c>
      <c r="EK208" s="2">
        <v>7.2815533980582501</v>
      </c>
      <c r="EL208" s="2">
        <v>11.1650485436893</v>
      </c>
      <c r="EM208" s="2" t="s">
        <v>94</v>
      </c>
      <c r="EN208" s="2" t="s">
        <v>94</v>
      </c>
      <c r="EO208" s="2" t="s">
        <v>94</v>
      </c>
      <c r="EP208" s="2" t="s">
        <v>94</v>
      </c>
      <c r="EQ208" s="2" t="s">
        <v>94</v>
      </c>
      <c r="ER208" s="2" t="s">
        <v>94</v>
      </c>
      <c r="ES208" s="2" t="s">
        <v>94</v>
      </c>
      <c r="ET208" s="2" t="str">
        <f>HYPERLINK(".\links\REFSEQ-INVERTEBRATE\AGAP008648-PA-REFSEQ-INVERTEBRATE.txt","AGAP008648-PA")</f>
        <v>AGAP008648-PA</v>
      </c>
      <c r="EU208" s="2" t="str">
        <f>HYPERLINK("http://www.ncbi.nlm.nih.gov/sutils/blink.cgi?pid=XP_314745.2","1E-154")</f>
        <v>1E-154</v>
      </c>
      <c r="EV208" s="2" t="str">
        <f>HYPERLINK("http://www.ncbi.nlm.nih.gov/protein/XP_314745.2","XP_314745.2")</f>
        <v>XP_314745.2</v>
      </c>
      <c r="EW208" s="2">
        <v>100</v>
      </c>
      <c r="EX208" s="2">
        <v>100</v>
      </c>
      <c r="EY208" s="2">
        <v>100</v>
      </c>
      <c r="EZ208" s="2" t="s">
        <v>98</v>
      </c>
    </row>
    <row r="209" spans="1:156" x14ac:dyDescent="0.25">
      <c r="A209" s="2" t="s">
        <v>2512</v>
      </c>
      <c r="B209" s="2">
        <v>-0.74811235986354996</v>
      </c>
      <c r="C209" s="2">
        <v>0.5953820533777493</v>
      </c>
      <c r="D209" s="2">
        <v>3.17492388083022</v>
      </c>
      <c r="E209" s="2">
        <v>16.089249837795801</v>
      </c>
      <c r="F209" s="2">
        <v>6.04260800370529E-5</v>
      </c>
      <c r="G209" s="2">
        <v>4.8427918551729602E-3</v>
      </c>
      <c r="H209" s="2" t="s">
        <v>167</v>
      </c>
      <c r="I209" s="2" t="s">
        <v>87</v>
      </c>
      <c r="J209" s="2" t="str">
        <f>HYPERLINK("https://vectorbase.org/vectorbase/app/record/gene/AGAP003498","AGAP003498-RA")</f>
        <v>AGAP003498-RA</v>
      </c>
      <c r="K209" s="2" t="str">
        <f>HYPERLINK(".\links\pep\AGAP003498-PA-pep.txt","AGAP003498-PA")</f>
        <v>AGAP003498-PA</v>
      </c>
      <c r="L209" s="8" t="s">
        <v>88</v>
      </c>
      <c r="M209" s="2">
        <v>1786</v>
      </c>
      <c r="N209" s="2">
        <v>0</v>
      </c>
      <c r="O209" s="2">
        <v>5</v>
      </c>
      <c r="P209" s="2" t="s">
        <v>94</v>
      </c>
      <c r="Q209" s="9" t="s">
        <v>2513</v>
      </c>
      <c r="R209" s="2" t="s">
        <v>2514</v>
      </c>
      <c r="S209" s="2" t="str">
        <f>HYPERLINK(".\links\CDD\AGAP003498-PA-CDD.txt","CDD")</f>
        <v>CDD</v>
      </c>
      <c r="T209" s="2">
        <v>4.0000000000000003E-68</v>
      </c>
      <c r="U209" s="2">
        <v>100</v>
      </c>
      <c r="V209" s="2" t="s">
        <v>2515</v>
      </c>
      <c r="W209" s="10" t="s">
        <v>2516</v>
      </c>
      <c r="X209" s="2" t="s">
        <v>2517</v>
      </c>
      <c r="Y209" s="2" t="str">
        <f>HYPERLINK(".\links\REFSEQVERTEBRATE95\AGAP003498-PA-REFSEQVERTEBRATE95.txt","REFSEQVERTEBRATE95")</f>
        <v>REFSEQVERTEBRATE95</v>
      </c>
      <c r="Z209" s="2">
        <v>0</v>
      </c>
      <c r="AA209" s="2">
        <v>80.599999999999994</v>
      </c>
      <c r="AB209" s="11" t="str">
        <f>HYPERLINK(".\links\pep\AGAP003498-PA-sulf.txt","4")</f>
        <v>4</v>
      </c>
      <c r="AC209" s="11" t="str">
        <f>HYPERLINK(".\links\Sigp\AGAP003498-PA-SigP.txt","CYT")</f>
        <v>CYT</v>
      </c>
      <c r="AD209" s="2" t="s">
        <v>94</v>
      </c>
      <c r="AE209" s="2">
        <v>190.96299999999999</v>
      </c>
      <c r="AF209" s="2">
        <v>8.49</v>
      </c>
      <c r="AG209" s="2" t="s">
        <v>94</v>
      </c>
      <c r="AH209" s="2" t="s">
        <v>94</v>
      </c>
      <c r="AI209" s="2" t="s">
        <v>2518</v>
      </c>
      <c r="AJ209" s="11" t="str">
        <f>HYPERLINK(".\links\tmhmm\AGAP003498-PA-tmhmm.txt","2")</f>
        <v>2</v>
      </c>
      <c r="AK209" s="2">
        <v>2.5</v>
      </c>
      <c r="AL209" s="2">
        <v>42</v>
      </c>
      <c r="AM209" s="2">
        <v>55.5</v>
      </c>
      <c r="AN209" s="11" t="str">
        <f>HYPERLINK(".\links\gpi\AGAP003498-PA-gpi.txt","N")</f>
        <v>N</v>
      </c>
      <c r="AO209" s="12" t="str">
        <f>HYPERLINK(".\links\netoglyc\AGAP003498-PA-netoglyc.txt","18")</f>
        <v>18</v>
      </c>
      <c r="AP209" s="11">
        <v>16.600000000000001</v>
      </c>
      <c r="AQ209" s="2">
        <v>8.6</v>
      </c>
      <c r="AR209" s="2">
        <v>7.5</v>
      </c>
      <c r="AS209" s="2" t="s">
        <v>97</v>
      </c>
      <c r="AT209" s="9" t="str">
        <f>HYPERLINK(".\links\NR-LIGHT\AGAP003498-PA-NR-LIGHT.txt","AGAP003498-PA")</f>
        <v>AGAP003498-PA</v>
      </c>
      <c r="AU209" s="2" t="str">
        <f>HYPERLINK("http://www.ncbi.nlm.nih.gov/sutils/blink.cgi?pid=XP_309659.5","0.0")</f>
        <v>0.0</v>
      </c>
      <c r="AV209" s="2" t="str">
        <f>HYPERLINK("http://www.ncbi.nlm.nih.gov/protein/XP_309659.5","XP_309659.5")</f>
        <v>XP_309659.5</v>
      </c>
      <c r="AW209" s="2">
        <v>100</v>
      </c>
      <c r="AX209" s="2">
        <v>100</v>
      </c>
      <c r="AY209" s="2">
        <v>100</v>
      </c>
      <c r="AZ209" s="2" t="s">
        <v>98</v>
      </c>
      <c r="BA209" s="9" t="str">
        <f>HYPERLINK(".\links\REFSEQ-INVERTEBRATE\AGAP003498-PA-REFSEQ-INVERTEBRATE.txt","AGAP003498-PA")</f>
        <v>AGAP003498-PA</v>
      </c>
      <c r="BB209" s="2" t="str">
        <f>HYPERLINK("http://www.ncbi.nlm.nih.gov/sutils/blink.cgi?pid=XP_309659.5","0.0")</f>
        <v>0.0</v>
      </c>
      <c r="BC209" s="2" t="str">
        <f>HYPERLINK("http://www.ncbi.nlm.nih.gov/protein/XP_309659.5","XP_309659.5")</f>
        <v>XP_309659.5</v>
      </c>
      <c r="BD209" s="2">
        <v>100</v>
      </c>
      <c r="BE209" s="2">
        <v>100</v>
      </c>
      <c r="BF209" s="2">
        <v>100</v>
      </c>
      <c r="BG209" s="2" t="s">
        <v>98</v>
      </c>
      <c r="BH209" s="9" t="str">
        <f>HYPERLINK(".\links\REFSEQ-PROTOZOA\AGAP003498-PA-REFSEQ-PROTOZOA.txt","hypothetical protein AURANDRAFT_64441")</f>
        <v>hypothetical protein AURANDRAFT_64441</v>
      </c>
      <c r="BI209" s="2" t="str">
        <f>HYPERLINK("http://www.ncbi.nlm.nih.gov/sutils/blink.cgi?pid=XP_009037253.1","6E-028")</f>
        <v>6E-028</v>
      </c>
      <c r="BJ209" s="2" t="str">
        <f>HYPERLINK("http://www.ncbi.nlm.nih.gov/protein/XP_009037253.1","XP_009037253.1")</f>
        <v>XP_009037253.1</v>
      </c>
      <c r="BK209" s="2">
        <v>28</v>
      </c>
      <c r="BL209" s="2">
        <v>40</v>
      </c>
      <c r="BM209" s="2">
        <v>47</v>
      </c>
      <c r="BN209" s="2" t="s">
        <v>338</v>
      </c>
      <c r="BO209" s="9" t="str">
        <f>HYPERLINK(".\links\SWISSP\AGAP003498-PA-SWISSP.txt","Disintegrin and metalloproteinase domain-containing protein 12")</f>
        <v>Disintegrin and metalloproteinase domain-containing protein 12</v>
      </c>
      <c r="BP209" s="2" t="str">
        <f>HYPERLINK("http://www.uniprot.org/uniprot/Q61824","1E-118")</f>
        <v>1E-118</v>
      </c>
      <c r="BQ209" s="2" t="str">
        <f>HYPERLINK("http://www.uniprot.org/uniprot/Q61824#expression","Q61824")</f>
        <v>Q61824</v>
      </c>
      <c r="BR209" s="2">
        <v>32</v>
      </c>
      <c r="BS209" s="2">
        <v>46</v>
      </c>
      <c r="BT209" s="2">
        <v>100</v>
      </c>
      <c r="BU209" s="2" t="s">
        <v>339</v>
      </c>
      <c r="BV209" s="9" t="str">
        <f>HYPERLINK(".\links\FLYBASE\AGAP003498-PA-FLYBASE.txt","FBpp0290713")</f>
        <v>FBpp0290713</v>
      </c>
      <c r="BW209" s="2" t="str">
        <f>HYPERLINK("http://flybase.org/reports/FBgn0265140#alliance_summary_container","0.0")</f>
        <v>0.0</v>
      </c>
      <c r="BX209" s="2">
        <v>1407</v>
      </c>
      <c r="BY209" s="2">
        <v>52</v>
      </c>
      <c r="BZ209" s="2">
        <v>67</v>
      </c>
      <c r="CA209" s="2">
        <v>65</v>
      </c>
      <c r="CB209" s="9" t="str">
        <f>HYPERLINK(".\links\CDD\AGAP003498-PA-CDD.txt","ZnMc_adamalysin_II_like, Zinc-dependent metalloprotease")</f>
        <v>ZnMc_adamalysin_II_like, Zinc-dependent metalloprotease</v>
      </c>
      <c r="CC209" s="13">
        <v>4.0000000000000003E-68</v>
      </c>
      <c r="CD209" s="2">
        <v>100</v>
      </c>
      <c r="CE209" s="2" t="s">
        <v>2519</v>
      </c>
      <c r="CF209" s="2" t="s">
        <v>2520</v>
      </c>
      <c r="CG209" s="9" t="str">
        <f>HYPERLINK(".\links\KOG\AGAP003498-PA-KOG.txt","fertilins and related Zn-dependent metalloproteinases of the ADAMs family")</f>
        <v>fertilins and related Zn-dependent metalloproteinases of the ADAMs family</v>
      </c>
      <c r="CH209" s="13">
        <v>9.9999999999999995E-163</v>
      </c>
      <c r="CI209" s="2">
        <v>107</v>
      </c>
      <c r="CJ209" s="2" t="s">
        <v>2521</v>
      </c>
      <c r="CK209" s="2" t="s">
        <v>214</v>
      </c>
      <c r="CL209" s="9" t="str">
        <f>HYPERLINK(".\links\PFAM\AGAP003498-PA-PFAM.txt","Reprolysin, Reprolysin (M12B) family zinc metalloprotease")</f>
        <v>Reprolysin, Reprolysin (M12B) family zinc metalloprotease</v>
      </c>
      <c r="CM209" s="13">
        <v>6.0000000000000002E-54</v>
      </c>
      <c r="CN209" s="2">
        <v>99.5</v>
      </c>
      <c r="CO209" s="2" t="s">
        <v>2522</v>
      </c>
      <c r="CP209" s="9" t="str">
        <f>HYPERLINK(".\links\SMART\AGAP003498-PA-SMART.txt","ACR, ADAM Cysteine-Rich Domain")</f>
        <v>ACR, ADAM Cysteine-Rich Domain</v>
      </c>
      <c r="CQ209" s="13">
        <v>5.0000000000000004E-32</v>
      </c>
      <c r="CR209" s="2">
        <v>106.6</v>
      </c>
      <c r="CS209" s="2" t="s">
        <v>2523</v>
      </c>
      <c r="CT209" s="2" t="s">
        <v>2515</v>
      </c>
      <c r="CU209" s="2" t="s">
        <v>2515</v>
      </c>
      <c r="CV209" s="2" t="s">
        <v>2515</v>
      </c>
      <c r="CW209" s="2" t="str">
        <f>HYPERLINK(".\links\pep\AGAP003498-PA-pep.txt","AGAP003498-PA")</f>
        <v>AGAP003498-PA</v>
      </c>
      <c r="CX209" s="2" t="s">
        <v>88</v>
      </c>
      <c r="CY209" s="2">
        <v>1786</v>
      </c>
      <c r="CZ209" s="2" t="s">
        <v>106</v>
      </c>
      <c r="DA209" s="2" t="s">
        <v>2524</v>
      </c>
      <c r="DB209" s="2">
        <v>0</v>
      </c>
      <c r="DC209" s="2">
        <v>5</v>
      </c>
      <c r="DD209" s="2" t="str">
        <f>HYPERLINK("https://www.kegg.jp/kegg-bin/search_pathway_text?map=aga&amp;keyword=AGAP003498&amp;mode=1&amp;viewImage=true","AGAP003498")</f>
        <v>AGAP003498</v>
      </c>
      <c r="DE209" s="2" t="s">
        <v>2512</v>
      </c>
      <c r="DF209" s="2" t="s">
        <v>167</v>
      </c>
      <c r="DG209" s="2" t="s">
        <v>87</v>
      </c>
      <c r="DH209" s="2" t="str">
        <f>HYPERLINK("https://vectorbase.org/vectorbase/app/record/gene/AGAP003498","AGAP003498-RA")</f>
        <v>AGAP003498-RA</v>
      </c>
      <c r="DI209" s="2" t="s">
        <v>125</v>
      </c>
      <c r="DJ209" s="2">
        <v>6488</v>
      </c>
      <c r="DK209" s="2" t="str">
        <f>HYPERLINK(".\links\netoglyc\AGAP003498-PA-netoglyc.txt","18")</f>
        <v>18</v>
      </c>
      <c r="DL209" s="2">
        <v>16.600000000000001</v>
      </c>
      <c r="DM209" s="2">
        <v>8.6</v>
      </c>
      <c r="DN209" s="2">
        <v>7.5</v>
      </c>
      <c r="DO209" s="2" t="s">
        <v>97</v>
      </c>
      <c r="DP209" s="2" t="s">
        <v>2525</v>
      </c>
      <c r="DQ209" s="2" t="str">
        <f>HYPERLINK(".\links\Sigp\AGAP003498-PA-SigP.txt","CYT")</f>
        <v>CYT</v>
      </c>
      <c r="DR209" s="2" t="s">
        <v>94</v>
      </c>
      <c r="DS209" s="2">
        <v>190.96299999999999</v>
      </c>
      <c r="DT209" s="2">
        <v>8.49</v>
      </c>
      <c r="DU209" s="2" t="s">
        <v>94</v>
      </c>
      <c r="DV209" s="2" t="s">
        <v>94</v>
      </c>
      <c r="DW209" s="2" t="s">
        <v>2518</v>
      </c>
      <c r="DX209" s="2">
        <v>1786</v>
      </c>
      <c r="DY209" s="8" t="str">
        <f>HYPERLINK(".\links\tmhmm\AGAP003498-PA-tmhmm.txt","2")</f>
        <v>2</v>
      </c>
      <c r="DZ209" s="2">
        <v>2.5</v>
      </c>
      <c r="EA209" s="2">
        <v>42</v>
      </c>
      <c r="EB209" s="2">
        <v>55.5</v>
      </c>
      <c r="EC209" s="2" t="str">
        <f>HYPERLINK(".\links\gpi\AGAP003498-PA-gpi.txt","N")</f>
        <v>N</v>
      </c>
      <c r="ED209" s="2">
        <v>0.2</v>
      </c>
      <c r="EF209" s="2">
        <v>58</v>
      </c>
      <c r="EG209" s="2" t="str">
        <f>HYPERLINK(".\links\pep\AGAP003498-PA-sulf.txt","4")</f>
        <v>4</v>
      </c>
      <c r="EH209" s="2" t="s">
        <v>94</v>
      </c>
      <c r="EI209" s="2">
        <v>16.629339305711099</v>
      </c>
      <c r="EJ209" s="2">
        <v>7.5027995520716697</v>
      </c>
      <c r="EK209" s="2">
        <v>8.5666293393057096</v>
      </c>
      <c r="EL209" s="2">
        <v>16.069428891377399</v>
      </c>
      <c r="EM209" s="2">
        <v>3</v>
      </c>
      <c r="EN209" s="2">
        <v>3</v>
      </c>
      <c r="EO209" s="2">
        <v>5</v>
      </c>
      <c r="EP209" s="2" t="s">
        <v>94</v>
      </c>
      <c r="EQ209" s="2" t="s">
        <v>94</v>
      </c>
      <c r="ER209" s="2" t="s">
        <v>94</v>
      </c>
      <c r="ES209" s="2" t="s">
        <v>486</v>
      </c>
      <c r="ET209" s="2" t="str">
        <f>HYPERLINK(".\links\REFSEQ-INVERTEBRATE\AGAP003498-PA-REFSEQ-INVERTEBRATE.txt","AGAP003498-PA")</f>
        <v>AGAP003498-PA</v>
      </c>
      <c r="EU209" s="2" t="str">
        <f>HYPERLINK("http://www.ncbi.nlm.nih.gov/sutils/blink.cgi?pid=XP_309659.5","0.0")</f>
        <v>0.0</v>
      </c>
      <c r="EV209" s="2" t="str">
        <f>HYPERLINK("http://www.ncbi.nlm.nih.gov/protein/XP_309659.5","XP_309659.5")</f>
        <v>XP_309659.5</v>
      </c>
      <c r="EW209" s="2">
        <v>100</v>
      </c>
      <c r="EX209" s="2">
        <v>100</v>
      </c>
      <c r="EY209" s="2">
        <v>100</v>
      </c>
      <c r="EZ209" s="2" t="s">
        <v>98</v>
      </c>
    </row>
    <row r="210" spans="1:156" x14ac:dyDescent="0.25">
      <c r="A210" s="2" t="s">
        <v>2526</v>
      </c>
      <c r="B210" s="2">
        <v>-0.74895525847189504</v>
      </c>
      <c r="C210" s="2">
        <v>0.5950343013470818</v>
      </c>
      <c r="D210" s="2">
        <v>3.7048984684972801</v>
      </c>
      <c r="E210" s="2">
        <v>10.9873508460699</v>
      </c>
      <c r="F210" s="2">
        <v>9.1735844735809095E-4</v>
      </c>
      <c r="G210" s="2">
        <v>3.9833432341095799E-2</v>
      </c>
      <c r="H210" s="2" t="s">
        <v>2527</v>
      </c>
      <c r="I210" s="2" t="s">
        <v>87</v>
      </c>
      <c r="J210" s="2" t="str">
        <f>HYPERLINK("https://vectorbase.org/vectorbase/app/record/gene/AGAP004633","AGAP004633-RA")</f>
        <v>AGAP004633-RA</v>
      </c>
      <c r="K210" s="2" t="str">
        <f>HYPERLINK(".\links\pep\AGAP004633-PA-pep.txt","AGAP004633-PA")</f>
        <v>AGAP004633-PA</v>
      </c>
      <c r="L210" s="8" t="s">
        <v>88</v>
      </c>
      <c r="M210" s="2">
        <v>624</v>
      </c>
      <c r="N210" s="2">
        <v>0</v>
      </c>
      <c r="O210" s="2">
        <v>0</v>
      </c>
      <c r="P210" s="2" t="s">
        <v>2528</v>
      </c>
      <c r="Q210" s="9" t="s">
        <v>2529</v>
      </c>
      <c r="R210" s="2" t="s">
        <v>113</v>
      </c>
      <c r="S210" s="2" t="str">
        <f>HYPERLINK(".\links\KOG\AGAP004633-PA-KOG.txt","KOG")</f>
        <v>KOG</v>
      </c>
      <c r="T210" s="2">
        <v>0</v>
      </c>
      <c r="U210" s="2">
        <v>96.3</v>
      </c>
      <c r="V210" s="2" t="s">
        <v>2530</v>
      </c>
      <c r="W210" s="10" t="s">
        <v>2531</v>
      </c>
      <c r="X210" s="2" t="s">
        <v>113</v>
      </c>
      <c r="Y210" s="2" t="str">
        <f>HYPERLINK(".\links\REFSEQVERTEBRATE95\AGAP004633-PA-REFSEQVERTEBRATE95.txt","REFSEQVERTEBRATE95")</f>
        <v>REFSEQVERTEBRATE95</v>
      </c>
      <c r="Z210" s="13">
        <v>0</v>
      </c>
      <c r="AA210" s="2">
        <v>94.8</v>
      </c>
      <c r="AB210" s="11" t="s">
        <v>94</v>
      </c>
      <c r="AC210" s="11" t="str">
        <f>HYPERLINK(".\links\Sigp\AGAP004633-PA-SigP.txt","CYT")</f>
        <v>CYT</v>
      </c>
      <c r="AD210" s="2" t="s">
        <v>94</v>
      </c>
      <c r="AE210" s="2">
        <v>69.442999999999998</v>
      </c>
      <c r="AF210" s="2">
        <v>7.46</v>
      </c>
      <c r="AG210" s="2" t="s">
        <v>94</v>
      </c>
      <c r="AH210" s="2" t="s">
        <v>94</v>
      </c>
      <c r="AI210" s="2" t="s">
        <v>2532</v>
      </c>
      <c r="AJ210" s="11" t="str">
        <f>HYPERLINK(".\links\tmhmm\AGAP004633-PA-tmhmm.txt","9")</f>
        <v>9</v>
      </c>
      <c r="AK210" s="2">
        <v>30.8</v>
      </c>
      <c r="AL210" s="2">
        <v>33.5</v>
      </c>
      <c r="AM210" s="2">
        <v>35.700000000000003</v>
      </c>
      <c r="AN210" s="11" t="str">
        <f>HYPERLINK(".\links\gpi\AGAP004633-PA-gpi.txt","N")</f>
        <v>N</v>
      </c>
      <c r="AO210" s="12" t="str">
        <f>HYPERLINK(".\links\netoglyc\AGAP004633-PA-netoglyc.txt","0")</f>
        <v>0</v>
      </c>
      <c r="AP210" s="11">
        <v>13.9</v>
      </c>
      <c r="AQ210" s="2">
        <v>5.3</v>
      </c>
      <c r="AR210" s="2">
        <v>3.5</v>
      </c>
      <c r="AS210" s="2" t="s">
        <v>97</v>
      </c>
      <c r="AT210" s="9" t="str">
        <f>HYPERLINK(".\links\NR-LIGHT\AGAP004633-PA-NR-LIGHT.txt","AGAP004633-PA")</f>
        <v>AGAP004633-PA</v>
      </c>
      <c r="AU210" s="2" t="str">
        <f>HYPERLINK("http://www.ncbi.nlm.nih.gov/sutils/blink.cgi?pid=XP_315184.4","0.0")</f>
        <v>0.0</v>
      </c>
      <c r="AV210" s="2" t="str">
        <f>HYPERLINK("http://www.ncbi.nlm.nih.gov/protein/XP_315184.4","XP_315184.4")</f>
        <v>XP_315184.4</v>
      </c>
      <c r="AW210" s="2">
        <v>100</v>
      </c>
      <c r="AX210" s="2">
        <v>100</v>
      </c>
      <c r="AY210" s="2">
        <v>100</v>
      </c>
      <c r="AZ210" s="2" t="s">
        <v>98</v>
      </c>
      <c r="BA210" s="9" t="str">
        <f>HYPERLINK(".\links\REFSEQ-INVERTEBRATE\AGAP004633-PA-REFSEQ-INVERTEBRATE.txt","AGAP004633-PA")</f>
        <v>AGAP004633-PA</v>
      </c>
      <c r="BB210" s="2" t="str">
        <f>HYPERLINK("http://www.ncbi.nlm.nih.gov/sutils/blink.cgi?pid=XP_315184.4","0.0")</f>
        <v>0.0</v>
      </c>
      <c r="BC210" s="2" t="str">
        <f>HYPERLINK("http://www.ncbi.nlm.nih.gov/protein/XP_315184.4","XP_315184.4")</f>
        <v>XP_315184.4</v>
      </c>
      <c r="BD210" s="2">
        <v>100</v>
      </c>
      <c r="BE210" s="2">
        <v>100</v>
      </c>
      <c r="BF210" s="2">
        <v>100</v>
      </c>
      <c r="BG210" s="2" t="s">
        <v>98</v>
      </c>
      <c r="BH210" s="9" t="str">
        <f>HYPERLINK(".\links\REFSEQ-PROTOZOA\AGAP004633-PA-REFSEQ-PROTOZOA.txt","hypothetical protein")</f>
        <v>hypothetical protein</v>
      </c>
      <c r="BI210" s="2" t="str">
        <f>HYPERLINK("http://www.ncbi.nlm.nih.gov/sutils/blink.cgi?pid=XP_001746198.1","1E-066")</f>
        <v>1E-066</v>
      </c>
      <c r="BJ210" s="2" t="str">
        <f>HYPERLINK("http://www.ncbi.nlm.nih.gov/protein/XP_001746198.1","XP_001746198.1")</f>
        <v>XP_001746198.1</v>
      </c>
      <c r="BK210" s="2">
        <v>30</v>
      </c>
      <c r="BL210" s="2">
        <v>51</v>
      </c>
      <c r="BM210" s="2">
        <v>93</v>
      </c>
      <c r="BN210" s="2" t="s">
        <v>704</v>
      </c>
      <c r="BO210" s="9" t="str">
        <f>HYPERLINK(".\links\SWISSP\AGAP004633-PA-SWISSP.txt","Sodium-independent sulfate anion transporter")</f>
        <v>Sodium-independent sulfate anion transporter</v>
      </c>
      <c r="BP210" s="2" t="str">
        <f>HYPERLINK("http://www.uniprot.org/uniprot/Q86WA9","1E-082")</f>
        <v>1E-082</v>
      </c>
      <c r="BQ210" s="2" t="str">
        <f>HYPERLINK("http://www.uniprot.org/uniprot/Q86WA9#expression","Q86WA9")</f>
        <v>Q86WA9</v>
      </c>
      <c r="BR210" s="2">
        <v>35</v>
      </c>
      <c r="BS210" s="2">
        <v>54</v>
      </c>
      <c r="BT210" s="2">
        <v>89</v>
      </c>
      <c r="BU210" s="2" t="s">
        <v>196</v>
      </c>
      <c r="BV210" s="9" t="str">
        <f>HYPERLINK(".\links\FLYBASE\AGAP004633-PA-FLYBASE.txt","FBpp0088515")</f>
        <v>FBpp0088515</v>
      </c>
      <c r="BW210" s="2" t="str">
        <f>HYPERLINK("http://flybase.org/reports/FBgn0034275#alliance_summary_container","1E-161")</f>
        <v>1E-161</v>
      </c>
      <c r="BX210" s="2">
        <v>595</v>
      </c>
      <c r="BY210" s="2">
        <v>44</v>
      </c>
      <c r="BZ210" s="2">
        <v>64</v>
      </c>
      <c r="CA210" s="2">
        <v>99</v>
      </c>
      <c r="CB210" s="9" t="str">
        <f>HYPERLINK(".\links\CDD\AGAP004633-PA-CDD.txt","Sulfate_transporter, high affinity sulphate transporter 1")</f>
        <v>Sulfate_transporter, high affinity sulphate transporter 1</v>
      </c>
      <c r="CC210" s="13">
        <v>9.9999999999999993E-78</v>
      </c>
      <c r="CD210" s="2">
        <v>97.6</v>
      </c>
      <c r="CE210" s="2" t="s">
        <v>2533</v>
      </c>
      <c r="CF210" s="2" t="s">
        <v>2534</v>
      </c>
      <c r="CG210" s="9" t="str">
        <f>HYPERLINK(".\links\KOG\AGAP004633-PA-KOG.txt","Sulfate/bicarbonate/oxalate exchanger SAT-1 and related transporters (SLC26 family)")</f>
        <v>Sulfate/bicarbonate/oxalate exchanger SAT-1 and related transporters (SLC26 family)</v>
      </c>
      <c r="CH210" s="13">
        <v>1E-100</v>
      </c>
      <c r="CI210" s="2">
        <v>96.4</v>
      </c>
      <c r="CJ210" s="2" t="s">
        <v>2535</v>
      </c>
      <c r="CK210" s="2" t="s">
        <v>641</v>
      </c>
      <c r="CL210" s="9" t="str">
        <f>HYPERLINK(".\links\PFAM\AGAP004633-PA-PFAM.txt","Sulfate_transp, Sulfate permease family")</f>
        <v>Sulfate_transp, Sulfate permease family</v>
      </c>
      <c r="CM210" s="13">
        <v>6.9999999999999995E-73</v>
      </c>
      <c r="CN210" s="2">
        <v>104</v>
      </c>
      <c r="CO210" s="2" t="s">
        <v>2536</v>
      </c>
      <c r="CP210" s="9" t="str">
        <f>HYPERLINK(".\links\SMART\AGAP004633-PA-SMART.txt","FCH, Fes/CIP4 homology domain")</f>
        <v>FCH, Fes/CIP4 homology domain</v>
      </c>
      <c r="CQ210" s="13">
        <v>5.6</v>
      </c>
      <c r="CR210" s="2">
        <v>20.7</v>
      </c>
      <c r="CS210" s="2" t="s">
        <v>2537</v>
      </c>
      <c r="CT210" s="2" t="s">
        <v>2530</v>
      </c>
      <c r="CU210" s="2" t="s">
        <v>2530</v>
      </c>
      <c r="CV210" s="2" t="s">
        <v>2530</v>
      </c>
      <c r="CW210" s="2" t="str">
        <f>HYPERLINK(".\links\pep\AGAP004633-PA-pep.txt","AGAP004633-PA")</f>
        <v>AGAP004633-PA</v>
      </c>
      <c r="CX210" s="2" t="s">
        <v>88</v>
      </c>
      <c r="CY210" s="2">
        <v>624</v>
      </c>
      <c r="CZ210" s="2" t="s">
        <v>106</v>
      </c>
      <c r="DA210" s="2" t="s">
        <v>2538</v>
      </c>
      <c r="DB210" s="2">
        <v>0</v>
      </c>
      <c r="DC210" s="2">
        <v>0</v>
      </c>
      <c r="DD210" s="2" t="str">
        <f>HYPERLINK("https://www.kegg.jp/kegg-bin/search_pathway_text?map=aga&amp;keyword=AGAP004633&amp;mode=1&amp;viewImage=true","AGAP004633")</f>
        <v>AGAP004633</v>
      </c>
      <c r="DE210" s="2" t="s">
        <v>2539</v>
      </c>
      <c r="DF210" s="2" t="s">
        <v>2527</v>
      </c>
      <c r="DG210" s="2" t="s">
        <v>87</v>
      </c>
      <c r="DH210" s="2" t="str">
        <f>HYPERLINK("https://vectorbase.org/vectorbase/app/record/gene/AGAP004633","AGAP004633-RA")</f>
        <v>AGAP004633-RA</v>
      </c>
      <c r="DI210" s="2" t="s">
        <v>108</v>
      </c>
      <c r="DJ210" s="2">
        <v>1925</v>
      </c>
      <c r="DK210" s="2" t="str">
        <f>HYPERLINK(".\links\netoglyc\AGAP004633-PA-netoglyc.txt","0")</f>
        <v>0</v>
      </c>
      <c r="DL210" s="2">
        <v>13.9</v>
      </c>
      <c r="DM210" s="2">
        <v>5.3</v>
      </c>
      <c r="DN210" s="2">
        <v>3.5</v>
      </c>
      <c r="DO210" s="2" t="s">
        <v>97</v>
      </c>
      <c r="DP210" s="2" t="s">
        <v>94</v>
      </c>
      <c r="DQ210" s="2" t="str">
        <f>HYPERLINK(".\links\Sigp\AGAP004633-PA-SigP.txt","CYT")</f>
        <v>CYT</v>
      </c>
      <c r="DR210" s="2" t="s">
        <v>94</v>
      </c>
      <c r="DS210" s="2">
        <v>69.442999999999998</v>
      </c>
      <c r="DT210" s="2">
        <v>7.46</v>
      </c>
      <c r="DU210" s="2" t="s">
        <v>94</v>
      </c>
      <c r="DV210" s="2" t="s">
        <v>94</v>
      </c>
      <c r="DW210" s="2" t="s">
        <v>2532</v>
      </c>
      <c r="DX210" s="2">
        <v>624</v>
      </c>
      <c r="DY210" s="8" t="str">
        <f>HYPERLINK(".\links\tmhmm\AGAP004633-PA-tmhmm.txt","9")</f>
        <v>9</v>
      </c>
      <c r="DZ210" s="2">
        <v>30.8</v>
      </c>
      <c r="EA210" s="2">
        <v>33.5</v>
      </c>
      <c r="EB210" s="2">
        <v>35.700000000000003</v>
      </c>
      <c r="EC210" s="2" t="str">
        <f>HYPERLINK(".\links\gpi\AGAP004633-PA-gpi.txt","N")</f>
        <v>N</v>
      </c>
      <c r="ED210" s="2">
        <v>0.28000000000000003</v>
      </c>
      <c r="EF210" s="2">
        <v>14</v>
      </c>
      <c r="EG210" s="2" t="s">
        <v>94</v>
      </c>
      <c r="EH210" s="2" t="s">
        <v>94</v>
      </c>
      <c r="EI210" s="2">
        <v>13.942307692307701</v>
      </c>
      <c r="EJ210" s="2">
        <v>3.52564102564103</v>
      </c>
      <c r="EK210" s="2">
        <v>5.2884615384615401</v>
      </c>
      <c r="EL210" s="2">
        <v>8.8141025641025603</v>
      </c>
      <c r="EM210" s="2" t="s">
        <v>94</v>
      </c>
      <c r="EN210" s="2">
        <v>1</v>
      </c>
      <c r="EO210" s="2">
        <v>2</v>
      </c>
      <c r="EP210" s="2" t="s">
        <v>94</v>
      </c>
      <c r="EQ210" s="2" t="s">
        <v>94</v>
      </c>
      <c r="ER210" s="2" t="s">
        <v>94</v>
      </c>
      <c r="ES210" s="2" t="s">
        <v>94</v>
      </c>
      <c r="ET210" s="2" t="str">
        <f>HYPERLINK(".\links\REFSEQ-INVERTEBRATE\AGAP004633-PA-REFSEQ-INVERTEBRATE.txt","AGAP004633-PA")</f>
        <v>AGAP004633-PA</v>
      </c>
      <c r="EU210" s="2" t="str">
        <f>HYPERLINK("http://www.ncbi.nlm.nih.gov/sutils/blink.cgi?pid=XP_315184.4","0.0")</f>
        <v>0.0</v>
      </c>
      <c r="EV210" s="2" t="str">
        <f>HYPERLINK("http://www.ncbi.nlm.nih.gov/protein/XP_315184.4","XP_315184.4")</f>
        <v>XP_315184.4</v>
      </c>
      <c r="EW210" s="2">
        <v>100</v>
      </c>
      <c r="EX210" s="2">
        <v>100</v>
      </c>
      <c r="EY210" s="2">
        <v>100</v>
      </c>
      <c r="EZ210" s="2" t="s">
        <v>98</v>
      </c>
    </row>
    <row r="211" spans="1:156" x14ac:dyDescent="0.25">
      <c r="A211" s="2" t="s">
        <v>2540</v>
      </c>
      <c r="B211" s="2">
        <v>-0.74930694768736295</v>
      </c>
      <c r="C211" s="2">
        <v>0.59488926609293358</v>
      </c>
      <c r="D211" s="2">
        <v>4.02413089785429</v>
      </c>
      <c r="E211" s="2">
        <v>14.155722496303699</v>
      </c>
      <c r="F211" s="2">
        <v>1.68284457203589E-4</v>
      </c>
      <c r="G211" s="2">
        <v>1.0513263111153699E-2</v>
      </c>
      <c r="H211" s="2" t="s">
        <v>2541</v>
      </c>
      <c r="I211" s="2" t="s">
        <v>87</v>
      </c>
      <c r="J211" s="2" t="str">
        <f>HYPERLINK("https://vectorbase.org/vectorbase/app/record/gene/AGAP009195","AGAP009195-RA")</f>
        <v>AGAP009195-RA</v>
      </c>
      <c r="K211" s="2" t="str">
        <f>HYPERLINK(".\links\pep\AGAP009195-PA-pep.txt","AGAP009195-PA")</f>
        <v>AGAP009195-PA</v>
      </c>
      <c r="L211" s="8" t="s">
        <v>88</v>
      </c>
      <c r="M211" s="2">
        <v>224</v>
      </c>
      <c r="N211" s="2">
        <v>0</v>
      </c>
      <c r="O211" s="2">
        <v>0</v>
      </c>
      <c r="P211" s="2" t="s">
        <v>2542</v>
      </c>
      <c r="Q211" s="9" t="s">
        <v>2543</v>
      </c>
      <c r="R211" s="2" t="s">
        <v>2544</v>
      </c>
      <c r="S211" s="2" t="str">
        <f>HYPERLINK(".\links\NR-LIGHT\AGAP009195-PA-NR-LIGHT.txt","NR-LIGHT")</f>
        <v>NR-LIGHT</v>
      </c>
      <c r="T211" s="2">
        <v>0</v>
      </c>
      <c r="U211" s="2">
        <v>100</v>
      </c>
      <c r="V211" s="2" t="s">
        <v>2545</v>
      </c>
      <c r="W211" s="10" t="s">
        <v>2546</v>
      </c>
      <c r="X211" s="2" t="s">
        <v>2544</v>
      </c>
      <c r="Y211" s="2" t="str">
        <f>HYPERLINK(".\links\ARTHORPODA\AGAP009195-PA-ARTHORPODA.txt","ARTHORPODA")</f>
        <v>ARTHORPODA</v>
      </c>
      <c r="Z211" s="2">
        <v>0</v>
      </c>
      <c r="AA211" s="2">
        <v>100</v>
      </c>
      <c r="AB211" s="11" t="s">
        <v>94</v>
      </c>
      <c r="AC211" s="11" t="str">
        <f>HYPERLINK(".\links\Sigp\AGAP009195-PA-SigP.txt","CYT")</f>
        <v>CYT</v>
      </c>
      <c r="AD211" s="2" t="s">
        <v>94</v>
      </c>
      <c r="AE211" s="2">
        <v>25.309000000000001</v>
      </c>
      <c r="AF211" s="2">
        <v>5.48</v>
      </c>
      <c r="AG211" s="2" t="s">
        <v>94</v>
      </c>
      <c r="AH211" s="2" t="s">
        <v>94</v>
      </c>
      <c r="AI211" s="2" t="s">
        <v>2547</v>
      </c>
      <c r="AJ211" s="11">
        <v>0</v>
      </c>
      <c r="AK211" s="2" t="s">
        <v>94</v>
      </c>
      <c r="AL211" s="2" t="s">
        <v>94</v>
      </c>
      <c r="AM211" s="2" t="s">
        <v>94</v>
      </c>
      <c r="AN211" s="11" t="str">
        <f>HYPERLINK(".\links\gpi\AGAP009195-PA-gpi.txt","Y")</f>
        <v>Y</v>
      </c>
      <c r="AO211" s="12" t="str">
        <f>HYPERLINK(".\links\netoglyc\AGAP009195-PA-netoglyc.txt","0")</f>
        <v>0</v>
      </c>
      <c r="AP211" s="11">
        <v>9.8000000000000007</v>
      </c>
      <c r="AQ211" s="2">
        <v>5.4</v>
      </c>
      <c r="AR211" s="2">
        <v>5.8</v>
      </c>
      <c r="AS211" s="2" t="s">
        <v>97</v>
      </c>
      <c r="AT211" s="9" t="str">
        <f>HYPERLINK(".\links\NR-LIGHT\AGAP009195-PA-NR-LIGHT.txt","AGAP009195-PA")</f>
        <v>AGAP009195-PA</v>
      </c>
      <c r="AU211" s="2" t="str">
        <f>HYPERLINK("http://www.ncbi.nlm.nih.gov/sutils/blink.cgi?pid=XP_319969.1","1E-123")</f>
        <v>1E-123</v>
      </c>
      <c r="AV211" s="2" t="str">
        <f>HYPERLINK("http://www.ncbi.nlm.nih.gov/protein/XP_319969.1","XP_319969.1")</f>
        <v>XP_319969.1</v>
      </c>
      <c r="AW211" s="2">
        <v>100</v>
      </c>
      <c r="AX211" s="2">
        <v>100</v>
      </c>
      <c r="AY211" s="2">
        <v>100</v>
      </c>
      <c r="AZ211" s="2" t="s">
        <v>98</v>
      </c>
      <c r="BA211" s="9" t="str">
        <f>HYPERLINK(".\links\REFSEQ-INVERTEBRATE\AGAP009195-PA-REFSEQ-INVERTEBRATE.txt","AGAP009195-PA")</f>
        <v>AGAP009195-PA</v>
      </c>
      <c r="BB211" s="2" t="str">
        <f>HYPERLINK("http://www.ncbi.nlm.nih.gov/sutils/blink.cgi?pid=XP_319969.1","1E-123")</f>
        <v>1E-123</v>
      </c>
      <c r="BC211" s="2" t="str">
        <f>HYPERLINK("http://www.ncbi.nlm.nih.gov/protein/XP_319969.1","XP_319969.1")</f>
        <v>XP_319969.1</v>
      </c>
      <c r="BD211" s="2">
        <v>100</v>
      </c>
      <c r="BE211" s="2">
        <v>100</v>
      </c>
      <c r="BF211" s="2">
        <v>100</v>
      </c>
      <c r="BG211" s="2" t="s">
        <v>98</v>
      </c>
      <c r="BH211" s="9" t="str">
        <f>HYPERLINK(".\links\REFSEQ-PROTOZOA\AGAP009195-PA-REFSEQ-PROTOZOA.txt","glutathione S-transferase theta, putative")</f>
        <v>glutathione S-transferase theta, putative</v>
      </c>
      <c r="BI211" s="2" t="str">
        <f>HYPERLINK("http://www.ncbi.nlm.nih.gov/sutils/blink.cgi?pid=XP_002900532.1","1E-018")</f>
        <v>1E-018</v>
      </c>
      <c r="BJ211" s="2" t="str">
        <f>HYPERLINK("http://www.ncbi.nlm.nih.gov/protein/XP_002900532.1","XP_002900532.1")</f>
        <v>XP_002900532.1</v>
      </c>
      <c r="BK211" s="2">
        <v>32</v>
      </c>
      <c r="BL211" s="2">
        <v>49</v>
      </c>
      <c r="BM211" s="2">
        <v>96</v>
      </c>
      <c r="BN211" s="2" t="s">
        <v>2047</v>
      </c>
      <c r="BO211" s="9" t="str">
        <f>HYPERLINK(".\links\SWISSP\AGAP009195-PA-SWISSP.txt","Glutathione S-transferase 1")</f>
        <v>Glutathione S-transferase 1</v>
      </c>
      <c r="BP211" s="2" t="str">
        <f>HYPERLINK("http://www.uniprot.org/uniprot/P46430","6E-037")</f>
        <v>6E-037</v>
      </c>
      <c r="BQ211" s="2" t="str">
        <f>HYPERLINK("http://www.uniprot.org/uniprot/P46430#expression","P46430")</f>
        <v>P46430</v>
      </c>
      <c r="BR211" s="2">
        <v>38</v>
      </c>
      <c r="BS211" s="2">
        <v>60</v>
      </c>
      <c r="BT211" s="2">
        <v>100</v>
      </c>
      <c r="BU211" s="2" t="s">
        <v>1619</v>
      </c>
      <c r="BV211" s="9" t="str">
        <f>HYPERLINK(".\links\FLYBASE\AGAP009195-PA-FLYBASE.txt","FBpp0311692")</f>
        <v>FBpp0311692</v>
      </c>
      <c r="BW211" s="2" t="str">
        <f>HYPERLINK("http://flybase.org/reports/FBgn0034354#alliance_summary_container","6E-72")</f>
        <v>6E-72</v>
      </c>
      <c r="BX211" s="2">
        <v>225</v>
      </c>
      <c r="BY211" s="2">
        <v>49</v>
      </c>
      <c r="BZ211" s="2">
        <v>68</v>
      </c>
      <c r="CA211" s="2">
        <v>99</v>
      </c>
      <c r="CB211" s="9" t="str">
        <f>HYPERLINK(".\links\CDD\AGAP009195-PA-CDD.txt","GST_C_Delta_Epsilon, C-terminal, alpha helical domain of Class Delta and Epsilon Glutathione S-transferases")</f>
        <v>GST_C_Delta_Epsilon, C-terminal, alpha helical domain of Class Delta and Epsilon Glutathione S-transferases</v>
      </c>
      <c r="CC211" s="13">
        <v>3.0000000000000002E-36</v>
      </c>
      <c r="CD211" s="2">
        <v>101.7</v>
      </c>
      <c r="CE211" s="2" t="s">
        <v>2321</v>
      </c>
      <c r="CF211" s="2" t="s">
        <v>2548</v>
      </c>
      <c r="CG211" s="9" t="str">
        <f>HYPERLINK(".\links\KOG\AGAP009195-PA-KOG.txt","Glutathione S-transferase")</f>
        <v>Glutathione S-transferase</v>
      </c>
      <c r="CH211" s="13">
        <v>1.9999999999999999E-49</v>
      </c>
      <c r="CI211" s="2">
        <v>100.4</v>
      </c>
      <c r="CJ211" s="2" t="s">
        <v>2323</v>
      </c>
      <c r="CK211" s="2" t="s">
        <v>214</v>
      </c>
      <c r="CL211" s="9" t="str">
        <f>HYPERLINK(".\links\PFAM\AGAP009195-PA-PFAM.txt","GST_N_2, Glutathione S-transferase, N-terminal domain")</f>
        <v>GST_N_2, Glutathione S-transferase, N-terminal domain</v>
      </c>
      <c r="CM211" s="13">
        <v>2.0000000000000001E-10</v>
      </c>
      <c r="CN211" s="2">
        <v>95.6</v>
      </c>
      <c r="CO211" s="2" t="s">
        <v>2324</v>
      </c>
      <c r="CP211" s="9" t="str">
        <f>HYPERLINK(".\links\SMART\AGAP009195-PA-SMART.txt","RasGAP, GTPase-activator protein for Ras-like GTPases")</f>
        <v>RasGAP, GTPase-activator protein for Ras-like GTPases</v>
      </c>
      <c r="CQ211" s="13">
        <v>0.38</v>
      </c>
      <c r="CR211" s="2">
        <v>19.8</v>
      </c>
      <c r="CS211" s="2" t="s">
        <v>2549</v>
      </c>
      <c r="CT211" s="2" t="s">
        <v>2545</v>
      </c>
      <c r="CU211" s="2" t="s">
        <v>2545</v>
      </c>
      <c r="CV211" s="2" t="s">
        <v>2545</v>
      </c>
      <c r="CW211" s="2" t="str">
        <f>HYPERLINK(".\links\pep\AGAP009195-PA-pep.txt","AGAP009195-PA")</f>
        <v>AGAP009195-PA</v>
      </c>
      <c r="CX211" s="2" t="s">
        <v>88</v>
      </c>
      <c r="CY211" s="2">
        <v>224</v>
      </c>
      <c r="CZ211" s="2" t="s">
        <v>106</v>
      </c>
      <c r="DA211" s="2" t="s">
        <v>2550</v>
      </c>
      <c r="DB211" s="2">
        <v>0</v>
      </c>
      <c r="DC211" s="2">
        <v>0</v>
      </c>
      <c r="DD211" s="2" t="str">
        <f>HYPERLINK("https://www.kegg.jp/kegg-bin/search_pathway_text?map=aga&amp;keyword=AGAP009195&amp;mode=1&amp;viewImage=true","AGAP009195")</f>
        <v>AGAP009195</v>
      </c>
      <c r="DE211" s="2" t="s">
        <v>2540</v>
      </c>
      <c r="DF211" s="2" t="s">
        <v>2541</v>
      </c>
      <c r="DG211" s="2" t="s">
        <v>87</v>
      </c>
      <c r="DH211" s="2" t="str">
        <f>HYPERLINK("https://vectorbase.org/vectorbase/app/record/gene/AGAP009195","AGAP009195-RA")</f>
        <v>AGAP009195-RA</v>
      </c>
      <c r="DI211" s="2" t="s">
        <v>108</v>
      </c>
      <c r="DJ211" s="2">
        <v>804</v>
      </c>
      <c r="DK211" s="2" t="str">
        <f>HYPERLINK(".\links\netoglyc\AGAP009195-PA-netoglyc.txt","0")</f>
        <v>0</v>
      </c>
      <c r="DL211" s="2">
        <v>9.8000000000000007</v>
      </c>
      <c r="DM211" s="2">
        <v>5.4</v>
      </c>
      <c r="DN211" s="2">
        <v>5.8</v>
      </c>
      <c r="DO211" s="2" t="s">
        <v>97</v>
      </c>
      <c r="DP211" s="2" t="s">
        <v>94</v>
      </c>
      <c r="DQ211" s="2" t="str">
        <f>HYPERLINK(".\links\Sigp\AGAP009195-PA-SigP.txt","CYT")</f>
        <v>CYT</v>
      </c>
      <c r="DR211" s="2" t="s">
        <v>94</v>
      </c>
      <c r="DS211" s="2">
        <v>25.309000000000001</v>
      </c>
      <c r="DT211" s="2">
        <v>5.48</v>
      </c>
      <c r="DU211" s="2" t="s">
        <v>94</v>
      </c>
      <c r="DV211" s="2" t="s">
        <v>94</v>
      </c>
      <c r="DW211" s="2" t="s">
        <v>2547</v>
      </c>
      <c r="DX211" s="2">
        <v>224</v>
      </c>
      <c r="DY211" s="8">
        <v>0</v>
      </c>
      <c r="DZ211" s="2" t="s">
        <v>94</v>
      </c>
      <c r="EA211" s="2" t="s">
        <v>94</v>
      </c>
      <c r="EB211" s="2" t="s">
        <v>94</v>
      </c>
      <c r="EC211" s="2" t="str">
        <f>HYPERLINK(".\links\gpi\AGAP009195-PA-gpi.txt","Y-NoSP")</f>
        <v>Y-NoSP</v>
      </c>
      <c r="ED211" s="2">
        <v>0.27</v>
      </c>
      <c r="EF211" s="2">
        <v>2</v>
      </c>
      <c r="EG211" s="2" t="s">
        <v>94</v>
      </c>
      <c r="EH211" s="2" t="s">
        <v>94</v>
      </c>
      <c r="EI211" s="2">
        <v>9.8214285714285694</v>
      </c>
      <c r="EJ211" s="2">
        <v>5.8035714285714297</v>
      </c>
      <c r="EK211" s="2">
        <v>5.3571428571428603</v>
      </c>
      <c r="EL211" s="2">
        <v>11.160714285714301</v>
      </c>
      <c r="EM211" s="2" t="s">
        <v>94</v>
      </c>
      <c r="EN211" s="2" t="s">
        <v>94</v>
      </c>
      <c r="EO211" s="2" t="s">
        <v>94</v>
      </c>
      <c r="EP211" s="2" t="s">
        <v>94</v>
      </c>
      <c r="EQ211" s="2" t="s">
        <v>94</v>
      </c>
      <c r="ER211" s="2" t="s">
        <v>94</v>
      </c>
      <c r="ES211" s="2" t="s">
        <v>94</v>
      </c>
      <c r="ET211" s="2" t="str">
        <f>HYPERLINK(".\links\REFSEQ-INVERTEBRATE\AGAP009195-PA-REFSEQ-INVERTEBRATE.txt","AGAP009195-PA")</f>
        <v>AGAP009195-PA</v>
      </c>
      <c r="EU211" s="2" t="str">
        <f>HYPERLINK("http://www.ncbi.nlm.nih.gov/sutils/blink.cgi?pid=XP_319969.1","1E-165")</f>
        <v>1E-165</v>
      </c>
      <c r="EV211" s="2" t="str">
        <f>HYPERLINK("http://www.ncbi.nlm.nih.gov/protein/XP_319969.1","XP_319969.1")</f>
        <v>XP_319969.1</v>
      </c>
      <c r="EW211" s="2">
        <v>100</v>
      </c>
      <c r="EX211" s="2">
        <v>100</v>
      </c>
      <c r="EY211" s="2">
        <v>100</v>
      </c>
      <c r="EZ211" s="2" t="s">
        <v>98</v>
      </c>
    </row>
    <row r="212" spans="1:156" x14ac:dyDescent="0.25">
      <c r="A212" s="2" t="s">
        <v>2551</v>
      </c>
      <c r="B212" s="2">
        <v>-0.75133283659533301</v>
      </c>
      <c r="C212" s="2">
        <v>0.59405448552790063</v>
      </c>
      <c r="D212" s="2">
        <v>5.6502309242450997</v>
      </c>
      <c r="E212" s="2">
        <v>17.795791578839498</v>
      </c>
      <c r="F212" s="2">
        <v>2.4592659526004499E-5</v>
      </c>
      <c r="G212" s="2">
        <v>2.5007825928755299E-3</v>
      </c>
      <c r="H212" s="2" t="s">
        <v>2552</v>
      </c>
      <c r="I212" s="2" t="s">
        <v>94</v>
      </c>
      <c r="J212" s="2" t="str">
        <f>HYPERLINK("https://vectorbase.org/vectorbase/app/record/gene/AGAP029445","AGAP029445-RA")</f>
        <v>AGAP029445-RA</v>
      </c>
      <c r="K212" s="2" t="str">
        <f>HYPERLINK(".\links\pep\AGAP029445-PA-pep.txt","AGAP029445-PA")</f>
        <v>AGAP029445-PA</v>
      </c>
      <c r="L212" s="8" t="s">
        <v>88</v>
      </c>
      <c r="M212" s="2">
        <v>500</v>
      </c>
      <c r="N212" s="2">
        <v>0</v>
      </c>
      <c r="O212" s="2">
        <v>1</v>
      </c>
      <c r="P212" s="2" t="s">
        <v>2553</v>
      </c>
      <c r="Q212" s="9" t="s">
        <v>2554</v>
      </c>
      <c r="R212" s="2" t="s">
        <v>223</v>
      </c>
      <c r="S212" s="2" t="str">
        <f>HYPERLINK(".\links\KOG\AGAP029445-PA-KOG.txt","KOG")</f>
        <v>KOG</v>
      </c>
      <c r="T212" s="2">
        <v>3.0000000000000001E-95</v>
      </c>
      <c r="U212" s="2">
        <v>91.9</v>
      </c>
      <c r="V212" s="2" t="s">
        <v>2555</v>
      </c>
      <c r="W212" s="10" t="s">
        <v>2556</v>
      </c>
      <c r="X212" s="2" t="s">
        <v>223</v>
      </c>
      <c r="Y212" s="2" t="str">
        <f>HYPERLINK(".\links\COG\AGAP029445-PA-COG.txt","COG")</f>
        <v>COG</v>
      </c>
      <c r="Z212" s="13">
        <v>8.0000000000000005E-37</v>
      </c>
      <c r="AA212" s="2">
        <v>61.5</v>
      </c>
      <c r="AB212" s="11" t="s">
        <v>94</v>
      </c>
      <c r="AC212" s="11" t="str">
        <f>HYPERLINK(".\links\Sigp\AGAP029445-PA-SigP.txt","CYT")</f>
        <v>CYT</v>
      </c>
      <c r="AD212" s="2" t="s">
        <v>94</v>
      </c>
      <c r="AE212" s="2">
        <v>58.01</v>
      </c>
      <c r="AF212" s="2">
        <v>9.17</v>
      </c>
      <c r="AG212" s="2" t="s">
        <v>94</v>
      </c>
      <c r="AH212" s="2" t="s">
        <v>94</v>
      </c>
      <c r="AI212" s="2" t="s">
        <v>2557</v>
      </c>
      <c r="AJ212" s="11" t="str">
        <f>HYPERLINK(".\links\tmhmm\AGAP029445-PA-tmhmm.txt","8")</f>
        <v>8</v>
      </c>
      <c r="AK212" s="2">
        <v>33.4</v>
      </c>
      <c r="AL212" s="2">
        <v>24.4</v>
      </c>
      <c r="AM212" s="2">
        <v>42.2</v>
      </c>
      <c r="AN212" s="9" t="str">
        <f>HYPERLINK(".\links\gpi\AGAP029445-PA-gpi.txt","N")</f>
        <v>N</v>
      </c>
      <c r="AO212" s="12" t="str">
        <f>HYPERLINK(".\links\netoglyc\AGAP029445-PA-netoglyc.txt","0")</f>
        <v>0</v>
      </c>
      <c r="AP212" s="11">
        <v>10.8</v>
      </c>
      <c r="AQ212" s="2">
        <v>5.2</v>
      </c>
      <c r="AR212" s="2">
        <v>4.4000000000000004</v>
      </c>
      <c r="AS212" s="2" t="s">
        <v>97</v>
      </c>
      <c r="AT212" s="9" t="str">
        <f>HYPERLINK(".\links\NR-LIGHT\AGAP029445-PA-NR-LIGHT.txt","AGAP007843-PA")</f>
        <v>AGAP007843-PA</v>
      </c>
      <c r="AU212" s="2" t="str">
        <f>HYPERLINK("http://www.ncbi.nlm.nih.gov/sutils/blink.cgi?pid=XP_317656.3","0.0")</f>
        <v>0.0</v>
      </c>
      <c r="AV212" s="2" t="str">
        <f>HYPERLINK("http://www.ncbi.nlm.nih.gov/protein/XP_317656.3","XP_317656.3")</f>
        <v>XP_317656.3</v>
      </c>
      <c r="AW212" s="2">
        <v>97</v>
      </c>
      <c r="AX212" s="2">
        <v>97</v>
      </c>
      <c r="AY212" s="2">
        <v>103</v>
      </c>
      <c r="AZ212" s="2" t="s">
        <v>98</v>
      </c>
      <c r="BA212" s="9" t="str">
        <f>HYPERLINK(".\links\REFSEQ-INVERTEBRATE\AGAP029445-PA-REFSEQ-INVERTEBRATE.txt","AGAP007843-PA")</f>
        <v>AGAP007843-PA</v>
      </c>
      <c r="BB212" s="2" t="str">
        <f>HYPERLINK("http://www.ncbi.nlm.nih.gov/sutils/blink.cgi?pid=XP_317656.3","0.0")</f>
        <v>0.0</v>
      </c>
      <c r="BC212" s="2" t="str">
        <f>HYPERLINK("http://www.ncbi.nlm.nih.gov/protein/XP_317656.3","XP_317656.3")</f>
        <v>XP_317656.3</v>
      </c>
      <c r="BD212" s="2">
        <v>97</v>
      </c>
      <c r="BE212" s="2">
        <v>97</v>
      </c>
      <c r="BF212" s="2">
        <v>103</v>
      </c>
      <c r="BG212" s="2" t="s">
        <v>98</v>
      </c>
      <c r="BH212" s="9" t="str">
        <f>HYPERLINK(".\links\REFSEQ-PROTOZOA\AGAP029445-PA-REFSEQ-PROTOZOA.txt","acyl-CoA:1,2-diacylglycerol O-transferase")</f>
        <v>acyl-CoA:1,2-diacylglycerol O-transferase</v>
      </c>
      <c r="BI212" s="2" t="str">
        <f>HYPERLINK("http://www.ncbi.nlm.nih.gov/sutils/blink.cgi?pid=XP_004345614.2","1E-102")</f>
        <v>1E-102</v>
      </c>
      <c r="BJ212" s="2" t="str">
        <f>HYPERLINK("http://www.ncbi.nlm.nih.gov/protein/XP_004345614.2","XP_004345614.2")</f>
        <v>XP_004345614.2</v>
      </c>
      <c r="BK212" s="2">
        <v>40</v>
      </c>
      <c r="BL212" s="2">
        <v>59</v>
      </c>
      <c r="BM212" s="2">
        <v>80</v>
      </c>
      <c r="BN212" s="2" t="s">
        <v>227</v>
      </c>
      <c r="BO212" s="9" t="str">
        <f>HYPERLINK(".\links\SWISSP\AGAP029445-PA-SWISSP.txt","Diacylglycerol O-acyltransferase 1")</f>
        <v>Diacylglycerol O-acyltransferase 1</v>
      </c>
      <c r="BP212" s="2" t="str">
        <f>HYPERLINK("http://www.uniprot.org/uniprot/Q8MK44","1E-117")</f>
        <v>1E-117</v>
      </c>
      <c r="BQ212" s="2" t="str">
        <f>HYPERLINK("http://www.uniprot.org/uniprot/Q8MK44#expression","Q8MK44")</f>
        <v>Q8MK44</v>
      </c>
      <c r="BR212" s="2">
        <v>46</v>
      </c>
      <c r="BS212" s="2">
        <v>64</v>
      </c>
      <c r="BT212" s="2">
        <v>93</v>
      </c>
      <c r="BU212" s="2" t="s">
        <v>1134</v>
      </c>
      <c r="BV212" s="9" t="str">
        <f>HYPERLINK(".\links\FLYBASE\AGAP029445-PA-FLYBASE.txt","FBpp0312493")</f>
        <v>FBpp0312493</v>
      </c>
      <c r="BW212" s="2" t="str">
        <f>HYPERLINK("http://flybase.org/reports/FBgn0004797#alliance_summary_container","0.0")</f>
        <v>0.0</v>
      </c>
      <c r="BX212" s="2">
        <v>565</v>
      </c>
      <c r="BY212" s="2">
        <v>64</v>
      </c>
      <c r="BZ212" s="2">
        <v>78</v>
      </c>
      <c r="CA212" s="2">
        <v>88</v>
      </c>
      <c r="CB212" s="9" t="str">
        <f>HYPERLINK(".\links\CDD\AGAP029445-PA-CDD.txt","PLN03242, diacylglycerol o-acyltransferase")</f>
        <v>PLN03242, diacylglycerol o-acyltransferase</v>
      </c>
      <c r="CC212" s="13">
        <v>2E-79</v>
      </c>
      <c r="CD212" s="2">
        <v>109.5</v>
      </c>
      <c r="CE212" s="2" t="s">
        <v>2558</v>
      </c>
      <c r="CF212" s="2" t="s">
        <v>2559</v>
      </c>
      <c r="CG212" s="9" t="str">
        <f>HYPERLINK(".\links\KOG\AGAP029445-PA-KOG.txt","Sterol O-acyltransferase/Diacylglycerol O-acyltransferase")</f>
        <v>Sterol O-acyltransferase/Diacylglycerol O-acyltransferase</v>
      </c>
      <c r="CH212" s="13">
        <v>3.0000000000000001E-95</v>
      </c>
      <c r="CI212" s="2">
        <v>92</v>
      </c>
      <c r="CJ212" s="2" t="s">
        <v>2560</v>
      </c>
      <c r="CK212" s="2" t="s">
        <v>232</v>
      </c>
      <c r="CL212" s="9" t="str">
        <f>HYPERLINK(".\links\PFAM\AGAP029445-PA-PFAM.txt","MBOAT, MBOAT, membrane-bound O-acyltransferase family")</f>
        <v>MBOAT, MBOAT, membrane-bound O-acyltransferase family</v>
      </c>
      <c r="CM212" s="13">
        <v>9.9999999999999997E-29</v>
      </c>
      <c r="CN212" s="2">
        <v>77.2</v>
      </c>
      <c r="CO212" s="2" t="s">
        <v>2561</v>
      </c>
      <c r="CP212" s="9" t="str">
        <f>HYPERLINK(".\links\SMART\AGAP029445-PA-SMART.txt","AIP3, Actin interacting protein 3")</f>
        <v>AIP3, Actin interacting protein 3</v>
      </c>
      <c r="CQ212" s="13">
        <v>0.31</v>
      </c>
      <c r="CR212" s="2">
        <v>5.4</v>
      </c>
      <c r="CS212" s="2" t="s">
        <v>2562</v>
      </c>
      <c r="CT212" s="2" t="s">
        <v>2555</v>
      </c>
      <c r="CU212" s="2" t="s">
        <v>2555</v>
      </c>
      <c r="CV212" s="2" t="s">
        <v>2555</v>
      </c>
      <c r="CW212" s="2" t="str">
        <f>HYPERLINK(".\links\pep\AGAP029445-PA-pep.txt","AGAP029445-PA")</f>
        <v>AGAP029445-PA</v>
      </c>
      <c r="CX212" s="2" t="s">
        <v>88</v>
      </c>
      <c r="CY212" s="2">
        <v>500</v>
      </c>
      <c r="CZ212" s="2" t="s">
        <v>106</v>
      </c>
      <c r="DA212" s="2">
        <v>0</v>
      </c>
      <c r="DB212" s="2">
        <v>1</v>
      </c>
      <c r="DD212" s="2" t="str">
        <f>HYPERLINK("https://www.kegg.jp/kegg-bin/search_pathway_text?map=aga&amp;keyword=AGAP029445&amp;mode=1&amp;viewImage=true","AGAP029445")</f>
        <v>AGAP029445</v>
      </c>
      <c r="DE212" s="2" t="s">
        <v>2551</v>
      </c>
      <c r="DF212" s="2" t="s">
        <v>2552</v>
      </c>
      <c r="DG212" s="2" t="s">
        <v>94</v>
      </c>
      <c r="DH212" s="2" t="str">
        <f>HYPERLINK("https://vectorbase.org/vectorbase/app/record/gene/AGAP029445","AGAP029445-RA")</f>
        <v>AGAP029445-RA</v>
      </c>
      <c r="DI212" s="2" t="s">
        <v>108</v>
      </c>
      <c r="DJ212" s="2">
        <v>2101</v>
      </c>
      <c r="DK212" s="2" t="str">
        <f>HYPERLINK(".\links\netoglyc\AGAP029445-PA-netoglyc.txt","0")</f>
        <v>0</v>
      </c>
      <c r="DL212" s="2">
        <v>10.8</v>
      </c>
      <c r="DM212" s="2">
        <v>5.2</v>
      </c>
      <c r="DN212" s="2">
        <v>4.4000000000000004</v>
      </c>
      <c r="DO212" s="2" t="s">
        <v>97</v>
      </c>
      <c r="DP212" s="2" t="s">
        <v>2563</v>
      </c>
      <c r="DQ212" s="2" t="str">
        <f>HYPERLINK(".\links\Sigp\AGAP029445-PA-SigP.txt","CYT")</f>
        <v>CYT</v>
      </c>
      <c r="DR212" s="2" t="s">
        <v>94</v>
      </c>
      <c r="DS212" s="2">
        <v>58.01</v>
      </c>
      <c r="DT212" s="2">
        <v>9.17</v>
      </c>
      <c r="DU212" s="2" t="s">
        <v>94</v>
      </c>
      <c r="DV212" s="2" t="s">
        <v>94</v>
      </c>
      <c r="DW212" s="2" t="s">
        <v>2557</v>
      </c>
      <c r="DX212" s="2">
        <v>500</v>
      </c>
      <c r="DY212" s="8" t="str">
        <f>HYPERLINK(".\links\tmhmm\AGAP029445-PA-tmhmm.txt","8")</f>
        <v>8</v>
      </c>
      <c r="DZ212" s="2">
        <v>33.4</v>
      </c>
      <c r="EA212" s="2">
        <v>24.4</v>
      </c>
      <c r="EB212" s="2">
        <v>42.2</v>
      </c>
      <c r="EC212" s="2" t="str">
        <f>HYPERLINK(".\links\gpi\AGAP029445-PA-gpi.txt","N")</f>
        <v>N</v>
      </c>
      <c r="ED212" s="2">
        <v>0.3</v>
      </c>
      <c r="EE212" s="2" t="s">
        <v>2564</v>
      </c>
      <c r="EF212" s="2">
        <v>9</v>
      </c>
      <c r="EG212" s="2" t="s">
        <v>94</v>
      </c>
      <c r="EH212" s="2" t="s">
        <v>94</v>
      </c>
      <c r="EI212" s="2">
        <v>10.8</v>
      </c>
      <c r="EJ212" s="2">
        <v>4.4000000000000004</v>
      </c>
      <c r="EK212" s="2">
        <v>5.2</v>
      </c>
      <c r="EL212" s="2">
        <v>9.6</v>
      </c>
      <c r="EM212" s="2" t="s">
        <v>94</v>
      </c>
      <c r="EN212" s="2">
        <v>2</v>
      </c>
      <c r="EO212" s="2">
        <v>2</v>
      </c>
      <c r="EP212" s="2" t="s">
        <v>94</v>
      </c>
      <c r="EQ212" s="2" t="s">
        <v>94</v>
      </c>
      <c r="ER212" s="2" t="s">
        <v>94</v>
      </c>
      <c r="ES212" s="2" t="s">
        <v>94</v>
      </c>
      <c r="ET212" s="2" t="str">
        <f>HYPERLINK(".\links\REFSEQ-INVERTEBRATE\AGAP029445-PA-REFSEQ-INVERTEBRATE.txt","AGAP007843-PA")</f>
        <v>AGAP007843-PA</v>
      </c>
      <c r="EU212" s="2" t="str">
        <f>HYPERLINK("http://www.ncbi.nlm.nih.gov/sutils/blink.cgi?pid=XP_317656.3","0.0")</f>
        <v>0.0</v>
      </c>
      <c r="EV212" s="2" t="str">
        <f>HYPERLINK("http://www.ncbi.nlm.nih.gov/protein/XP_317656.3","XP_317656.3")</f>
        <v>XP_317656.3</v>
      </c>
      <c r="EW212" s="2">
        <v>97</v>
      </c>
      <c r="EX212" s="2">
        <v>97</v>
      </c>
      <c r="EY212" s="2">
        <v>103</v>
      </c>
      <c r="EZ212" s="2" t="s">
        <v>98</v>
      </c>
    </row>
    <row r="213" spans="1:156" x14ac:dyDescent="0.25">
      <c r="A213" s="2" t="s">
        <v>2565</v>
      </c>
      <c r="B213" s="2">
        <v>-0.76416001450933502</v>
      </c>
      <c r="C213" s="2">
        <v>0.58879608567866493</v>
      </c>
      <c r="D213" s="2">
        <v>4.7498889648212304</v>
      </c>
      <c r="E213" s="2">
        <v>19.739880854989401</v>
      </c>
      <c r="F213" s="2">
        <v>8.8730256303861797E-6</v>
      </c>
      <c r="G213" s="2">
        <v>1.0897688751501601E-3</v>
      </c>
      <c r="H213" s="2" t="s">
        <v>167</v>
      </c>
      <c r="I213" s="2" t="s">
        <v>87</v>
      </c>
      <c r="J213" s="2" t="str">
        <f>HYPERLINK("https://vectorbase.org/vectorbase/app/record/gene/AGAP009210","AGAP009210-RD")</f>
        <v>AGAP009210-RD</v>
      </c>
      <c r="K213" s="2" t="str">
        <f>HYPERLINK(".\links\pep\AGAP009210-PD-pep.txt","AGAP009210-PD")</f>
        <v>AGAP009210-PD</v>
      </c>
      <c r="L213" s="8" t="s">
        <v>88</v>
      </c>
      <c r="M213" s="2">
        <v>499</v>
      </c>
      <c r="N213" s="2">
        <v>0</v>
      </c>
      <c r="O213" s="2">
        <v>0</v>
      </c>
      <c r="P213" s="2" t="s">
        <v>2566</v>
      </c>
      <c r="Q213" s="9" t="s">
        <v>2567</v>
      </c>
      <c r="R213" s="2" t="s">
        <v>238</v>
      </c>
      <c r="S213" s="2" t="str">
        <f>HYPERLINK(".\links\KOG\AGAP009210-PD-KOG.txt","KOG")</f>
        <v>KOG</v>
      </c>
      <c r="T213" s="2">
        <v>2.0000000000000001E-63</v>
      </c>
      <c r="U213" s="2">
        <v>47.7</v>
      </c>
      <c r="V213" s="2" t="s">
        <v>2568</v>
      </c>
      <c r="W213" s="10" t="s">
        <v>2569</v>
      </c>
      <c r="X213" s="2" t="s">
        <v>238</v>
      </c>
      <c r="Y213" s="2" t="str">
        <f>HYPERLINK(".\links\KOG\AGAP009210-PD-KOG.txt","KOG")</f>
        <v>KOG</v>
      </c>
      <c r="Z213" s="13">
        <v>5E-53</v>
      </c>
      <c r="AA213" s="2">
        <v>49.2</v>
      </c>
      <c r="AB213" s="11" t="s">
        <v>94</v>
      </c>
      <c r="AC213" s="11" t="str">
        <f>HYPERLINK(".\links\Sigp\AGAP009210-PD-SigP.txt","CYT")</f>
        <v>CYT</v>
      </c>
      <c r="AD213" s="2" t="s">
        <v>94</v>
      </c>
      <c r="AE213" s="2">
        <v>52.87</v>
      </c>
      <c r="AF213" s="2">
        <v>9.51</v>
      </c>
      <c r="AG213" s="2" t="s">
        <v>94</v>
      </c>
      <c r="AH213" s="2" t="s">
        <v>94</v>
      </c>
      <c r="AI213" s="2" t="s">
        <v>463</v>
      </c>
      <c r="AJ213" s="11">
        <v>0</v>
      </c>
      <c r="AK213" s="2" t="s">
        <v>94</v>
      </c>
      <c r="AL213" s="2" t="s">
        <v>94</v>
      </c>
      <c r="AM213" s="2" t="s">
        <v>94</v>
      </c>
      <c r="AN213" s="11" t="str">
        <f>HYPERLINK(".\links\gpi\AGAP009210-PD-gpi.txt","N")</f>
        <v>N</v>
      </c>
      <c r="AO213" s="12" t="str">
        <f>HYPERLINK(".\links\netoglyc\AGAP009210-PD-netoglyc.txt","27")</f>
        <v>27</v>
      </c>
      <c r="AP213" s="11">
        <v>18.600000000000001</v>
      </c>
      <c r="AQ213" s="2">
        <v>10</v>
      </c>
      <c r="AR213" s="2">
        <v>7.8</v>
      </c>
      <c r="AS213" s="2" t="s">
        <v>97</v>
      </c>
      <c r="AT213" s="9" t="str">
        <f>HYPERLINK(".\links\NR-LIGHT\AGAP009210-PD-NR-LIGHT.txt","AGAP009210-PA, partial")</f>
        <v>AGAP009210-PA, partial</v>
      </c>
      <c r="AU213" s="2" t="str">
        <f>HYPERLINK("http://www.ncbi.nlm.nih.gov/sutils/blink.cgi?pid=XP_319987.4","0.0")</f>
        <v>0.0</v>
      </c>
      <c r="AV213" s="2" t="str">
        <f>HYPERLINK("http://www.ncbi.nlm.nih.gov/protein/XP_319987.4","XP_319987.4")</f>
        <v>XP_319987.4</v>
      </c>
      <c r="AW213" s="2">
        <v>95</v>
      </c>
      <c r="AX213" s="2">
        <v>96</v>
      </c>
      <c r="AY213" s="2">
        <v>25</v>
      </c>
      <c r="AZ213" s="2" t="s">
        <v>98</v>
      </c>
      <c r="BA213" s="9" t="str">
        <f>HYPERLINK(".\links\REFSEQ-INVERTEBRATE\AGAP009210-PD-REFSEQ-INVERTEBRATE.txt","AGAP009210-PA, partial")</f>
        <v>AGAP009210-PA, partial</v>
      </c>
      <c r="BB213" s="2" t="str">
        <f>HYPERLINK("http://www.ncbi.nlm.nih.gov/sutils/blink.cgi?pid=XP_319987.4","0.0")</f>
        <v>0.0</v>
      </c>
      <c r="BC213" s="2" t="str">
        <f>HYPERLINK("http://www.ncbi.nlm.nih.gov/protein/XP_319987.4","XP_319987.4")</f>
        <v>XP_319987.4</v>
      </c>
      <c r="BD213" s="2">
        <v>95</v>
      </c>
      <c r="BE213" s="2">
        <v>96</v>
      </c>
      <c r="BF213" s="2">
        <v>25</v>
      </c>
      <c r="BG213" s="2" t="s">
        <v>98</v>
      </c>
      <c r="BH213" s="9" t="str">
        <f>HYPERLINK(".\links\REFSEQ-PROTOZOA\AGAP009210-PD-REFSEQ-PROTOZOA.txt","hypothetical protein CAOG_02134")</f>
        <v>hypothetical protein CAOG_02134</v>
      </c>
      <c r="BI213" s="2" t="str">
        <f>HYPERLINK("http://www.ncbi.nlm.nih.gov/sutils/blink.cgi?pid=XP_004348884.1","3E-041")</f>
        <v>3E-041</v>
      </c>
      <c r="BJ213" s="2" t="str">
        <f>HYPERLINK("http://www.ncbi.nlm.nih.gov/protein/XP_004348884.1","XP_004348884.1")</f>
        <v>XP_004348884.1</v>
      </c>
      <c r="BK213" s="2">
        <v>30</v>
      </c>
      <c r="BL213" s="2">
        <v>44</v>
      </c>
      <c r="BM213" s="2">
        <v>21</v>
      </c>
      <c r="BN213" s="2" t="s">
        <v>227</v>
      </c>
      <c r="BO213" s="9" t="str">
        <f>HYPERLINK(".\links\SWISSP\AGAP009210-PD-SWISSP.txt","Restin homolog")</f>
        <v>Restin homolog</v>
      </c>
      <c r="BP213" s="2" t="str">
        <f>HYPERLINK("http://www.uniprot.org/uniprot/Q9VJE5","1E-120")</f>
        <v>1E-120</v>
      </c>
      <c r="BQ213" s="2" t="str">
        <f>HYPERLINK("http://www.uniprot.org/uniprot/Q9VJE5#expression","Q9VJE5")</f>
        <v>Q9VJE5</v>
      </c>
      <c r="BR213" s="2">
        <v>56</v>
      </c>
      <c r="BS213" s="2">
        <v>69</v>
      </c>
      <c r="BT213" s="2">
        <v>25</v>
      </c>
      <c r="BU213" s="2" t="s">
        <v>100</v>
      </c>
      <c r="BV213" s="9" t="str">
        <f>HYPERLINK(".\links\FLYBASE\AGAP009210-PD-FLYBASE.txt","FBpp0290657")</f>
        <v>FBpp0290657</v>
      </c>
      <c r="BW213" s="2" t="str">
        <f>HYPERLINK("http://flybase.org/reports/FBgn0020503#alliance_summary_container","1E-171")</f>
        <v>1E-171</v>
      </c>
      <c r="BX213" s="2">
        <v>456</v>
      </c>
      <c r="BY213" s="2">
        <v>59</v>
      </c>
      <c r="BZ213" s="2">
        <v>73</v>
      </c>
      <c r="CA213" s="2">
        <v>92</v>
      </c>
      <c r="CB213" s="9" t="str">
        <f>HYPERLINK(".\links\CDD\AGAP009210-PD-CDD.txt","CAP_GLY, CAP-Gly domain")</f>
        <v>CAP_GLY, CAP-Gly domain</v>
      </c>
      <c r="CC213" s="13">
        <v>3.0000000000000001E-27</v>
      </c>
      <c r="CD213" s="2">
        <v>104.6</v>
      </c>
      <c r="CE213" s="2" t="s">
        <v>2570</v>
      </c>
      <c r="CF213" s="2" t="s">
        <v>2571</v>
      </c>
      <c r="CG213" s="9" t="str">
        <f>HYPERLINK(".\links\KOG\AGAP009210-PD-KOG.txt","Cytoskeleton-associated protein and related proteins")</f>
        <v>Cytoskeleton-associated protein and related proteins</v>
      </c>
      <c r="CH213" s="13">
        <v>2.0000000000000001E-63</v>
      </c>
      <c r="CI213" s="2">
        <v>47.7</v>
      </c>
      <c r="CJ213" s="2" t="s">
        <v>2572</v>
      </c>
      <c r="CK213" s="2" t="s">
        <v>2573</v>
      </c>
      <c r="CL213" s="9" t="str">
        <f>HYPERLINK(".\links\PFAM\AGAP009210-PD-PFAM.txt","CAP_GLY, CAP-Gly domain")</f>
        <v>CAP_GLY, CAP-Gly domain</v>
      </c>
      <c r="CM213" s="13">
        <v>6.0000000000000001E-28</v>
      </c>
      <c r="CN213" s="2">
        <v>104.6</v>
      </c>
      <c r="CO213" s="2" t="s">
        <v>2570</v>
      </c>
      <c r="CP213" s="9" t="str">
        <f>HYPERLINK(".\links\SMART\AGAP009210-PD-SMART.txt","CAP_GLY, Cytoskeleton-associated proteins (CAPs) are involved in the organisation of microtubules and transportation of vesicles and organelles along the cytoskeletal network")</f>
        <v>CAP_GLY, Cytoskeleton-associated proteins (CAPs) are involved in the organisation of microtubules and transportation of vesicles and organelles along the cytoskeletal network</v>
      </c>
      <c r="CQ213" s="13">
        <v>8.0000000000000003E-26</v>
      </c>
      <c r="CR213" s="2">
        <v>102.9</v>
      </c>
      <c r="CS213" s="2" t="s">
        <v>2574</v>
      </c>
      <c r="CT213" s="2" t="s">
        <v>2568</v>
      </c>
      <c r="CU213" s="2" t="s">
        <v>2568</v>
      </c>
      <c r="CV213" s="2" t="s">
        <v>2568</v>
      </c>
      <c r="CW213" s="2" t="str">
        <f>HYPERLINK(".\links\pep\AGAP009210-PD-pep.txt","AGAP009210-PD")</f>
        <v>AGAP009210-PD</v>
      </c>
      <c r="CX213" s="2" t="s">
        <v>88</v>
      </c>
      <c r="CY213" s="2">
        <v>391</v>
      </c>
      <c r="CZ213" s="2" t="s">
        <v>106</v>
      </c>
      <c r="DA213" s="2" t="s">
        <v>2575</v>
      </c>
      <c r="DB213" s="2">
        <v>0</v>
      </c>
      <c r="DC213" s="2">
        <v>0</v>
      </c>
      <c r="DD213" s="2" t="str">
        <f>HYPERLINK("https://www.kegg.jp/kegg-bin/search_pathway_text?map=aga&amp;keyword=AGAP009210&amp;mode=1&amp;viewImage=true","AGAP009210")</f>
        <v>AGAP009210</v>
      </c>
      <c r="DE213" s="2" t="s">
        <v>2565</v>
      </c>
      <c r="DF213" s="2" t="s">
        <v>167</v>
      </c>
      <c r="DG213" s="2" t="s">
        <v>87</v>
      </c>
      <c r="DH213" s="2" t="str">
        <f>HYPERLINK("https://vectorbase.org/vectorbase/app/record/gene/AGAP009210","AGAP009210-RD")</f>
        <v>AGAP009210-RD</v>
      </c>
      <c r="DI213" s="2" t="s">
        <v>108</v>
      </c>
      <c r="DJ213" s="2">
        <v>2115</v>
      </c>
      <c r="DK213" s="2" t="str">
        <f>HYPERLINK(".\links\netoglyc\AGAP009210-PD-netoglyc.txt","11")</f>
        <v>11</v>
      </c>
      <c r="DL213" s="2">
        <v>18.2</v>
      </c>
      <c r="DM213" s="2">
        <v>9.6999999999999993</v>
      </c>
      <c r="DN213" s="2">
        <v>4.0999999999999996</v>
      </c>
      <c r="DO213" s="2" t="s">
        <v>97</v>
      </c>
      <c r="DP213" s="2" t="s">
        <v>94</v>
      </c>
      <c r="DQ213" s="2" t="str">
        <f>HYPERLINK(".\links\Sigp\AGAP009210-PD-SigP.txt","CYT")</f>
        <v>CYT</v>
      </c>
      <c r="DR213" s="2" t="s">
        <v>94</v>
      </c>
      <c r="DS213" s="2">
        <v>42.62</v>
      </c>
      <c r="DT213" s="2">
        <v>9.57</v>
      </c>
      <c r="DU213" s="2" t="s">
        <v>94</v>
      </c>
      <c r="DV213" s="2" t="s">
        <v>94</v>
      </c>
      <c r="DW213" s="2" t="s">
        <v>348</v>
      </c>
      <c r="DX213" s="2">
        <v>391</v>
      </c>
      <c r="DY213" s="8">
        <v>0</v>
      </c>
      <c r="DZ213" s="2" t="s">
        <v>94</v>
      </c>
      <c r="EA213" s="2" t="s">
        <v>94</v>
      </c>
      <c r="EB213" s="2" t="s">
        <v>94</v>
      </c>
      <c r="EC213" s="2" t="str">
        <f>HYPERLINK(".\links\gpi\AGAP009210-PD-gpi.txt","N")</f>
        <v>N</v>
      </c>
      <c r="ED213" s="2">
        <v>0.24</v>
      </c>
      <c r="EF213" s="2">
        <v>4</v>
      </c>
      <c r="EG213" s="2" t="s">
        <v>94</v>
      </c>
      <c r="EH213" s="2" t="s">
        <v>94</v>
      </c>
      <c r="EI213" s="2">
        <v>18.158567774936099</v>
      </c>
      <c r="EJ213" s="2">
        <v>4.0920716112531998</v>
      </c>
      <c r="EK213" s="2">
        <v>9.7186700767263403</v>
      </c>
      <c r="EL213" s="2">
        <v>13.810741687979499</v>
      </c>
      <c r="EM213" s="2">
        <v>2</v>
      </c>
      <c r="EN213" s="2">
        <v>1</v>
      </c>
      <c r="EO213" s="2">
        <v>2</v>
      </c>
      <c r="EP213" s="2" t="s">
        <v>94</v>
      </c>
      <c r="EQ213" s="2" t="s">
        <v>94</v>
      </c>
      <c r="ER213" s="2" t="s">
        <v>94</v>
      </c>
      <c r="ES213" s="2" t="s">
        <v>94</v>
      </c>
      <c r="ET213" s="2" t="str">
        <f>HYPERLINK(".\links\REFSEQ-INVERTEBRATE\AGAP009210-PD-REFSEQ-INVERTEBRATE.txt","restin homolog isoform X19")</f>
        <v>restin homolog isoform X19</v>
      </c>
      <c r="EU213" s="2" t="str">
        <f>HYPERLINK("http://www.ncbi.nlm.nih.gov/sutils/blink.cgi?pid=XP_035913075.1","0.0")</f>
        <v>0.0</v>
      </c>
      <c r="EV213" s="2" t="str">
        <f>HYPERLINK("http://www.ncbi.nlm.nih.gov/protein/XP_035913075.1","XP_035913075.1")</f>
        <v>XP_035913075.1</v>
      </c>
      <c r="EW213" s="2">
        <v>96</v>
      </c>
      <c r="EX213" s="2">
        <v>98</v>
      </c>
      <c r="EY213" s="2">
        <v>101</v>
      </c>
      <c r="EZ213" s="2" t="s">
        <v>184</v>
      </c>
    </row>
    <row r="214" spans="1:156" x14ac:dyDescent="0.25">
      <c r="A214" s="2" t="s">
        <v>2576</v>
      </c>
      <c r="B214" s="2">
        <v>-0.80113680577632096</v>
      </c>
      <c r="C214" s="2">
        <v>0.57389678370190988</v>
      </c>
      <c r="D214" s="2">
        <v>6.3724601610090499</v>
      </c>
      <c r="E214" s="2">
        <v>16.118688354983099</v>
      </c>
      <c r="F214" s="2">
        <v>5.9494046525995001E-5</v>
      </c>
      <c r="G214" s="2">
        <v>4.8088478461225199E-3</v>
      </c>
      <c r="H214" s="2" t="s">
        <v>2577</v>
      </c>
      <c r="I214" s="2" t="s">
        <v>87</v>
      </c>
      <c r="J214" s="2" t="str">
        <f>HYPERLINK("https://vectorbase.org/vectorbase/app/record/gene/AGAP003785","AGAP003785-RA")</f>
        <v>AGAP003785-RA</v>
      </c>
      <c r="K214" s="2" t="str">
        <f>HYPERLINK(".\links\pep\AGAP003785-PA-pep.txt","AGAP003785-PA")</f>
        <v>AGAP003785-PA</v>
      </c>
      <c r="L214" s="8" t="s">
        <v>88</v>
      </c>
      <c r="M214" s="2">
        <v>629</v>
      </c>
      <c r="N214" s="2">
        <v>0</v>
      </c>
      <c r="O214" s="2">
        <v>1</v>
      </c>
      <c r="P214" s="2" t="s">
        <v>2578</v>
      </c>
      <c r="Q214" s="9" t="s">
        <v>2579</v>
      </c>
      <c r="R214" s="2" t="s">
        <v>577</v>
      </c>
      <c r="S214" s="2" t="str">
        <f>HYPERLINK(".\links\REFSEQ-INVERTEBRATE\AGAP003785-PA-REFSEQ-INVERTEBRATE.txt","REFSEQ-INVERTEBRATE")</f>
        <v>REFSEQ-INVERTEBRATE</v>
      </c>
      <c r="T214" s="2">
        <v>0</v>
      </c>
      <c r="U214" s="2">
        <v>100.6</v>
      </c>
      <c r="V214" s="2" t="s">
        <v>2580</v>
      </c>
      <c r="W214" s="10" t="s">
        <v>133</v>
      </c>
      <c r="X214" s="2" t="s">
        <v>591</v>
      </c>
      <c r="Y214" s="2" t="str">
        <f>HYPERLINK(".\links\COG\AGAP003785-PA-COG.txt","COG")</f>
        <v>COG</v>
      </c>
      <c r="Z214" s="13">
        <v>4.9999999999999998E-95</v>
      </c>
      <c r="AA214" s="2">
        <v>105.3</v>
      </c>
      <c r="AB214" s="11" t="str">
        <f>HYPERLINK(".\links\pep\AGAP003785-PA-sulf.txt","2")</f>
        <v>2</v>
      </c>
      <c r="AC214" s="11" t="str">
        <f>HYPERLINK(".\links\Sigp\AGAP003785-PA-SigP.txt","CYT")</f>
        <v>CYT</v>
      </c>
      <c r="AD214" s="2" t="s">
        <v>94</v>
      </c>
      <c r="AE214" s="2">
        <v>70.037999999999997</v>
      </c>
      <c r="AF214" s="2">
        <v>5.37</v>
      </c>
      <c r="AG214" s="2" t="s">
        <v>94</v>
      </c>
      <c r="AH214" s="2" t="s">
        <v>94</v>
      </c>
      <c r="AI214" s="2" t="s">
        <v>2581</v>
      </c>
      <c r="AJ214" s="11">
        <v>0</v>
      </c>
      <c r="AK214" s="2" t="s">
        <v>94</v>
      </c>
      <c r="AL214" s="2" t="s">
        <v>94</v>
      </c>
      <c r="AM214" s="2" t="s">
        <v>94</v>
      </c>
      <c r="AN214" s="11" t="str">
        <f>HYPERLINK(".\links\gpi\AGAP003785-PA-gpi.txt","N")</f>
        <v>N</v>
      </c>
      <c r="AO214" s="12" t="str">
        <f>HYPERLINK(".\links\netoglyc\AGAP003785-PA-netoglyc.txt","0")</f>
        <v>0</v>
      </c>
      <c r="AP214" s="11">
        <v>11.9</v>
      </c>
      <c r="AQ214" s="2">
        <v>8.3000000000000007</v>
      </c>
      <c r="AR214" s="2">
        <v>4.5999999999999996</v>
      </c>
      <c r="AS214" s="2" t="s">
        <v>97</v>
      </c>
      <c r="AT214" s="9" t="str">
        <f>HYPERLINK(".\links\NR-LIGHT\AGAP003785-PA-NR-LIGHT.txt","AGAP003785-PA")</f>
        <v>AGAP003785-PA</v>
      </c>
      <c r="AU214" s="2" t="str">
        <f>HYPERLINK("http://www.ncbi.nlm.nih.gov/sutils/blink.cgi?pid=XP_310335.3","0.0")</f>
        <v>0.0</v>
      </c>
      <c r="AV214" s="2" t="str">
        <f>HYPERLINK("http://www.ncbi.nlm.nih.gov/protein/XP_310335.3","XP_310335.3")</f>
        <v>XP_310335.3</v>
      </c>
      <c r="AW214" s="2">
        <v>100</v>
      </c>
      <c r="AX214" s="2">
        <v>100</v>
      </c>
      <c r="AY214" s="2">
        <v>100</v>
      </c>
      <c r="AZ214" s="2" t="s">
        <v>98</v>
      </c>
      <c r="BA214" s="9" t="str">
        <f>HYPERLINK(".\links\REFSEQ-INVERTEBRATE\AGAP003785-PA-REFSEQ-INVERTEBRATE.txt","AGAP003785-PA")</f>
        <v>AGAP003785-PA</v>
      </c>
      <c r="BB214" s="2" t="str">
        <f>HYPERLINK("http://www.ncbi.nlm.nih.gov/sutils/blink.cgi?pid=XP_310335.3","0.0")</f>
        <v>0.0</v>
      </c>
      <c r="BC214" s="2" t="str">
        <f>HYPERLINK("http://www.ncbi.nlm.nih.gov/protein/XP_310335.3","XP_310335.3")</f>
        <v>XP_310335.3</v>
      </c>
      <c r="BD214" s="2">
        <v>100</v>
      </c>
      <c r="BE214" s="2">
        <v>100</v>
      </c>
      <c r="BF214" s="2">
        <v>100</v>
      </c>
      <c r="BG214" s="2" t="s">
        <v>98</v>
      </c>
      <c r="BH214" s="9" t="str">
        <f>HYPERLINK(".\links\REFSEQ-PROTOZOA\AGAP003785-PA-REFSEQ-PROTOZOA.txt","hypothetical protein CAOG_03138")</f>
        <v>hypothetical protein CAOG_03138</v>
      </c>
      <c r="BI214" s="2" t="str">
        <f>HYPERLINK("http://www.ncbi.nlm.nih.gov/sutils/blink.cgi?pid=XP_004363977.1","7E-087")</f>
        <v>7E-087</v>
      </c>
      <c r="BJ214" s="2" t="str">
        <f>HYPERLINK("http://www.ncbi.nlm.nih.gov/protein/XP_004363977.1","XP_004363977.1")</f>
        <v>XP_004363977.1</v>
      </c>
      <c r="BK214" s="2">
        <v>36</v>
      </c>
      <c r="BL214" s="2">
        <v>52</v>
      </c>
      <c r="BM214" s="2">
        <v>95</v>
      </c>
      <c r="BN214" s="2" t="s">
        <v>227</v>
      </c>
      <c r="BO214" s="9" t="str">
        <f>HYPERLINK(".\links\SWISSP\AGAP003785-PA-SWISSP.txt","Glucose dehydrogenase [FAD, quinone]")</f>
        <v>Glucose dehydrogenase [FAD, quinone]</v>
      </c>
      <c r="BP214" s="2" t="str">
        <f>HYPERLINK("http://www.uniprot.org/uniprot/P18172","1E-111")</f>
        <v>1E-111</v>
      </c>
      <c r="BQ214" s="2" t="str">
        <f>HYPERLINK("http://www.uniprot.org/uniprot/P18172#expression","P18172")</f>
        <v>P18172</v>
      </c>
      <c r="BR214" s="2">
        <v>38</v>
      </c>
      <c r="BS214" s="2">
        <v>56</v>
      </c>
      <c r="BT214" s="2">
        <v>100</v>
      </c>
      <c r="BU214" s="2" t="s">
        <v>765</v>
      </c>
      <c r="BV214" s="9" t="str">
        <f>HYPERLINK(".\links\FLYBASE\AGAP003785-PA-FLYBASE.txt","FBpp0310035")</f>
        <v>FBpp0310035</v>
      </c>
      <c r="BW214" s="2" t="str">
        <f>HYPERLINK("http://flybase.org/reports/FBgn0030594#alliance_summary_container","1E-166")</f>
        <v>1E-166</v>
      </c>
      <c r="BX214" s="2">
        <v>646</v>
      </c>
      <c r="BY214" s="2">
        <v>42</v>
      </c>
      <c r="BZ214" s="2">
        <v>60</v>
      </c>
      <c r="CA214" s="2">
        <v>96</v>
      </c>
      <c r="CB214" s="9" t="str">
        <f>HYPERLINK(".\links\CDD\AGAP003785-PA-CDD.txt","PRK02106, choline dehydrogenase")</f>
        <v>PRK02106, choline dehydrogenase</v>
      </c>
      <c r="CC214" s="13">
        <v>9.9999999999999998E-121</v>
      </c>
      <c r="CD214" s="2">
        <v>105.7</v>
      </c>
      <c r="CE214" s="2" t="s">
        <v>2582</v>
      </c>
      <c r="CF214" s="2" t="s">
        <v>2583</v>
      </c>
      <c r="CG214" s="9" t="str">
        <f>HYPERLINK(".\links\KOG\AGAP003785-PA-KOG.txt","Glucose dehydrogenase/choline dehydrogenase/mandelonitrile lyase (GMC oxidoreductase family)")</f>
        <v>Glucose dehydrogenase/choline dehydrogenase/mandelonitrile lyase (GMC oxidoreductase family)</v>
      </c>
      <c r="CH214" s="13">
        <v>1E-176</v>
      </c>
      <c r="CI214" s="2">
        <v>99.8</v>
      </c>
      <c r="CJ214" s="2" t="s">
        <v>2584</v>
      </c>
      <c r="CK214" s="2" t="s">
        <v>122</v>
      </c>
      <c r="CL214" s="9" t="str">
        <f>HYPERLINK(".\links\PFAM\AGAP003785-PA-PFAM.txt","GMC_oxred_C, GMC oxidoreductase")</f>
        <v>GMC_oxred_C, GMC oxidoreductase</v>
      </c>
      <c r="CM214" s="13">
        <v>5E-42</v>
      </c>
      <c r="CN214" s="2">
        <v>101.4</v>
      </c>
      <c r="CO214" s="2" t="s">
        <v>2585</v>
      </c>
      <c r="CP214" s="9" t="str">
        <f>HYPERLINK(".\links\SMART\AGAP003785-PA-SMART.txt","MAM, Domain in meprin, A5, receptor protein tyrosine phosphatase mu (and others)")</f>
        <v>MAM, Domain in meprin, A5, receptor protein tyrosine phosphatase mu (and others)</v>
      </c>
      <c r="CQ214" s="13">
        <v>2.4E-2</v>
      </c>
      <c r="CR214" s="2">
        <v>22.4</v>
      </c>
      <c r="CS214" s="2" t="s">
        <v>2586</v>
      </c>
      <c r="CT214" s="2" t="s">
        <v>2580</v>
      </c>
      <c r="CU214" s="2" t="s">
        <v>2580</v>
      </c>
      <c r="CV214" s="2" t="s">
        <v>2580</v>
      </c>
      <c r="CW214" s="2" t="str">
        <f>HYPERLINK(".\links\pep\AGAP003785-PA-pep.txt","AGAP003785-PA")</f>
        <v>AGAP003785-PA</v>
      </c>
      <c r="CX214" s="2" t="s">
        <v>88</v>
      </c>
      <c r="CY214" s="2">
        <v>629</v>
      </c>
      <c r="CZ214" s="2" t="s">
        <v>106</v>
      </c>
      <c r="DA214" s="2" t="s">
        <v>2587</v>
      </c>
      <c r="DB214" s="2">
        <v>0</v>
      </c>
      <c r="DC214" s="2">
        <v>1</v>
      </c>
      <c r="DD214" s="2" t="str">
        <f>HYPERLINK("https://www.kegg.jp/kegg-bin/search_pathway_text?map=aga&amp;keyword=AGAP003785&amp;mode=1&amp;viewImage=true","AGAP003785")</f>
        <v>AGAP003785</v>
      </c>
      <c r="DE214" s="2" t="s">
        <v>2576</v>
      </c>
      <c r="DF214" s="2" t="s">
        <v>2577</v>
      </c>
      <c r="DG214" s="2" t="s">
        <v>87</v>
      </c>
      <c r="DH214" s="2" t="str">
        <f>HYPERLINK("https://vectorbase.org/vectorbase/app/record/gene/AGAP003785","AGAP003785-RA")</f>
        <v>AGAP003785-RA</v>
      </c>
      <c r="DI214" s="2" t="s">
        <v>125</v>
      </c>
      <c r="DJ214" s="2">
        <v>2032</v>
      </c>
      <c r="DK214" s="2" t="str">
        <f>HYPERLINK(".\links\netoglyc\AGAP003785-PA-netoglyc.txt","0")</f>
        <v>0</v>
      </c>
      <c r="DL214" s="2">
        <v>11.9</v>
      </c>
      <c r="DM214" s="2">
        <v>8.3000000000000007</v>
      </c>
      <c r="DN214" s="2">
        <v>4.5999999999999996</v>
      </c>
      <c r="DO214" s="2" t="s">
        <v>97</v>
      </c>
      <c r="DP214" s="2" t="s">
        <v>94</v>
      </c>
      <c r="DQ214" s="2" t="str">
        <f>HYPERLINK(".\links\Sigp\AGAP003785-PA-SigP.txt","CYT")</f>
        <v>CYT</v>
      </c>
      <c r="DR214" s="2" t="s">
        <v>94</v>
      </c>
      <c r="DS214" s="2">
        <v>70.037999999999997</v>
      </c>
      <c r="DT214" s="2">
        <v>5.37</v>
      </c>
      <c r="DU214" s="2" t="s">
        <v>94</v>
      </c>
      <c r="DV214" s="2" t="s">
        <v>94</v>
      </c>
      <c r="DW214" s="2" t="s">
        <v>2581</v>
      </c>
      <c r="DX214" s="2">
        <v>629</v>
      </c>
      <c r="DY214" s="8">
        <v>0</v>
      </c>
      <c r="DZ214" s="2" t="s">
        <v>94</v>
      </c>
      <c r="EA214" s="2" t="s">
        <v>94</v>
      </c>
      <c r="EB214" s="2" t="s">
        <v>94</v>
      </c>
      <c r="EC214" s="2" t="str">
        <f>HYPERLINK(".\links\gpi\AGAP003785-PA-gpi.txt","N")</f>
        <v>N</v>
      </c>
      <c r="ED214" s="2">
        <v>0.15</v>
      </c>
      <c r="EF214" s="2">
        <v>5</v>
      </c>
      <c r="EG214" s="2" t="str">
        <f>HYPERLINK(".\links\pep\AGAP003785-PA-sulf.txt","2")</f>
        <v>2</v>
      </c>
      <c r="EH214" s="2" t="s">
        <v>94</v>
      </c>
      <c r="EI214" s="2">
        <v>11.923688394276599</v>
      </c>
      <c r="EJ214" s="2">
        <v>4.6104928457869603</v>
      </c>
      <c r="EK214" s="2">
        <v>8.2670906200317997</v>
      </c>
      <c r="EL214" s="2">
        <v>12.8775834658188</v>
      </c>
      <c r="EM214" s="2" t="s">
        <v>94</v>
      </c>
      <c r="EN214" s="2">
        <v>4</v>
      </c>
      <c r="EO214" s="2">
        <v>4</v>
      </c>
      <c r="EP214" s="2" t="s">
        <v>94</v>
      </c>
      <c r="EQ214" s="2" t="s">
        <v>94</v>
      </c>
      <c r="ER214" s="2" t="s">
        <v>94</v>
      </c>
      <c r="ES214" s="2" t="s">
        <v>94</v>
      </c>
      <c r="ET214" s="2" t="str">
        <f>HYPERLINK(".\links\REFSEQ-INVERTEBRATE\AGAP003785-PA-REFSEQ-INVERTEBRATE.txt","AGAP003785-PA")</f>
        <v>AGAP003785-PA</v>
      </c>
      <c r="EU214" s="2" t="str">
        <f>HYPERLINK("http://www.ncbi.nlm.nih.gov/sutils/blink.cgi?pid=XP_310335.3","0.0")</f>
        <v>0.0</v>
      </c>
      <c r="EV214" s="2" t="str">
        <f>HYPERLINK("http://www.ncbi.nlm.nih.gov/protein/XP_310335.3","XP_310335.3")</f>
        <v>XP_310335.3</v>
      </c>
      <c r="EW214" s="2">
        <v>100</v>
      </c>
      <c r="EX214" s="2">
        <v>100</v>
      </c>
      <c r="EY214" s="2">
        <v>100</v>
      </c>
      <c r="EZ214" s="2" t="s">
        <v>98</v>
      </c>
    </row>
    <row r="215" spans="1:156" x14ac:dyDescent="0.25">
      <c r="A215" s="2" t="s">
        <v>2588</v>
      </c>
      <c r="B215" s="2">
        <v>-0.80599160501919898</v>
      </c>
      <c r="C215" s="2">
        <v>0.57196881485431539</v>
      </c>
      <c r="D215" s="2">
        <v>6.1043925711459197</v>
      </c>
      <c r="E215" s="2">
        <v>25.847157593574501</v>
      </c>
      <c r="F215" s="2">
        <v>3.6954848556293199E-7</v>
      </c>
      <c r="G215" s="2">
        <v>1.05903637211171E-4</v>
      </c>
      <c r="H215" s="2" t="s">
        <v>2589</v>
      </c>
      <c r="I215" s="2" t="s">
        <v>94</v>
      </c>
      <c r="J215" s="2" t="str">
        <f>HYPERLINK("https://vectorbase.org/vectorbase/app/record/gene/AGAP028708","AGAP028708-RA")</f>
        <v>AGAP028708-RA</v>
      </c>
      <c r="K215" s="2" t="str">
        <f>HYPERLINK(".\links\pep\AGAP028708-PA-pep.txt","AGAP028708-PA")</f>
        <v>AGAP028708-PA</v>
      </c>
      <c r="L215" s="8" t="s">
        <v>88</v>
      </c>
      <c r="M215" s="2">
        <v>600</v>
      </c>
      <c r="N215" s="2">
        <v>0</v>
      </c>
      <c r="O215" s="2">
        <v>3</v>
      </c>
      <c r="P215" s="2" t="s">
        <v>2590</v>
      </c>
      <c r="Q215" s="9" t="s">
        <v>2591</v>
      </c>
      <c r="R215" s="2" t="s">
        <v>550</v>
      </c>
      <c r="S215" s="2" t="str">
        <f>HYPERLINK(".\links\REFSEQ-INVERTEBRATE\AGAP028708-PA-REFSEQ-INVERTEBRATE.txt","REFSEQ-INVERTEBRATE")</f>
        <v>REFSEQ-INVERTEBRATE</v>
      </c>
      <c r="T215" s="2">
        <v>0</v>
      </c>
      <c r="U215" s="2">
        <v>92.2</v>
      </c>
      <c r="V215" s="2" t="s">
        <v>2592</v>
      </c>
      <c r="W215" s="10" t="s">
        <v>2593</v>
      </c>
      <c r="X215" s="2" t="s">
        <v>550</v>
      </c>
      <c r="Y215" s="2" t="str">
        <f>HYPERLINK(".\links\REFSEQ-PROTOZOA\AGAP028708-PA-REFSEQ-PROTOZOA.txt","REFSEQ-PROTOZOA")</f>
        <v>REFSEQ-PROTOZOA</v>
      </c>
      <c r="Z215" s="13">
        <v>0</v>
      </c>
      <c r="AA215" s="2">
        <v>78.3</v>
      </c>
      <c r="AB215" s="11" t="str">
        <f>HYPERLINK(".\links\pep\AGAP028708-PA-sulf.txt","1")</f>
        <v>1</v>
      </c>
      <c r="AC215" s="11" t="str">
        <f>HYPERLINK(".\links\Sigp\AGAP028708-PA-SigP.txt","CYT")</f>
        <v>CYT</v>
      </c>
      <c r="AD215" s="2" t="s">
        <v>94</v>
      </c>
      <c r="AE215" s="2">
        <v>67.92</v>
      </c>
      <c r="AF215" s="2">
        <v>6.71</v>
      </c>
      <c r="AG215" s="2" t="s">
        <v>94</v>
      </c>
      <c r="AH215" s="2" t="s">
        <v>94</v>
      </c>
      <c r="AI215" s="2" t="s">
        <v>2594</v>
      </c>
      <c r="AJ215" s="11" t="str">
        <f>HYPERLINK(".\links\tmhmm\AGAP028708-PA-tmhmm.txt","1")</f>
        <v>1</v>
      </c>
      <c r="AK215" s="2">
        <v>3.7</v>
      </c>
      <c r="AL215" s="2">
        <v>92.8</v>
      </c>
      <c r="AM215" s="2">
        <v>3.5</v>
      </c>
      <c r="AN215" s="9" t="str">
        <f>HYPERLINK(".\links\gpi\AGAP028708-PA-gpi.txt","N")</f>
        <v>N</v>
      </c>
      <c r="AO215" s="12" t="str">
        <f>HYPERLINK(".\links\netoglyc\AGAP028708-PA-netoglyc.txt","0")</f>
        <v>0</v>
      </c>
      <c r="AP215" s="11">
        <v>13.3</v>
      </c>
      <c r="AQ215" s="2">
        <v>6.2</v>
      </c>
      <c r="AR215" s="2">
        <v>4.3</v>
      </c>
      <c r="AS215" s="2" t="s">
        <v>97</v>
      </c>
      <c r="AT215" s="9" t="str">
        <f>HYPERLINK(".\links\NR-LIGHT\AGAP028708-PA-NR-LIGHT.txt","AGAP012253-PA, partial")</f>
        <v>AGAP012253-PA, partial</v>
      </c>
      <c r="AU215" s="2" t="str">
        <f>HYPERLINK("http://www.ncbi.nlm.nih.gov/sutils/blink.cgi?pid=XP_001238288.2","0.0")</f>
        <v>0.0</v>
      </c>
      <c r="AV215" s="2" t="str">
        <f>HYPERLINK("http://www.ncbi.nlm.nih.gov/protein/XP_001238288.2","XP_001238288.2")</f>
        <v>XP_001238288.2</v>
      </c>
      <c r="AW215" s="2">
        <v>82</v>
      </c>
      <c r="AX215" s="2">
        <v>90</v>
      </c>
      <c r="AY215" s="2">
        <v>99</v>
      </c>
      <c r="AZ215" s="2" t="s">
        <v>98</v>
      </c>
      <c r="BA215" s="9" t="str">
        <f>HYPERLINK(".\links\REFSEQ-INVERTEBRATE\AGAP028708-PA-REFSEQ-INVERTEBRATE.txt","AGAP012253-PA, partial")</f>
        <v>AGAP012253-PA, partial</v>
      </c>
      <c r="BB215" s="2" t="str">
        <f>HYPERLINK("http://www.ncbi.nlm.nih.gov/sutils/blink.cgi?pid=XP_001238288.2","0.0")</f>
        <v>0.0</v>
      </c>
      <c r="BC215" s="2" t="str">
        <f>HYPERLINK("http://www.ncbi.nlm.nih.gov/protein/XP_001238288.2","XP_001238288.2")</f>
        <v>XP_001238288.2</v>
      </c>
      <c r="BD215" s="2">
        <v>82</v>
      </c>
      <c r="BE215" s="2">
        <v>90</v>
      </c>
      <c r="BF215" s="2">
        <v>99</v>
      </c>
      <c r="BG215" s="2" t="s">
        <v>98</v>
      </c>
      <c r="BH215" s="9" t="str">
        <f>HYPERLINK(".\links\REFSEQ-PROTOZOA\AGAP028708-PA-REFSEQ-PROTOZOA.txt","polypeptide N-acetylgalactosaminyltransferase 13")</f>
        <v>polypeptide N-acetylgalactosaminyltransferase 13</v>
      </c>
      <c r="BI215" s="2" t="str">
        <f>HYPERLINK("http://www.ncbi.nlm.nih.gov/sutils/blink.cgi?pid=XP_004988298.1","2E-091")</f>
        <v>2E-091</v>
      </c>
      <c r="BJ215" s="2" t="str">
        <f>HYPERLINK("http://www.ncbi.nlm.nih.gov/protein/XP_004988298.1","XP_004988298.1")</f>
        <v>XP_004988298.1</v>
      </c>
      <c r="BK215" s="2">
        <v>38</v>
      </c>
      <c r="BL215" s="2">
        <v>55</v>
      </c>
      <c r="BM215" s="2">
        <v>78</v>
      </c>
      <c r="BN215" s="2" t="s">
        <v>117</v>
      </c>
      <c r="BO215" s="9" t="str">
        <f>HYPERLINK(".\links\SWISSP\AGAP028708-PA-SWISSP.txt","Putative polypeptide N-acetylgalactosaminyltransferase 9")</f>
        <v>Putative polypeptide N-acetylgalactosaminyltransferase 9</v>
      </c>
      <c r="BP215" s="2" t="str">
        <f>HYPERLINK("http://www.uniprot.org/uniprot/Q8MRC9","1E-119")</f>
        <v>1E-119</v>
      </c>
      <c r="BQ215" s="2" t="str">
        <f>HYPERLINK("http://www.uniprot.org/uniprot/Q8MRC9#expression","Q8MRC9")</f>
        <v>Q8MRC9</v>
      </c>
      <c r="BR215" s="2">
        <v>43</v>
      </c>
      <c r="BS215" s="2">
        <v>62</v>
      </c>
      <c r="BT215" s="2">
        <v>77</v>
      </c>
      <c r="BU215" s="2" t="s">
        <v>100</v>
      </c>
      <c r="BV215" s="9" t="str">
        <f>HYPERLINK(".\links\FLYBASE\AGAP028708-PA-FLYBASE.txt","FBpp0112292")</f>
        <v>FBpp0112292</v>
      </c>
      <c r="BW215" s="2" t="str">
        <f>HYPERLINK("http://flybase.org/reports/FBgn0050463#alliance_summary_container","1E-146")</f>
        <v>1E-146</v>
      </c>
      <c r="BX215" s="2">
        <v>650</v>
      </c>
      <c r="BY215" s="2">
        <v>43</v>
      </c>
      <c r="BZ215" s="2">
        <v>62</v>
      </c>
      <c r="CA215" s="2">
        <v>77</v>
      </c>
      <c r="CB215" s="9" t="str">
        <f>HYPERLINK(".\links\CDD\AGAP028708-PA-CDD.txt","pp-GalNAc-T, pp-GalNAc-T initiates the formation of mucin-type O-linked glycans")</f>
        <v>pp-GalNAc-T, pp-GalNAc-T initiates the formation of mucin-type O-linked glycans</v>
      </c>
      <c r="CC215" s="13">
        <v>1.0000000000000001E-111</v>
      </c>
      <c r="CD215" s="2">
        <v>100.3</v>
      </c>
      <c r="CE215" s="2" t="s">
        <v>2595</v>
      </c>
      <c r="CF215" s="2" t="s">
        <v>2596</v>
      </c>
      <c r="CG215" s="9" t="str">
        <f>HYPERLINK(".\links\KOG\AGAP028708-PA-KOG.txt","Polypeptide N-acetylgalactosaminyltransferase")</f>
        <v>Polypeptide N-acetylgalactosaminyltransferase</v>
      </c>
      <c r="CH215" s="13">
        <v>9.9999999999999995E-144</v>
      </c>
      <c r="CI215" s="2">
        <v>101.9</v>
      </c>
      <c r="CJ215" s="2" t="s">
        <v>2597</v>
      </c>
      <c r="CK215" s="2" t="s">
        <v>214</v>
      </c>
      <c r="CL215" s="9" t="str">
        <f>HYPERLINK(".\links\PFAM\AGAP028708-PA-PFAM.txt","Glycos_transf_2, Glycosyl transferase family 2")</f>
        <v>Glycos_transf_2, Glycosyl transferase family 2</v>
      </c>
      <c r="CM215" s="13">
        <v>6.9999999999999995E-29</v>
      </c>
      <c r="CN215" s="2">
        <v>111.4</v>
      </c>
      <c r="CO215" s="2" t="s">
        <v>2598</v>
      </c>
      <c r="CP215" s="9" t="str">
        <f>HYPERLINK(".\links\SMART\AGAP028708-PA-SMART.txt","RICIN, Ricin-type beta-trefoil")</f>
        <v>RICIN, Ricin-type beta-trefoil</v>
      </c>
      <c r="CQ215" s="13">
        <v>5.9999999999999997E-14</v>
      </c>
      <c r="CR215" s="2">
        <v>60.2</v>
      </c>
      <c r="CS215" s="2" t="s">
        <v>2599</v>
      </c>
      <c r="CT215" s="2" t="s">
        <v>2592</v>
      </c>
      <c r="CU215" s="2" t="s">
        <v>2592</v>
      </c>
      <c r="CV215" s="2" t="s">
        <v>2592</v>
      </c>
      <c r="CW215" s="2" t="str">
        <f>HYPERLINK(".\links\pep\AGAP028708-PA-pep.txt","AGAP028708-PA")</f>
        <v>AGAP028708-PA</v>
      </c>
      <c r="CX215" s="2" t="s">
        <v>88</v>
      </c>
      <c r="CY215" s="2">
        <v>600</v>
      </c>
      <c r="CZ215" s="2" t="s">
        <v>106</v>
      </c>
      <c r="DA215" s="2">
        <v>0</v>
      </c>
      <c r="DB215" s="2">
        <v>3</v>
      </c>
      <c r="DD215" s="2" t="str">
        <f>HYPERLINK("https://www.kegg.jp/kegg-bin/search_pathway_text?map=aga&amp;keyword=AGAP028708&amp;mode=1&amp;viewImage=true","AGAP028708")</f>
        <v>AGAP028708</v>
      </c>
      <c r="DE215" s="2" t="s">
        <v>2588</v>
      </c>
      <c r="DF215" s="2" t="s">
        <v>2589</v>
      </c>
      <c r="DG215" s="2" t="s">
        <v>94</v>
      </c>
      <c r="DH215" s="2" t="str">
        <f>HYPERLINK("https://vectorbase.org/vectorbase/app/record/gene/AGAP028708","AGAP028708-RA")</f>
        <v>AGAP028708-RA</v>
      </c>
      <c r="DI215" s="2" t="s">
        <v>143</v>
      </c>
      <c r="DJ215" s="2">
        <v>2210</v>
      </c>
      <c r="DK215" s="2" t="str">
        <f>HYPERLINK(".\links\netoglyc\AGAP028708-PA-netoglyc.txt","0")</f>
        <v>0</v>
      </c>
      <c r="DL215" s="2">
        <v>13.3</v>
      </c>
      <c r="DM215" s="2">
        <v>6.2</v>
      </c>
      <c r="DN215" s="2">
        <v>4.3</v>
      </c>
      <c r="DO215" s="2" t="s">
        <v>97</v>
      </c>
      <c r="DP215" s="2" t="s">
        <v>94</v>
      </c>
      <c r="DQ215" s="2" t="str">
        <f>HYPERLINK(".\links\Sigp\AGAP028708-PA-SigP.txt","CYT")</f>
        <v>CYT</v>
      </c>
      <c r="DR215" s="2" t="s">
        <v>94</v>
      </c>
      <c r="DS215" s="2">
        <v>67.92</v>
      </c>
      <c r="DT215" s="2">
        <v>6.71</v>
      </c>
      <c r="DU215" s="2" t="s">
        <v>94</v>
      </c>
      <c r="DV215" s="2" t="s">
        <v>94</v>
      </c>
      <c r="DW215" s="2" t="s">
        <v>2594</v>
      </c>
      <c r="DX215" s="2">
        <v>600</v>
      </c>
      <c r="DY215" s="8" t="str">
        <f>HYPERLINK(".\links\tmhmm\AGAP028708-PA-tmhmm.txt","1")</f>
        <v>1</v>
      </c>
      <c r="DZ215" s="2">
        <v>3.7</v>
      </c>
      <c r="EA215" s="2">
        <v>92.8</v>
      </c>
      <c r="EB215" s="2">
        <v>3.5</v>
      </c>
      <c r="EC215" s="2" t="str">
        <f>HYPERLINK(".\links\gpi\AGAP028708-PA-gpi.txt","Y-NoSP")</f>
        <v>Y-NoSP</v>
      </c>
      <c r="ED215" s="2">
        <v>0.15</v>
      </c>
      <c r="EF215" s="2">
        <v>14</v>
      </c>
      <c r="EG215" s="2" t="str">
        <f>HYPERLINK(".\links\pep\AGAP028708-PA-sulf.txt","1")</f>
        <v>1</v>
      </c>
      <c r="EH215" s="2" t="s">
        <v>94</v>
      </c>
      <c r="EI215" s="2">
        <v>13.3333333333333</v>
      </c>
      <c r="EJ215" s="2">
        <v>4.3333333333333304</v>
      </c>
      <c r="EK215" s="2">
        <v>6.1666666666666696</v>
      </c>
      <c r="EL215" s="2">
        <v>10.5</v>
      </c>
      <c r="EM215" s="2">
        <v>1</v>
      </c>
      <c r="EN215" s="2" t="s">
        <v>94</v>
      </c>
      <c r="EO215" s="2">
        <v>2</v>
      </c>
      <c r="EP215" s="2" t="s">
        <v>94</v>
      </c>
      <c r="EQ215" s="2" t="s">
        <v>94</v>
      </c>
      <c r="ER215" s="2" t="s">
        <v>94</v>
      </c>
      <c r="ES215" s="2" t="s">
        <v>94</v>
      </c>
      <c r="ET215" s="2" t="str">
        <f>HYPERLINK(".\links\REFSEQ-INVERTEBRATE\AGAP028708-PA-REFSEQ-INVERTEBRATE.txt","AGAP012253-PA, partial")</f>
        <v>AGAP012253-PA, partial</v>
      </c>
      <c r="EU215" s="2" t="str">
        <f>HYPERLINK("http://www.ncbi.nlm.nih.gov/sutils/blink.cgi?pid=XP_001238288.2","0.0")</f>
        <v>0.0</v>
      </c>
      <c r="EV215" s="2" t="str">
        <f>HYPERLINK("http://www.ncbi.nlm.nih.gov/protein/XP_001238288.2","XP_001238288.2")</f>
        <v>XP_001238288.2</v>
      </c>
      <c r="EW215" s="2">
        <v>82</v>
      </c>
      <c r="EX215" s="2">
        <v>90</v>
      </c>
      <c r="EY215" s="2">
        <v>99</v>
      </c>
      <c r="EZ215" s="2" t="s">
        <v>98</v>
      </c>
    </row>
    <row r="216" spans="1:156" x14ac:dyDescent="0.25">
      <c r="A216" s="2" t="s">
        <v>2600</v>
      </c>
      <c r="B216" s="2">
        <v>-0.81431977664159705</v>
      </c>
      <c r="C216" s="2">
        <v>0.56867655151293506</v>
      </c>
      <c r="D216" s="2">
        <v>6.2430112781921698</v>
      </c>
      <c r="E216" s="2">
        <v>20.3186814065348</v>
      </c>
      <c r="F216" s="2">
        <v>6.5557368894587099E-6</v>
      </c>
      <c r="G216" s="2">
        <v>8.8568005376587198E-4</v>
      </c>
      <c r="H216" s="2" t="s">
        <v>2601</v>
      </c>
      <c r="I216" s="2" t="s">
        <v>87</v>
      </c>
      <c r="J216" s="2" t="str">
        <f>HYPERLINK("https://vectorbase.org/vectorbase/app/record/gene/AGAP001308","AGAP001308-RA")</f>
        <v>AGAP001308-RA</v>
      </c>
      <c r="K216" s="2" t="str">
        <f>HYPERLINK(".\links\pep\AGAP001308-PA-pep.txt","AGAP001308-PA")</f>
        <v>AGAP001308-PA</v>
      </c>
      <c r="L216" s="8" t="s">
        <v>88</v>
      </c>
      <c r="M216" s="2">
        <v>542</v>
      </c>
      <c r="N216" s="2">
        <v>0</v>
      </c>
      <c r="O216" s="2">
        <v>0</v>
      </c>
      <c r="P216" s="2" t="s">
        <v>2602</v>
      </c>
      <c r="Q216" s="9" t="s">
        <v>2603</v>
      </c>
      <c r="R216" s="2" t="s">
        <v>253</v>
      </c>
      <c r="S216" s="2" t="str">
        <f>HYPERLINK(".\links\REFSEQ-INVERTEBRATE\AGAP001308-PA-REFSEQ-INVERTEBRATE.txt","REFSEQ-INVERTEBRATE")</f>
        <v>REFSEQ-INVERTEBRATE</v>
      </c>
      <c r="T216" s="2">
        <v>0</v>
      </c>
      <c r="U216" s="2">
        <v>96.9</v>
      </c>
      <c r="V216" s="2" t="s">
        <v>2603</v>
      </c>
      <c r="W216" s="10" t="s">
        <v>2604</v>
      </c>
      <c r="X216" s="2" t="s">
        <v>347</v>
      </c>
      <c r="Y216" s="2" t="str">
        <f>HYPERLINK(".\links\UNIPROTKB\AGAP001308-PA-UNIPROTKB.txt","UNIPROTKB")</f>
        <v>UNIPROTKB</v>
      </c>
      <c r="Z216" s="13">
        <v>3.0000000000000002E-53</v>
      </c>
      <c r="AA216" s="2">
        <v>88.6</v>
      </c>
      <c r="AB216" s="11" t="s">
        <v>94</v>
      </c>
      <c r="AC216" s="11" t="str">
        <f>HYPERLINK(".\links\Sigp\AGAP001308-PA-SigP.txt","CYT")</f>
        <v>CYT</v>
      </c>
      <c r="AD216" s="2" t="s">
        <v>94</v>
      </c>
      <c r="AE216" s="2">
        <v>62.526000000000003</v>
      </c>
      <c r="AF216" s="2">
        <v>5.1100000000000003</v>
      </c>
      <c r="AG216" s="2" t="s">
        <v>94</v>
      </c>
      <c r="AH216" s="2" t="s">
        <v>94</v>
      </c>
      <c r="AI216" s="2" t="s">
        <v>463</v>
      </c>
      <c r="AJ216" s="11">
        <v>0</v>
      </c>
      <c r="AK216" s="2" t="s">
        <v>94</v>
      </c>
      <c r="AL216" s="2" t="s">
        <v>94</v>
      </c>
      <c r="AM216" s="2" t="s">
        <v>94</v>
      </c>
      <c r="AN216" s="11" t="str">
        <f>HYPERLINK(".\links\gpi\AGAP001308-PA-gpi.txt","N")</f>
        <v>N</v>
      </c>
      <c r="AO216" s="12" t="str">
        <f>HYPERLINK(".\links\netoglyc\AGAP001308-PA-netoglyc.txt","0")</f>
        <v>0</v>
      </c>
      <c r="AP216" s="11">
        <v>14.6</v>
      </c>
      <c r="AQ216" s="2">
        <v>2</v>
      </c>
      <c r="AR216" s="2">
        <v>0.9</v>
      </c>
      <c r="AS216" s="2" t="s">
        <v>97</v>
      </c>
      <c r="AT216" s="9" t="str">
        <f>HYPERLINK(".\links\NR-LIGHT\AGAP001308-PA-NR-LIGHT.txt","AGAP001308-PA")</f>
        <v>AGAP001308-PA</v>
      </c>
      <c r="AU216" s="2" t="str">
        <f>HYPERLINK("http://www.ncbi.nlm.nih.gov/sutils/blink.cgi?pid=XP_321839.4","0.0")</f>
        <v>0.0</v>
      </c>
      <c r="AV216" s="2" t="str">
        <f>HYPERLINK("http://www.ncbi.nlm.nih.gov/protein/XP_321839.4","XP_321839.4")</f>
        <v>XP_321839.4</v>
      </c>
      <c r="AW216" s="2">
        <v>100</v>
      </c>
      <c r="AX216" s="2">
        <v>100</v>
      </c>
      <c r="AY216" s="2">
        <v>97</v>
      </c>
      <c r="AZ216" s="2" t="s">
        <v>98</v>
      </c>
      <c r="BA216" s="9" t="str">
        <f>HYPERLINK(".\links\REFSEQ-INVERTEBRATE\AGAP001308-PA-REFSEQ-INVERTEBRATE.txt","AGAP001308-PA")</f>
        <v>AGAP001308-PA</v>
      </c>
      <c r="BB216" s="2" t="str">
        <f>HYPERLINK("http://www.ncbi.nlm.nih.gov/sutils/blink.cgi?pid=XP_321839.4","0.0")</f>
        <v>0.0</v>
      </c>
      <c r="BC216" s="2" t="str">
        <f>HYPERLINK("http://www.ncbi.nlm.nih.gov/protein/XP_321839.4","XP_321839.4")</f>
        <v>XP_321839.4</v>
      </c>
      <c r="BD216" s="2">
        <v>100</v>
      </c>
      <c r="BE216" s="2">
        <v>100</v>
      </c>
      <c r="BF216" s="2">
        <v>97</v>
      </c>
      <c r="BG216" s="2" t="s">
        <v>98</v>
      </c>
      <c r="BH216" s="9" t="str">
        <f>HYPERLINK(".\links\REFSEQ-PROTOZOA\AGAP001308-PA-REFSEQ-PROTOZOA.txt","hypothetical protein, conserved")</f>
        <v>hypothetical protein, conserved</v>
      </c>
      <c r="BI216" s="2" t="str">
        <f>HYPERLINK("http://www.ncbi.nlm.nih.gov/sutils/blink.cgi?pid=XP_013228118.1","9E-024")</f>
        <v>9E-024</v>
      </c>
      <c r="BJ216" s="2" t="str">
        <f>HYPERLINK("http://www.ncbi.nlm.nih.gov/protein/XP_013228118.1","XP_013228118.1")</f>
        <v>XP_013228118.1</v>
      </c>
      <c r="BK216" s="2">
        <v>21</v>
      </c>
      <c r="BL216" s="2">
        <v>45</v>
      </c>
      <c r="BM216" s="2">
        <v>22</v>
      </c>
      <c r="BN216" s="2" t="s">
        <v>2605</v>
      </c>
      <c r="BO216" s="9" t="str">
        <f>HYPERLINK(".\links\SWISSP\AGAP001308-PA-SWISSP.txt","Bicaudal D-related protein homolog")</f>
        <v>Bicaudal D-related protein homolog</v>
      </c>
      <c r="BP216" s="2" t="str">
        <f>HYPERLINK("http://www.uniprot.org/uniprot/Q8SWR2","1E-132")</f>
        <v>1E-132</v>
      </c>
      <c r="BQ216" s="2" t="str">
        <f>HYPERLINK("http://www.uniprot.org/uniprot/Q8SWR2#expression","Q8SWR2")</f>
        <v>Q8SWR2</v>
      </c>
      <c r="BR216" s="2">
        <v>50</v>
      </c>
      <c r="BS216" s="2">
        <v>70</v>
      </c>
      <c r="BT216" s="2">
        <v>86</v>
      </c>
      <c r="BU216" s="2" t="s">
        <v>100</v>
      </c>
      <c r="BV216" s="9" t="str">
        <f>HYPERLINK(".\links\FLYBASE\AGAP001308-PA-FLYBASE.txt","FBpp0075499")</f>
        <v>FBpp0075499</v>
      </c>
      <c r="BW216" s="2" t="str">
        <f>HYPERLINK("http://flybase.org/reports/FBgn0052137#alliance_summary_container","1E-148")</f>
        <v>1E-148</v>
      </c>
      <c r="BX216" s="2">
        <v>526</v>
      </c>
      <c r="BY216" s="2">
        <v>51</v>
      </c>
      <c r="BZ216" s="2">
        <v>72</v>
      </c>
      <c r="CA216" s="2">
        <v>97</v>
      </c>
      <c r="CB216" s="9" t="str">
        <f>HYPERLINK(".\links\CDD\AGAP001308-PA-CDD.txt","Chromosome_partition_protein_Smc, chromosome segregation protein SMC, common bacterial type")</f>
        <v>Chromosome_partition_protein_Smc, chromosome segregation protein SMC, common bacterial type</v>
      </c>
      <c r="CC216" s="13">
        <v>2.0000000000000001E-9</v>
      </c>
      <c r="CD216" s="2">
        <v>22.2</v>
      </c>
      <c r="CE216" s="2" t="s">
        <v>2606</v>
      </c>
      <c r="CF216" s="2" t="s">
        <v>2607</v>
      </c>
      <c r="CG216" s="9" t="str">
        <f>HYPERLINK(".\links\KOG\AGAP001308-PA-KOG.txt","Myosin class II heavy chain")</f>
        <v>Myosin class II heavy chain</v>
      </c>
      <c r="CH216" s="13">
        <v>1E-8</v>
      </c>
      <c r="CI216" s="2">
        <v>27.3</v>
      </c>
      <c r="CJ216" s="2" t="s">
        <v>986</v>
      </c>
      <c r="CK216" s="2" t="s">
        <v>246</v>
      </c>
      <c r="CL216" s="9" t="str">
        <f>HYPERLINK(".\links\PFAM\AGAP001308-PA-PFAM.txt","GAS, Growth-arrest specific micro-tubule binding")</f>
        <v>GAS, Growth-arrest specific micro-tubule binding</v>
      </c>
      <c r="CM216" s="13">
        <v>4.0000000000000001E-3</v>
      </c>
      <c r="CN216" s="2">
        <v>91</v>
      </c>
      <c r="CO216" s="2" t="s">
        <v>2608</v>
      </c>
      <c r="CP216" s="9" t="str">
        <f>HYPERLINK(".\links\SMART\AGAP001308-PA-SMART.txt","CDC37_N, Cdc37 N terminal kinase binding")</f>
        <v>CDC37_N, Cdc37 N terminal kinase binding</v>
      </c>
      <c r="CQ216" s="13">
        <v>3.0000000000000001E-3</v>
      </c>
      <c r="CR216" s="2">
        <v>69.5</v>
      </c>
      <c r="CS216" s="2" t="s">
        <v>2609</v>
      </c>
      <c r="CT216" s="2" t="s">
        <v>2603</v>
      </c>
      <c r="CU216" s="2" t="s">
        <v>2603</v>
      </c>
      <c r="CV216" s="2" t="s">
        <v>2603</v>
      </c>
      <c r="CW216" s="2" t="str">
        <f>HYPERLINK(".\links\pep\AGAP001308-PA-pep.txt","AGAP001308-PA")</f>
        <v>AGAP001308-PA</v>
      </c>
      <c r="CX216" s="2" t="s">
        <v>88</v>
      </c>
      <c r="CY216" s="2">
        <v>542</v>
      </c>
      <c r="CZ216" s="2" t="s">
        <v>106</v>
      </c>
      <c r="DA216" s="2" t="s">
        <v>2610</v>
      </c>
      <c r="DB216" s="2">
        <v>0</v>
      </c>
      <c r="DC216" s="2">
        <v>0</v>
      </c>
      <c r="DD216" s="2" t="str">
        <f>HYPERLINK("https://www.kegg.jp/kegg-bin/search_pathway_text?map=aga&amp;keyword=AGAP001308&amp;mode=1&amp;viewImage=true","AGAP001308")</f>
        <v>AGAP001308</v>
      </c>
      <c r="DE216" s="2" t="s">
        <v>2600</v>
      </c>
      <c r="DF216" s="2" t="s">
        <v>2601</v>
      </c>
      <c r="DG216" s="2" t="s">
        <v>87</v>
      </c>
      <c r="DH216" s="2" t="str">
        <f>HYPERLINK("https://vectorbase.org/vectorbase/app/record/gene/AGAP001308","AGAP001308-RA")</f>
        <v>AGAP001308-RA</v>
      </c>
      <c r="DI216" s="2" t="s">
        <v>125</v>
      </c>
      <c r="DJ216" s="2">
        <v>3154</v>
      </c>
      <c r="DK216" s="2" t="str">
        <f>HYPERLINK(".\links\netoglyc\AGAP001308-PA-netoglyc.txt","0")</f>
        <v>0</v>
      </c>
      <c r="DL216" s="2">
        <v>14.6</v>
      </c>
      <c r="DM216" s="2">
        <v>2</v>
      </c>
      <c r="DN216" s="2">
        <v>0.9</v>
      </c>
      <c r="DO216" s="2" t="s">
        <v>97</v>
      </c>
      <c r="DP216" s="2" t="s">
        <v>2611</v>
      </c>
      <c r="DQ216" s="2" t="str">
        <f>HYPERLINK(".\links\Sigp\AGAP001308-PA-SigP.txt","CYT")</f>
        <v>CYT</v>
      </c>
      <c r="DR216" s="2" t="s">
        <v>94</v>
      </c>
      <c r="DS216" s="2">
        <v>62.526000000000003</v>
      </c>
      <c r="DT216" s="2">
        <v>5.1100000000000003</v>
      </c>
      <c r="DU216" s="2" t="s">
        <v>94</v>
      </c>
      <c r="DV216" s="2" t="s">
        <v>94</v>
      </c>
      <c r="DW216" s="2" t="s">
        <v>463</v>
      </c>
      <c r="DX216" s="2">
        <v>542</v>
      </c>
      <c r="DY216" s="8">
        <v>0</v>
      </c>
      <c r="DZ216" s="2" t="s">
        <v>94</v>
      </c>
      <c r="EA216" s="2" t="s">
        <v>94</v>
      </c>
      <c r="EB216" s="2" t="s">
        <v>94</v>
      </c>
      <c r="EC216" s="2" t="str">
        <f>HYPERLINK(".\links\gpi\AGAP001308-PA-gpi.txt","Y-NoSP")</f>
        <v>Y-NoSP</v>
      </c>
      <c r="ED216" s="2">
        <v>0.42</v>
      </c>
      <c r="EF216" s="2">
        <v>3</v>
      </c>
      <c r="EG216" s="2" t="s">
        <v>94</v>
      </c>
      <c r="EH216" s="2" t="s">
        <v>94</v>
      </c>
      <c r="EI216" s="2">
        <v>14.5756457564576</v>
      </c>
      <c r="EJ216" s="2">
        <v>0.92250922509225097</v>
      </c>
      <c r="EK216" s="2">
        <v>2.0295202952029499</v>
      </c>
      <c r="EL216" s="2">
        <v>2.9520295202951998</v>
      </c>
      <c r="EM216" s="2" t="s">
        <v>94</v>
      </c>
      <c r="EN216" s="2" t="s">
        <v>94</v>
      </c>
      <c r="EO216" s="2" t="s">
        <v>94</v>
      </c>
      <c r="EP216" s="2" t="s">
        <v>94</v>
      </c>
      <c r="EQ216" s="2" t="s">
        <v>94</v>
      </c>
      <c r="ER216" s="2" t="s">
        <v>94</v>
      </c>
      <c r="ES216" s="2" t="s">
        <v>94</v>
      </c>
      <c r="ET216" s="2" t="str">
        <f>HYPERLINK(".\links\REFSEQ-INVERTEBRATE\AGAP001308-PA-REFSEQ-INVERTEBRATE.txt","AGAP001308-PA")</f>
        <v>AGAP001308-PA</v>
      </c>
      <c r="EU216" s="2" t="str">
        <f>HYPERLINK("http://www.ncbi.nlm.nih.gov/sutils/blink.cgi?pid=XP_321839.4","0.0")</f>
        <v>0.0</v>
      </c>
      <c r="EV216" s="2" t="str">
        <f>HYPERLINK("http://www.ncbi.nlm.nih.gov/protein/XP_321839.4","XP_321839.4")</f>
        <v>XP_321839.4</v>
      </c>
      <c r="EW216" s="2">
        <v>100</v>
      </c>
      <c r="EX216" s="2">
        <v>100</v>
      </c>
      <c r="EY216" s="2">
        <v>97</v>
      </c>
      <c r="EZ216" s="2" t="s">
        <v>98</v>
      </c>
    </row>
    <row r="217" spans="1:156" x14ac:dyDescent="0.25">
      <c r="A217" s="2" t="s">
        <v>2612</v>
      </c>
      <c r="B217" s="2">
        <v>-0.81537769530916904</v>
      </c>
      <c r="C217" s="2">
        <v>0.56825969764089945</v>
      </c>
      <c r="D217" s="2">
        <v>2.0794083801203098</v>
      </c>
      <c r="E217" s="2">
        <v>11.2479380570804</v>
      </c>
      <c r="F217" s="2">
        <v>7.9711516677767797E-4</v>
      </c>
      <c r="G217" s="2">
        <v>3.6593777340856802E-2</v>
      </c>
      <c r="H217" s="2" t="s">
        <v>167</v>
      </c>
      <c r="I217" s="2" t="s">
        <v>87</v>
      </c>
      <c r="J217" s="2" t="str">
        <f>HYPERLINK("https://vectorbase.org/vectorbase/app/record/gene/AGAP011923","AGAP011923-RA")</f>
        <v>AGAP011923-RA</v>
      </c>
      <c r="K217" s="2" t="str">
        <f>HYPERLINK(".\links\pep\AGAP011923-PA-pep.txt","AGAP011923-PA")</f>
        <v>AGAP011923-PA</v>
      </c>
      <c r="L217" s="8" t="s">
        <v>88</v>
      </c>
      <c r="M217" s="2">
        <v>62</v>
      </c>
      <c r="N217" s="2">
        <v>0</v>
      </c>
      <c r="O217" s="2">
        <v>1</v>
      </c>
      <c r="P217" s="2" t="s">
        <v>94</v>
      </c>
      <c r="Q217" s="2" t="s">
        <v>2613</v>
      </c>
      <c r="R217" s="2" t="s">
        <v>253</v>
      </c>
      <c r="S217" s="2" t="str">
        <f>HYPERLINK(".\links\REFSEQ-INVERTEBRATE\AGAP011923-PA-REFSEQ-INVERTEBRATE.txt","REFSEQ-INVERTEBRATE")</f>
        <v>REFSEQ-INVERTEBRATE</v>
      </c>
      <c r="T217" s="2">
        <v>1.0000000000000001E-32</v>
      </c>
      <c r="U217" s="2">
        <v>100</v>
      </c>
      <c r="V217" s="2" t="s">
        <v>2613</v>
      </c>
      <c r="W217" s="10" t="s">
        <v>1815</v>
      </c>
      <c r="X217" s="2" t="s">
        <v>253</v>
      </c>
      <c r="Y217" s="2" t="str">
        <f>HYPERLINK(".\links\ARTHORPODA\AGAP011923-PA-ARTHORPODA.txt","ARTHORPODA")</f>
        <v>ARTHORPODA</v>
      </c>
      <c r="Z217" s="13">
        <v>8.0000000000000003E-42</v>
      </c>
      <c r="AA217" s="2">
        <v>100</v>
      </c>
      <c r="AB217" s="8" t="s">
        <v>94</v>
      </c>
      <c r="AC217" s="8" t="str">
        <f>HYPERLINK(".\links\Sigp\AGAP011923-PA-SigP.txt","CYT")</f>
        <v>CYT</v>
      </c>
      <c r="AD217" s="2" t="s">
        <v>94</v>
      </c>
      <c r="AE217" s="2">
        <v>7.4589999999999996</v>
      </c>
      <c r="AF217" s="2">
        <v>7.74</v>
      </c>
      <c r="AG217" s="2" t="s">
        <v>94</v>
      </c>
      <c r="AH217" s="2" t="s">
        <v>94</v>
      </c>
      <c r="AI217" s="2" t="s">
        <v>2614</v>
      </c>
      <c r="AJ217" s="8">
        <v>0</v>
      </c>
      <c r="AK217" s="2" t="s">
        <v>94</v>
      </c>
      <c r="AL217" s="2" t="s">
        <v>94</v>
      </c>
      <c r="AM217" s="2" t="s">
        <v>94</v>
      </c>
      <c r="AN217" s="8" t="str">
        <f>HYPERLINK(".\links\gpi\AGAP011923-PA-gpi.txt","N")</f>
        <v>N</v>
      </c>
      <c r="AO217" s="8" t="str">
        <f>HYPERLINK(".\links\netoglyc\AGAP011923-PA-netoglyc.txt","0")</f>
        <v>0</v>
      </c>
      <c r="AP217" s="8">
        <v>8.1</v>
      </c>
      <c r="AQ217" s="2">
        <v>4.8</v>
      </c>
      <c r="AR217" s="2">
        <v>3.2</v>
      </c>
      <c r="AS217" s="2" t="s">
        <v>97</v>
      </c>
      <c r="AT217" s="2" t="str">
        <f>HYPERLINK(".\links\NR-LIGHT\AGAP011923-PA-NR-LIGHT.txt","AGAP011923-PA")</f>
        <v>AGAP011923-PA</v>
      </c>
      <c r="AU217" s="2" t="str">
        <f>HYPERLINK("http://www.ncbi.nlm.nih.gov/sutils/blink.cgi?pid=XP_001238347.1","1E-032")</f>
        <v>1E-032</v>
      </c>
      <c r="AV217" s="2" t="str">
        <f>HYPERLINK("http://www.ncbi.nlm.nih.gov/protein/XP_001238347.1","XP_001238347.1")</f>
        <v>XP_001238347.1</v>
      </c>
      <c r="AW217" s="2">
        <v>100</v>
      </c>
      <c r="AX217" s="2">
        <v>100</v>
      </c>
      <c r="AY217" s="2">
        <v>100</v>
      </c>
      <c r="AZ217" s="2" t="s">
        <v>98</v>
      </c>
      <c r="BA217" s="2" t="str">
        <f>HYPERLINK(".\links\REFSEQ-INVERTEBRATE\AGAP011923-PA-REFSEQ-INVERTEBRATE.txt","AGAP011923-PA")</f>
        <v>AGAP011923-PA</v>
      </c>
      <c r="BB217" s="2" t="str">
        <f>HYPERLINK("http://www.ncbi.nlm.nih.gov/sutils/blink.cgi?pid=XP_001238347.1","1E-032")</f>
        <v>1E-032</v>
      </c>
      <c r="BC217" s="2" t="str">
        <f>HYPERLINK("http://www.ncbi.nlm.nih.gov/protein/XP_001238347.1","XP_001238347.1")</f>
        <v>XP_001238347.1</v>
      </c>
      <c r="BD217" s="2">
        <v>100</v>
      </c>
      <c r="BE217" s="2">
        <v>100</v>
      </c>
      <c r="BF217" s="2">
        <v>100</v>
      </c>
      <c r="BG217" s="2" t="s">
        <v>98</v>
      </c>
      <c r="BH217" s="2" t="str">
        <f>HYPERLINK(".\links\REFSEQ-PROTOZOA\AGAP011923-PA-REFSEQ-PROTOZOA.txt","ubiquitin-conjugating enzyme subfamily protein")</f>
        <v>ubiquitin-conjugating enzyme subfamily protein</v>
      </c>
      <c r="BI217" s="2" t="str">
        <f>HYPERLINK("http://www.ncbi.nlm.nih.gov/sutils/blink.cgi?pid=XP_008883098.1","14")</f>
        <v>14</v>
      </c>
      <c r="BJ217" s="2" t="str">
        <f>HYPERLINK("http://www.ncbi.nlm.nih.gov/protein/XP_008883098.1","XP_008883098.1")</f>
        <v>XP_008883098.1</v>
      </c>
      <c r="BK217" s="2">
        <v>43</v>
      </c>
      <c r="BL217" s="2">
        <v>50</v>
      </c>
      <c r="BM217" s="2">
        <v>7</v>
      </c>
      <c r="BN217" s="2" t="s">
        <v>176</v>
      </c>
      <c r="BO217" s="2" t="str">
        <f>HYPERLINK(".\links\SWISSP\AGAP011923-PA-SWISSP.txt","Maturase K")</f>
        <v>Maturase K</v>
      </c>
      <c r="BP217" s="2" t="str">
        <f>HYPERLINK("http://www.uniprot.org/uniprot/Q9GHB1","3.5")</f>
        <v>3.5</v>
      </c>
      <c r="BQ217" s="2" t="str">
        <f>HYPERLINK("http://www.uniprot.org/uniprot/Q9GHB1#expression","Q9GHB1")</f>
        <v>Q9GHB1</v>
      </c>
      <c r="BR217" s="2">
        <v>45</v>
      </c>
      <c r="BS217" s="2">
        <v>62</v>
      </c>
      <c r="BT217" s="2">
        <v>5</v>
      </c>
      <c r="BU217" s="2" t="s">
        <v>2615</v>
      </c>
      <c r="BV217" s="2" t="str">
        <f>HYPERLINK(".\links\FLYBASE\AGAP011923-PA-FLYBASE.txt","FBpp0077305")</f>
        <v>FBpp0077305</v>
      </c>
      <c r="BW217" s="2" t="str">
        <f>HYPERLINK("http://flybase.org/reports/FBgn0031468#alliance_summary_container","0.066")</f>
        <v>0.066</v>
      </c>
      <c r="BX217" s="2">
        <v>385</v>
      </c>
      <c r="BY217" s="2">
        <v>36</v>
      </c>
      <c r="BZ217" s="2">
        <v>56</v>
      </c>
      <c r="CA217" s="2">
        <v>8</v>
      </c>
      <c r="CB217" s="2" t="s">
        <v>94</v>
      </c>
      <c r="CC217" s="13" t="s">
        <v>94</v>
      </c>
      <c r="CD217" s="2" t="s">
        <v>94</v>
      </c>
      <c r="CE217" s="2" t="s">
        <v>94</v>
      </c>
      <c r="CF217" s="2" t="s">
        <v>94</v>
      </c>
      <c r="CG217" s="2" t="str">
        <f>HYPERLINK(".\links\KOG\AGAP011923-PA-KOG.txt","Selenium-binding protein")</f>
        <v>Selenium-binding protein</v>
      </c>
      <c r="CH217" s="13">
        <v>1.8</v>
      </c>
      <c r="CI217" s="2">
        <v>8</v>
      </c>
      <c r="CJ217" s="2" t="s">
        <v>2616</v>
      </c>
      <c r="CK217" s="2" t="s">
        <v>641</v>
      </c>
      <c r="CL217" s="2" t="str">
        <f>HYPERLINK(".\links\PFAM\AGAP011923-PA-PFAM.txt","NicO, High-affinity nickel-transport protein")</f>
        <v>NicO, High-affinity nickel-transport protein</v>
      </c>
      <c r="CM217" s="13">
        <v>3.3</v>
      </c>
      <c r="CN217" s="2">
        <v>11.3</v>
      </c>
      <c r="CO217" s="2" t="s">
        <v>2617</v>
      </c>
      <c r="CP217" s="2" t="str">
        <f>HYPERLINK(".\links\SMART\AGAP011923-PA-SMART.txt","THN, Thaumatin family")</f>
        <v>THN, Thaumatin family</v>
      </c>
      <c r="CQ217" s="13">
        <v>5.9</v>
      </c>
      <c r="CR217" s="2">
        <v>4.5999999999999996</v>
      </c>
      <c r="CS217" s="2" t="s">
        <v>2618</v>
      </c>
      <c r="CT217" s="2" t="s">
        <v>2613</v>
      </c>
      <c r="CU217" s="2" t="s">
        <v>2613</v>
      </c>
      <c r="CV217" s="2" t="s">
        <v>2613</v>
      </c>
      <c r="CW217" s="2" t="str">
        <f>HYPERLINK(".\links\pep\AGAP011923-PA-pep.txt","AGAP011923-PA")</f>
        <v>AGAP011923-PA</v>
      </c>
      <c r="CX217" s="2" t="s">
        <v>88</v>
      </c>
      <c r="CY217" s="2">
        <v>62</v>
      </c>
      <c r="CZ217" s="2" t="s">
        <v>106</v>
      </c>
      <c r="DA217" s="2" t="s">
        <v>2619</v>
      </c>
      <c r="DB217" s="2">
        <v>0</v>
      </c>
      <c r="DC217" s="2">
        <v>1</v>
      </c>
      <c r="DD217" s="2" t="str">
        <f>HYPERLINK("https://www.kegg.jp/kegg-bin/search_pathway_text?map=aga&amp;keyword=AGAP011923&amp;mode=1&amp;viewImage=true","AGAP011923")</f>
        <v>AGAP011923</v>
      </c>
      <c r="DE217" s="2" t="s">
        <v>2612</v>
      </c>
      <c r="DF217" s="2" t="s">
        <v>167</v>
      </c>
      <c r="DG217" s="2" t="s">
        <v>87</v>
      </c>
      <c r="DH217" s="2" t="str">
        <f>HYPERLINK("https://vectorbase.org/vectorbase/app/record/gene/AGAP011923","AGAP011923-RA")</f>
        <v>AGAP011923-RA</v>
      </c>
      <c r="DI217" s="2" t="s">
        <v>108</v>
      </c>
      <c r="DJ217" s="2">
        <v>450</v>
      </c>
      <c r="DK217" s="2" t="str">
        <f>HYPERLINK(".\links\netoglyc\AGAP011923-PA-netoglyc.txt","0")</f>
        <v>0</v>
      </c>
      <c r="DL217" s="2">
        <v>8.1</v>
      </c>
      <c r="DM217" s="2">
        <v>4.8</v>
      </c>
      <c r="DN217" s="2">
        <v>3.2</v>
      </c>
      <c r="DO217" s="2" t="s">
        <v>97</v>
      </c>
      <c r="DP217" s="2" t="s">
        <v>94</v>
      </c>
      <c r="DQ217" s="2" t="str">
        <f>HYPERLINK(".\links\Sigp\AGAP011923-PA-SigP.txt","CYT")</f>
        <v>CYT</v>
      </c>
      <c r="DR217" s="2" t="s">
        <v>94</v>
      </c>
      <c r="DS217" s="2">
        <v>7.4589999999999996</v>
      </c>
      <c r="DT217" s="2">
        <v>7.74</v>
      </c>
      <c r="DU217" s="2" t="s">
        <v>94</v>
      </c>
      <c r="DV217" s="2" t="s">
        <v>94</v>
      </c>
      <c r="DW217" s="2" t="s">
        <v>2614</v>
      </c>
      <c r="DX217" s="2">
        <v>62</v>
      </c>
      <c r="DY217" s="8">
        <v>0</v>
      </c>
      <c r="DZ217" s="2" t="s">
        <v>94</v>
      </c>
      <c r="EA217" s="2" t="s">
        <v>94</v>
      </c>
      <c r="EB217" s="2" t="s">
        <v>94</v>
      </c>
      <c r="EC217" s="2" t="str">
        <f>HYPERLINK(".\links\gpi\AGAP011923-PA-gpi.txt","Y-NoSP")</f>
        <v>Y-NoSP</v>
      </c>
      <c r="ED217" s="2">
        <v>0.52</v>
      </c>
      <c r="EE217" s="2" t="s">
        <v>2620</v>
      </c>
      <c r="EF217" s="2">
        <v>3</v>
      </c>
      <c r="EG217" s="2" t="s">
        <v>94</v>
      </c>
      <c r="EH217" s="2" t="s">
        <v>94</v>
      </c>
      <c r="EI217" s="2">
        <v>8.0645161290322598</v>
      </c>
      <c r="EJ217" s="2">
        <v>3.2258064516128999</v>
      </c>
      <c r="EK217" s="2">
        <v>4.8387096774193603</v>
      </c>
      <c r="EL217" s="2">
        <v>8.0645161290322598</v>
      </c>
      <c r="EM217" s="2" t="s">
        <v>94</v>
      </c>
      <c r="EN217" s="2" t="s">
        <v>94</v>
      </c>
      <c r="EO217" s="2" t="s">
        <v>94</v>
      </c>
      <c r="EP217" s="2" t="s">
        <v>94</v>
      </c>
      <c r="EQ217" s="2" t="s">
        <v>94</v>
      </c>
      <c r="ER217" s="2" t="s">
        <v>94</v>
      </c>
      <c r="ES217" s="2" t="s">
        <v>94</v>
      </c>
      <c r="ET217" s="2" t="str">
        <f>HYPERLINK(".\links\REFSEQ-INVERTEBRATE\AGAP011923-PA-REFSEQ-INVERTEBRATE.txt","AGAP011923-PA")</f>
        <v>AGAP011923-PA</v>
      </c>
      <c r="EU217" s="2" t="str">
        <f>HYPERLINK("http://www.ncbi.nlm.nih.gov/sutils/blink.cgi?pid=XP_001238347.1","1E-41")</f>
        <v>1E-41</v>
      </c>
      <c r="EV217" s="2" t="str">
        <f>HYPERLINK("http://www.ncbi.nlm.nih.gov/protein/XP_001238347.1","XP_001238347.1")</f>
        <v>XP_001238347.1</v>
      </c>
      <c r="EW217" s="2">
        <v>100</v>
      </c>
      <c r="EX217" s="2">
        <v>100</v>
      </c>
      <c r="EY217" s="2">
        <v>100</v>
      </c>
      <c r="EZ217" s="2" t="s">
        <v>98</v>
      </c>
    </row>
    <row r="218" spans="1:156" x14ac:dyDescent="0.25">
      <c r="A218" s="2" t="s">
        <v>2621</v>
      </c>
      <c r="B218" s="2">
        <v>-0.86398452118823199</v>
      </c>
      <c r="C218" s="2">
        <v>0.54943300367556358</v>
      </c>
      <c r="D218" s="2">
        <v>3.8772612085723699</v>
      </c>
      <c r="E218" s="2">
        <v>22.041445380712499</v>
      </c>
      <c r="F218" s="2">
        <v>2.66826218893712E-6</v>
      </c>
      <c r="G218" s="2">
        <v>4.67291768903303E-4</v>
      </c>
      <c r="H218" s="2" t="s">
        <v>167</v>
      </c>
      <c r="I218" s="2" t="s">
        <v>87</v>
      </c>
      <c r="J218" s="2" t="str">
        <f>HYPERLINK("https://vectorbase.org/vectorbase/app/record/gene/AGAP029623","AGAP029623-RA")</f>
        <v>AGAP029623-RA</v>
      </c>
      <c r="K218" s="2" t="str">
        <f>HYPERLINK(".\links\pep\AGAP029623-PA-pep.txt","AGAP029623-PA")</f>
        <v>AGAP029623-PA</v>
      </c>
      <c r="L218" s="8" t="s">
        <v>88</v>
      </c>
      <c r="M218" s="2">
        <v>327</v>
      </c>
      <c r="N218" s="2">
        <v>0</v>
      </c>
      <c r="O218" s="2">
        <v>0</v>
      </c>
      <c r="P218" s="2" t="s">
        <v>94</v>
      </c>
      <c r="Q218" s="2" t="s">
        <v>2622</v>
      </c>
      <c r="R218" s="2" t="s">
        <v>395</v>
      </c>
      <c r="S218" s="2" t="str">
        <f>HYPERLINK(".\links\REFSEQ-INVERTEBRATE\AGAP029623-PA-REFSEQ-INVERTEBRATE.txt","REFSEQ-INVERTEBRATE")</f>
        <v>REFSEQ-INVERTEBRATE</v>
      </c>
      <c r="T218" s="2">
        <v>0</v>
      </c>
      <c r="U218" s="2">
        <v>94.6</v>
      </c>
      <c r="V218" s="2" t="s">
        <v>2623</v>
      </c>
      <c r="W218" s="10" t="s">
        <v>2624</v>
      </c>
      <c r="X218" s="2" t="s">
        <v>395</v>
      </c>
      <c r="Y218" s="2" t="str">
        <f>HYPERLINK(".\links\REFSEQ-INVERTEBRATE\AGAP029623-PA-REFSEQ-INVERTEBRATE.txt","REFSEQ-INVERTEBRATE")</f>
        <v>REFSEQ-INVERTEBRATE</v>
      </c>
      <c r="Z218" s="13">
        <v>0</v>
      </c>
      <c r="AA218" s="2">
        <v>100.6</v>
      </c>
      <c r="AB218" s="8" t="str">
        <f>HYPERLINK(".\links\pep\AGAP029623-PA-sulf.txt","2")</f>
        <v>2</v>
      </c>
      <c r="AC218" s="8" t="str">
        <f>HYPERLINK(".\links\Sigp\AGAP029623-PA-SigP.txt","CYT")</f>
        <v>CYT</v>
      </c>
      <c r="AD218" s="2" t="s">
        <v>94</v>
      </c>
      <c r="AE218" s="2">
        <v>37.811999999999998</v>
      </c>
      <c r="AF218" s="2">
        <v>5.93</v>
      </c>
      <c r="AG218" s="2" t="s">
        <v>94</v>
      </c>
      <c r="AH218" s="2" t="s">
        <v>94</v>
      </c>
      <c r="AI218" s="2" t="s">
        <v>348</v>
      </c>
      <c r="AJ218" s="8">
        <v>0</v>
      </c>
      <c r="AK218" s="2" t="s">
        <v>94</v>
      </c>
      <c r="AL218" s="2" t="s">
        <v>94</v>
      </c>
      <c r="AM218" s="2" t="s">
        <v>94</v>
      </c>
      <c r="AN218" s="2" t="str">
        <f>HYPERLINK(".\links\gpi\AGAP029623-PA-gpi.txt","N")</f>
        <v>N</v>
      </c>
      <c r="AO218" s="8" t="str">
        <f>HYPERLINK(".\links\netoglyc\AGAP029623-PA-netoglyc.txt","1")</f>
        <v>1</v>
      </c>
      <c r="AP218" s="8">
        <v>11.3</v>
      </c>
      <c r="AQ218" s="2">
        <v>3.7</v>
      </c>
      <c r="AR218" s="2">
        <v>4.9000000000000004</v>
      </c>
      <c r="AS218" s="2" t="s">
        <v>97</v>
      </c>
      <c r="AT218" s="2" t="str">
        <f>HYPERLINK(".\links\NR-LIGHT\AGAP029623-PA-NR-LIGHT.txt","AGAP010987-PA, partial")</f>
        <v>AGAP010987-PA, partial</v>
      </c>
      <c r="AU218" s="2" t="str">
        <f>HYPERLINK("http://www.ncbi.nlm.nih.gov/sutils/blink.cgi?pid=XP_309706.4","1E-178")</f>
        <v>1E-178</v>
      </c>
      <c r="AV218" s="2" t="str">
        <f>HYPERLINK("http://www.ncbi.nlm.nih.gov/protein/XP_309706.4","XP_309706.4")</f>
        <v>XP_309706.4</v>
      </c>
      <c r="AW218" s="2">
        <v>96</v>
      </c>
      <c r="AX218" s="2">
        <v>98</v>
      </c>
      <c r="AY218" s="2">
        <v>93</v>
      </c>
      <c r="AZ218" s="2" t="s">
        <v>98</v>
      </c>
      <c r="BA218" s="2" t="str">
        <f>HYPERLINK(".\links\REFSEQ-INVERTEBRATE\AGAP029623-PA-REFSEQ-INVERTEBRATE.txt","AGAP010987-PA, partial")</f>
        <v>AGAP010987-PA, partial</v>
      </c>
      <c r="BB218" s="2" t="str">
        <f>HYPERLINK("http://www.ncbi.nlm.nih.gov/sutils/blink.cgi?pid=XP_309706.4","1E-178")</f>
        <v>1E-178</v>
      </c>
      <c r="BC218" s="2" t="str">
        <f>HYPERLINK("http://www.ncbi.nlm.nih.gov/protein/XP_309706.4","XP_309706.4")</f>
        <v>XP_309706.4</v>
      </c>
      <c r="BD218" s="2">
        <v>96</v>
      </c>
      <c r="BE218" s="2">
        <v>98</v>
      </c>
      <c r="BF218" s="2">
        <v>93</v>
      </c>
      <c r="BG218" s="2" t="s">
        <v>98</v>
      </c>
      <c r="BH218" s="2" t="str">
        <f>HYPERLINK(".\links\REFSEQ-PROTOZOA\AGAP029623-PA-REFSEQ-PROTOZOA.txt","hypothetical protein EMIHUDRAFT_235496")</f>
        <v>hypothetical protein EMIHUDRAFT_235496</v>
      </c>
      <c r="BI218" s="2" t="str">
        <f>HYPERLINK("http://www.ncbi.nlm.nih.gov/sutils/blink.cgi?pid=XP_005780057.1","1E-044")</f>
        <v>1E-044</v>
      </c>
      <c r="BJ218" s="2" t="str">
        <f>HYPERLINK("http://www.ncbi.nlm.nih.gov/protein/XP_005780057.1","XP_005780057.1")</f>
        <v>XP_005780057.1</v>
      </c>
      <c r="BK218" s="2">
        <v>39</v>
      </c>
      <c r="BL218" s="2">
        <v>56</v>
      </c>
      <c r="BM218" s="2">
        <v>61</v>
      </c>
      <c r="BN218" s="2" t="s">
        <v>2625</v>
      </c>
      <c r="BO218" s="2" t="str">
        <f>HYPERLINK(".\links\SWISSP\AGAP029623-PA-SWISSP.txt","Sulfotransferase 1C2")</f>
        <v>Sulfotransferase 1C2</v>
      </c>
      <c r="BP218" s="2" t="str">
        <f>HYPERLINK("http://www.uniprot.org/uniprot/Q9D939","4E-041")</f>
        <v>4E-041</v>
      </c>
      <c r="BQ218" s="2" t="str">
        <f>HYPERLINK("http://www.uniprot.org/uniprot/Q9D939#expression","Q9D939")</f>
        <v>Q9D939</v>
      </c>
      <c r="BR218" s="2">
        <v>34</v>
      </c>
      <c r="BS218" s="2">
        <v>52</v>
      </c>
      <c r="BT218" s="2">
        <v>92</v>
      </c>
      <c r="BU218" s="2" t="s">
        <v>339</v>
      </c>
      <c r="BV218" s="2" t="str">
        <f>HYPERLINK(".\links\FLYBASE\AGAP029623-PA-FLYBASE.txt","FBpp0113033")</f>
        <v>FBpp0113033</v>
      </c>
      <c r="BW218" s="2" t="str">
        <f>HYPERLINK("http://flybase.org/reports/FBgn0034887#alliance_summary_container","1E-90")</f>
        <v>1E-90</v>
      </c>
      <c r="BX218" s="2">
        <v>338</v>
      </c>
      <c r="BY218" s="2">
        <v>45</v>
      </c>
      <c r="BZ218" s="2">
        <v>65</v>
      </c>
      <c r="CA218" s="2">
        <v>82</v>
      </c>
      <c r="CB218" s="2" t="str">
        <f>HYPERLINK(".\links\CDD\AGAP029623-PA-CDD.txt","Sulfotransfer_1, Sulfotransferase domain")</f>
        <v>Sulfotransfer_1, Sulfotransferase domain</v>
      </c>
      <c r="CC218" s="13">
        <v>7.9999999999999997E-64</v>
      </c>
      <c r="CD218" s="2">
        <v>102.4</v>
      </c>
      <c r="CE218" s="2" t="s">
        <v>2626</v>
      </c>
      <c r="CF218" s="2" t="s">
        <v>2627</v>
      </c>
      <c r="CG218" s="2" t="str">
        <f>HYPERLINK(".\links\KOG\AGAP029623-PA-KOG.txt","Sulfotransferase")</f>
        <v>Sulfotransferase</v>
      </c>
      <c r="CH218" s="13">
        <v>6.0000000000000001E-74</v>
      </c>
      <c r="CI218" s="2">
        <v>91.2</v>
      </c>
      <c r="CJ218" s="2" t="s">
        <v>2628</v>
      </c>
      <c r="CK218" s="2" t="s">
        <v>122</v>
      </c>
      <c r="CL218" s="2" t="str">
        <f>HYPERLINK(".\links\PFAM\AGAP029623-PA-PFAM.txt","Sulfotransfer_1, Sulfotransferase domain")</f>
        <v>Sulfotransfer_1, Sulfotransferase domain</v>
      </c>
      <c r="CM218" s="13">
        <v>1.9999999999999999E-64</v>
      </c>
      <c r="CN218" s="2">
        <v>102.4</v>
      </c>
      <c r="CO218" s="2" t="s">
        <v>2626</v>
      </c>
      <c r="CP218" s="2" t="str">
        <f>HYPERLINK(".\links\SMART\AGAP029623-PA-SMART.txt","IL10, Interleukin-10 family")</f>
        <v>IL10, Interleukin-10 family</v>
      </c>
      <c r="CQ218" s="13">
        <v>1.2</v>
      </c>
      <c r="CR218" s="2">
        <v>20.399999999999999</v>
      </c>
      <c r="CS218" s="2" t="s">
        <v>2629</v>
      </c>
      <c r="CT218" s="2" t="s">
        <v>2623</v>
      </c>
      <c r="CU218" s="2" t="s">
        <v>2623</v>
      </c>
      <c r="CV218" s="2" t="s">
        <v>2623</v>
      </c>
      <c r="CW218" s="2" t="str">
        <f>HYPERLINK(".\links\pep\AGAP029623-PA-pep.txt","AGAP029623-PA")</f>
        <v>AGAP029623-PA</v>
      </c>
      <c r="CX218" s="2" t="s">
        <v>88</v>
      </c>
      <c r="CY218" s="2">
        <v>327</v>
      </c>
      <c r="CZ218" s="2" t="s">
        <v>106</v>
      </c>
      <c r="DA218" s="2" t="s">
        <v>2630</v>
      </c>
      <c r="DB218" s="2">
        <v>0</v>
      </c>
      <c r="DC218" s="2">
        <v>0</v>
      </c>
      <c r="DD218" s="2" t="str">
        <f>HYPERLINK("https://www.kegg.jp/kegg-bin/search_pathway_text?map=aga&amp;keyword=AGAP029623&amp;mode=1&amp;viewImage=true","AGAP029623")</f>
        <v>AGAP029623</v>
      </c>
      <c r="DE218" s="2" t="s">
        <v>2621</v>
      </c>
      <c r="DF218" s="2" t="s">
        <v>167</v>
      </c>
      <c r="DG218" s="2" t="s">
        <v>87</v>
      </c>
      <c r="DH218" s="2" t="str">
        <f>HYPERLINK("https://vectorbase.org/vectorbase/app/record/gene/AGAP029623","AGAP029623-RA")</f>
        <v>AGAP029623-RA</v>
      </c>
      <c r="DI218" s="2" t="s">
        <v>125</v>
      </c>
      <c r="DJ218" s="2">
        <v>1589</v>
      </c>
      <c r="DK218" s="2" t="str">
        <f>HYPERLINK(".\links\netoglyc\AGAP029623-PA-netoglyc.txt","1")</f>
        <v>1</v>
      </c>
      <c r="DL218" s="2">
        <v>11.3</v>
      </c>
      <c r="DM218" s="2">
        <v>3.7</v>
      </c>
      <c r="DN218" s="2">
        <v>4.9000000000000004</v>
      </c>
      <c r="DO218" s="2" t="s">
        <v>97</v>
      </c>
      <c r="DP218" s="2" t="s">
        <v>2631</v>
      </c>
      <c r="DQ218" s="2" t="str">
        <f>HYPERLINK(".\links\Sigp\AGAP029623-PA-SigP.txt","CYT")</f>
        <v>CYT</v>
      </c>
      <c r="DR218" s="2" t="s">
        <v>94</v>
      </c>
      <c r="DS218" s="2">
        <v>37.811999999999998</v>
      </c>
      <c r="DT218" s="2">
        <v>5.93</v>
      </c>
      <c r="DU218" s="2" t="s">
        <v>94</v>
      </c>
      <c r="DV218" s="2" t="s">
        <v>94</v>
      </c>
      <c r="DW218" s="2" t="s">
        <v>348</v>
      </c>
      <c r="DX218" s="2">
        <v>327</v>
      </c>
      <c r="DY218" s="8">
        <v>0</v>
      </c>
      <c r="DZ218" s="2" t="s">
        <v>94</v>
      </c>
      <c r="EA218" s="2" t="s">
        <v>94</v>
      </c>
      <c r="EB218" s="2" t="s">
        <v>94</v>
      </c>
      <c r="EC218" s="2" t="str">
        <f>HYPERLINK(".\links\gpi\AGAP029623-PA-gpi.txt","N")</f>
        <v>N</v>
      </c>
      <c r="ED218" s="2">
        <v>0.22</v>
      </c>
      <c r="EF218" s="2">
        <v>4</v>
      </c>
      <c r="EG218" s="2" t="str">
        <f>HYPERLINK(".\links\pep\AGAP029623-PA-sulf.txt","2")</f>
        <v>2</v>
      </c>
      <c r="EH218" s="2" t="s">
        <v>94</v>
      </c>
      <c r="EI218" s="2">
        <v>11.3149847094801</v>
      </c>
      <c r="EJ218" s="2">
        <v>4.8929663608562697</v>
      </c>
      <c r="EK218" s="2">
        <v>3.6697247706421998</v>
      </c>
      <c r="EL218" s="2">
        <v>8.5626911314984699</v>
      </c>
      <c r="EM218" s="2" t="s">
        <v>94</v>
      </c>
      <c r="EN218" s="2">
        <v>1</v>
      </c>
      <c r="EO218" s="2">
        <v>1</v>
      </c>
      <c r="EP218" s="2" t="s">
        <v>94</v>
      </c>
      <c r="EQ218" s="2" t="s">
        <v>94</v>
      </c>
      <c r="ER218" s="2" t="s">
        <v>94</v>
      </c>
      <c r="ES218" s="2" t="s">
        <v>94</v>
      </c>
      <c r="ET218" s="2" t="str">
        <f>HYPERLINK(".\links\REFSEQ-INVERTEBRATE\AGAP029623-PA-REFSEQ-INVERTEBRATE.txt","AGAP010987-PA, partial")</f>
        <v>AGAP010987-PA, partial</v>
      </c>
      <c r="EU218" s="2" t="str">
        <f>HYPERLINK("http://www.ncbi.nlm.nih.gov/sutils/blink.cgi?pid=XP_309706.4","0.0")</f>
        <v>0.0</v>
      </c>
      <c r="EV218" s="2" t="str">
        <f>HYPERLINK("http://www.ncbi.nlm.nih.gov/protein/XP_309706.4","XP_309706.4")</f>
        <v>XP_309706.4</v>
      </c>
      <c r="EW218" s="2">
        <v>96</v>
      </c>
      <c r="EX218" s="2">
        <v>98</v>
      </c>
      <c r="EY218" s="2">
        <v>93</v>
      </c>
      <c r="EZ218" s="2" t="s">
        <v>98</v>
      </c>
    </row>
    <row r="219" spans="1:156" x14ac:dyDescent="0.25">
      <c r="A219" s="2" t="s">
        <v>2632</v>
      </c>
      <c r="B219" s="2">
        <v>-0.86982608799931405</v>
      </c>
      <c r="C219" s="2">
        <v>0.54721281130558275</v>
      </c>
      <c r="D219" s="2">
        <v>7.6234391396273598</v>
      </c>
      <c r="E219" s="2">
        <v>25.7528107364442</v>
      </c>
      <c r="F219" s="2">
        <v>3.8806145041678602E-7</v>
      </c>
      <c r="G219" s="2">
        <v>1.07938151076222E-4</v>
      </c>
      <c r="H219" s="2" t="s">
        <v>2633</v>
      </c>
      <c r="I219" s="2" t="s">
        <v>87</v>
      </c>
      <c r="J219" s="2" t="str">
        <f>HYPERLINK("https://vectorbase.org/vectorbase/app/record/gene/AGAP004382","AGAP004382-RA")</f>
        <v>AGAP004382-RA</v>
      </c>
      <c r="K219" s="2" t="str">
        <f>HYPERLINK(".\links\pep\AGAP004382-PA-pep.txt","AGAP004382-PA")</f>
        <v>AGAP004382-PA</v>
      </c>
      <c r="L219" s="8" t="s">
        <v>88</v>
      </c>
      <c r="M219" s="2">
        <v>210</v>
      </c>
      <c r="N219" s="2">
        <v>0</v>
      </c>
      <c r="O219" s="2">
        <v>2</v>
      </c>
      <c r="P219" s="2" t="s">
        <v>2634</v>
      </c>
      <c r="Q219" s="2" t="s">
        <v>2635</v>
      </c>
      <c r="R219" s="2" t="s">
        <v>395</v>
      </c>
      <c r="S219" s="2" t="str">
        <f>HYPERLINK(".\links\NR-LIGHT\AGAP004382-PA-NR-LIGHT.txt","NR-LIGHT")</f>
        <v>NR-LIGHT</v>
      </c>
      <c r="T219" s="2">
        <v>0</v>
      </c>
      <c r="U219" s="2">
        <v>100</v>
      </c>
      <c r="V219" s="2" t="s">
        <v>2636</v>
      </c>
      <c r="W219" s="10" t="s">
        <v>2637</v>
      </c>
      <c r="X219" s="2" t="s">
        <v>395</v>
      </c>
      <c r="Y219" s="2" t="str">
        <f>HYPERLINK(".\links\ARTHORPODA\AGAP004382-PA-ARTHORPODA.txt","ARTHORPODA")</f>
        <v>ARTHORPODA</v>
      </c>
      <c r="Z219" s="2">
        <v>0</v>
      </c>
      <c r="AA219" s="2">
        <v>100</v>
      </c>
      <c r="AB219" s="8" t="s">
        <v>94</v>
      </c>
      <c r="AC219" s="8" t="str">
        <f>HYPERLINK(".\links\Sigp\AGAP004382-PA-SigP.txt","CYT")</f>
        <v>CYT</v>
      </c>
      <c r="AD219" s="2" t="s">
        <v>94</v>
      </c>
      <c r="AE219" s="2">
        <v>24.030999999999999</v>
      </c>
      <c r="AF219" s="2">
        <v>6.17</v>
      </c>
      <c r="AG219" s="2" t="s">
        <v>94</v>
      </c>
      <c r="AH219" s="2" t="s">
        <v>94</v>
      </c>
      <c r="AI219" s="2" t="s">
        <v>2638</v>
      </c>
      <c r="AJ219" s="8">
        <v>0</v>
      </c>
      <c r="AK219" s="2" t="s">
        <v>94</v>
      </c>
      <c r="AL219" s="2" t="s">
        <v>94</v>
      </c>
      <c r="AM219" s="2" t="s">
        <v>94</v>
      </c>
      <c r="AN219" s="8" t="str">
        <f>HYPERLINK(".\links\gpi\AGAP004382-PA-gpi.txt","N")</f>
        <v>N</v>
      </c>
      <c r="AO219" s="8" t="str">
        <f>HYPERLINK(".\links\netoglyc\AGAP004382-PA-netoglyc.txt","0")</f>
        <v>0</v>
      </c>
      <c r="AP219" s="8">
        <v>10.5</v>
      </c>
      <c r="AQ219" s="2">
        <v>3.3</v>
      </c>
      <c r="AR219" s="2">
        <v>5.2</v>
      </c>
      <c r="AS219" s="2" t="s">
        <v>97</v>
      </c>
      <c r="AT219" s="2" t="str">
        <f>HYPERLINK(".\links\NR-LIGHT\AGAP004382-PA-NR-LIGHT.txt","AGAP004382-PA")</f>
        <v>AGAP004382-PA</v>
      </c>
      <c r="AU219" s="2" t="str">
        <f>HYPERLINK("http://www.ncbi.nlm.nih.gov/sutils/blink.cgi?pid=XP_313667.3","1E-118")</f>
        <v>1E-118</v>
      </c>
      <c r="AV219" s="2" t="str">
        <f>HYPERLINK("http://www.ncbi.nlm.nih.gov/protein/XP_313667.3","XP_313667.3")</f>
        <v>XP_313667.3</v>
      </c>
      <c r="AW219" s="2">
        <v>100</v>
      </c>
      <c r="AX219" s="2">
        <v>100</v>
      </c>
      <c r="AY219" s="2">
        <v>100</v>
      </c>
      <c r="AZ219" s="2" t="s">
        <v>98</v>
      </c>
      <c r="BA219" s="2" t="str">
        <f>HYPERLINK(".\links\REFSEQ-INVERTEBRATE\AGAP004382-PA-REFSEQ-INVERTEBRATE.txt","AGAP004382-PA")</f>
        <v>AGAP004382-PA</v>
      </c>
      <c r="BB219" s="2" t="str">
        <f>HYPERLINK("http://www.ncbi.nlm.nih.gov/sutils/blink.cgi?pid=XP_313667.3","1E-118")</f>
        <v>1E-118</v>
      </c>
      <c r="BC219" s="2" t="str">
        <f>HYPERLINK("http://www.ncbi.nlm.nih.gov/protein/XP_313667.3","XP_313667.3")</f>
        <v>XP_313667.3</v>
      </c>
      <c r="BD219" s="2">
        <v>100</v>
      </c>
      <c r="BE219" s="2">
        <v>100</v>
      </c>
      <c r="BF219" s="2">
        <v>100</v>
      </c>
      <c r="BG219" s="2" t="s">
        <v>98</v>
      </c>
      <c r="BH219" s="2" t="str">
        <f>HYPERLINK(".\links\REFSEQ-PROTOZOA\AGAP004382-PA-REFSEQ-PROTOZOA.txt","conserved hypothetical protein")</f>
        <v>conserved hypothetical protein</v>
      </c>
      <c r="BI219" s="2" t="str">
        <f>HYPERLINK("http://www.ncbi.nlm.nih.gov/sutils/blink.cgi?pid=XP_002900508.1","4E-014")</f>
        <v>4E-014</v>
      </c>
      <c r="BJ219" s="2" t="str">
        <f>HYPERLINK("http://www.ncbi.nlm.nih.gov/protein/XP_002900508.1","XP_002900508.1")</f>
        <v>XP_002900508.1</v>
      </c>
      <c r="BK219" s="2">
        <v>29</v>
      </c>
      <c r="BL219" s="2">
        <v>44</v>
      </c>
      <c r="BM219" s="2">
        <v>98</v>
      </c>
      <c r="BN219" s="2" t="s">
        <v>2047</v>
      </c>
      <c r="BO219" s="2" t="str">
        <f>HYPERLINK(".\links\SWISSP\AGAP004382-PA-SWISSP.txt","Glutathione S-transferase D5")</f>
        <v>Glutathione S-transferase D5</v>
      </c>
      <c r="BP219" s="2" t="str">
        <f>HYPERLINK("http://www.uniprot.org/uniprot/Q9VG95","7E-045")</f>
        <v>7E-045</v>
      </c>
      <c r="BQ219" s="2" t="str">
        <f>HYPERLINK("http://www.uniprot.org/uniprot/Q9VG95#expression","Q9VG95")</f>
        <v>Q9VG95</v>
      </c>
      <c r="BR219" s="2">
        <v>45</v>
      </c>
      <c r="BS219" s="2">
        <v>62</v>
      </c>
      <c r="BT219" s="2">
        <v>95</v>
      </c>
      <c r="BU219" s="2" t="s">
        <v>100</v>
      </c>
      <c r="BV219" s="2" t="str">
        <f>HYPERLINK(".\links\FLYBASE\AGAP004382-PA-FLYBASE.txt","FBpp0082044")</f>
        <v>FBpp0082044</v>
      </c>
      <c r="BW219" s="2" t="str">
        <f>HYPERLINK("http://flybase.org/reports/FBgn0010041#alliance_summary_container","1E-58")</f>
        <v>1E-58</v>
      </c>
      <c r="BX219" s="2">
        <v>216</v>
      </c>
      <c r="BY219" s="2">
        <v>44</v>
      </c>
      <c r="BZ219" s="2">
        <v>61</v>
      </c>
      <c r="CA219" s="2">
        <v>99</v>
      </c>
      <c r="CB219" s="2" t="str">
        <f>HYPERLINK(".\links\CDD\AGAP004382-PA-CDD.txt","GST_C_Delta_Epsilon, C-terminal, alpha helical domain of Class Delta and Epsilon Glutathione S-transferases")</f>
        <v>GST_C_Delta_Epsilon, C-terminal, alpha helical domain of Class Delta and Epsilon Glutathione S-transferases</v>
      </c>
      <c r="CC219" s="13">
        <v>4.9999999999999996E-35</v>
      </c>
      <c r="CD219" s="2">
        <v>99.1</v>
      </c>
      <c r="CE219" s="2" t="s">
        <v>2321</v>
      </c>
      <c r="CF219" s="2" t="s">
        <v>2639</v>
      </c>
      <c r="CG219" s="2" t="str">
        <f>HYPERLINK(".\links\KOG\AGAP004382-PA-KOG.txt","Glutathione S-transferase")</f>
        <v>Glutathione S-transferase</v>
      </c>
      <c r="CH219" s="13">
        <v>1E-35</v>
      </c>
      <c r="CI219" s="2">
        <v>98.2</v>
      </c>
      <c r="CJ219" s="2" t="s">
        <v>2323</v>
      </c>
      <c r="CK219" s="2" t="s">
        <v>214</v>
      </c>
      <c r="CL219" s="2" t="str">
        <f>HYPERLINK(".\links\PFAM\AGAP004382-PA-PFAM.txt","GST_C, Glutathione S-transferase, C-terminal domain")</f>
        <v>GST_C, Glutathione S-transferase, C-terminal domain</v>
      </c>
      <c r="CM219" s="13">
        <v>1.9999999999999999E-7</v>
      </c>
      <c r="CN219" s="2">
        <v>76.3</v>
      </c>
      <c r="CO219" s="2" t="s">
        <v>2640</v>
      </c>
      <c r="CP219" s="2" t="str">
        <f>HYPERLINK(".\links\SMART\AGAP004382-PA-SMART.txt","Pro_CA, Carbonic anhydrase")</f>
        <v>Pro_CA, Carbonic anhydrase</v>
      </c>
      <c r="CQ219" s="13">
        <v>0.31</v>
      </c>
      <c r="CR219" s="2">
        <v>43.5</v>
      </c>
      <c r="CS219" s="2" t="s">
        <v>2641</v>
      </c>
      <c r="CT219" s="2" t="s">
        <v>2636</v>
      </c>
      <c r="CU219" s="2" t="s">
        <v>2636</v>
      </c>
      <c r="CV219" s="2" t="s">
        <v>2636</v>
      </c>
      <c r="CW219" s="2" t="str">
        <f>HYPERLINK(".\links\pep\AGAP004382-PA-pep.txt","AGAP004382-PA")</f>
        <v>AGAP004382-PA</v>
      </c>
      <c r="CX219" s="2" t="s">
        <v>88</v>
      </c>
      <c r="CY219" s="2">
        <v>210</v>
      </c>
      <c r="CZ219" s="2" t="s">
        <v>106</v>
      </c>
      <c r="DA219" s="2" t="s">
        <v>2642</v>
      </c>
      <c r="DB219" s="2">
        <v>0</v>
      </c>
      <c r="DC219" s="2">
        <v>2</v>
      </c>
      <c r="DD219" s="2" t="str">
        <f>HYPERLINK("https://www.kegg.jp/kegg-bin/search_pathway_text?map=aga&amp;keyword=AGAP004382&amp;mode=1&amp;viewImage=true","AGAP004382")</f>
        <v>AGAP004382</v>
      </c>
      <c r="DE219" s="2" t="s">
        <v>2632</v>
      </c>
      <c r="DF219" s="2" t="s">
        <v>2633</v>
      </c>
      <c r="DG219" s="2" t="s">
        <v>87</v>
      </c>
      <c r="DH219" s="2" t="str">
        <f>HYPERLINK("https://vectorbase.org/vectorbase/app/record/gene/AGAP004382","AGAP004382-RA")</f>
        <v>AGAP004382-RA</v>
      </c>
      <c r="DI219" s="2" t="s">
        <v>108</v>
      </c>
      <c r="DJ219" s="2">
        <v>829</v>
      </c>
      <c r="DK219" s="2" t="str">
        <f>HYPERLINK(".\links\netoglyc\AGAP004382-PA-netoglyc.txt","0")</f>
        <v>0</v>
      </c>
      <c r="DL219" s="2">
        <v>10.5</v>
      </c>
      <c r="DM219" s="2">
        <v>3.3</v>
      </c>
      <c r="DN219" s="2">
        <v>5.2</v>
      </c>
      <c r="DO219" s="2" t="s">
        <v>97</v>
      </c>
      <c r="DP219" s="2" t="s">
        <v>94</v>
      </c>
      <c r="DQ219" s="2" t="str">
        <f>HYPERLINK(".\links\Sigp\AGAP004382-PA-SigP.txt","CYT")</f>
        <v>CYT</v>
      </c>
      <c r="DR219" s="2" t="s">
        <v>94</v>
      </c>
      <c r="DS219" s="2">
        <v>24.030999999999999</v>
      </c>
      <c r="DT219" s="2">
        <v>6.17</v>
      </c>
      <c r="DU219" s="2" t="s">
        <v>94</v>
      </c>
      <c r="DV219" s="2" t="s">
        <v>94</v>
      </c>
      <c r="DW219" s="2" t="s">
        <v>2638</v>
      </c>
      <c r="DX219" s="2">
        <v>210</v>
      </c>
      <c r="DY219" s="8">
        <v>0</v>
      </c>
      <c r="DZ219" s="2" t="s">
        <v>94</v>
      </c>
      <c r="EA219" s="2" t="s">
        <v>94</v>
      </c>
      <c r="EB219" s="2" t="s">
        <v>94</v>
      </c>
      <c r="EC219" s="2" t="str">
        <f>HYPERLINK(".\links\gpi\AGAP004382-PA-gpi.txt","N")</f>
        <v>N</v>
      </c>
      <c r="ED219" s="2">
        <v>0.35</v>
      </c>
      <c r="EF219" s="2">
        <v>2</v>
      </c>
      <c r="EG219" s="2" t="s">
        <v>94</v>
      </c>
      <c r="EH219" s="2" t="s">
        <v>94</v>
      </c>
      <c r="EI219" s="2">
        <v>10.476190476190499</v>
      </c>
      <c r="EJ219" s="2">
        <v>5.2380952380952399</v>
      </c>
      <c r="EK219" s="2">
        <v>3.3333333333333299</v>
      </c>
      <c r="EL219" s="2">
        <v>8.5714285714285694</v>
      </c>
      <c r="EM219" s="2" t="s">
        <v>94</v>
      </c>
      <c r="EN219" s="2">
        <v>1</v>
      </c>
      <c r="EO219" s="2">
        <v>1</v>
      </c>
      <c r="EP219" s="2" t="s">
        <v>94</v>
      </c>
      <c r="EQ219" s="2" t="s">
        <v>94</v>
      </c>
      <c r="ER219" s="2" t="s">
        <v>94</v>
      </c>
      <c r="ES219" s="2" t="s">
        <v>94</v>
      </c>
      <c r="ET219" s="2" t="str">
        <f>HYPERLINK(".\links\REFSEQ-INVERTEBRATE\AGAP004382-PA-REFSEQ-INVERTEBRATE.txt","AGAP004382-PA")</f>
        <v>AGAP004382-PA</v>
      </c>
      <c r="EU219" s="2" t="str">
        <f>HYPERLINK("http://www.ncbi.nlm.nih.gov/sutils/blink.cgi?pid=XP_313667.3","1E-154")</f>
        <v>1E-154</v>
      </c>
      <c r="EV219" s="2" t="str">
        <f>HYPERLINK("http://www.ncbi.nlm.nih.gov/protein/XP_313667.3","XP_313667.3")</f>
        <v>XP_313667.3</v>
      </c>
      <c r="EW219" s="2">
        <v>100</v>
      </c>
      <c r="EX219" s="2">
        <v>100</v>
      </c>
      <c r="EY219" s="2">
        <v>100</v>
      </c>
      <c r="EZ219" s="2" t="s">
        <v>98</v>
      </c>
    </row>
    <row r="220" spans="1:156" x14ac:dyDescent="0.25">
      <c r="A220" s="2" t="s">
        <v>2643</v>
      </c>
      <c r="B220" s="2">
        <v>-0.88901862542613497</v>
      </c>
      <c r="C220" s="2">
        <v>0.53998130862547911</v>
      </c>
      <c r="D220" s="2">
        <v>8.0878870254304598</v>
      </c>
      <c r="E220" s="2">
        <v>30.404139173672</v>
      </c>
      <c r="F220" s="2">
        <v>3.5077887332831398E-8</v>
      </c>
      <c r="G220" s="2">
        <v>1.6586579025329301E-5</v>
      </c>
      <c r="H220" s="2" t="s">
        <v>2644</v>
      </c>
      <c r="I220" s="2" t="s">
        <v>87</v>
      </c>
      <c r="J220" s="2" t="str">
        <f>HYPERLINK("https://vectorbase.org/vectorbase/app/record/gene/AGAP028491","AGAP028491-RA")</f>
        <v>AGAP028491-RA</v>
      </c>
      <c r="K220" s="2" t="str">
        <f>HYPERLINK(".\links\pep\AGAP028491-PA-pep.txt","AGAP028491-PA")</f>
        <v>AGAP028491-PA</v>
      </c>
      <c r="L220" s="8" t="s">
        <v>88</v>
      </c>
      <c r="M220" s="2">
        <v>252</v>
      </c>
      <c r="N220" s="2">
        <v>0</v>
      </c>
      <c r="O220" s="2">
        <v>1</v>
      </c>
      <c r="P220" s="2" t="s">
        <v>2645</v>
      </c>
      <c r="Q220" s="2" t="s">
        <v>2646</v>
      </c>
      <c r="R220" s="2" t="s">
        <v>113</v>
      </c>
      <c r="S220" s="2" t="str">
        <f>HYPERLINK(".\links\KOG\AGAP028491-PA-KOG.txt","KOG")</f>
        <v>KOG</v>
      </c>
      <c r="T220" s="2">
        <v>4E-50</v>
      </c>
      <c r="U220" s="2">
        <v>98.7</v>
      </c>
      <c r="V220" s="2" t="s">
        <v>2647</v>
      </c>
      <c r="W220" s="10" t="s">
        <v>2648</v>
      </c>
      <c r="X220" s="2" t="s">
        <v>113</v>
      </c>
      <c r="Y220" s="2" t="str">
        <f>HYPERLINK(".\links\KOG\AGAP028491-PA-KOG.txt","KOG")</f>
        <v>KOG</v>
      </c>
      <c r="Z220" s="13">
        <v>2.9999999999999999E-38</v>
      </c>
      <c r="AA220" s="2">
        <v>100</v>
      </c>
      <c r="AB220" s="8" t="s">
        <v>94</v>
      </c>
      <c r="AC220" s="8" t="str">
        <f>HYPERLINK(".\links\Sigp\AGAP028491-PA-SigP.txt","BL")</f>
        <v>BL</v>
      </c>
      <c r="AD220" s="2" t="s">
        <v>679</v>
      </c>
      <c r="AE220" s="2">
        <v>26.768000000000001</v>
      </c>
      <c r="AF220" s="2">
        <v>7.06</v>
      </c>
      <c r="AG220" s="2">
        <v>23.355</v>
      </c>
      <c r="AH220" s="2">
        <v>7.21</v>
      </c>
      <c r="AI220" s="2" t="s">
        <v>2649</v>
      </c>
      <c r="AJ220" s="8" t="str">
        <f>HYPERLINK(".\links\tmhmm\AGAP028491-PA-tmhmm.txt","6")</f>
        <v>6</v>
      </c>
      <c r="AK220" s="2">
        <v>52.4</v>
      </c>
      <c r="AL220" s="2">
        <v>17.899999999999999</v>
      </c>
      <c r="AM220" s="2">
        <v>29.8</v>
      </c>
      <c r="AN220" s="8" t="str">
        <f>HYPERLINK(".\links\gpi\AGAP028491-PA-gpi.txt","N")</f>
        <v>N</v>
      </c>
      <c r="AO220" s="8" t="str">
        <f>HYPERLINK(".\links\netoglyc\AGAP028491-PA-netoglyc.txt","0")</f>
        <v>0</v>
      </c>
      <c r="AP220" s="8">
        <v>10.3</v>
      </c>
      <c r="AQ220" s="2">
        <v>9.9</v>
      </c>
      <c r="AR220" s="2">
        <v>4</v>
      </c>
      <c r="AS220" s="2" t="s">
        <v>97</v>
      </c>
      <c r="AT220" s="2" t="str">
        <f>HYPERLINK(".\links\NR-LIGHT\AGAP028491-PA-NR-LIGHT.txt","aquaglyceroporin")</f>
        <v>aquaglyceroporin</v>
      </c>
      <c r="AU220" s="2" t="str">
        <f>HYPERLINK("http://www.ncbi.nlm.nih.gov/sutils/blink.cgi?pid=ANC68082.1","1E-144")</f>
        <v>1E-144</v>
      </c>
      <c r="AV220" s="2" t="str">
        <f>HYPERLINK("http://www.ncbi.nlm.nih.gov/protein/ANC68082.1","ANC68082.1")</f>
        <v>ANC68082.1</v>
      </c>
      <c r="AW220" s="2">
        <v>99</v>
      </c>
      <c r="AX220" s="2">
        <v>99</v>
      </c>
      <c r="AY220" s="2">
        <v>100</v>
      </c>
      <c r="AZ220" s="2" t="s">
        <v>274</v>
      </c>
      <c r="BA220" s="2" t="str">
        <f>HYPERLINK(".\links\REFSEQ-INVERTEBRATE\AGAP028491-PA-REFSEQ-INVERTEBRATE.txt","AGAP010325-PA, partial")</f>
        <v>AGAP010325-PA, partial</v>
      </c>
      <c r="BB220" s="2" t="str">
        <f>HYPERLINK("http://www.ncbi.nlm.nih.gov/sutils/blink.cgi?pid=XP_318238.4","1E-138")</f>
        <v>1E-138</v>
      </c>
      <c r="BC220" s="2" t="str">
        <f>HYPERLINK("http://www.ncbi.nlm.nih.gov/protein/XP_318238.4","XP_318238.4")</f>
        <v>XP_318238.4</v>
      </c>
      <c r="BD220" s="2">
        <v>97</v>
      </c>
      <c r="BE220" s="2">
        <v>98</v>
      </c>
      <c r="BF220" s="2">
        <v>96</v>
      </c>
      <c r="BG220" s="2" t="s">
        <v>98</v>
      </c>
      <c r="BH220" s="2" t="str">
        <f>HYPERLINK(".\links\REFSEQ-PROTOZOA\AGAP028491-PA-REFSEQ-PROTOZOA.txt","hypothetical protein SARC_06186")</f>
        <v>hypothetical protein SARC_06186</v>
      </c>
      <c r="BI220" s="2" t="str">
        <f>HYPERLINK("http://www.ncbi.nlm.nih.gov/sutils/blink.cgi?pid=XP_014155400.1","4E-021")</f>
        <v>4E-021</v>
      </c>
      <c r="BJ220" s="2" t="str">
        <f>HYPERLINK("http://www.ncbi.nlm.nih.gov/protein/XP_014155400.1","XP_014155400.1")</f>
        <v>XP_014155400.1</v>
      </c>
      <c r="BK220" s="2">
        <v>32</v>
      </c>
      <c r="BL220" s="2">
        <v>46</v>
      </c>
      <c r="BM220" s="2">
        <v>62</v>
      </c>
      <c r="BN220" s="2" t="s">
        <v>368</v>
      </c>
      <c r="BO220" s="2" t="str">
        <f>HYPERLINK(".\links\SWISSP\AGAP028491-PA-SWISSP.txt","Aquaporin")</f>
        <v>Aquaporin</v>
      </c>
      <c r="BP220" s="2" t="str">
        <f>HYPERLINK("http://www.uniprot.org/uniprot/Q25074","6E-034")</f>
        <v>6E-034</v>
      </c>
      <c r="BQ220" s="2" t="str">
        <f>HYPERLINK("http://www.uniprot.org/uniprot/Q25074#expression","Q25074")</f>
        <v>Q25074</v>
      </c>
      <c r="BR220" s="2">
        <v>36</v>
      </c>
      <c r="BS220" s="2">
        <v>53</v>
      </c>
      <c r="BT220" s="2">
        <v>92</v>
      </c>
      <c r="BU220" s="2" t="s">
        <v>2650</v>
      </c>
      <c r="BV220" s="2" t="str">
        <f>HYPERLINK(".\links\FLYBASE\AGAP028491-PA-FLYBASE.txt","FBpp0072013")</f>
        <v>FBpp0072013</v>
      </c>
      <c r="BW220" s="2" t="str">
        <f>HYPERLINK("http://flybase.org/reports/FBgn0034885#alliance_summary_container","1E-96")</f>
        <v>1E-96</v>
      </c>
      <c r="BX220" s="2">
        <v>249</v>
      </c>
      <c r="BY220" s="2">
        <v>58</v>
      </c>
      <c r="BZ220" s="2">
        <v>75</v>
      </c>
      <c r="CA220" s="2">
        <v>94</v>
      </c>
      <c r="CB220" s="2" t="str">
        <f>HYPERLINK(".\links\CDD\AGAP028491-PA-CDD.txt","MIP, Major intrinsic protein")</f>
        <v>MIP, Major intrinsic protein</v>
      </c>
      <c r="CC220" s="13">
        <v>1.9999999999999999E-38</v>
      </c>
      <c r="CD220" s="2">
        <v>102.7</v>
      </c>
      <c r="CE220" s="2" t="s">
        <v>2651</v>
      </c>
      <c r="CF220" s="2" t="s">
        <v>2652</v>
      </c>
      <c r="CG220" s="2" t="str">
        <f>HYPERLINK(".\links\KOG\AGAP028491-PA-KOG.txt","Aquaporin (major intrinsic protein family)")</f>
        <v>Aquaporin (major intrinsic protein family)</v>
      </c>
      <c r="CH220" s="13">
        <v>4E-50</v>
      </c>
      <c r="CI220" s="2">
        <v>98.7</v>
      </c>
      <c r="CJ220" s="2" t="s">
        <v>2653</v>
      </c>
      <c r="CK220" s="2" t="s">
        <v>556</v>
      </c>
      <c r="CL220" s="2" t="str">
        <f>HYPERLINK(".\links\PFAM\AGAP028491-PA-PFAM.txt","MIP, Major intrinsic protein")</f>
        <v>MIP, Major intrinsic protein</v>
      </c>
      <c r="CM220" s="13">
        <v>4.9999999999999998E-39</v>
      </c>
      <c r="CN220" s="2">
        <v>102.7</v>
      </c>
      <c r="CO220" s="2" t="s">
        <v>2651</v>
      </c>
      <c r="CP220" s="2" t="str">
        <f>HYPERLINK(".\links\SMART\AGAP028491-PA-SMART.txt","AlaDh_PNT_N, Alanine dehydrogenase/PNT, N-terminal domain")</f>
        <v>AlaDh_PNT_N, Alanine dehydrogenase/PNT, N-terminal domain</v>
      </c>
      <c r="CQ220" s="13">
        <v>0.46</v>
      </c>
      <c r="CR220" s="2">
        <v>17.3</v>
      </c>
      <c r="CS220" s="2" t="s">
        <v>2654</v>
      </c>
      <c r="CT220" s="2" t="s">
        <v>2647</v>
      </c>
      <c r="CU220" s="2" t="s">
        <v>2647</v>
      </c>
      <c r="CV220" s="2" t="s">
        <v>2647</v>
      </c>
      <c r="CW220" s="2" t="str">
        <f>HYPERLINK(".\links\pep\AGAP028491-PA-pep.txt","AGAP028491-PA")</f>
        <v>AGAP028491-PA</v>
      </c>
      <c r="CX220" s="2" t="s">
        <v>88</v>
      </c>
      <c r="CY220" s="2">
        <v>252</v>
      </c>
      <c r="CZ220" s="2" t="s">
        <v>106</v>
      </c>
      <c r="DA220" s="2" t="s">
        <v>2655</v>
      </c>
      <c r="DB220" s="2">
        <v>0</v>
      </c>
      <c r="DC220" s="2">
        <v>1</v>
      </c>
      <c r="DD220" s="2" t="str">
        <f>HYPERLINK("https://www.kegg.jp/kegg-bin/search_pathway_text?map=aga&amp;keyword=AGAP028491&amp;mode=1&amp;viewImage=true","AGAP028491")</f>
        <v>AGAP028491</v>
      </c>
      <c r="DE220" s="2" t="s">
        <v>2643</v>
      </c>
      <c r="DF220" s="2" t="s">
        <v>2644</v>
      </c>
      <c r="DG220" s="2" t="s">
        <v>87</v>
      </c>
      <c r="DH220" s="2" t="str">
        <f>HYPERLINK("https://vectorbase.org/vectorbase/app/record/gene/AGAP028491","AGAP028491-RA")</f>
        <v>AGAP028491-RA</v>
      </c>
      <c r="DI220" s="2" t="s">
        <v>125</v>
      </c>
      <c r="DJ220" s="2">
        <v>1180</v>
      </c>
      <c r="DK220" s="2" t="str">
        <f>HYPERLINK(".\links\netoglyc\AGAP028491-PA-netoglyc.txt","0")</f>
        <v>0</v>
      </c>
      <c r="DL220" s="2">
        <v>10.3</v>
      </c>
      <c r="DM220" s="2">
        <v>9.9</v>
      </c>
      <c r="DN220" s="2">
        <v>4</v>
      </c>
      <c r="DO220" s="2" t="s">
        <v>97</v>
      </c>
      <c r="DP220" s="2" t="s">
        <v>94</v>
      </c>
      <c r="DQ220" s="2" t="str">
        <f>HYPERLINK(".\links\Sigp\AGAP028491-PA-SigP.txt","BL")</f>
        <v>BL</v>
      </c>
      <c r="DR220" s="2" t="s">
        <v>679</v>
      </c>
      <c r="DS220" s="2">
        <v>26.768000000000001</v>
      </c>
      <c r="DT220" s="2">
        <v>7.06</v>
      </c>
      <c r="DU220" s="2">
        <v>23.355</v>
      </c>
      <c r="DV220" s="2">
        <v>7.21</v>
      </c>
      <c r="DW220" s="2" t="s">
        <v>2649</v>
      </c>
      <c r="DX220" s="2">
        <v>252</v>
      </c>
      <c r="DY220" s="8" t="str">
        <f>HYPERLINK(".\links\tmhmm\AGAP028491-PA-tmhmm.txt","6")</f>
        <v>6</v>
      </c>
      <c r="DZ220" s="2">
        <v>52.4</v>
      </c>
      <c r="EA220" s="2">
        <v>17.899999999999999</v>
      </c>
      <c r="EB220" s="2">
        <v>29.8</v>
      </c>
      <c r="EC220" s="2" t="str">
        <f>HYPERLINK(".\links\gpi\AGAP028491-PA-gpi.txt","Y-NoSP")</f>
        <v>Y-NoSP</v>
      </c>
      <c r="ED220" s="2">
        <v>0.41</v>
      </c>
      <c r="EF220" s="2">
        <v>8</v>
      </c>
      <c r="EG220" s="2" t="s">
        <v>94</v>
      </c>
      <c r="EH220" s="2" t="s">
        <v>94</v>
      </c>
      <c r="EI220" s="2">
        <v>10.3174603174603</v>
      </c>
      <c r="EJ220" s="2">
        <v>3.9682539682539701</v>
      </c>
      <c r="EK220" s="2">
        <v>9.9206349206349191</v>
      </c>
      <c r="EL220" s="2">
        <v>13.8888888888889</v>
      </c>
      <c r="EM220" s="2" t="s">
        <v>94</v>
      </c>
      <c r="EN220" s="2">
        <v>1</v>
      </c>
      <c r="EO220" s="2">
        <v>1</v>
      </c>
      <c r="EP220" s="2" t="s">
        <v>94</v>
      </c>
      <c r="EQ220" s="2" t="s">
        <v>94</v>
      </c>
      <c r="ER220" s="2" t="s">
        <v>94</v>
      </c>
      <c r="ES220" s="2" t="s">
        <v>94</v>
      </c>
      <c r="ET220" s="2" t="str">
        <f>HYPERLINK(".\links\REFSEQ-INVERTEBRATE\AGAP028491-PA-REFSEQ-INVERTEBRATE.txt","AGAP010325-PA, partial")</f>
        <v>AGAP010325-PA, partial</v>
      </c>
      <c r="EU220" s="2" t="str">
        <f>HYPERLINK("http://www.ncbi.nlm.nih.gov/sutils/blink.cgi?pid=XP_318238.4","1E-178")</f>
        <v>1E-178</v>
      </c>
      <c r="EV220" s="2" t="str">
        <f>HYPERLINK("http://www.ncbi.nlm.nih.gov/protein/XP_318238.4","XP_318238.4")</f>
        <v>XP_318238.4</v>
      </c>
      <c r="EW220" s="2">
        <v>97</v>
      </c>
      <c r="EX220" s="2">
        <v>98</v>
      </c>
      <c r="EY220" s="2">
        <v>96</v>
      </c>
      <c r="EZ220" s="2" t="s">
        <v>98</v>
      </c>
    </row>
    <row r="221" spans="1:156" x14ac:dyDescent="0.25">
      <c r="A221" s="2" t="s">
        <v>2656</v>
      </c>
      <c r="B221" s="2">
        <v>-0.89314366783653798</v>
      </c>
      <c r="C221" s="2">
        <v>0.53843956602312393</v>
      </c>
      <c r="D221" s="2">
        <v>5.2402041804832704</v>
      </c>
      <c r="E221" s="2">
        <v>22.428278292787901</v>
      </c>
      <c r="F221" s="2">
        <v>2.1813853983941801E-6</v>
      </c>
      <c r="G221" s="2">
        <v>3.96718494473342E-4</v>
      </c>
      <c r="H221" s="2" t="s">
        <v>2657</v>
      </c>
      <c r="I221" s="2" t="s">
        <v>87</v>
      </c>
      <c r="J221" s="2" t="str">
        <f>HYPERLINK("https://vectorbase.org/vectorbase/app/record/gene/AGAP029784","AGAP029784-RA")</f>
        <v>AGAP029784-RA</v>
      </c>
      <c r="K221" s="2" t="str">
        <f>HYPERLINK(".\links\pep\AGAP029784-PA-pep.txt","AGAP029784-PA")</f>
        <v>AGAP029784-PA</v>
      </c>
      <c r="L221" s="8" t="s">
        <v>88</v>
      </c>
      <c r="M221" s="2">
        <v>334</v>
      </c>
      <c r="N221" s="2">
        <v>0</v>
      </c>
      <c r="O221" s="2">
        <v>0</v>
      </c>
      <c r="P221" s="2" t="s">
        <v>2658</v>
      </c>
      <c r="Q221" s="2" t="s">
        <v>2659</v>
      </c>
      <c r="R221" s="2" t="s">
        <v>395</v>
      </c>
      <c r="S221" s="2" t="str">
        <f>HYPERLINK(".\links\NR-LIGHT\AGAP029784-PA-NR-LIGHT.txt","NR-LIGHT")</f>
        <v>NR-LIGHT</v>
      </c>
      <c r="T221" s="2">
        <v>0</v>
      </c>
      <c r="U221" s="2">
        <v>100.6</v>
      </c>
      <c r="V221" s="2" t="s">
        <v>2660</v>
      </c>
      <c r="W221" s="10" t="s">
        <v>2661</v>
      </c>
      <c r="X221" s="2" t="s">
        <v>395</v>
      </c>
      <c r="Y221" s="2" t="str">
        <f>HYPERLINK(".\links\ARTHORPODA\AGAP029784-PA-ARTHORPODA.txt","ARTHORPODA")</f>
        <v>ARTHORPODA</v>
      </c>
      <c r="Z221" s="13">
        <v>0</v>
      </c>
      <c r="AA221" s="2">
        <v>100</v>
      </c>
      <c r="AB221" s="8" t="str">
        <f>HYPERLINK(".\links\pep\AGAP029784-PA-sulf.txt","2")</f>
        <v>2</v>
      </c>
      <c r="AC221" s="8" t="str">
        <f>HYPERLINK(".\links\Sigp\AGAP029784-PA-SigP.txt","CYT")</f>
        <v>CYT</v>
      </c>
      <c r="AD221" s="2" t="s">
        <v>94</v>
      </c>
      <c r="AE221" s="2">
        <v>38.826999999999998</v>
      </c>
      <c r="AF221" s="2">
        <v>7.29</v>
      </c>
      <c r="AG221" s="2" t="s">
        <v>94</v>
      </c>
      <c r="AH221" s="2" t="s">
        <v>94</v>
      </c>
      <c r="AI221" s="2" t="s">
        <v>348</v>
      </c>
      <c r="AJ221" s="8">
        <v>0</v>
      </c>
      <c r="AK221" s="2" t="s">
        <v>94</v>
      </c>
      <c r="AL221" s="2" t="s">
        <v>94</v>
      </c>
      <c r="AM221" s="2" t="s">
        <v>94</v>
      </c>
      <c r="AN221" s="2" t="str">
        <f>HYPERLINK(".\links\gpi\AGAP029784-PA-gpi.txt","N")</f>
        <v>N</v>
      </c>
      <c r="AO221" s="8" t="str">
        <f>HYPERLINK(".\links\netoglyc\AGAP029784-PA-netoglyc.txt","1")</f>
        <v>1</v>
      </c>
      <c r="AP221" s="8">
        <v>12.3</v>
      </c>
      <c r="AQ221" s="2">
        <v>3.9</v>
      </c>
      <c r="AR221" s="2">
        <v>4.8</v>
      </c>
      <c r="AS221" s="2" t="s">
        <v>97</v>
      </c>
      <c r="AT221" s="2" t="str">
        <f>HYPERLINK(".\links\NR-LIGHT\AGAP029784-PA-NR-LIGHT.txt","sulfotransferase (sult)")</f>
        <v>sulfotransferase (sult)</v>
      </c>
      <c r="AU221" s="2" t="str">
        <f>HYPERLINK("http://www.ncbi.nlm.nih.gov/sutils/blink.cgi?pid=ETN60366.1","1E-138")</f>
        <v>1E-138</v>
      </c>
      <c r="AV221" s="2" t="str">
        <f>HYPERLINK("http://www.ncbi.nlm.nih.gov/protein/ETN60366.1","ETN60366.1")</f>
        <v>ETN60366.1</v>
      </c>
      <c r="AW221" s="2">
        <v>71</v>
      </c>
      <c r="AX221" s="2">
        <v>85</v>
      </c>
      <c r="AY221" s="2">
        <v>101</v>
      </c>
      <c r="AZ221" s="2" t="s">
        <v>291</v>
      </c>
      <c r="BA221" s="2" t="str">
        <f>HYPERLINK(".\links\REFSEQ-INVERTEBRATE\AGAP029784-PA-REFSEQ-INVERTEBRATE.txt","sulfotransferase family cytosolic 1B member 1")</f>
        <v>sulfotransferase family cytosolic 1B member 1</v>
      </c>
      <c r="BB221" s="2" t="str">
        <f>HYPERLINK("http://www.ncbi.nlm.nih.gov/sutils/blink.cgi?pid=XP_021710674.1","1E-098")</f>
        <v>1E-098</v>
      </c>
      <c r="BC221" s="2" t="str">
        <f>HYPERLINK("http://www.ncbi.nlm.nih.gov/protein/XP_021710674.1","XP_021710674.1")</f>
        <v>XP_021710674.1</v>
      </c>
      <c r="BD221" s="2">
        <v>51</v>
      </c>
      <c r="BE221" s="2">
        <v>71</v>
      </c>
      <c r="BF221" s="2">
        <v>102</v>
      </c>
      <c r="BG221" s="2" t="s">
        <v>175</v>
      </c>
      <c r="BH221" s="2" t="str">
        <f>HYPERLINK(".\links\REFSEQ-PROTOZOA\AGAP029784-PA-REFSEQ-PROTOZOA.txt","hypothetical protein EMIHUDRAFT_235496")</f>
        <v>hypothetical protein EMIHUDRAFT_235496</v>
      </c>
      <c r="BI221" s="2" t="str">
        <f>HYPERLINK("http://www.ncbi.nlm.nih.gov/sutils/blink.cgi?pid=XP_005780057.1","1E-033")</f>
        <v>1E-033</v>
      </c>
      <c r="BJ221" s="2" t="str">
        <f>HYPERLINK("http://www.ncbi.nlm.nih.gov/protein/XP_005780057.1","XP_005780057.1")</f>
        <v>XP_005780057.1</v>
      </c>
      <c r="BK221" s="2">
        <v>32</v>
      </c>
      <c r="BL221" s="2">
        <v>51</v>
      </c>
      <c r="BM221" s="2">
        <v>59</v>
      </c>
      <c r="BN221" s="2" t="s">
        <v>2625</v>
      </c>
      <c r="BO221" s="2" t="str">
        <f>HYPERLINK(".\links\SWISSP\AGAP029784-PA-SWISSP.txt","Estrogen sulfotransferase")</f>
        <v>Estrogen sulfotransferase</v>
      </c>
      <c r="BP221" s="2" t="str">
        <f>HYPERLINK("http://www.uniprot.org/uniprot/P19217","1E-035")</f>
        <v>1E-035</v>
      </c>
      <c r="BQ221" s="2" t="str">
        <f>HYPERLINK("http://www.uniprot.org/uniprot/P19217#expression","P19217")</f>
        <v>P19217</v>
      </c>
      <c r="BR221" s="2">
        <v>33</v>
      </c>
      <c r="BS221" s="2">
        <v>50</v>
      </c>
      <c r="BT221" s="2">
        <v>96</v>
      </c>
      <c r="BU221" s="2" t="s">
        <v>1134</v>
      </c>
      <c r="BV221" s="2" t="str">
        <f>HYPERLINK(".\links\FLYBASE\AGAP029784-PA-FLYBASE.txt","FBpp0113033")</f>
        <v>FBpp0113033</v>
      </c>
      <c r="BW221" s="2" t="str">
        <f>HYPERLINK("http://flybase.org/reports/FBgn0034887#alliance_summary_container","2E-85")</f>
        <v>2E-85</v>
      </c>
      <c r="BX221" s="2">
        <v>338</v>
      </c>
      <c r="BY221" s="2">
        <v>42</v>
      </c>
      <c r="BZ221" s="2">
        <v>64</v>
      </c>
      <c r="CA221" s="2">
        <v>82</v>
      </c>
      <c r="CB221" s="2" t="str">
        <f>HYPERLINK(".\links\CDD\AGAP029784-PA-CDD.txt","Sulfotransfer_1, Sulfotransferase domain")</f>
        <v>Sulfotransfer_1, Sulfotransferase domain</v>
      </c>
      <c r="CC221" s="13">
        <v>1E-56</v>
      </c>
      <c r="CD221" s="2">
        <v>103.9</v>
      </c>
      <c r="CE221" s="2" t="s">
        <v>2626</v>
      </c>
      <c r="CF221" s="2" t="s">
        <v>2662</v>
      </c>
      <c r="CG221" s="2" t="str">
        <f>HYPERLINK(".\links\KOG\AGAP029784-PA-KOG.txt","Sulfotransferase")</f>
        <v>Sulfotransferase</v>
      </c>
      <c r="CH221" s="13">
        <v>4.9999999999999998E-65</v>
      </c>
      <c r="CI221" s="2">
        <v>92.3</v>
      </c>
      <c r="CJ221" s="2" t="s">
        <v>2628</v>
      </c>
      <c r="CK221" s="2" t="s">
        <v>122</v>
      </c>
      <c r="CL221" s="2" t="str">
        <f>HYPERLINK(".\links\PFAM\AGAP029784-PA-PFAM.txt","Sulfotransfer_1, Sulfotransferase domain")</f>
        <v>Sulfotransfer_1, Sulfotransferase domain</v>
      </c>
      <c r="CM221" s="13">
        <v>1.9999999999999999E-57</v>
      </c>
      <c r="CN221" s="2">
        <v>103.9</v>
      </c>
      <c r="CO221" s="2" t="s">
        <v>2626</v>
      </c>
      <c r="CP221" s="2" t="str">
        <f>HYPERLINK(".\links\SMART\AGAP029784-PA-SMART.txt","OmpH, Outer membrane protein (OmpH-like)")</f>
        <v>OmpH, Outer membrane protein (OmpH-like)</v>
      </c>
      <c r="CQ221" s="13">
        <v>7.8E-2</v>
      </c>
      <c r="CR221" s="2">
        <v>37.1</v>
      </c>
      <c r="CS221" s="2" t="s">
        <v>1995</v>
      </c>
      <c r="CT221" s="2" t="s">
        <v>2660</v>
      </c>
      <c r="CU221" s="2" t="s">
        <v>2660</v>
      </c>
      <c r="CV221" s="2" t="s">
        <v>2660</v>
      </c>
      <c r="CW221" s="2" t="str">
        <f>HYPERLINK(".\links\pep\AGAP029784-PA-pep.txt","AGAP029784-PA")</f>
        <v>AGAP029784-PA</v>
      </c>
      <c r="CX221" s="2" t="s">
        <v>88</v>
      </c>
      <c r="CY221" s="2">
        <v>334</v>
      </c>
      <c r="CZ221" s="2" t="s">
        <v>106</v>
      </c>
      <c r="DA221" s="2" t="s">
        <v>2663</v>
      </c>
      <c r="DB221" s="2">
        <v>0</v>
      </c>
      <c r="DC221" s="2">
        <v>0</v>
      </c>
      <c r="DD221" s="2" t="str">
        <f>HYPERLINK("https://www.kegg.jp/kegg-bin/search_pathway_text?map=aga&amp;keyword=AGAP029784&amp;mode=1&amp;viewImage=true","AGAP029784")</f>
        <v>AGAP029784</v>
      </c>
      <c r="DE221" s="2" t="s">
        <v>2656</v>
      </c>
      <c r="DF221" s="2" t="s">
        <v>2657</v>
      </c>
      <c r="DG221" s="2" t="s">
        <v>87</v>
      </c>
      <c r="DH221" s="2" t="str">
        <f>HYPERLINK("https://vectorbase.org/vectorbase/app/record/gene/AGAP029784","AGAP029784-RA")</f>
        <v>AGAP029784-RA</v>
      </c>
      <c r="DI221" s="2" t="s">
        <v>250</v>
      </c>
      <c r="DJ221" s="2">
        <v>1157</v>
      </c>
      <c r="DK221" s="2" t="str">
        <f>HYPERLINK(".\links\netoglyc\AGAP029784-PA-netoglyc.txt","1")</f>
        <v>1</v>
      </c>
      <c r="DL221" s="2">
        <v>12.3</v>
      </c>
      <c r="DM221" s="2">
        <v>3.9</v>
      </c>
      <c r="DN221" s="2">
        <v>4.8</v>
      </c>
      <c r="DO221" s="2" t="s">
        <v>97</v>
      </c>
      <c r="DP221" s="2" t="s">
        <v>94</v>
      </c>
      <c r="DQ221" s="2" t="str">
        <f>HYPERLINK(".\links\Sigp\AGAP029784-PA-SigP.txt","CYT")</f>
        <v>CYT</v>
      </c>
      <c r="DR221" s="2" t="s">
        <v>94</v>
      </c>
      <c r="DS221" s="2">
        <v>38.826999999999998</v>
      </c>
      <c r="DT221" s="2">
        <v>7.29</v>
      </c>
      <c r="DU221" s="2" t="s">
        <v>94</v>
      </c>
      <c r="DV221" s="2" t="s">
        <v>94</v>
      </c>
      <c r="DW221" s="2" t="s">
        <v>348</v>
      </c>
      <c r="DX221" s="2">
        <v>334</v>
      </c>
      <c r="DY221" s="8">
        <v>0</v>
      </c>
      <c r="DZ221" s="2" t="s">
        <v>94</v>
      </c>
      <c r="EA221" s="2" t="s">
        <v>94</v>
      </c>
      <c r="EB221" s="2" t="s">
        <v>94</v>
      </c>
      <c r="EC221" s="2" t="str">
        <f>HYPERLINK(".\links\gpi\AGAP029784-PA-gpi.txt","N")</f>
        <v>N</v>
      </c>
      <c r="ED221" s="2">
        <v>0.21</v>
      </c>
      <c r="EF221" s="2">
        <v>4</v>
      </c>
      <c r="EG221" s="2" t="str">
        <f>HYPERLINK(".\links\pep\AGAP029784-PA-sulf.txt","2")</f>
        <v>2</v>
      </c>
      <c r="EH221" s="2" t="s">
        <v>94</v>
      </c>
      <c r="EI221" s="2">
        <v>12.275449101796401</v>
      </c>
      <c r="EJ221" s="2">
        <v>4.7904191616766498</v>
      </c>
      <c r="EK221" s="2">
        <v>3.8922155688622802</v>
      </c>
      <c r="EL221" s="2">
        <v>8.6826347305389202</v>
      </c>
      <c r="EM221" s="2" t="s">
        <v>94</v>
      </c>
      <c r="EN221" s="2">
        <v>2</v>
      </c>
      <c r="EO221" s="2">
        <v>2</v>
      </c>
      <c r="EP221" s="2" t="s">
        <v>94</v>
      </c>
      <c r="EQ221" s="2" t="s">
        <v>94</v>
      </c>
      <c r="ER221" s="2" t="s">
        <v>94</v>
      </c>
      <c r="ES221" s="2" t="s">
        <v>94</v>
      </c>
      <c r="ET221" s="2" t="str">
        <f>HYPERLINK(".\links\REFSEQ-INVERTEBRATE\AGAP029784-PA-REFSEQ-INVERTEBRATE.txt","luciferin sulfotransferase-like")</f>
        <v>luciferin sulfotransferase-like</v>
      </c>
      <c r="EU221" s="2" t="str">
        <f>HYPERLINK("http://www.ncbi.nlm.nih.gov/sutils/blink.cgi?pid=XP_035893420.1","0.0")</f>
        <v>0.0</v>
      </c>
      <c r="EV221" s="2" t="str">
        <f>HYPERLINK("http://www.ncbi.nlm.nih.gov/protein/XP_035893420.1","XP_035893420.1")</f>
        <v>XP_035893420.1</v>
      </c>
      <c r="EW221" s="2">
        <v>78</v>
      </c>
      <c r="EX221" s="2">
        <v>90</v>
      </c>
      <c r="EY221" s="2">
        <v>100</v>
      </c>
      <c r="EZ221" s="2" t="s">
        <v>184</v>
      </c>
    </row>
    <row r="222" spans="1:156" x14ac:dyDescent="0.25">
      <c r="A222" s="2" t="s">
        <v>2664</v>
      </c>
      <c r="B222" s="2">
        <v>-0.906821600467419</v>
      </c>
      <c r="C222" s="2">
        <v>0.53335883996325384</v>
      </c>
      <c r="D222" s="2">
        <v>6.5426262351587496</v>
      </c>
      <c r="E222" s="2">
        <v>21.650894568943102</v>
      </c>
      <c r="F222" s="2">
        <v>3.2705744494966201E-6</v>
      </c>
      <c r="G222" s="2">
        <v>5.3327280291188802E-4</v>
      </c>
      <c r="H222" s="2" t="s">
        <v>2665</v>
      </c>
      <c r="I222" s="2" t="s">
        <v>94</v>
      </c>
      <c r="J222" s="2" t="str">
        <f>HYPERLINK("https://vectorbase.org/vectorbase/app/record/gene/AGAP005498","AGAP005498-RB")</f>
        <v>AGAP005498-RB</v>
      </c>
      <c r="K222" s="2" t="str">
        <f>HYPERLINK(".\links\pep\AGAP005498-PB-pep.txt","AGAP005498-PB")</f>
        <v>AGAP005498-PB</v>
      </c>
      <c r="L222" s="8" t="s">
        <v>88</v>
      </c>
      <c r="M222" s="2">
        <v>228</v>
      </c>
      <c r="N222" s="2">
        <v>0</v>
      </c>
      <c r="O222" s="2">
        <v>0</v>
      </c>
      <c r="P222" s="2" t="s">
        <v>2666</v>
      </c>
      <c r="Q222" s="2" t="s">
        <v>2667</v>
      </c>
      <c r="R222" s="2" t="s">
        <v>318</v>
      </c>
      <c r="S222" s="2" t="str">
        <f>HYPERLINK(".\links\PFAM\AGAP005498-PB-PFAM.txt","PFAM")</f>
        <v>PFAM</v>
      </c>
      <c r="T222" s="2">
        <v>1.9999999999999999E-82</v>
      </c>
      <c r="U222" s="2">
        <v>100.4</v>
      </c>
      <c r="V222" s="2" t="s">
        <v>2668</v>
      </c>
      <c r="W222" s="10" t="s">
        <v>2669</v>
      </c>
      <c r="X222" s="2" t="s">
        <v>131</v>
      </c>
      <c r="Y222" s="2" t="str">
        <f>HYPERLINK(".\links\REFSEQVERTEBRATE95\AGAP005498-PB-REFSEQVERTEBRATE95.txt","REFSEQVERTEBRATE95")</f>
        <v>REFSEQVERTEBRATE95</v>
      </c>
      <c r="Z222" s="2">
        <v>0</v>
      </c>
      <c r="AA222" s="2">
        <v>90</v>
      </c>
      <c r="AB222" s="8" t="s">
        <v>94</v>
      </c>
      <c r="AC222" s="8" t="str">
        <f>HYPERLINK(".\links\Sigp\AGAP005498-PB-SigP.txt","CYT")</f>
        <v>CYT</v>
      </c>
      <c r="AD222" s="2" t="s">
        <v>94</v>
      </c>
      <c r="AE222" s="2">
        <v>25.957999999999998</v>
      </c>
      <c r="AF222" s="2">
        <v>6.31</v>
      </c>
      <c r="AG222" s="2" t="s">
        <v>94</v>
      </c>
      <c r="AH222" s="2" t="s">
        <v>94</v>
      </c>
      <c r="AI222" s="2" t="s">
        <v>2670</v>
      </c>
      <c r="AJ222" s="8">
        <v>0</v>
      </c>
      <c r="AK222" s="2" t="s">
        <v>94</v>
      </c>
      <c r="AL222" s="2" t="s">
        <v>94</v>
      </c>
      <c r="AM222" s="2" t="s">
        <v>94</v>
      </c>
      <c r="AN222" s="8" t="str">
        <f>HYPERLINK(".\links\gpi\AGAP005498-PB-gpi.txt","N")</f>
        <v>N</v>
      </c>
      <c r="AO222" s="8" t="str">
        <f>HYPERLINK(".\links\netoglyc\AGAP005498-PB-netoglyc.txt","1")</f>
        <v>1</v>
      </c>
      <c r="AP222" s="8">
        <v>10.1</v>
      </c>
      <c r="AQ222" s="2">
        <v>5.7</v>
      </c>
      <c r="AR222" s="2">
        <v>6.1</v>
      </c>
      <c r="AS222" s="2" t="s">
        <v>97</v>
      </c>
      <c r="AT222" s="2" t="str">
        <f>HYPERLINK(".\links\NR-LIGHT\AGAP005498-PB-NR-LIGHT.txt","AGAP005498-PB")</f>
        <v>AGAP005498-PB</v>
      </c>
      <c r="AU222" s="2" t="str">
        <f>HYPERLINK("http://www.ncbi.nlm.nih.gov/sutils/blink.cgi?pid=XP_315501.4","1E-136")</f>
        <v>1E-136</v>
      </c>
      <c r="AV222" s="2" t="str">
        <f>HYPERLINK("http://www.ncbi.nlm.nih.gov/protein/XP_315501.4","XP_315501.4")</f>
        <v>XP_315501.4</v>
      </c>
      <c r="AW222" s="2">
        <v>100</v>
      </c>
      <c r="AX222" s="2">
        <v>100</v>
      </c>
      <c r="AY222" s="2">
        <v>100</v>
      </c>
      <c r="AZ222" s="2" t="s">
        <v>98</v>
      </c>
      <c r="BA222" s="2" t="str">
        <f>HYPERLINK(".\links\REFSEQ-INVERTEBRATE\AGAP005498-PB-REFSEQ-INVERTEBRATE.txt","AGAP005498-PB")</f>
        <v>AGAP005498-PB</v>
      </c>
      <c r="BB222" s="2" t="str">
        <f>HYPERLINK("http://www.ncbi.nlm.nih.gov/sutils/blink.cgi?pid=XP_315501.4","1E-136")</f>
        <v>1E-136</v>
      </c>
      <c r="BC222" s="2" t="str">
        <f>HYPERLINK("http://www.ncbi.nlm.nih.gov/protein/XP_315501.4","XP_315501.4")</f>
        <v>XP_315501.4</v>
      </c>
      <c r="BD222" s="2">
        <v>100</v>
      </c>
      <c r="BE222" s="2">
        <v>100</v>
      </c>
      <c r="BF222" s="2">
        <v>100</v>
      </c>
      <c r="BG222" s="2" t="s">
        <v>98</v>
      </c>
      <c r="BH222" s="2" t="str">
        <f>HYPERLINK(".\links\REFSEQ-PROTOZOA\AGAP005498-PB-REFSEQ-PROTOZOA.txt","phospholipid scramblase 2-like protein")</f>
        <v>phospholipid scramblase 2-like protein</v>
      </c>
      <c r="BI222" s="2" t="str">
        <f>HYPERLINK("http://www.ncbi.nlm.nih.gov/sutils/blink.cgi?pid=XP_014528815.1","1E-035")</f>
        <v>1E-035</v>
      </c>
      <c r="BJ222" s="2" t="str">
        <f>HYPERLINK("http://www.ncbi.nlm.nih.gov/protein/XP_014528815.1","XP_014528815.1")</f>
        <v>XP_014528815.1</v>
      </c>
      <c r="BK222" s="2">
        <v>36</v>
      </c>
      <c r="BL222" s="2">
        <v>52</v>
      </c>
      <c r="BM222" s="2">
        <v>80</v>
      </c>
      <c r="BN222" s="2" t="s">
        <v>2671</v>
      </c>
      <c r="BO222" s="2" t="str">
        <f>HYPERLINK(".\links\SWISSP\AGAP005498-PB-SWISSP.txt","Phospholipid scramblase 1")</f>
        <v>Phospholipid scramblase 1</v>
      </c>
      <c r="BP222" s="2" t="str">
        <f>HYPERLINK("http://www.uniprot.org/uniprot/Q9JJ00","3E-079")</f>
        <v>3E-079</v>
      </c>
      <c r="BQ222" s="2" t="str">
        <f>HYPERLINK("http://www.uniprot.org/uniprot/Q9JJ00#expression","Q9JJ00")</f>
        <v>Q9JJ00</v>
      </c>
      <c r="BR222" s="2">
        <v>60</v>
      </c>
      <c r="BS222" s="2">
        <v>74</v>
      </c>
      <c r="BT222" s="2">
        <v>70</v>
      </c>
      <c r="BU222" s="2" t="s">
        <v>339</v>
      </c>
      <c r="BV222" s="2" t="str">
        <f>HYPERLINK(".\links\FLYBASE\AGAP005498-PB-FLYBASE.txt","FBpp0076031")</f>
        <v>FBpp0076031</v>
      </c>
      <c r="BW222" s="2" t="str">
        <f>HYPERLINK("http://flybase.org/reports/FBgn0052056#alliance_summary_container","1E-109")</f>
        <v>1E-109</v>
      </c>
      <c r="BX222" s="2">
        <v>233</v>
      </c>
      <c r="BY222" s="2">
        <v>62</v>
      </c>
      <c r="BZ222" s="2">
        <v>77</v>
      </c>
      <c r="CA222" s="2">
        <v>98</v>
      </c>
      <c r="CB222" s="2" t="str">
        <f>HYPERLINK(".\links\CDD\AGAP005498-PB-CDD.txt","Scramblase, Scramblase")</f>
        <v>Scramblase, Scramblase</v>
      </c>
      <c r="CC222" s="13">
        <v>9.9999999999999996E-82</v>
      </c>
      <c r="CD222" s="2">
        <v>100.5</v>
      </c>
      <c r="CE222" s="2" t="s">
        <v>2672</v>
      </c>
      <c r="CF222" s="2" t="s">
        <v>2673</v>
      </c>
      <c r="CG222" s="2" t="str">
        <f>HYPERLINK(".\links\KOG\AGAP005498-PB-KOG.txt","Phospholipid scramblase")</f>
        <v>Phospholipid scramblase</v>
      </c>
      <c r="CH222" s="13">
        <v>1E-73</v>
      </c>
      <c r="CI222" s="2">
        <v>76.7</v>
      </c>
      <c r="CJ222" s="2" t="s">
        <v>2674</v>
      </c>
      <c r="CK222" s="2" t="s">
        <v>200</v>
      </c>
      <c r="CL222" s="2" t="str">
        <f>HYPERLINK(".\links\PFAM\AGAP005498-PB-PFAM.txt","Scramblase, Scramblase")</f>
        <v>Scramblase, Scramblase</v>
      </c>
      <c r="CM222" s="13">
        <v>1.9999999999999999E-82</v>
      </c>
      <c r="CN222" s="2">
        <v>100.5</v>
      </c>
      <c r="CO222" s="2" t="s">
        <v>2672</v>
      </c>
      <c r="CP222" s="2" t="str">
        <f>HYPERLINK(".\links\SMART\AGAP005498-PB-SMART.txt","EFG_IV, Elongation factor G, domain IV")</f>
        <v>EFG_IV, Elongation factor G, domain IV</v>
      </c>
      <c r="CQ222" s="13">
        <v>1.6</v>
      </c>
      <c r="CR222" s="2">
        <v>18.3</v>
      </c>
      <c r="CS222" s="2" t="s">
        <v>2675</v>
      </c>
      <c r="CT222" s="2" t="s">
        <v>2668</v>
      </c>
      <c r="CU222" s="2" t="s">
        <v>2668</v>
      </c>
      <c r="CV222" s="2" t="s">
        <v>2668</v>
      </c>
      <c r="CW222" s="2" t="str">
        <f>HYPERLINK(".\links\pep\AGAP005498-PB-pep.txt","AGAP005498-PB")</f>
        <v>AGAP005498-PB</v>
      </c>
      <c r="CX222" s="2" t="s">
        <v>88</v>
      </c>
      <c r="CY222" s="2">
        <v>228</v>
      </c>
      <c r="CZ222" s="2" t="s">
        <v>106</v>
      </c>
      <c r="DA222" s="2">
        <v>0</v>
      </c>
      <c r="DB222" s="2">
        <v>0</v>
      </c>
      <c r="DD222" s="2" t="str">
        <f>HYPERLINK("https://www.kegg.jp/kegg-bin/search_pathway_text?map=aga&amp;keyword=AGAP005498&amp;mode=1&amp;viewImage=true","AGAP005498")</f>
        <v>AGAP005498</v>
      </c>
      <c r="DE222" s="2" t="s">
        <v>2664</v>
      </c>
      <c r="DF222" s="2" t="s">
        <v>2665</v>
      </c>
      <c r="DG222" s="2" t="s">
        <v>94</v>
      </c>
      <c r="DH222" s="2" t="str">
        <f>HYPERLINK("https://vectorbase.org/vectorbase/app/record/gene/AGAP005498","AGAP005498-RB")</f>
        <v>AGAP005498-RB</v>
      </c>
      <c r="DI222" s="2" t="s">
        <v>125</v>
      </c>
      <c r="DJ222" s="2">
        <v>1229</v>
      </c>
      <c r="DK222" s="2" t="str">
        <f>HYPERLINK(".\links\netoglyc\AGAP005498-PB-netoglyc.txt","1")</f>
        <v>1</v>
      </c>
      <c r="DL222" s="2">
        <v>10.1</v>
      </c>
      <c r="DM222" s="2">
        <v>5.7</v>
      </c>
      <c r="DN222" s="2">
        <v>6.1</v>
      </c>
      <c r="DO222" s="2" t="s">
        <v>97</v>
      </c>
      <c r="DP222" s="2" t="s">
        <v>94</v>
      </c>
      <c r="DQ222" s="2" t="str">
        <f>HYPERLINK(".\links\Sigp\AGAP005498-PB-SigP.txt","CYT")</f>
        <v>CYT</v>
      </c>
      <c r="DR222" s="2" t="s">
        <v>94</v>
      </c>
      <c r="DS222" s="2">
        <v>25.957999999999998</v>
      </c>
      <c r="DT222" s="2">
        <v>6.31</v>
      </c>
      <c r="DU222" s="2" t="s">
        <v>94</v>
      </c>
      <c r="DV222" s="2" t="s">
        <v>94</v>
      </c>
      <c r="DW222" s="2" t="s">
        <v>2670</v>
      </c>
      <c r="DX222" s="2">
        <v>228</v>
      </c>
      <c r="DY222" s="8">
        <v>0</v>
      </c>
      <c r="DZ222" s="2" t="s">
        <v>94</v>
      </c>
      <c r="EA222" s="2" t="s">
        <v>94</v>
      </c>
      <c r="EB222" s="2" t="s">
        <v>94</v>
      </c>
      <c r="EC222" s="2" t="str">
        <f>HYPERLINK(".\links\gpi\AGAP005498-PB-gpi.txt","Y-NoSP")</f>
        <v>Y-NoSP</v>
      </c>
      <c r="ED222" s="2">
        <v>0.32</v>
      </c>
      <c r="EE222" s="2" t="s">
        <v>2676</v>
      </c>
      <c r="EF222" s="2">
        <v>14</v>
      </c>
      <c r="EG222" s="2" t="s">
        <v>94</v>
      </c>
      <c r="EH222" s="2" t="s">
        <v>94</v>
      </c>
      <c r="EI222" s="2">
        <v>10.087719298245601</v>
      </c>
      <c r="EJ222" s="2">
        <v>6.1403508771929802</v>
      </c>
      <c r="EK222" s="2">
        <v>5.70175438596491</v>
      </c>
      <c r="EL222" s="2">
        <v>11.842105263157899</v>
      </c>
      <c r="EM222" s="2">
        <v>2</v>
      </c>
      <c r="EN222" s="2" t="s">
        <v>94</v>
      </c>
      <c r="EO222" s="2">
        <v>2</v>
      </c>
      <c r="EP222" s="2" t="s">
        <v>94</v>
      </c>
      <c r="EQ222" s="2" t="s">
        <v>94</v>
      </c>
      <c r="ER222" s="2" t="s">
        <v>94</v>
      </c>
      <c r="ES222" s="2" t="s">
        <v>486</v>
      </c>
      <c r="ET222" s="2" t="str">
        <f>HYPERLINK(".\links\REFSEQ-INVERTEBRATE\AGAP005498-PB-REFSEQ-INVERTEBRATE.txt","AGAP005498-PA")</f>
        <v>AGAP005498-PA</v>
      </c>
      <c r="EU222" s="2" t="str">
        <f>HYPERLINK("http://www.ncbi.nlm.nih.gov/sutils/blink.cgi?pid=XP_001688666.1","1E-171")</f>
        <v>1E-171</v>
      </c>
      <c r="EV222" s="2" t="str">
        <f>HYPERLINK("http://www.ncbi.nlm.nih.gov/protein/XP_001688666.1","XP_001688666.1")</f>
        <v>XP_001688666.1</v>
      </c>
      <c r="EW222" s="2">
        <v>100</v>
      </c>
      <c r="EX222" s="2">
        <v>100</v>
      </c>
      <c r="EY222" s="2">
        <v>72</v>
      </c>
      <c r="EZ222" s="2" t="s">
        <v>98</v>
      </c>
    </row>
    <row r="223" spans="1:156" x14ac:dyDescent="0.25">
      <c r="A223" s="2" t="s">
        <v>2677</v>
      </c>
      <c r="B223" s="2">
        <v>-0.926477160626063</v>
      </c>
      <c r="C223" s="2">
        <v>0.52614153118626206</v>
      </c>
      <c r="D223" s="2">
        <v>4.61760790941831</v>
      </c>
      <c r="E223" s="2">
        <v>14.204937454643799</v>
      </c>
      <c r="F223" s="2">
        <v>1.6393978359923901E-4</v>
      </c>
      <c r="G223" s="2">
        <v>1.0405225057033601E-2</v>
      </c>
      <c r="H223" s="2" t="s">
        <v>2678</v>
      </c>
      <c r="I223" s="2" t="s">
        <v>87</v>
      </c>
      <c r="J223" s="2" t="str">
        <f>HYPERLINK("https://vectorbase.org/vectorbase/app/record/gene/AGAP003039","AGAP003039-RA")</f>
        <v>AGAP003039-RA</v>
      </c>
      <c r="K223" s="2" t="str">
        <f>HYPERLINK(".\links\pep\AGAP003039-PA-pep.txt","AGAP003039-PA")</f>
        <v>AGAP003039-PA</v>
      </c>
      <c r="L223" s="8" t="s">
        <v>88</v>
      </c>
      <c r="M223" s="2">
        <v>532</v>
      </c>
      <c r="N223" s="2">
        <v>0</v>
      </c>
      <c r="O223" s="2">
        <v>2</v>
      </c>
      <c r="P223" s="2" t="s">
        <v>2679</v>
      </c>
      <c r="Q223" s="2" t="s">
        <v>2299</v>
      </c>
      <c r="R223" s="2" t="s">
        <v>113</v>
      </c>
      <c r="S223" s="2" t="str">
        <f>HYPERLINK(".\links\CDD\AGAP003039-PA-CDD.txt","CDD")</f>
        <v>CDD</v>
      </c>
      <c r="T223" s="2">
        <v>0</v>
      </c>
      <c r="U223" s="2">
        <v>81.099999999999994</v>
      </c>
      <c r="V223" s="2" t="s">
        <v>2680</v>
      </c>
      <c r="W223" s="10" t="s">
        <v>2681</v>
      </c>
      <c r="X223" s="2" t="s">
        <v>113</v>
      </c>
      <c r="Y223" s="2" t="str">
        <f>HYPERLINK(".\links\REFSEQVERTEBRATE95\AGAP003039-PA-REFSEQVERTEBRATE95.txt","REFSEQVERTEBRATE95")</f>
        <v>REFSEQVERTEBRATE95</v>
      </c>
      <c r="Z223" s="13">
        <v>9.9999999999999996E-95</v>
      </c>
      <c r="AA223" s="2">
        <v>79.2</v>
      </c>
      <c r="AB223" s="8" t="s">
        <v>94</v>
      </c>
      <c r="AC223" s="8" t="str">
        <f>HYPERLINK(".\links\Sigp\AGAP003039-PA-SigP.txt","CYT")</f>
        <v>CYT</v>
      </c>
      <c r="AD223" s="2" t="s">
        <v>94</v>
      </c>
      <c r="AE223" s="2">
        <v>58.125999999999998</v>
      </c>
      <c r="AF223" s="2">
        <v>7.97</v>
      </c>
      <c r="AG223" s="2" t="s">
        <v>94</v>
      </c>
      <c r="AH223" s="2" t="s">
        <v>94</v>
      </c>
      <c r="AI223" s="2" t="s">
        <v>2682</v>
      </c>
      <c r="AJ223" s="8" t="str">
        <f>HYPERLINK(".\links\tmhmm\AGAP003039-PA-tmhmm.txt","12")</f>
        <v>12</v>
      </c>
      <c r="AK223" s="2">
        <v>48.5</v>
      </c>
      <c r="AL223" s="2">
        <v>14.8</v>
      </c>
      <c r="AM223" s="2">
        <v>36.700000000000003</v>
      </c>
      <c r="AN223" s="8" t="str">
        <f>HYPERLINK(".\links\gpi\AGAP003039-PA-gpi.txt","N")</f>
        <v>N</v>
      </c>
      <c r="AO223" s="8" t="str">
        <f>HYPERLINK(".\links\netoglyc\AGAP003039-PA-netoglyc.txt","0")</f>
        <v>0</v>
      </c>
      <c r="AP223" s="8">
        <v>12.6</v>
      </c>
      <c r="AQ223" s="2">
        <v>8.8000000000000007</v>
      </c>
      <c r="AR223" s="2">
        <v>4.7</v>
      </c>
      <c r="AS223" s="2" t="s">
        <v>97</v>
      </c>
      <c r="AT223" s="2" t="str">
        <f>HYPERLINK(".\links\NR-LIGHT\AGAP003039-PA-NR-LIGHT.txt","AGAP003039-PA")</f>
        <v>AGAP003039-PA</v>
      </c>
      <c r="AU223" s="2" t="str">
        <f>HYPERLINK("http://www.ncbi.nlm.nih.gov/sutils/blink.cgi?pid=XP_311836.5","0.0")</f>
        <v>0.0</v>
      </c>
      <c r="AV223" s="2" t="str">
        <f>HYPERLINK("http://www.ncbi.nlm.nih.gov/protein/XP_311836.5","XP_311836.5")</f>
        <v>XP_311836.5</v>
      </c>
      <c r="AW223" s="2">
        <v>100</v>
      </c>
      <c r="AX223" s="2">
        <v>100</v>
      </c>
      <c r="AY223" s="2">
        <v>100</v>
      </c>
      <c r="AZ223" s="2" t="s">
        <v>98</v>
      </c>
      <c r="BA223" s="2" t="str">
        <f>HYPERLINK(".\links\REFSEQ-INVERTEBRATE\AGAP003039-PA-REFSEQ-INVERTEBRATE.txt","AGAP003039-PA")</f>
        <v>AGAP003039-PA</v>
      </c>
      <c r="BB223" s="2" t="str">
        <f>HYPERLINK("http://www.ncbi.nlm.nih.gov/sutils/blink.cgi?pid=XP_311836.5","0.0")</f>
        <v>0.0</v>
      </c>
      <c r="BC223" s="2" t="str">
        <f>HYPERLINK("http://www.ncbi.nlm.nih.gov/protein/XP_311836.5","XP_311836.5")</f>
        <v>XP_311836.5</v>
      </c>
      <c r="BD223" s="2">
        <v>100</v>
      </c>
      <c r="BE223" s="2">
        <v>100</v>
      </c>
      <c r="BF223" s="2">
        <v>100</v>
      </c>
      <c r="BG223" s="2" t="s">
        <v>98</v>
      </c>
      <c r="BH223" s="2" t="str">
        <f>HYPERLINK(".\links\REFSEQ-PROTOZOA\AGAP003039-PA-REFSEQ-PROTOZOA.txt","sugar transporter, putative")</f>
        <v>sugar transporter, putative</v>
      </c>
      <c r="BI223" s="2" t="str">
        <f>HYPERLINK("http://www.ncbi.nlm.nih.gov/sutils/blink.cgi?pid=XP_002786426.1","3E-039")</f>
        <v>3E-039</v>
      </c>
      <c r="BJ223" s="2" t="str">
        <f>HYPERLINK("http://www.ncbi.nlm.nih.gov/protein/XP_002786426.1","XP_002786426.1")</f>
        <v>XP_002786426.1</v>
      </c>
      <c r="BK223" s="2">
        <v>30</v>
      </c>
      <c r="BL223" s="2">
        <v>47</v>
      </c>
      <c r="BM223" s="2">
        <v>82</v>
      </c>
      <c r="BN223" s="2" t="s">
        <v>2303</v>
      </c>
      <c r="BO223" s="2" t="str">
        <f>HYPERLINK(".\links\SWISSP\AGAP003039-PA-SWISSP.txt","Organic cation transporter protein")</f>
        <v>Organic cation transporter protein</v>
      </c>
      <c r="BP223" s="2" t="str">
        <f>HYPERLINK("http://www.uniprot.org/uniprot/Q9VCA2","2E-091")</f>
        <v>2E-091</v>
      </c>
      <c r="BQ223" s="2" t="str">
        <f>HYPERLINK("http://www.uniprot.org/uniprot/Q9VCA2#expression","Q9VCA2")</f>
        <v>Q9VCA2</v>
      </c>
      <c r="BR223" s="2">
        <v>37</v>
      </c>
      <c r="BS223" s="2">
        <v>61</v>
      </c>
      <c r="BT223" s="2">
        <v>81</v>
      </c>
      <c r="BU223" s="2" t="s">
        <v>100</v>
      </c>
      <c r="BV223" s="2" t="str">
        <f>HYPERLINK(".\links\FLYBASE\AGAP003039-PA-FLYBASE.txt","FBpp0309574")</f>
        <v>FBpp0309574</v>
      </c>
      <c r="BW223" s="2" t="str">
        <f>HYPERLINK("http://flybase.org/reports/FBgn0034479#alliance_summary_container","1E-163")</f>
        <v>1E-163</v>
      </c>
      <c r="BX223" s="2">
        <v>502</v>
      </c>
      <c r="BY223" s="2">
        <v>46</v>
      </c>
      <c r="BZ223" s="2">
        <v>65</v>
      </c>
      <c r="CA223" s="2">
        <v>95</v>
      </c>
      <c r="CB223" s="2" t="str">
        <f>HYPERLINK(".\links\CDD\AGAP003039-PA-CDD.txt","organic_anion_transporter, cation transport protein")</f>
        <v>organic_anion_transporter, cation transport protein</v>
      </c>
      <c r="CC223" s="13">
        <v>9.9999999999999993E-103</v>
      </c>
      <c r="CD223" s="2">
        <v>81.2</v>
      </c>
      <c r="CE223" s="2" t="s">
        <v>2304</v>
      </c>
      <c r="CF223" s="2" t="s">
        <v>2683</v>
      </c>
      <c r="CG223" s="2" t="str">
        <f>HYPERLINK(".\links\KOG\AGAP003039-PA-KOG.txt","Synaptic vesicle transporter SVOP and related transporters (major facilitator superfamily)")</f>
        <v>Synaptic vesicle transporter SVOP and related transporters (major facilitator superfamily)</v>
      </c>
      <c r="CH223" s="13">
        <v>1E-91</v>
      </c>
      <c r="CI223" s="2">
        <v>97.7</v>
      </c>
      <c r="CJ223" s="2" t="s">
        <v>570</v>
      </c>
      <c r="CK223" s="2" t="s">
        <v>122</v>
      </c>
      <c r="CL223" s="2" t="str">
        <f>HYPERLINK(".\links\PFAM\AGAP003039-PA-PFAM.txt","Sugar_tr, Sugar (and other) transporter")</f>
        <v>Sugar_tr, Sugar (and other) transporter</v>
      </c>
      <c r="CM223" s="13">
        <v>3E-34</v>
      </c>
      <c r="CN223" s="2">
        <v>88.9</v>
      </c>
      <c r="CO223" s="2" t="s">
        <v>119</v>
      </c>
      <c r="CP223" s="2" t="str">
        <f>HYPERLINK(".\links\SMART\AGAP003039-PA-SMART.txt","Piwi, This domain is found in the protein Piwi and its relatives")</f>
        <v>Piwi, This domain is found in the protein Piwi and its relatives</v>
      </c>
      <c r="CQ223" s="13">
        <v>0.15</v>
      </c>
      <c r="CR223" s="2">
        <v>13</v>
      </c>
      <c r="CS223" s="2" t="s">
        <v>2684</v>
      </c>
      <c r="CT223" s="2" t="s">
        <v>2680</v>
      </c>
      <c r="CU223" s="2" t="s">
        <v>2680</v>
      </c>
      <c r="CV223" s="2" t="s">
        <v>2680</v>
      </c>
      <c r="CW223" s="2" t="str">
        <f>HYPERLINK(".\links\pep\AGAP003039-PA-pep.txt","AGAP003039-PA")</f>
        <v>AGAP003039-PA</v>
      </c>
      <c r="CX223" s="2" t="s">
        <v>88</v>
      </c>
      <c r="CY223" s="2">
        <v>532</v>
      </c>
      <c r="CZ223" s="2" t="s">
        <v>106</v>
      </c>
      <c r="DA223" s="2" t="s">
        <v>2685</v>
      </c>
      <c r="DB223" s="2">
        <v>0</v>
      </c>
      <c r="DC223" s="2">
        <v>2</v>
      </c>
      <c r="DD223" s="2" t="str">
        <f>HYPERLINK("https://www.kegg.jp/kegg-bin/search_pathway_text?map=aga&amp;keyword=AGAP003039&amp;mode=1&amp;viewImage=true","AGAP003039")</f>
        <v>AGAP003039</v>
      </c>
      <c r="DE223" s="2" t="s">
        <v>2677</v>
      </c>
      <c r="DF223" s="2" t="s">
        <v>2678</v>
      </c>
      <c r="DG223" s="2" t="s">
        <v>87</v>
      </c>
      <c r="DH223" s="2" t="str">
        <f>HYPERLINK("https://vectorbase.org/vectorbase/app/record/gene/AGAP003039","AGAP003039-RA")</f>
        <v>AGAP003039-RA</v>
      </c>
      <c r="DI223" s="2" t="s">
        <v>108</v>
      </c>
      <c r="DJ223" s="2">
        <v>2147</v>
      </c>
      <c r="DK223" s="2" t="str">
        <f>HYPERLINK(".\links\netoglyc\AGAP003039-PA-netoglyc.txt","0")</f>
        <v>0</v>
      </c>
      <c r="DL223" s="2">
        <v>12.6</v>
      </c>
      <c r="DM223" s="2">
        <v>8.8000000000000007</v>
      </c>
      <c r="DN223" s="2">
        <v>4.7</v>
      </c>
      <c r="DO223" s="2" t="s">
        <v>97</v>
      </c>
      <c r="DP223" s="2" t="s">
        <v>94</v>
      </c>
      <c r="DQ223" s="2" t="str">
        <f>HYPERLINK(".\links\Sigp\AGAP003039-PA-SigP.txt","CYT")</f>
        <v>CYT</v>
      </c>
      <c r="DR223" s="2" t="s">
        <v>94</v>
      </c>
      <c r="DS223" s="2">
        <v>58.125999999999998</v>
      </c>
      <c r="DT223" s="2">
        <v>7.97</v>
      </c>
      <c r="DU223" s="2" t="s">
        <v>94</v>
      </c>
      <c r="DV223" s="2" t="s">
        <v>94</v>
      </c>
      <c r="DW223" s="2" t="s">
        <v>2682</v>
      </c>
      <c r="DX223" s="2">
        <v>532</v>
      </c>
      <c r="DY223" s="8" t="str">
        <f>HYPERLINK(".\links\tmhmm\AGAP003039-PA-tmhmm.txt","12")</f>
        <v>12</v>
      </c>
      <c r="DZ223" s="2">
        <v>48.5</v>
      </c>
      <c r="EA223" s="2">
        <v>14.8</v>
      </c>
      <c r="EB223" s="2">
        <v>36.700000000000003</v>
      </c>
      <c r="EC223" s="2" t="str">
        <f>HYPERLINK(".\links\gpi\AGAP003039-PA-gpi.txt","N")</f>
        <v>N</v>
      </c>
      <c r="ED223" s="2">
        <v>0.28999999999999998</v>
      </c>
      <c r="EF223" s="2">
        <v>10</v>
      </c>
      <c r="EG223" s="2" t="s">
        <v>94</v>
      </c>
      <c r="EH223" s="2" t="s">
        <v>94</v>
      </c>
      <c r="EI223" s="2">
        <v>12.593984962405999</v>
      </c>
      <c r="EJ223" s="2">
        <v>4.6992481203007497</v>
      </c>
      <c r="EK223" s="2">
        <v>8.8345864661654101</v>
      </c>
      <c r="EL223" s="2">
        <v>13.533834586466201</v>
      </c>
      <c r="EM223" s="2">
        <v>1</v>
      </c>
      <c r="EN223" s="2">
        <v>1</v>
      </c>
      <c r="EO223" s="2">
        <v>2</v>
      </c>
      <c r="EP223" s="2" t="s">
        <v>94</v>
      </c>
      <c r="EQ223" s="2" t="s">
        <v>94</v>
      </c>
      <c r="ER223" s="2" t="s">
        <v>94</v>
      </c>
      <c r="ES223" s="2" t="s">
        <v>486</v>
      </c>
      <c r="ET223" s="2" t="str">
        <f>HYPERLINK(".\links\REFSEQ-INVERTEBRATE\AGAP003039-PA-REFSEQ-INVERTEBRATE.txt","AGAP003039-PA")</f>
        <v>AGAP003039-PA</v>
      </c>
      <c r="EU223" s="2" t="str">
        <f>HYPERLINK("http://www.ncbi.nlm.nih.gov/sutils/blink.cgi?pid=XP_311836.5","0.0")</f>
        <v>0.0</v>
      </c>
      <c r="EV223" s="2" t="str">
        <f>HYPERLINK("http://www.ncbi.nlm.nih.gov/protein/XP_311836.5","XP_311836.5")</f>
        <v>XP_311836.5</v>
      </c>
      <c r="EW223" s="2">
        <v>100</v>
      </c>
      <c r="EX223" s="2">
        <v>100</v>
      </c>
      <c r="EY223" s="2">
        <v>100</v>
      </c>
      <c r="EZ223" s="2" t="s">
        <v>98</v>
      </c>
    </row>
    <row r="224" spans="1:156" x14ac:dyDescent="0.25">
      <c r="A224" s="2" t="s">
        <v>2686</v>
      </c>
      <c r="B224" s="2">
        <v>-0.94229912636060698</v>
      </c>
      <c r="C224" s="2">
        <v>0.52040288805255186</v>
      </c>
      <c r="D224" s="2">
        <v>5.73675491923058</v>
      </c>
      <c r="E224" s="2">
        <v>28.4743738307459</v>
      </c>
      <c r="F224" s="2">
        <v>9.4946900617024397E-8</v>
      </c>
      <c r="G224" s="2">
        <v>4.0814219960690903E-5</v>
      </c>
      <c r="H224" s="2" t="s">
        <v>2687</v>
      </c>
      <c r="I224" s="2" t="s">
        <v>87</v>
      </c>
      <c r="J224" s="2" t="str">
        <f>HYPERLINK("https://vectorbase.org/vectorbase/app/record/gene/AGAP003581","AGAP003581-RA")</f>
        <v>AGAP003581-RA</v>
      </c>
      <c r="K224" s="2" t="str">
        <f>HYPERLINK(".\links\pep\AGAP003581-PA-pep.txt","AGAP003581-PA")</f>
        <v>AGAP003581-PA</v>
      </c>
      <c r="L224" s="8" t="s">
        <v>88</v>
      </c>
      <c r="M224" s="2">
        <v>363</v>
      </c>
      <c r="N224" s="2">
        <v>0</v>
      </c>
      <c r="O224" s="2">
        <v>0</v>
      </c>
      <c r="P224" s="2" t="s">
        <v>2688</v>
      </c>
      <c r="Q224" s="2" t="s">
        <v>2689</v>
      </c>
      <c r="R224" s="2" t="s">
        <v>2690</v>
      </c>
      <c r="S224" s="2" t="str">
        <f>HYPERLINK(".\links\KOG\AGAP003581-PA-KOG.txt","KOG")</f>
        <v>KOG</v>
      </c>
      <c r="T224" s="2">
        <v>4.0000000000000002E-33</v>
      </c>
      <c r="U224" s="2">
        <v>96.9</v>
      </c>
      <c r="V224" s="2" t="s">
        <v>2691</v>
      </c>
      <c r="W224" s="10" t="s">
        <v>2692</v>
      </c>
      <c r="X224" s="2" t="s">
        <v>2693</v>
      </c>
      <c r="Y224" s="2" t="str">
        <f>HYPERLINK(".\links\COG\AGAP003581-PA-COG.txt","COG")</f>
        <v>COG</v>
      </c>
      <c r="Z224" s="13">
        <v>1.0000000000000001E-33</v>
      </c>
      <c r="AA224" s="2">
        <v>101.7</v>
      </c>
      <c r="AB224" s="8" t="s">
        <v>94</v>
      </c>
      <c r="AC224" s="8" t="str">
        <f>HYPERLINK(".\links\Sigp\AGAP003581-PA-SigP.txt","CYT")</f>
        <v>CYT</v>
      </c>
      <c r="AD224" s="2" t="s">
        <v>94</v>
      </c>
      <c r="AE224" s="2">
        <v>39.302</v>
      </c>
      <c r="AF224" s="2">
        <v>6.93</v>
      </c>
      <c r="AG224" s="2" t="s">
        <v>94</v>
      </c>
      <c r="AH224" s="2" t="s">
        <v>94</v>
      </c>
      <c r="AI224" s="2" t="s">
        <v>2694</v>
      </c>
      <c r="AJ224" s="8" t="str">
        <f>HYPERLINK(".\links\tmhmm\AGAP003581-PA-tmhmm.txt","1")</f>
        <v>1</v>
      </c>
      <c r="AK224" s="2">
        <v>6.1</v>
      </c>
      <c r="AL224" s="2">
        <v>46.3</v>
      </c>
      <c r="AM224" s="2">
        <v>47.7</v>
      </c>
      <c r="AN224" s="8" t="str">
        <f>HYPERLINK(".\links\gpi\AGAP003581-PA-gpi.txt","N")</f>
        <v>N</v>
      </c>
      <c r="AO224" s="8" t="str">
        <f>HYPERLINK(".\links\netoglyc\AGAP003581-PA-netoglyc.txt","0")</f>
        <v>0</v>
      </c>
      <c r="AP224" s="8">
        <v>7.2</v>
      </c>
      <c r="AQ224" s="2">
        <v>9.6</v>
      </c>
      <c r="AR224" s="2">
        <v>4.4000000000000004</v>
      </c>
      <c r="AS224" s="2" t="s">
        <v>97</v>
      </c>
      <c r="AT224" s="2" t="str">
        <f>HYPERLINK(".\links\NR-LIGHT\AGAP003581-PA-NR-LIGHT.txt","AGAP003581-PA")</f>
        <v>AGAP003581-PA</v>
      </c>
      <c r="AU224" s="2" t="str">
        <f>HYPERLINK("http://www.ncbi.nlm.nih.gov/sutils/blink.cgi?pid=XP_313335.4","0.0")</f>
        <v>0.0</v>
      </c>
      <c r="AV224" s="2" t="str">
        <f>HYPERLINK("http://www.ncbi.nlm.nih.gov/protein/XP_313335.4","XP_313335.4")</f>
        <v>XP_313335.4</v>
      </c>
      <c r="AW224" s="2">
        <v>100</v>
      </c>
      <c r="AX224" s="2">
        <v>100</v>
      </c>
      <c r="AY224" s="2">
        <v>100</v>
      </c>
      <c r="AZ224" s="2" t="s">
        <v>98</v>
      </c>
      <c r="BA224" s="2" t="str">
        <f>HYPERLINK(".\links\REFSEQ-INVERTEBRATE\AGAP003581-PA-REFSEQ-INVERTEBRATE.txt","AGAP003581-PA")</f>
        <v>AGAP003581-PA</v>
      </c>
      <c r="BB224" s="2" t="str">
        <f>HYPERLINK("http://www.ncbi.nlm.nih.gov/sutils/blink.cgi?pid=XP_313335.4","0.0")</f>
        <v>0.0</v>
      </c>
      <c r="BC224" s="2" t="str">
        <f>HYPERLINK("http://www.ncbi.nlm.nih.gov/protein/XP_313335.4","XP_313335.4")</f>
        <v>XP_313335.4</v>
      </c>
      <c r="BD224" s="2">
        <v>100</v>
      </c>
      <c r="BE224" s="2">
        <v>100</v>
      </c>
      <c r="BF224" s="2">
        <v>100</v>
      </c>
      <c r="BG224" s="2" t="s">
        <v>98</v>
      </c>
      <c r="BH224" s="2" t="str">
        <f>HYPERLINK(".\links\REFSEQ-PROTOZOA\AGAP003581-PA-REFSEQ-PROTOZOA.txt","sorbitol dehydrogenase")</f>
        <v>sorbitol dehydrogenase</v>
      </c>
      <c r="BI224" s="2" t="str">
        <f>HYPERLINK("http://www.ncbi.nlm.nih.gov/sutils/blink.cgi?pid=XP_004363600.1","1E-090")</f>
        <v>1E-090</v>
      </c>
      <c r="BJ224" s="2" t="str">
        <f>HYPERLINK("http://www.ncbi.nlm.nih.gov/protein/XP_004363600.1","XP_004363600.1")</f>
        <v>XP_004363600.1</v>
      </c>
      <c r="BK224" s="2">
        <v>48</v>
      </c>
      <c r="BL224" s="2">
        <v>67</v>
      </c>
      <c r="BM224" s="2">
        <v>99</v>
      </c>
      <c r="BN224" s="2" t="s">
        <v>227</v>
      </c>
      <c r="BO224" s="2" t="str">
        <f>HYPERLINK(".\links\SWISSP\AGAP003581-PA-SWISSP.txt","Sorbitol dehydrogenase")</f>
        <v>Sorbitol dehydrogenase</v>
      </c>
      <c r="BP224" s="2" t="str">
        <f>HYPERLINK("http://www.uniprot.org/uniprot/Q58D31","5E-086")</f>
        <v>5E-086</v>
      </c>
      <c r="BQ224" s="2" t="str">
        <f>HYPERLINK("http://www.uniprot.org/uniprot/Q58D31#expression","Q58D31")</f>
        <v>Q58D31</v>
      </c>
      <c r="BR224" s="2">
        <v>45</v>
      </c>
      <c r="BS224" s="2">
        <v>66</v>
      </c>
      <c r="BT224" s="2">
        <v>100</v>
      </c>
      <c r="BU224" s="2" t="s">
        <v>1134</v>
      </c>
      <c r="BV224" s="2" t="str">
        <f>HYPERLINK(".\links\FLYBASE\AGAP003581-PA-FLYBASE.txt","FBpp0081800")</f>
        <v>FBpp0081800</v>
      </c>
      <c r="BW224" s="2" t="str">
        <f>HYPERLINK("http://flybase.org/reports/FBgn0022359#alliance_summary_container","1E-127")</f>
        <v>1E-127</v>
      </c>
      <c r="BX224" s="2">
        <v>360</v>
      </c>
      <c r="BY224" s="2">
        <v>51</v>
      </c>
      <c r="BZ224" s="2">
        <v>72</v>
      </c>
      <c r="CA224" s="2">
        <v>99</v>
      </c>
      <c r="CB224" s="2" t="str">
        <f>HYPERLINK(".\links\CDD\AGAP003581-PA-CDD.txt","sorbitol_DH, Sorbitol dehydrogenase")</f>
        <v>sorbitol_DH, Sorbitol dehydrogenase</v>
      </c>
      <c r="CC224" s="13">
        <v>1.0000000000000001E-133</v>
      </c>
      <c r="CD224" s="2">
        <v>100.6</v>
      </c>
      <c r="CE224" s="2" t="s">
        <v>2695</v>
      </c>
      <c r="CF224" s="2" t="s">
        <v>2696</v>
      </c>
      <c r="CG224" s="2" t="str">
        <f>HYPERLINK(".\links\KOG\AGAP003581-PA-KOG.txt","Sorbitol dehydrogenase")</f>
        <v>Sorbitol dehydrogenase</v>
      </c>
      <c r="CH224" s="13">
        <v>1E-107</v>
      </c>
      <c r="CI224" s="2">
        <v>100.8</v>
      </c>
      <c r="CJ224" s="2" t="s">
        <v>2697</v>
      </c>
      <c r="CK224" s="2" t="s">
        <v>104</v>
      </c>
      <c r="CL224" s="2" t="str">
        <f>HYPERLINK(".\links\PFAM\AGAP003581-PA-PFAM.txt","ADH_N, Alcohol dehydrogenase GroES-like domain")</f>
        <v>ADH_N, Alcohol dehydrogenase GroES-like domain</v>
      </c>
      <c r="CM224" s="13">
        <v>3E-24</v>
      </c>
      <c r="CN224" s="2">
        <v>98.1</v>
      </c>
      <c r="CO224" s="2" t="s">
        <v>2698</v>
      </c>
      <c r="CP224" s="2" t="str">
        <f>HYPERLINK(".\links\SMART\AGAP003581-PA-SMART.txt","PKS_ER, Enoylreductase")</f>
        <v>PKS_ER, Enoylreductase</v>
      </c>
      <c r="CQ224" s="13">
        <v>8E-14</v>
      </c>
      <c r="CR224" s="2">
        <v>47.4</v>
      </c>
      <c r="CS224" s="2" t="s">
        <v>2699</v>
      </c>
      <c r="CT224" s="2" t="s">
        <v>2691</v>
      </c>
      <c r="CU224" s="2" t="s">
        <v>2691</v>
      </c>
      <c r="CV224" s="2" t="s">
        <v>2691</v>
      </c>
      <c r="CW224" s="2" t="str">
        <f>HYPERLINK(".\links\pep\AGAP003581-PA-pep.txt","AGAP003581-PA")</f>
        <v>AGAP003581-PA</v>
      </c>
      <c r="CX224" s="2" t="s">
        <v>88</v>
      </c>
      <c r="CY224" s="2">
        <v>363</v>
      </c>
      <c r="CZ224" s="2" t="s">
        <v>106</v>
      </c>
      <c r="DA224" s="2" t="s">
        <v>2700</v>
      </c>
      <c r="DB224" s="2">
        <v>0</v>
      </c>
      <c r="DC224" s="2">
        <v>0</v>
      </c>
      <c r="DD224" s="2" t="str">
        <f>HYPERLINK("https://www.kegg.jp/kegg-bin/search_pathway_text?map=aga&amp;keyword=AGAP003581&amp;mode=1&amp;viewImage=true","AGAP003581")</f>
        <v>AGAP003581</v>
      </c>
      <c r="DE224" s="2" t="s">
        <v>2686</v>
      </c>
      <c r="DF224" s="2" t="s">
        <v>2687</v>
      </c>
      <c r="DG224" s="2" t="s">
        <v>87</v>
      </c>
      <c r="DH224" s="2" t="str">
        <f>HYPERLINK("https://vectorbase.org/vectorbase/app/record/gene/AGAP003581","AGAP003581-RA")</f>
        <v>AGAP003581-RA</v>
      </c>
      <c r="DI224" s="2" t="s">
        <v>108</v>
      </c>
      <c r="DJ224" s="2">
        <v>1174</v>
      </c>
      <c r="DK224" s="2" t="str">
        <f>HYPERLINK(".\links\netoglyc\AGAP003581-PA-netoglyc.txt","0")</f>
        <v>0</v>
      </c>
      <c r="DL224" s="2">
        <v>7.2</v>
      </c>
      <c r="DM224" s="2">
        <v>9.6</v>
      </c>
      <c r="DN224" s="2">
        <v>4.4000000000000004</v>
      </c>
      <c r="DO224" s="2" t="s">
        <v>97</v>
      </c>
      <c r="DP224" s="2" t="s">
        <v>94</v>
      </c>
      <c r="DQ224" s="2" t="str">
        <f>HYPERLINK(".\links\Sigp\AGAP003581-PA-SigP.txt","CYT")</f>
        <v>CYT</v>
      </c>
      <c r="DR224" s="2" t="s">
        <v>94</v>
      </c>
      <c r="DS224" s="2">
        <v>39.302</v>
      </c>
      <c r="DT224" s="2">
        <v>6.93</v>
      </c>
      <c r="DU224" s="2" t="s">
        <v>94</v>
      </c>
      <c r="DV224" s="2" t="s">
        <v>94</v>
      </c>
      <c r="DW224" s="2" t="s">
        <v>2694</v>
      </c>
      <c r="DX224" s="2">
        <v>363</v>
      </c>
      <c r="DY224" s="8" t="str">
        <f>HYPERLINK(".\links\tmhmm\AGAP003581-PA-tmhmm.txt","1")</f>
        <v>1</v>
      </c>
      <c r="DZ224" s="2">
        <v>6.1</v>
      </c>
      <c r="EA224" s="2">
        <v>46.3</v>
      </c>
      <c r="EB224" s="2">
        <v>47.7</v>
      </c>
      <c r="EC224" s="2" t="str">
        <f>HYPERLINK(".\links\gpi\AGAP003581-PA-gpi.txt","N")</f>
        <v>N</v>
      </c>
      <c r="ED224" s="2">
        <v>0.32</v>
      </c>
      <c r="EF224" s="2">
        <v>13</v>
      </c>
      <c r="EG224" s="2" t="s">
        <v>94</v>
      </c>
      <c r="EH224" s="2" t="s">
        <v>94</v>
      </c>
      <c r="EI224" s="2">
        <v>7.1625344352617102</v>
      </c>
      <c r="EJ224" s="2">
        <v>4.4077134986225897</v>
      </c>
      <c r="EK224" s="2">
        <v>9.6418732782369094</v>
      </c>
      <c r="EL224" s="2">
        <v>14.049586776859501</v>
      </c>
      <c r="EM224" s="2" t="s">
        <v>94</v>
      </c>
      <c r="EN224" s="2" t="s">
        <v>94</v>
      </c>
      <c r="EO224" s="2">
        <v>1</v>
      </c>
      <c r="EP224" s="2" t="s">
        <v>94</v>
      </c>
      <c r="EQ224" s="2" t="s">
        <v>94</v>
      </c>
      <c r="ER224" s="2" t="s">
        <v>94</v>
      </c>
      <c r="ES224" s="2" t="s">
        <v>94</v>
      </c>
      <c r="ET224" s="2" t="str">
        <f>HYPERLINK(".\links\REFSEQ-INVERTEBRATE\AGAP003581-PA-REFSEQ-INVERTEBRATE.txt","AGAP003581-PA")</f>
        <v>AGAP003581-PA</v>
      </c>
      <c r="EU224" s="2" t="str">
        <f>HYPERLINK("http://www.ncbi.nlm.nih.gov/sutils/blink.cgi?pid=XP_313335.4","0.0")</f>
        <v>0.0</v>
      </c>
      <c r="EV224" s="2" t="str">
        <f>HYPERLINK("http://www.ncbi.nlm.nih.gov/protein/XP_313335.4","XP_313335.4")</f>
        <v>XP_313335.4</v>
      </c>
      <c r="EW224" s="2">
        <v>100</v>
      </c>
      <c r="EX224" s="2">
        <v>100</v>
      </c>
      <c r="EY224" s="2">
        <v>100</v>
      </c>
      <c r="EZ224" s="2" t="s">
        <v>98</v>
      </c>
    </row>
    <row r="225" spans="1:156" x14ac:dyDescent="0.25">
      <c r="A225" s="2" t="s">
        <v>2701</v>
      </c>
      <c r="B225" s="2">
        <v>-0.94524785278825996</v>
      </c>
      <c r="C225" s="2">
        <v>0.5193403221160332</v>
      </c>
      <c r="D225" s="2">
        <v>6.2340813239580903</v>
      </c>
      <c r="E225" s="2">
        <v>42.772172276599399</v>
      </c>
      <c r="F225" s="2">
        <v>6.1500838852915003E-11</v>
      </c>
      <c r="G225" s="2">
        <v>8.3087633290288105E-8</v>
      </c>
      <c r="H225" s="2" t="s">
        <v>167</v>
      </c>
      <c r="I225" s="2" t="s">
        <v>87</v>
      </c>
      <c r="J225" s="2" t="str">
        <f>HYPERLINK("https://vectorbase.org/vectorbase/app/record/gene/AGAP002459","AGAP002459-RA")</f>
        <v>AGAP002459-RA</v>
      </c>
      <c r="K225" s="2" t="str">
        <f>HYPERLINK(".\links\pep\AGAP002459-PA-pep.txt","AGAP002459-PA")</f>
        <v>AGAP002459-PA</v>
      </c>
      <c r="L225" s="8" t="s">
        <v>88</v>
      </c>
      <c r="M225" s="2">
        <v>220</v>
      </c>
      <c r="N225" s="2">
        <v>0</v>
      </c>
      <c r="O225" s="2">
        <v>1</v>
      </c>
      <c r="P225" s="2" t="s">
        <v>94</v>
      </c>
      <c r="Q225" s="2" t="s">
        <v>2702</v>
      </c>
      <c r="R225" s="2" t="s">
        <v>253</v>
      </c>
      <c r="S225" s="2" t="str">
        <f>HYPERLINK(".\links\REFSEQ-INVERTEBRATE\AGAP002459-PA-REFSEQ-INVERTEBRATE.txt","REFSEQ-INVERTEBRATE")</f>
        <v>REFSEQ-INVERTEBRATE</v>
      </c>
      <c r="T225" s="2">
        <v>0</v>
      </c>
      <c r="U225" s="2">
        <v>100</v>
      </c>
      <c r="V225" s="2" t="s">
        <v>2702</v>
      </c>
      <c r="W225" s="10" t="s">
        <v>2703</v>
      </c>
      <c r="X225" s="2" t="s">
        <v>253</v>
      </c>
      <c r="Y225" s="2" t="str">
        <f>HYPERLINK(".\links\ARTHORPODA\AGAP002459-PA-ARTHORPODA.txt","ARTHORPODA")</f>
        <v>ARTHORPODA</v>
      </c>
      <c r="Z225" s="13">
        <v>0</v>
      </c>
      <c r="AA225" s="2">
        <v>105.2</v>
      </c>
      <c r="AB225" s="8" t="s">
        <v>94</v>
      </c>
      <c r="AC225" s="8" t="str">
        <f>HYPERLINK(".\links\Sigp\AGAP002459-PA-SigP.txt","BL/SIG")</f>
        <v>BL/SIG</v>
      </c>
      <c r="AD225" s="2" t="s">
        <v>94</v>
      </c>
      <c r="AE225" s="2">
        <v>24.742000000000001</v>
      </c>
      <c r="AF225" s="2">
        <v>9.69</v>
      </c>
      <c r="AG225" s="2" t="s">
        <v>94</v>
      </c>
      <c r="AH225" s="2" t="s">
        <v>94</v>
      </c>
      <c r="AI225" s="2" t="s">
        <v>463</v>
      </c>
      <c r="AJ225" s="8">
        <v>0</v>
      </c>
      <c r="AK225" s="2" t="s">
        <v>94</v>
      </c>
      <c r="AL225" s="2" t="s">
        <v>94</v>
      </c>
      <c r="AM225" s="2" t="s">
        <v>94</v>
      </c>
      <c r="AN225" s="8" t="str">
        <f>HYPERLINK(".\links\gpi\AGAP002459-PA-gpi.txt","N")</f>
        <v>N</v>
      </c>
      <c r="AO225" s="8" t="str">
        <f>HYPERLINK(".\links\netoglyc\AGAP002459-PA-netoglyc.txt","2")</f>
        <v>2</v>
      </c>
      <c r="AP225" s="8">
        <v>9.1</v>
      </c>
      <c r="AQ225" s="2">
        <v>5.5</v>
      </c>
      <c r="AR225" s="2">
        <v>5.9</v>
      </c>
      <c r="AS225" s="2" t="s">
        <v>97</v>
      </c>
      <c r="AT225" s="2" t="str">
        <f>HYPERLINK(".\links\NR-LIGHT\AGAP002459-PA-NR-LIGHT.txt","AGAP002459-PA")</f>
        <v>AGAP002459-PA</v>
      </c>
      <c r="AU225" s="2" t="str">
        <f>HYPERLINK("http://www.ncbi.nlm.nih.gov/sutils/blink.cgi?pid=XP_563723.3","1E-124")</f>
        <v>1E-124</v>
      </c>
      <c r="AV225" s="2" t="str">
        <f>HYPERLINK("http://www.ncbi.nlm.nih.gov/protein/XP_563723.3","XP_563723.3")</f>
        <v>XP_563723.3</v>
      </c>
      <c r="AW225" s="2">
        <v>100</v>
      </c>
      <c r="AX225" s="2">
        <v>100</v>
      </c>
      <c r="AY225" s="2">
        <v>100</v>
      </c>
      <c r="AZ225" s="2" t="s">
        <v>98</v>
      </c>
      <c r="BA225" s="2" t="str">
        <f>HYPERLINK(".\links\REFSEQ-INVERTEBRATE\AGAP002459-PA-REFSEQ-INVERTEBRATE.txt","AGAP002459-PA")</f>
        <v>AGAP002459-PA</v>
      </c>
      <c r="BB225" s="2" t="str">
        <f>HYPERLINK("http://www.ncbi.nlm.nih.gov/sutils/blink.cgi?pid=XP_563723.3","1E-125")</f>
        <v>1E-125</v>
      </c>
      <c r="BC225" s="2" t="str">
        <f>HYPERLINK("http://www.ncbi.nlm.nih.gov/protein/XP_563723.3","XP_563723.3")</f>
        <v>XP_563723.3</v>
      </c>
      <c r="BD225" s="2">
        <v>100</v>
      </c>
      <c r="BE225" s="2">
        <v>100</v>
      </c>
      <c r="BF225" s="2">
        <v>100</v>
      </c>
      <c r="BG225" s="2" t="s">
        <v>98</v>
      </c>
      <c r="BH225" s="2" t="str">
        <f>HYPERLINK(".\links\REFSEQ-PROTOZOA\AGAP002459-PA-REFSEQ-PROTOZOA.txt","hypothetical protein TGME49_248180")</f>
        <v>hypothetical protein TGME49_248180</v>
      </c>
      <c r="BI225" s="2" t="str">
        <f>HYPERLINK("http://www.ncbi.nlm.nih.gov/sutils/blink.cgi?pid=XP_002367165.1","0.16")</f>
        <v>0.16</v>
      </c>
      <c r="BJ225" s="2" t="str">
        <f>HYPERLINK("http://www.ncbi.nlm.nih.gov/protein/XP_002367165.1","XP_002367165.1")</f>
        <v>XP_002367165.1</v>
      </c>
      <c r="BK225" s="2">
        <v>31</v>
      </c>
      <c r="BL225" s="2">
        <v>47</v>
      </c>
      <c r="BM225" s="2">
        <v>46</v>
      </c>
      <c r="BN225" s="2" t="s">
        <v>1852</v>
      </c>
      <c r="BO225" s="2" t="str">
        <f>HYPERLINK(".\links\SWISSP\AGAP002459-PA-SWISSP.txt","Glycoprotein endo-alpha-1,2-mannosidase-like protein")</f>
        <v>Glycoprotein endo-alpha-1,2-mannosidase-like protein</v>
      </c>
      <c r="BP225" s="2" t="str">
        <f>HYPERLINK("http://www.uniprot.org/uniprot/Q6P1J0","0.084")</f>
        <v>0.084</v>
      </c>
      <c r="BQ225" s="2" t="str">
        <f>HYPERLINK("http://www.uniprot.org/uniprot/Q6P1J0#expression","Q6P1J0")</f>
        <v>Q6P1J0</v>
      </c>
      <c r="BR225" s="2">
        <v>46</v>
      </c>
      <c r="BS225" s="2">
        <v>51</v>
      </c>
      <c r="BT225" s="2">
        <v>10</v>
      </c>
      <c r="BU225" s="2" t="s">
        <v>339</v>
      </c>
      <c r="BV225" s="2" t="str">
        <f>HYPERLINK(".\links\FLYBASE\AGAP002459-PA-FLYBASE.txt","FBpp0305619")</f>
        <v>FBpp0305619</v>
      </c>
      <c r="BW225" s="2" t="str">
        <f>HYPERLINK("http://flybase.org/reports/FBgn0040153#alliance_summary_container","1E-23")</f>
        <v>1E-23</v>
      </c>
      <c r="BX225" s="2">
        <v>338</v>
      </c>
      <c r="BY225" s="2">
        <v>44</v>
      </c>
      <c r="BZ225" s="2">
        <v>64</v>
      </c>
      <c r="CA225" s="2">
        <v>34</v>
      </c>
      <c r="CB225" s="2" t="str">
        <f>HYPERLINK(".\links\CDD\AGAP002459-PA-CDD.txt","PRK07764, DNA polymerase III subunits gamma and tau")</f>
        <v>PRK07764, DNA polymerase III subunits gamma and tau</v>
      </c>
      <c r="CC225" s="13">
        <v>0.46</v>
      </c>
      <c r="CD225" s="2">
        <v>5.2</v>
      </c>
      <c r="CE225" s="2" t="s">
        <v>2704</v>
      </c>
      <c r="CF225" s="2" t="s">
        <v>2705</v>
      </c>
      <c r="CG225" s="2" t="str">
        <f>HYPERLINK(".\links\KOG\AGAP002459-PA-KOG.txt","Choline phosphate cytidylyltransferase/Predicted CDP-ethanolamine synthase")</f>
        <v>Choline phosphate cytidylyltransferase/Predicted CDP-ethanolamine synthase</v>
      </c>
      <c r="CH225" s="13">
        <v>0.56999999999999995</v>
      </c>
      <c r="CI225" s="2">
        <v>19.3</v>
      </c>
      <c r="CJ225" s="2" t="s">
        <v>2706</v>
      </c>
      <c r="CK225" s="2" t="s">
        <v>232</v>
      </c>
      <c r="CL225" s="2" t="str">
        <f>HYPERLINK(".\links\PFAM\AGAP002459-PA-PFAM.txt","LRAT, Lecithin retinol acyltransferase")</f>
        <v>LRAT, Lecithin retinol acyltransferase</v>
      </c>
      <c r="CM225" s="13">
        <v>0.12</v>
      </c>
      <c r="CN225" s="2">
        <v>52.8</v>
      </c>
      <c r="CO225" s="2" t="s">
        <v>2707</v>
      </c>
      <c r="CP225" s="2" t="str">
        <f>HYPERLINK(".\links\SMART\AGAP002459-PA-SMART.txt","TOP1Ac, Bacterial DNA topoisomerase I DNA-binding domain")</f>
        <v>TOP1Ac, Bacterial DNA topoisomerase I DNA-binding domain</v>
      </c>
      <c r="CQ225" s="13">
        <v>2</v>
      </c>
      <c r="CR225" s="2">
        <v>8.1</v>
      </c>
      <c r="CS225" s="2" t="s">
        <v>2708</v>
      </c>
      <c r="CT225" s="2" t="s">
        <v>2702</v>
      </c>
      <c r="CU225" s="2" t="s">
        <v>2702</v>
      </c>
      <c r="CV225" s="2" t="s">
        <v>2702</v>
      </c>
      <c r="CW225" s="2" t="str">
        <f>HYPERLINK(".\links\pep\AGAP002459-PA-pep.txt","AGAP002459-PA")</f>
        <v>AGAP002459-PA</v>
      </c>
      <c r="CX225" s="2" t="s">
        <v>88</v>
      </c>
      <c r="CY225" s="2">
        <v>220</v>
      </c>
      <c r="CZ225" s="2" t="s">
        <v>106</v>
      </c>
      <c r="DA225" s="2" t="s">
        <v>2709</v>
      </c>
      <c r="DB225" s="2">
        <v>0</v>
      </c>
      <c r="DC225" s="2">
        <v>1</v>
      </c>
      <c r="DD225" s="2" t="str">
        <f>HYPERLINK("https://www.kegg.jp/kegg-bin/search_pathway_text?map=aga&amp;keyword=AGAP002459&amp;mode=1&amp;viewImage=true","AGAP002459")</f>
        <v>AGAP002459</v>
      </c>
      <c r="DE225" s="2" t="s">
        <v>2701</v>
      </c>
      <c r="DF225" s="2" t="s">
        <v>167</v>
      </c>
      <c r="DG225" s="2" t="s">
        <v>87</v>
      </c>
      <c r="DH225" s="2" t="str">
        <f>HYPERLINK("https://vectorbase.org/vectorbase/app/record/gene/AGAP002459","AGAP002459-RA")</f>
        <v>AGAP002459-RA</v>
      </c>
      <c r="DI225" s="2" t="s">
        <v>143</v>
      </c>
      <c r="DJ225" s="2">
        <v>1639</v>
      </c>
      <c r="DK225" s="2" t="str">
        <f>HYPERLINK(".\links\netoglyc\AGAP002459-PA-netoglyc.txt","2")</f>
        <v>2</v>
      </c>
      <c r="DL225" s="2">
        <v>9.1</v>
      </c>
      <c r="DM225" s="2">
        <v>5.5</v>
      </c>
      <c r="DN225" s="2">
        <v>5.9</v>
      </c>
      <c r="DO225" s="2" t="s">
        <v>97</v>
      </c>
      <c r="DP225" s="2" t="s">
        <v>94</v>
      </c>
      <c r="DQ225" s="2" t="str">
        <f>HYPERLINK(".\links\Sigp\AGAP002459-PA-SigP.txt","BL/SIG")</f>
        <v>BL/SIG</v>
      </c>
      <c r="DR225" s="2" t="s">
        <v>94</v>
      </c>
      <c r="DS225" s="2">
        <v>24.742000000000001</v>
      </c>
      <c r="DT225" s="2">
        <v>9.69</v>
      </c>
      <c r="DU225" s="2" t="s">
        <v>94</v>
      </c>
      <c r="DV225" s="2" t="s">
        <v>94</v>
      </c>
      <c r="DW225" s="2" t="s">
        <v>463</v>
      </c>
      <c r="DX225" s="2">
        <v>220</v>
      </c>
      <c r="DY225" s="8">
        <v>0</v>
      </c>
      <c r="DZ225" s="2" t="s">
        <v>94</v>
      </c>
      <c r="EA225" s="2" t="s">
        <v>94</v>
      </c>
      <c r="EB225" s="2" t="s">
        <v>94</v>
      </c>
      <c r="EC225" s="2" t="str">
        <f>HYPERLINK(".\links\gpi\AGAP002459-PA-gpi.txt","Y-NoSP")</f>
        <v>Y-NoSP</v>
      </c>
      <c r="ED225" s="2">
        <v>0.26</v>
      </c>
      <c r="EF225" s="2">
        <v>4</v>
      </c>
      <c r="EG225" s="2" t="s">
        <v>94</v>
      </c>
      <c r="EH225" s="2" t="s">
        <v>94</v>
      </c>
      <c r="EI225" s="2">
        <v>9.0909090909090899</v>
      </c>
      <c r="EJ225" s="2">
        <v>5.9090909090909101</v>
      </c>
      <c r="EK225" s="2">
        <v>5.4545454545454497</v>
      </c>
      <c r="EL225" s="2">
        <v>11.363636363636401</v>
      </c>
      <c r="EM225" s="2" t="s">
        <v>94</v>
      </c>
      <c r="EN225" s="2" t="s">
        <v>94</v>
      </c>
      <c r="EO225" s="2" t="s">
        <v>94</v>
      </c>
      <c r="EP225" s="2" t="s">
        <v>94</v>
      </c>
      <c r="EQ225" s="2" t="s">
        <v>94</v>
      </c>
      <c r="ER225" s="2" t="s">
        <v>94</v>
      </c>
      <c r="ES225" s="2" t="s">
        <v>94</v>
      </c>
      <c r="ET225" s="2" t="str">
        <f>HYPERLINK(".\links\REFSEQ-INVERTEBRATE\AGAP002459-PA-REFSEQ-INVERTEBRATE.txt","AGAP002459-PA")</f>
        <v>AGAP002459-PA</v>
      </c>
      <c r="EU225" s="2" t="str">
        <f>HYPERLINK("http://www.ncbi.nlm.nih.gov/sutils/blink.cgi?pid=XP_563723.3","1E-165")</f>
        <v>1E-165</v>
      </c>
      <c r="EV225" s="2" t="str">
        <f>HYPERLINK("http://www.ncbi.nlm.nih.gov/protein/XP_563723.3","XP_563723.3")</f>
        <v>XP_563723.3</v>
      </c>
      <c r="EW225" s="2">
        <v>100</v>
      </c>
      <c r="EX225" s="2">
        <v>100</v>
      </c>
      <c r="EY225" s="2">
        <v>100</v>
      </c>
      <c r="EZ225" s="2" t="s">
        <v>98</v>
      </c>
    </row>
    <row r="226" spans="1:156" x14ac:dyDescent="0.25">
      <c r="A226" s="2" t="s">
        <v>2710</v>
      </c>
      <c r="B226" s="2">
        <v>-0.99675813084242404</v>
      </c>
      <c r="C226" s="2">
        <v>0.5011248095353722</v>
      </c>
      <c r="D226" s="2">
        <v>5.0159349867915797</v>
      </c>
      <c r="E226" s="2">
        <v>13.4396928651965</v>
      </c>
      <c r="F226" s="2">
        <v>2.4635595057354302E-4</v>
      </c>
      <c r="G226" s="2">
        <v>1.37956803475268E-2</v>
      </c>
      <c r="H226" s="2" t="s">
        <v>2711</v>
      </c>
      <c r="I226" s="2" t="s">
        <v>87</v>
      </c>
      <c r="J226" s="2" t="str">
        <f>HYPERLINK("https://vectorbase.org/vectorbase/app/record/gene/AGAP006521","AGAP006521-RA")</f>
        <v>AGAP006521-RA</v>
      </c>
      <c r="K226" s="2" t="str">
        <f>HYPERLINK(".\links\pep\AGAP006521-PA-pep.txt","AGAP006521-PA")</f>
        <v>AGAP006521-PA</v>
      </c>
      <c r="L226" s="8" t="s">
        <v>88</v>
      </c>
      <c r="M226" s="2">
        <v>384</v>
      </c>
      <c r="N226" s="2">
        <v>0</v>
      </c>
      <c r="O226" s="2">
        <v>2</v>
      </c>
      <c r="P226" s="2" t="s">
        <v>2712</v>
      </c>
      <c r="Q226" s="2" t="s">
        <v>2713</v>
      </c>
      <c r="R226" s="2" t="s">
        <v>318</v>
      </c>
      <c r="S226" s="2" t="str">
        <f>HYPERLINK(".\links\PFAM\AGAP006521-PA-PFAM.txt","PFAM")</f>
        <v>PFAM</v>
      </c>
      <c r="T226" s="2">
        <v>2E-91</v>
      </c>
      <c r="U226" s="2">
        <v>108.8</v>
      </c>
      <c r="V226" s="2" t="s">
        <v>2714</v>
      </c>
      <c r="W226" s="10" t="s">
        <v>2715</v>
      </c>
      <c r="X226" s="2" t="s">
        <v>347</v>
      </c>
      <c r="Y226" s="2" t="str">
        <f>HYPERLINK(".\links\CDD\AGAP006521-PA-CDD.txt","CDD")</f>
        <v>CDD</v>
      </c>
      <c r="Z226" s="13">
        <v>1.0000000000000001E-86</v>
      </c>
      <c r="AA226" s="2">
        <v>109.2</v>
      </c>
      <c r="AB226" s="8" t="str">
        <f>HYPERLINK(".\links\pep\AGAP006521-PA-sulf.txt","2")</f>
        <v>2</v>
      </c>
      <c r="AC226" s="8" t="str">
        <f>HYPERLINK(".\links\Sigp\AGAP006521-PA-SigP.txt","CYT")</f>
        <v>CYT</v>
      </c>
      <c r="AD226" s="2" t="s">
        <v>94</v>
      </c>
      <c r="AE226" s="2">
        <v>44.884</v>
      </c>
      <c r="AF226" s="2">
        <v>9.18</v>
      </c>
      <c r="AG226" s="2" t="s">
        <v>94</v>
      </c>
      <c r="AH226" s="2" t="s">
        <v>94</v>
      </c>
      <c r="AI226" s="2" t="s">
        <v>390</v>
      </c>
      <c r="AJ226" s="8">
        <v>0</v>
      </c>
      <c r="AK226" s="2" t="s">
        <v>94</v>
      </c>
      <c r="AL226" s="2" t="s">
        <v>94</v>
      </c>
      <c r="AM226" s="2" t="s">
        <v>94</v>
      </c>
      <c r="AN226" s="8" t="str">
        <f>HYPERLINK(".\links\gpi\AGAP006521-PA-gpi.txt","N")</f>
        <v>N</v>
      </c>
      <c r="AO226" s="8" t="str">
        <f>HYPERLINK(".\links\netoglyc\AGAP006521-PA-netoglyc.txt","0")</f>
        <v>0</v>
      </c>
      <c r="AP226" s="8">
        <v>10.9</v>
      </c>
      <c r="AQ226" s="2">
        <v>5.7</v>
      </c>
      <c r="AR226" s="2">
        <v>2.9</v>
      </c>
      <c r="AS226" s="2" t="s">
        <v>97</v>
      </c>
      <c r="AT226" s="2" t="str">
        <f>HYPERLINK(".\links\NR-LIGHT\AGAP006521-PA-NR-LIGHT.txt","AGAP006521-PA")</f>
        <v>AGAP006521-PA</v>
      </c>
      <c r="AU226" s="2" t="str">
        <f>HYPERLINK("http://www.ncbi.nlm.nih.gov/sutils/blink.cgi?pid=XP_316554.4","0.0")</f>
        <v>0.0</v>
      </c>
      <c r="AV226" s="2" t="str">
        <f>HYPERLINK("http://www.ncbi.nlm.nih.gov/protein/XP_316554.4","XP_316554.4")</f>
        <v>XP_316554.4</v>
      </c>
      <c r="AW226" s="2">
        <v>100</v>
      </c>
      <c r="AX226" s="2">
        <v>100</v>
      </c>
      <c r="AY226" s="2">
        <v>100</v>
      </c>
      <c r="AZ226" s="2" t="s">
        <v>98</v>
      </c>
      <c r="BA226" s="2" t="str">
        <f>HYPERLINK(".\links\REFSEQ-INVERTEBRATE\AGAP006521-PA-REFSEQ-INVERTEBRATE.txt","AGAP006521-PA")</f>
        <v>AGAP006521-PA</v>
      </c>
      <c r="BB226" s="2" t="str">
        <f>HYPERLINK("http://www.ncbi.nlm.nih.gov/sutils/blink.cgi?pid=XP_316554.4","0.0")</f>
        <v>0.0</v>
      </c>
      <c r="BC226" s="2" t="str">
        <f>HYPERLINK("http://www.ncbi.nlm.nih.gov/protein/XP_316554.4","XP_316554.4")</f>
        <v>XP_316554.4</v>
      </c>
      <c r="BD226" s="2">
        <v>100</v>
      </c>
      <c r="BE226" s="2">
        <v>100</v>
      </c>
      <c r="BF226" s="2">
        <v>100</v>
      </c>
      <c r="BG226" s="2" t="s">
        <v>98</v>
      </c>
      <c r="BH226" s="2" t="str">
        <f>HYPERLINK(".\links\REFSEQ-PROTOZOA\AGAP006521-PA-REFSEQ-PROTOZOA.txt","guanine nucleotide binding protein")</f>
        <v>guanine nucleotide binding protein</v>
      </c>
      <c r="BI226" s="2" t="str">
        <f>HYPERLINK("http://www.ncbi.nlm.nih.gov/sutils/blink.cgi?pid=XP_004347414.2","4E-061")</f>
        <v>4E-061</v>
      </c>
      <c r="BJ226" s="2" t="str">
        <f>HYPERLINK("http://www.ncbi.nlm.nih.gov/protein/XP_004347414.2","XP_004347414.2")</f>
        <v>XP_004347414.2</v>
      </c>
      <c r="BK226" s="2">
        <v>37</v>
      </c>
      <c r="BL226" s="2">
        <v>56</v>
      </c>
      <c r="BM226" s="2">
        <v>104</v>
      </c>
      <c r="BN226" s="2" t="s">
        <v>227</v>
      </c>
      <c r="BO226" s="2" t="str">
        <f>HYPERLINK(".\links\SWISSP\AGAP006521-PA-SWISSP.txt","Guanine nucleotide-binding protein G(f) subunit alpha")</f>
        <v>Guanine nucleotide-binding protein G(f) subunit alpha</v>
      </c>
      <c r="BP226" s="2" t="str">
        <f>HYPERLINK("http://www.uniprot.org/uniprot/Q05337","1E-107")</f>
        <v>1E-107</v>
      </c>
      <c r="BQ226" s="2" t="str">
        <f>HYPERLINK("http://www.uniprot.org/uniprot/Q05337#expression","Q05337")</f>
        <v>Q05337</v>
      </c>
      <c r="BR226" s="2">
        <v>55</v>
      </c>
      <c r="BS226" s="2">
        <v>71</v>
      </c>
      <c r="BT226" s="2">
        <v>90</v>
      </c>
      <c r="BU226" s="2" t="s">
        <v>100</v>
      </c>
      <c r="BV226" s="2" t="str">
        <f>HYPERLINK(".\links\FLYBASE\AGAP006521-PA-FLYBASE.txt","FBpp0075113")</f>
        <v>FBpp0075113</v>
      </c>
      <c r="BW226" s="2" t="str">
        <f>HYPERLINK("http://flybase.org/reports/FBgn0010223#alliance_summary_container","1E-138")</f>
        <v>1E-138</v>
      </c>
      <c r="BX226" s="2">
        <v>399</v>
      </c>
      <c r="BY226" s="2">
        <v>54</v>
      </c>
      <c r="BZ226" s="2">
        <v>71</v>
      </c>
      <c r="CA226" s="2">
        <v>91</v>
      </c>
      <c r="CB226" s="2" t="str">
        <f>HYPERLINK(".\links\CDD\AGAP006521-PA-CDD.txt","G-alpha, Alpha subunit of G proteins (guanine nucleotide binding)")</f>
        <v>G-alpha, Alpha subunit of G proteins (guanine nucleotide binding)</v>
      </c>
      <c r="CC226" s="13">
        <v>9.9999999999999997E-106</v>
      </c>
      <c r="CD226" s="2">
        <v>109.2</v>
      </c>
      <c r="CE226" s="2" t="s">
        <v>2716</v>
      </c>
      <c r="CF226" s="2" t="s">
        <v>2717</v>
      </c>
      <c r="CG226" s="2" t="str">
        <f>HYPERLINK(".\links\KOG\AGAP006521-PA-KOG.txt","small G protein superfamily")</f>
        <v>small G protein superfamily</v>
      </c>
      <c r="CH226" s="13">
        <v>1E-107</v>
      </c>
      <c r="CI226" s="2">
        <v>100.5</v>
      </c>
      <c r="CJ226" s="2" t="s">
        <v>2718</v>
      </c>
      <c r="CK226" s="2" t="s">
        <v>326</v>
      </c>
      <c r="CL226" s="2" t="str">
        <f>HYPERLINK(".\links\PFAM\AGAP006521-PA-PFAM.txt","G-alpha, G-protein alpha subunit")</f>
        <v>G-alpha, G-protein alpha subunit</v>
      </c>
      <c r="CM226" s="13">
        <v>2E-91</v>
      </c>
      <c r="CN226" s="2">
        <v>108.8</v>
      </c>
      <c r="CO226" s="2" t="s">
        <v>2719</v>
      </c>
      <c r="CP226" s="2" t="str">
        <f>HYPERLINK(".\links\SMART\AGAP006521-PA-SMART.txt","G_alpha, G protein alpha subunit")</f>
        <v>G_alpha, G protein alpha subunit</v>
      </c>
      <c r="CQ226" s="13">
        <v>1E-100</v>
      </c>
      <c r="CR226" s="2">
        <v>109.1</v>
      </c>
      <c r="CS226" s="2" t="s">
        <v>2720</v>
      </c>
      <c r="CT226" s="2" t="s">
        <v>2714</v>
      </c>
      <c r="CU226" s="2" t="s">
        <v>2714</v>
      </c>
      <c r="CV226" s="2" t="s">
        <v>2714</v>
      </c>
      <c r="CW226" s="2" t="str">
        <f>HYPERLINK(".\links\pep\AGAP006521-PA-pep.txt","AGAP006521-PA")</f>
        <v>AGAP006521-PA</v>
      </c>
      <c r="CX226" s="2" t="s">
        <v>88</v>
      </c>
      <c r="CY226" s="2">
        <v>384</v>
      </c>
      <c r="CZ226" s="2" t="s">
        <v>106</v>
      </c>
      <c r="DA226" s="2" t="s">
        <v>2721</v>
      </c>
      <c r="DB226" s="2">
        <v>0</v>
      </c>
      <c r="DC226" s="2">
        <v>2</v>
      </c>
      <c r="DD226" s="2" t="str">
        <f>HYPERLINK("https://www.kegg.jp/kegg-bin/search_pathway_text?map=aga&amp;keyword=AGAP006521&amp;mode=1&amp;viewImage=true","AGAP006521")</f>
        <v>AGAP006521</v>
      </c>
      <c r="DE226" s="2" t="s">
        <v>2710</v>
      </c>
      <c r="DF226" s="2" t="s">
        <v>2711</v>
      </c>
      <c r="DG226" s="2" t="s">
        <v>87</v>
      </c>
      <c r="DH226" s="2" t="str">
        <f>HYPERLINK("https://vectorbase.org/vectorbase/app/record/gene/AGAP006521","AGAP006521-RA")</f>
        <v>AGAP006521-RA</v>
      </c>
      <c r="DI226" s="2" t="s">
        <v>143</v>
      </c>
      <c r="DJ226" s="2">
        <v>1366</v>
      </c>
      <c r="DK226" s="2" t="str">
        <f>HYPERLINK(".\links\netoglyc\AGAP006521-PA-netoglyc.txt","0")</f>
        <v>0</v>
      </c>
      <c r="DL226" s="2">
        <v>10.9</v>
      </c>
      <c r="DM226" s="2">
        <v>5.7</v>
      </c>
      <c r="DN226" s="2">
        <v>2.9</v>
      </c>
      <c r="DO226" s="2" t="s">
        <v>97</v>
      </c>
      <c r="DP226" s="2" t="s">
        <v>2722</v>
      </c>
      <c r="DQ226" s="2" t="str">
        <f>HYPERLINK(".\links\Sigp\AGAP006521-PA-SigP.txt","CYT")</f>
        <v>CYT</v>
      </c>
      <c r="DR226" s="2" t="s">
        <v>94</v>
      </c>
      <c r="DS226" s="2">
        <v>44.884</v>
      </c>
      <c r="DT226" s="2">
        <v>9.18</v>
      </c>
      <c r="DU226" s="2" t="s">
        <v>94</v>
      </c>
      <c r="DV226" s="2" t="s">
        <v>94</v>
      </c>
      <c r="DW226" s="2" t="s">
        <v>390</v>
      </c>
      <c r="DX226" s="2">
        <v>384</v>
      </c>
      <c r="DY226" s="8">
        <v>0</v>
      </c>
      <c r="DZ226" s="2" t="s">
        <v>94</v>
      </c>
      <c r="EA226" s="2" t="s">
        <v>94</v>
      </c>
      <c r="EB226" s="2" t="s">
        <v>94</v>
      </c>
      <c r="EC226" s="2" t="str">
        <f>HYPERLINK(".\links\gpi\AGAP006521-PA-gpi.txt","N")</f>
        <v>N</v>
      </c>
      <c r="ED226" s="2">
        <v>0.22</v>
      </c>
      <c r="EF226" s="2">
        <v>7</v>
      </c>
      <c r="EG226" s="2" t="str">
        <f>HYPERLINK(".\links\pep\AGAP006521-PA-sulf.txt","2")</f>
        <v>2</v>
      </c>
      <c r="EH226" s="2" t="s">
        <v>94</v>
      </c>
      <c r="EI226" s="2">
        <v>10.9375</v>
      </c>
      <c r="EJ226" s="2">
        <v>2.8645833333333299</v>
      </c>
      <c r="EK226" s="2">
        <v>5.7291666666666696</v>
      </c>
      <c r="EL226" s="2">
        <v>8.59375</v>
      </c>
      <c r="EM226" s="2" t="s">
        <v>94</v>
      </c>
      <c r="EN226" s="2" t="s">
        <v>94</v>
      </c>
      <c r="EO226" s="2">
        <v>2</v>
      </c>
      <c r="EP226" s="2" t="s">
        <v>94</v>
      </c>
      <c r="EQ226" s="2" t="s">
        <v>94</v>
      </c>
      <c r="ER226" s="2" t="s">
        <v>94</v>
      </c>
      <c r="ES226" s="2" t="s">
        <v>94</v>
      </c>
      <c r="ET226" s="2" t="str">
        <f>HYPERLINK(".\links\REFSEQ-INVERTEBRATE\AGAP006521-PA-REFSEQ-INVERTEBRATE.txt","AGAP006521-PA")</f>
        <v>AGAP006521-PA</v>
      </c>
      <c r="EU226" s="2" t="str">
        <f>HYPERLINK("http://www.ncbi.nlm.nih.gov/sutils/blink.cgi?pid=XP_316554.4","0.0")</f>
        <v>0.0</v>
      </c>
      <c r="EV226" s="2" t="str">
        <f>HYPERLINK("http://www.ncbi.nlm.nih.gov/protein/XP_316554.4","XP_316554.4")</f>
        <v>XP_316554.4</v>
      </c>
      <c r="EW226" s="2">
        <v>100</v>
      </c>
      <c r="EX226" s="2">
        <v>100</v>
      </c>
      <c r="EY226" s="2">
        <v>100</v>
      </c>
      <c r="EZ226" s="2" t="s">
        <v>98</v>
      </c>
    </row>
    <row r="227" spans="1:156" x14ac:dyDescent="0.25">
      <c r="A227" s="2" t="s">
        <v>2723</v>
      </c>
      <c r="B227" s="2">
        <v>-1.01726983042757</v>
      </c>
      <c r="C227" s="2">
        <v>0.49405041377277997</v>
      </c>
      <c r="D227" s="2">
        <v>4.3212688591969002</v>
      </c>
      <c r="E227" s="2">
        <v>10.8858037542626</v>
      </c>
      <c r="F227" s="2">
        <v>9.6904119636156603E-4</v>
      </c>
      <c r="G227" s="2">
        <v>4.1655557245415101E-2</v>
      </c>
      <c r="H227" s="2" t="s">
        <v>2724</v>
      </c>
      <c r="I227" s="2" t="s">
        <v>94</v>
      </c>
      <c r="J227" s="2" t="str">
        <f>HYPERLINK("https://vectorbase.org/vectorbase/app/record/gene/AGAP005324","AGAP005324-RA")</f>
        <v>AGAP005324-RA</v>
      </c>
      <c r="K227" s="2" t="str">
        <f>HYPERLINK(".\links\pep\AGAP005324-PA-pep.txt","AGAP005324-PA")</f>
        <v>AGAP005324-PA</v>
      </c>
      <c r="L227" s="8" t="s">
        <v>88</v>
      </c>
      <c r="M227" s="2">
        <v>190</v>
      </c>
      <c r="N227" s="2">
        <v>0</v>
      </c>
      <c r="O227" s="2">
        <v>0</v>
      </c>
      <c r="P227" s="2" t="s">
        <v>2725</v>
      </c>
      <c r="Q227" s="2" t="s">
        <v>2726</v>
      </c>
      <c r="R227" s="2" t="s">
        <v>651</v>
      </c>
      <c r="S227" s="2" t="str">
        <f>HYPERLINK(".\links\REFSEQ-INVERTEBRATE\AGAP005324-PA-REFSEQ-INVERTEBRATE.txt","REFSEQ-INVERTEBRATE")</f>
        <v>REFSEQ-INVERTEBRATE</v>
      </c>
      <c r="T227" s="2">
        <v>0</v>
      </c>
      <c r="U227" s="2">
        <v>100</v>
      </c>
      <c r="V227" s="2" t="s">
        <v>2727</v>
      </c>
      <c r="W227" s="10" t="s">
        <v>2728</v>
      </c>
      <c r="X227" s="2" t="s">
        <v>651</v>
      </c>
      <c r="Y227" s="2" t="str">
        <f>HYPERLINK(".\links\REFSEQ-INVERTEBRATE\AGAP005324-PA-REFSEQ-INVERTEBRATE.txt","REFSEQ-INVERTEBRATE")</f>
        <v>REFSEQ-INVERTEBRATE</v>
      </c>
      <c r="Z227" s="13">
        <v>0</v>
      </c>
      <c r="AA227" s="2">
        <v>100</v>
      </c>
      <c r="AB227" s="8" t="str">
        <f>HYPERLINK(".\links\pep\AGAP005324-PA-sulf.txt","1")</f>
        <v>1</v>
      </c>
      <c r="AC227" s="8" t="str">
        <f>HYPERLINK(".\links\Sigp\AGAP005324-PA-SigP.txt","CYT")</f>
        <v>CYT</v>
      </c>
      <c r="AD227" s="2" t="s">
        <v>94</v>
      </c>
      <c r="AE227" s="2">
        <v>21.920999999999999</v>
      </c>
      <c r="AF227" s="2">
        <v>8.3000000000000007</v>
      </c>
      <c r="AG227" s="2" t="s">
        <v>94</v>
      </c>
      <c r="AH227" s="2" t="s">
        <v>94</v>
      </c>
      <c r="AI227" s="2" t="s">
        <v>463</v>
      </c>
      <c r="AJ227" s="8">
        <v>0</v>
      </c>
      <c r="AK227" s="2" t="s">
        <v>94</v>
      </c>
      <c r="AL227" s="2" t="s">
        <v>94</v>
      </c>
      <c r="AM227" s="2" t="s">
        <v>94</v>
      </c>
      <c r="AN227" s="8" t="str">
        <f>HYPERLINK(".\links\gpi\AGAP005324-PA-gpi.txt","N")</f>
        <v>N</v>
      </c>
      <c r="AO227" s="8" t="str">
        <f>HYPERLINK(".\links\netoglyc\AGAP005324-PA-netoglyc.txt","0")</f>
        <v>0</v>
      </c>
      <c r="AP227" s="8">
        <v>16.8</v>
      </c>
      <c r="AQ227" s="2">
        <v>3.7</v>
      </c>
      <c r="AR227" s="2">
        <v>6.3</v>
      </c>
      <c r="AS227" s="2" t="s">
        <v>97</v>
      </c>
      <c r="AT227" s="2" t="str">
        <f>HYPERLINK(".\links\NR-LIGHT\AGAP005324-PA-NR-LIGHT.txt","AGAP005324-PA")</f>
        <v>AGAP005324-PA</v>
      </c>
      <c r="AU227" s="2" t="str">
        <f>HYPERLINK("http://www.ncbi.nlm.nih.gov/sutils/blink.cgi?pid=XP_001688635.1","1E-109")</f>
        <v>1E-109</v>
      </c>
      <c r="AV227" s="2" t="str">
        <f>HYPERLINK("http://www.ncbi.nlm.nih.gov/protein/XP_001688635.1","XP_001688635.1")</f>
        <v>XP_001688635.1</v>
      </c>
      <c r="AW227" s="2">
        <v>100</v>
      </c>
      <c r="AX227" s="2">
        <v>100</v>
      </c>
      <c r="AY227" s="2">
        <v>100</v>
      </c>
      <c r="AZ227" s="2" t="s">
        <v>98</v>
      </c>
      <c r="BA227" s="2" t="str">
        <f>HYPERLINK(".\links\REFSEQ-INVERTEBRATE\AGAP005324-PA-REFSEQ-INVERTEBRATE.txt","AGAP005324-PA")</f>
        <v>AGAP005324-PA</v>
      </c>
      <c r="BB227" s="2" t="str">
        <f>HYPERLINK("http://www.ncbi.nlm.nih.gov/sutils/blink.cgi?pid=XP_001688635.1","1E-109")</f>
        <v>1E-109</v>
      </c>
      <c r="BC227" s="2" t="str">
        <f>HYPERLINK("http://www.ncbi.nlm.nih.gov/protein/XP_001688635.1","XP_001688635.1")</f>
        <v>XP_001688635.1</v>
      </c>
      <c r="BD227" s="2">
        <v>100</v>
      </c>
      <c r="BE227" s="2">
        <v>100</v>
      </c>
      <c r="BF227" s="2">
        <v>100</v>
      </c>
      <c r="BG227" s="2" t="s">
        <v>98</v>
      </c>
      <c r="BH227" s="2" t="str">
        <f>HYPERLINK(".\links\REFSEQ-PROTOZOA\AGAP005324-PA-REFSEQ-PROTOZOA.txt","ubiquitin-conjugating enzyme E2W")</f>
        <v>ubiquitin-conjugating enzyme E2W</v>
      </c>
      <c r="BI227" s="2" t="str">
        <f>HYPERLINK("http://www.ncbi.nlm.nih.gov/sutils/blink.cgi?pid=XP_646882.1","4E-048")</f>
        <v>4E-048</v>
      </c>
      <c r="BJ227" s="2" t="str">
        <f>HYPERLINK("http://www.ncbi.nlm.nih.gov/protein/XP_646882.1","XP_646882.1")</f>
        <v>XP_646882.1</v>
      </c>
      <c r="BK227" s="2">
        <v>60</v>
      </c>
      <c r="BL227" s="2">
        <v>76</v>
      </c>
      <c r="BM227" s="2">
        <v>101</v>
      </c>
      <c r="BN227" s="2" t="s">
        <v>292</v>
      </c>
      <c r="BO227" s="2" t="str">
        <f>HYPERLINK(".\links\SWISSP\AGAP005324-PA-SWISSP.txt","Ubiquitin-conjugating enzyme E2 W")</f>
        <v>Ubiquitin-conjugating enzyme E2 W</v>
      </c>
      <c r="BP227" s="2" t="str">
        <f>HYPERLINK("http://www.uniprot.org/uniprot/Q28FC1","7E-067")</f>
        <v>7E-067</v>
      </c>
      <c r="BQ227" s="2" t="str">
        <f>HYPERLINK("http://www.uniprot.org/uniprot/Q28FC1#expression","Q28FC1")</f>
        <v>Q28FC1</v>
      </c>
      <c r="BR227" s="2">
        <v>74</v>
      </c>
      <c r="BS227" s="2">
        <v>91</v>
      </c>
      <c r="BT227" s="2">
        <v>97</v>
      </c>
      <c r="BU227" s="2" t="s">
        <v>1580</v>
      </c>
      <c r="BV227" s="2" t="str">
        <f>HYPERLINK(".\links\FLYBASE\AGAP005324-PA-FLYBASE.txt","FBpp0111977")</f>
        <v>FBpp0111977</v>
      </c>
      <c r="BW227" s="2" t="str">
        <f>HYPERLINK("http://flybase.org/reports/FBgn0033544#alliance_summary_container","1E-106")</f>
        <v>1E-106</v>
      </c>
      <c r="BX227" s="2">
        <v>190</v>
      </c>
      <c r="BY227" s="2">
        <v>76</v>
      </c>
      <c r="BZ227" s="2">
        <v>83</v>
      </c>
      <c r="CA227" s="2">
        <v>100</v>
      </c>
      <c r="CB227" s="2" t="str">
        <f>HYPERLINK(".\links\CDD\AGAP005324-PA-CDD.txt","UQ_con, Ubiquitin-conjugating enzyme")</f>
        <v>UQ_con, Ubiquitin-conjugating enzyme</v>
      </c>
      <c r="CC227" s="13">
        <v>6.0000000000000001E-32</v>
      </c>
      <c r="CD227" s="2">
        <v>104.3</v>
      </c>
      <c r="CE227" s="2" t="s">
        <v>2729</v>
      </c>
      <c r="CF227" s="2" t="s">
        <v>2730</v>
      </c>
      <c r="CG227" s="2" t="str">
        <f>HYPERLINK(".\links\KOG\AGAP005324-PA-KOG.txt","Ubiquitin conjugating enzyme")</f>
        <v>Ubiquitin conjugating enzyme</v>
      </c>
      <c r="CH227" s="13">
        <v>1.9999999999999999E-60</v>
      </c>
      <c r="CI227" s="2">
        <v>91.9</v>
      </c>
      <c r="CJ227" s="2" t="s">
        <v>2731</v>
      </c>
      <c r="CK227" s="2" t="s">
        <v>214</v>
      </c>
      <c r="CL227" s="2" t="str">
        <f>HYPERLINK(".\links\PFAM\AGAP005324-PA-PFAM.txt","UQ_con, Ubiquitin-conjugating enzyme")</f>
        <v>UQ_con, Ubiquitin-conjugating enzyme</v>
      </c>
      <c r="CM227" s="13">
        <v>1.0000000000000001E-32</v>
      </c>
      <c r="CN227" s="2">
        <v>104.3</v>
      </c>
      <c r="CO227" s="2" t="s">
        <v>2729</v>
      </c>
      <c r="CP227" s="2" t="str">
        <f>HYPERLINK(".\links\SMART\AGAP005324-PA-SMART.txt","UBCc, Ubiquitin-conjugating enzyme E2, catalytic domain homologues")</f>
        <v>UBCc, Ubiquitin-conjugating enzyme E2, catalytic domain homologues</v>
      </c>
      <c r="CQ227" s="13">
        <v>5.9999999999999996E-31</v>
      </c>
      <c r="CR227" s="2">
        <v>100.7</v>
      </c>
      <c r="CS227" s="2" t="s">
        <v>2732</v>
      </c>
      <c r="CT227" s="2" t="s">
        <v>2727</v>
      </c>
      <c r="CU227" s="2" t="s">
        <v>2727</v>
      </c>
      <c r="CV227" s="2" t="s">
        <v>2727</v>
      </c>
      <c r="CW227" s="2" t="str">
        <f>HYPERLINK(".\links\pep\AGAP005324-PA-pep.txt","AGAP005324-PA")</f>
        <v>AGAP005324-PA</v>
      </c>
      <c r="CX227" s="2" t="s">
        <v>88</v>
      </c>
      <c r="CY227" s="2">
        <v>190</v>
      </c>
      <c r="CZ227" s="2" t="s">
        <v>106</v>
      </c>
      <c r="DA227" s="2">
        <v>0</v>
      </c>
      <c r="DB227" s="2">
        <v>0</v>
      </c>
      <c r="DD227" s="2" t="str">
        <f>HYPERLINK("https://www.kegg.jp/kegg-bin/search_pathway_text?map=aga&amp;keyword=AGAP005324&amp;mode=1&amp;viewImage=true","AGAP005324")</f>
        <v>AGAP005324</v>
      </c>
      <c r="DE227" s="2" t="s">
        <v>2723</v>
      </c>
      <c r="DF227" s="2" t="s">
        <v>2724</v>
      </c>
      <c r="DG227" s="2" t="s">
        <v>94</v>
      </c>
      <c r="DH227" s="2" t="str">
        <f>HYPERLINK("https://vectorbase.org/vectorbase/app/record/gene/AGAP005324","AGAP005324-RA")</f>
        <v>AGAP005324-RA</v>
      </c>
      <c r="DI227" s="2" t="s">
        <v>143</v>
      </c>
      <c r="DJ227" s="2">
        <v>3893</v>
      </c>
      <c r="DK227" s="2" t="str">
        <f>HYPERLINK(".\links\netoglyc\AGAP005324-PA-netoglyc.txt","0")</f>
        <v>0</v>
      </c>
      <c r="DL227" s="2">
        <v>16.8</v>
      </c>
      <c r="DM227" s="2">
        <v>3.7</v>
      </c>
      <c r="DN227" s="2">
        <v>6.3</v>
      </c>
      <c r="DO227" s="2" t="s">
        <v>97</v>
      </c>
      <c r="DP227" s="2" t="s">
        <v>94</v>
      </c>
      <c r="DQ227" s="2" t="str">
        <f>HYPERLINK(".\links\Sigp\AGAP005324-PA-SigP.txt","CYT")</f>
        <v>CYT</v>
      </c>
      <c r="DR227" s="2" t="s">
        <v>94</v>
      </c>
      <c r="DS227" s="2">
        <v>21.920999999999999</v>
      </c>
      <c r="DT227" s="2">
        <v>8.3000000000000007</v>
      </c>
      <c r="DU227" s="2" t="s">
        <v>94</v>
      </c>
      <c r="DV227" s="2" t="s">
        <v>94</v>
      </c>
      <c r="DW227" s="2" t="s">
        <v>463</v>
      </c>
      <c r="DX227" s="2">
        <v>190</v>
      </c>
      <c r="DY227" s="8">
        <v>0</v>
      </c>
      <c r="DZ227" s="2" t="s">
        <v>94</v>
      </c>
      <c r="EA227" s="2" t="s">
        <v>94</v>
      </c>
      <c r="EB227" s="2" t="s">
        <v>94</v>
      </c>
      <c r="EC227" s="2" t="str">
        <f>HYPERLINK(".\links\gpi\AGAP005324-PA-gpi.txt","Y-NoSP")</f>
        <v>Y-NoSP</v>
      </c>
      <c r="ED227" s="2">
        <v>0.28999999999999998</v>
      </c>
      <c r="EF227" s="2">
        <v>4</v>
      </c>
      <c r="EG227" s="2" t="str">
        <f>HYPERLINK(".\links\pep\AGAP005324-PA-sulf.txt","1")</f>
        <v>1</v>
      </c>
      <c r="EH227" s="2" t="s">
        <v>94</v>
      </c>
      <c r="EI227" s="2">
        <v>16.842105263157901</v>
      </c>
      <c r="EJ227" s="2">
        <v>6.3157894736842097</v>
      </c>
      <c r="EK227" s="2">
        <v>3.6842105263157898</v>
      </c>
      <c r="EL227" s="2">
        <v>10</v>
      </c>
      <c r="EM227" s="2">
        <v>1</v>
      </c>
      <c r="EN227" s="2" t="s">
        <v>94</v>
      </c>
      <c r="EO227" s="2">
        <v>1</v>
      </c>
      <c r="EP227" s="2" t="s">
        <v>94</v>
      </c>
      <c r="EQ227" s="2" t="s">
        <v>94</v>
      </c>
      <c r="ER227" s="2" t="s">
        <v>94</v>
      </c>
      <c r="ES227" s="2" t="s">
        <v>94</v>
      </c>
      <c r="ET227" s="2" t="str">
        <f>HYPERLINK(".\links\REFSEQ-INVERTEBRATE\AGAP005324-PA-REFSEQ-INVERTEBRATE.txt","AGAP005324-PA")</f>
        <v>AGAP005324-PA</v>
      </c>
      <c r="EU227" s="2" t="str">
        <f>HYPERLINK("http://www.ncbi.nlm.nih.gov/sutils/blink.cgi?pid=XP_001688635.1","1E-140")</f>
        <v>1E-140</v>
      </c>
      <c r="EV227" s="2" t="str">
        <f>HYPERLINK("http://www.ncbi.nlm.nih.gov/protein/XP_001688635.1","XP_001688635.1")</f>
        <v>XP_001688635.1</v>
      </c>
      <c r="EW227" s="2">
        <v>100</v>
      </c>
      <c r="EX227" s="2">
        <v>100</v>
      </c>
      <c r="EY227" s="2">
        <v>100</v>
      </c>
      <c r="EZ227" s="2" t="s">
        <v>98</v>
      </c>
    </row>
    <row r="228" spans="1:156" x14ac:dyDescent="0.25">
      <c r="A228" s="2" t="s">
        <v>2733</v>
      </c>
      <c r="B228" s="2">
        <v>-1.0797616915222199</v>
      </c>
      <c r="C228" s="2">
        <v>0.47310696606546521</v>
      </c>
      <c r="D228" s="2">
        <v>4.1010002104363599</v>
      </c>
      <c r="E228" s="2">
        <v>30.243066745760299</v>
      </c>
      <c r="F228" s="2">
        <v>3.81151310203535E-8</v>
      </c>
      <c r="G228" s="2">
        <v>1.7164514002832502E-5</v>
      </c>
      <c r="H228" s="2" t="s">
        <v>2734</v>
      </c>
      <c r="I228" s="2" t="s">
        <v>87</v>
      </c>
      <c r="J228" s="2" t="str">
        <f>HYPERLINK("https://vectorbase.org/vectorbase/app/record/gene/AGAP003789","AGAP003789-RC")</f>
        <v>AGAP003789-RC</v>
      </c>
      <c r="K228" s="2" t="str">
        <f>HYPERLINK(".\links\pep\AGAP003789-PC-pep.txt","AGAP003789-PC")</f>
        <v>AGAP003789-PC</v>
      </c>
      <c r="L228" s="8" t="s">
        <v>88</v>
      </c>
      <c r="M228" s="2">
        <v>281</v>
      </c>
      <c r="N228" s="2">
        <v>0</v>
      </c>
      <c r="O228" s="2">
        <v>0</v>
      </c>
      <c r="P228" s="2" t="s">
        <v>2735</v>
      </c>
      <c r="Q228" s="2" t="s">
        <v>2736</v>
      </c>
      <c r="R228" s="2" t="s">
        <v>347</v>
      </c>
      <c r="S228" s="2" t="str">
        <f>HYPERLINK(".\links\KOG\AGAP003789-PC-KOG.txt","KOG")</f>
        <v>KOG</v>
      </c>
      <c r="T228" s="2">
        <v>4.0000000000000001E-91</v>
      </c>
      <c r="U228" s="2">
        <v>67.5</v>
      </c>
      <c r="V228" s="2" t="s">
        <v>2737</v>
      </c>
      <c r="W228" s="10" t="s">
        <v>2738</v>
      </c>
      <c r="X228" s="2" t="s">
        <v>347</v>
      </c>
      <c r="Y228" s="2" t="str">
        <f>HYPERLINK(".\links\KOG\AGAP003789-PC-KOG.txt","KOG")</f>
        <v>KOG</v>
      </c>
      <c r="Z228" s="13">
        <v>9.0000000000000001E-78</v>
      </c>
      <c r="AA228" s="2">
        <v>65.099999999999994</v>
      </c>
      <c r="AB228" s="8" t="s">
        <v>94</v>
      </c>
      <c r="AC228" s="8" t="str">
        <f>HYPERLINK(".\links\Sigp\AGAP003789-PC-SigP.txt","CYT")</f>
        <v>CYT</v>
      </c>
      <c r="AD228" s="2" t="s">
        <v>94</v>
      </c>
      <c r="AE228" s="2">
        <v>30.951000000000001</v>
      </c>
      <c r="AF228" s="2">
        <v>5.26</v>
      </c>
      <c r="AG228" s="2" t="s">
        <v>94</v>
      </c>
      <c r="AH228" s="2" t="s">
        <v>94</v>
      </c>
      <c r="AI228" s="2" t="s">
        <v>463</v>
      </c>
      <c r="AJ228" s="8">
        <v>0</v>
      </c>
      <c r="AK228" s="2" t="s">
        <v>94</v>
      </c>
      <c r="AL228" s="2" t="s">
        <v>94</v>
      </c>
      <c r="AM228" s="2" t="s">
        <v>94</v>
      </c>
      <c r="AN228" s="8" t="str">
        <f>HYPERLINK(".\links\gpi\AGAP003789-PC-gpi.txt","N")</f>
        <v>N</v>
      </c>
      <c r="AO228" s="8" t="str">
        <f>HYPERLINK(".\links\netoglyc\AGAP003789-PC-netoglyc.txt","0")</f>
        <v>0</v>
      </c>
      <c r="AP228" s="8">
        <v>8.9</v>
      </c>
      <c r="AQ228" s="2">
        <v>5.3</v>
      </c>
      <c r="AR228" s="2">
        <v>2.1</v>
      </c>
      <c r="AS228" s="2" t="s">
        <v>97</v>
      </c>
      <c r="AT228" s="2" t="str">
        <f>HYPERLINK(".\links\NR-LIGHT\AGAP003789-PC-NR-LIGHT.txt","AGAP003789-PB")</f>
        <v>AGAP003789-PB</v>
      </c>
      <c r="AU228" s="2" t="str">
        <f>HYPERLINK("http://www.ncbi.nlm.nih.gov/sutils/blink.cgi?pid=XP_003436616.1","1E-150")</f>
        <v>1E-150</v>
      </c>
      <c r="AV228" s="2" t="str">
        <f>HYPERLINK("http://www.ncbi.nlm.nih.gov/protein/XP_003436616.1","XP_003436616.1")</f>
        <v>XP_003436616.1</v>
      </c>
      <c r="AW228" s="2">
        <v>100</v>
      </c>
      <c r="AX228" s="2">
        <v>100</v>
      </c>
      <c r="AY228" s="2">
        <v>100</v>
      </c>
      <c r="AZ228" s="2" t="s">
        <v>98</v>
      </c>
      <c r="BA228" s="2" t="str">
        <f>HYPERLINK(".\links\REFSEQ-INVERTEBRATE\AGAP003789-PC-REFSEQ-INVERTEBRATE.txt","AGAP003789-PC")</f>
        <v>AGAP003789-PC</v>
      </c>
      <c r="BB228" s="2" t="str">
        <f>HYPERLINK("http://www.ncbi.nlm.nih.gov/sutils/blink.cgi?pid=XP_003436617.1","1E-150")</f>
        <v>1E-150</v>
      </c>
      <c r="BC228" s="2" t="str">
        <f>HYPERLINK("http://www.ncbi.nlm.nih.gov/protein/XP_003436617.1","XP_003436617.1")</f>
        <v>XP_003436617.1</v>
      </c>
      <c r="BD228" s="2">
        <v>100</v>
      </c>
      <c r="BE228" s="2">
        <v>100</v>
      </c>
      <c r="BF228" s="2">
        <v>100</v>
      </c>
      <c r="BG228" s="2" t="s">
        <v>98</v>
      </c>
      <c r="BH228" s="2" t="str">
        <f>HYPERLINK(".\links\REFSEQ-PROTOZOA\AGAP003789-PC-REFSEQ-PROTOZOA.txt","flotillin 2-PF")</f>
        <v>flotillin 2-PF</v>
      </c>
      <c r="BI228" s="2" t="str">
        <f>HYPERLINK("http://www.ncbi.nlm.nih.gov/sutils/blink.cgi?pid=XP_004343619.1","3E-092")</f>
        <v>3E-092</v>
      </c>
      <c r="BJ228" s="2" t="str">
        <f>HYPERLINK("http://www.ncbi.nlm.nih.gov/protein/XP_004343619.1","XP_004343619.1")</f>
        <v>XP_004343619.1</v>
      </c>
      <c r="BK228" s="2">
        <v>60</v>
      </c>
      <c r="BL228" s="2">
        <v>78</v>
      </c>
      <c r="BM228" s="2">
        <v>65</v>
      </c>
      <c r="BN228" s="2" t="s">
        <v>227</v>
      </c>
      <c r="BO228" s="2" t="str">
        <f>HYPERLINK(".\links\SWISSP\AGAP003789-PC-SWISSP.txt","Flotillin-2")</f>
        <v>Flotillin-2</v>
      </c>
      <c r="BP228" s="2" t="str">
        <f>HYPERLINK("http://www.uniprot.org/uniprot/O61492","1E-133")</f>
        <v>1E-133</v>
      </c>
      <c r="BQ228" s="2" t="str">
        <f>HYPERLINK("http://www.uniprot.org/uniprot/O61492#expression","O61492")</f>
        <v>O61492</v>
      </c>
      <c r="BR228" s="2">
        <v>87</v>
      </c>
      <c r="BS228" s="2">
        <v>93</v>
      </c>
      <c r="BT228" s="2">
        <v>64</v>
      </c>
      <c r="BU228" s="2" t="s">
        <v>100</v>
      </c>
      <c r="BV228" s="2" t="str">
        <f>HYPERLINK(".\links\FLYBASE\AGAP003789-PC-FLYBASE.txt","FBpp0289664")</f>
        <v>FBpp0289664</v>
      </c>
      <c r="BW228" s="2" t="str">
        <f>HYPERLINK("http://flybase.org/reports/FBgn0264078#alliance_summary_container","1E-180")</f>
        <v>1E-180</v>
      </c>
      <c r="BX228" s="2">
        <v>281</v>
      </c>
      <c r="BY228" s="2">
        <v>87</v>
      </c>
      <c r="BZ228" s="2">
        <v>93</v>
      </c>
      <c r="CA228" s="2">
        <v>100</v>
      </c>
      <c r="CB228" s="2" t="str">
        <f>HYPERLINK(".\links\CDD\AGAP003789-PC-CDD.txt","COG2268, Uncharacterized protein conserved in bacteria")</f>
        <v>COG2268, Uncharacterized protein conserved in bacteria</v>
      </c>
      <c r="CC228" s="13">
        <v>4.0000000000000002E-9</v>
      </c>
      <c r="CD228" s="2">
        <v>64.8</v>
      </c>
      <c r="CE228" s="2" t="s">
        <v>2739</v>
      </c>
      <c r="CF228" s="2" t="s">
        <v>2740</v>
      </c>
      <c r="CG228" s="2" t="str">
        <f>HYPERLINK(".\links\KOG\AGAP003789-PC-KOG.txt","Flotillins")</f>
        <v>Flotillins</v>
      </c>
      <c r="CH228" s="13">
        <v>4.0000000000000001E-91</v>
      </c>
      <c r="CI228" s="2">
        <v>67.5</v>
      </c>
      <c r="CJ228" s="2" t="s">
        <v>2741</v>
      </c>
      <c r="CK228" s="2" t="s">
        <v>2742</v>
      </c>
      <c r="CL228" s="2" t="str">
        <f>HYPERLINK(".\links\PFAM\AGAP003789-PC-PFAM.txt","Flot, Flotillin")</f>
        <v>Flot, Flotillin</v>
      </c>
      <c r="CM228" s="13">
        <v>6.9999999999999994E-5</v>
      </c>
      <c r="CN228" s="2">
        <v>67.5</v>
      </c>
      <c r="CO228" s="2" t="s">
        <v>2743</v>
      </c>
      <c r="CP228" s="2" t="str">
        <f>HYPERLINK(".\links\SMART\AGAP003789-PC-SMART.txt","PHB, prohibitin homologues")</f>
        <v>PHB, prohibitin homologues</v>
      </c>
      <c r="CQ228" s="13">
        <v>5.9999999999999997E-7</v>
      </c>
      <c r="CR228" s="2">
        <v>71.3</v>
      </c>
      <c r="CS228" s="2" t="s">
        <v>2744</v>
      </c>
      <c r="CT228" s="2" t="s">
        <v>2737</v>
      </c>
      <c r="CU228" s="2" t="s">
        <v>2737</v>
      </c>
      <c r="CV228" s="2" t="s">
        <v>2737</v>
      </c>
      <c r="CW228" s="2" t="str">
        <f>HYPERLINK(".\links\pep\AGAP003789-PC-pep.txt","AGAP003789-PC")</f>
        <v>AGAP003789-PC</v>
      </c>
      <c r="CX228" s="2" t="s">
        <v>88</v>
      </c>
      <c r="CY228" s="2">
        <v>281</v>
      </c>
      <c r="CZ228" s="2" t="s">
        <v>106</v>
      </c>
      <c r="DA228" s="2" t="s">
        <v>2745</v>
      </c>
      <c r="DB228" s="2">
        <v>0</v>
      </c>
      <c r="DC228" s="2">
        <v>0</v>
      </c>
      <c r="DD228" s="2" t="str">
        <f>HYPERLINK("https://www.kegg.jp/kegg-bin/search_pathway_text?map=aga&amp;keyword=AGAP003789&amp;mode=1&amp;viewImage=true","AGAP003789")</f>
        <v>AGAP003789</v>
      </c>
      <c r="DE228" s="2" t="s">
        <v>2733</v>
      </c>
      <c r="DF228" s="2" t="s">
        <v>2734</v>
      </c>
      <c r="DG228" s="2" t="s">
        <v>87</v>
      </c>
      <c r="DH228" s="2" t="str">
        <f>HYPERLINK("https://vectorbase.org/vectorbase/app/record/gene/AGAP003789","AGAP003789-RC")</f>
        <v>AGAP003789-RC</v>
      </c>
      <c r="DI228" s="2" t="s">
        <v>108</v>
      </c>
      <c r="DJ228" s="2">
        <v>1480</v>
      </c>
      <c r="DK228" s="2" t="str">
        <f>HYPERLINK(".\links\netoglyc\AGAP003789-PC-netoglyc.txt","0")</f>
        <v>0</v>
      </c>
      <c r="DL228" s="2">
        <v>8.9</v>
      </c>
      <c r="DM228" s="2">
        <v>5.3</v>
      </c>
      <c r="DN228" s="2">
        <v>2.1</v>
      </c>
      <c r="DO228" s="2" t="s">
        <v>97</v>
      </c>
      <c r="DP228" s="2" t="s">
        <v>2746</v>
      </c>
      <c r="DQ228" s="2" t="str">
        <f>HYPERLINK(".\links\Sigp\AGAP003789-PC-SigP.txt","CYT")</f>
        <v>CYT</v>
      </c>
      <c r="DR228" s="2" t="s">
        <v>94</v>
      </c>
      <c r="DS228" s="2">
        <v>30.951000000000001</v>
      </c>
      <c r="DT228" s="2">
        <v>5.26</v>
      </c>
      <c r="DU228" s="2" t="s">
        <v>94</v>
      </c>
      <c r="DV228" s="2" t="s">
        <v>94</v>
      </c>
      <c r="DW228" s="2" t="s">
        <v>463</v>
      </c>
      <c r="DX228" s="2">
        <v>281</v>
      </c>
      <c r="DY228" s="8">
        <v>0</v>
      </c>
      <c r="DZ228" s="2" t="s">
        <v>94</v>
      </c>
      <c r="EA228" s="2" t="s">
        <v>94</v>
      </c>
      <c r="EB228" s="2" t="s">
        <v>94</v>
      </c>
      <c r="EC228" s="2" t="str">
        <f>HYPERLINK(".\links\gpi\AGAP003789-PC-gpi.txt","Y-NoSP")</f>
        <v>Y-NoSP</v>
      </c>
      <c r="ED228" s="2">
        <v>0.41</v>
      </c>
      <c r="EF228" s="2">
        <v>2</v>
      </c>
      <c r="EG228" s="2" t="s">
        <v>94</v>
      </c>
      <c r="EH228" s="2" t="s">
        <v>94</v>
      </c>
      <c r="EI228" s="2">
        <v>8.8967971530249095</v>
      </c>
      <c r="EJ228" s="2">
        <v>2.1352313167259802</v>
      </c>
      <c r="EK228" s="2">
        <v>5.3380782918149503</v>
      </c>
      <c r="EL228" s="2">
        <v>7.4733096085409301</v>
      </c>
      <c r="EM228" s="2" t="s">
        <v>94</v>
      </c>
      <c r="EN228" s="2" t="s">
        <v>94</v>
      </c>
      <c r="EO228" s="2">
        <v>1</v>
      </c>
      <c r="EP228" s="2" t="s">
        <v>94</v>
      </c>
      <c r="EQ228" s="2" t="s">
        <v>94</v>
      </c>
      <c r="ER228" s="2" t="s">
        <v>94</v>
      </c>
      <c r="ES228" s="2" t="s">
        <v>94</v>
      </c>
      <c r="ET228" s="2" t="str">
        <f>HYPERLINK(".\links\REFSEQ-INVERTEBRATE\AGAP003789-PC-REFSEQ-INVERTEBRATE.txt","AGAP003789-PC")</f>
        <v>AGAP003789-PC</v>
      </c>
      <c r="EU228" s="2" t="str">
        <f>HYPERLINK("http://www.ncbi.nlm.nih.gov/sutils/blink.cgi?pid=XP_003436617.1","0.0")</f>
        <v>0.0</v>
      </c>
      <c r="EV228" s="2" t="str">
        <f>HYPERLINK("http://www.ncbi.nlm.nih.gov/protein/XP_003436617.1","XP_003436617.1")</f>
        <v>XP_003436617.1</v>
      </c>
      <c r="EW228" s="2">
        <v>100</v>
      </c>
      <c r="EX228" s="2">
        <v>100</v>
      </c>
      <c r="EY228" s="2">
        <v>100</v>
      </c>
      <c r="EZ228" s="2" t="s">
        <v>98</v>
      </c>
    </row>
    <row r="229" spans="1:156" x14ac:dyDescent="0.25">
      <c r="A229" s="2" t="s">
        <v>2747</v>
      </c>
      <c r="B229" s="2">
        <v>-1.09699239149883</v>
      </c>
      <c r="C229" s="2">
        <v>0.46749006432353302</v>
      </c>
      <c r="D229" s="2">
        <v>2.2671600457880499</v>
      </c>
      <c r="E229" s="2">
        <v>14.5862219460888</v>
      </c>
      <c r="F229" s="2">
        <v>1.33889918022596E-4</v>
      </c>
      <c r="G229" s="2">
        <v>8.9778709938636396E-3</v>
      </c>
      <c r="H229" s="2" t="s">
        <v>2748</v>
      </c>
      <c r="I229" s="2" t="s">
        <v>87</v>
      </c>
      <c r="J229" s="2" t="str">
        <f>HYPERLINK("https://vectorbase.org/vectorbase/app/record/gene/AGAP004954","AGAP004954-RA")</f>
        <v>AGAP004954-RA</v>
      </c>
      <c r="K229" s="2" t="str">
        <f>HYPERLINK(".\links\pep\AGAP004954-PA-pep.txt","AGAP004954-PA")</f>
        <v>AGAP004954-PA</v>
      </c>
      <c r="L229" s="8" t="s">
        <v>88</v>
      </c>
      <c r="M229" s="2">
        <v>265</v>
      </c>
      <c r="N229" s="2">
        <v>0</v>
      </c>
      <c r="O229" s="2">
        <v>1</v>
      </c>
      <c r="P229" s="2" t="s">
        <v>2749</v>
      </c>
      <c r="Q229" s="2" t="s">
        <v>2750</v>
      </c>
      <c r="R229" s="2" t="s">
        <v>318</v>
      </c>
      <c r="S229" s="2" t="str">
        <f>HYPERLINK(".\links\CDD\AGAP004954-PA-CDD.txt","CDD")</f>
        <v>CDD</v>
      </c>
      <c r="T229" s="2">
        <v>9.9999999999999999E-56</v>
      </c>
      <c r="U229" s="2">
        <v>107.8</v>
      </c>
      <c r="V229" s="2" t="s">
        <v>2751</v>
      </c>
      <c r="W229" s="10" t="s">
        <v>2752</v>
      </c>
      <c r="X229" s="2" t="s">
        <v>318</v>
      </c>
      <c r="Y229" s="2" t="str">
        <f>HYPERLINK(".\links\TIGR\AGAP004954-PA-TIGR.txt","TIGR")</f>
        <v>TIGR</v>
      </c>
      <c r="Z229" s="13">
        <v>2.0000000000000001E-42</v>
      </c>
      <c r="AA229" s="2">
        <v>107.8</v>
      </c>
      <c r="AB229" s="8" t="s">
        <v>94</v>
      </c>
      <c r="AC229" s="8" t="str">
        <f>HYPERLINK(".\links\Sigp\AGAP004954-PA-SigP.txt","CYT")</f>
        <v>CYT</v>
      </c>
      <c r="AD229" s="2" t="s">
        <v>94</v>
      </c>
      <c r="AE229" s="2">
        <v>31.216000000000001</v>
      </c>
      <c r="AF229" s="2">
        <v>8.85</v>
      </c>
      <c r="AG229" s="2" t="s">
        <v>94</v>
      </c>
      <c r="AH229" s="2" t="s">
        <v>94</v>
      </c>
      <c r="AI229" s="2" t="s">
        <v>463</v>
      </c>
      <c r="AJ229" s="8">
        <v>0</v>
      </c>
      <c r="AK229" s="2" t="s">
        <v>94</v>
      </c>
      <c r="AL229" s="2" t="s">
        <v>94</v>
      </c>
      <c r="AM229" s="2" t="s">
        <v>94</v>
      </c>
      <c r="AN229" s="8" t="str">
        <f>HYPERLINK(".\links\gpi\AGAP004954-PA-gpi.txt","N")</f>
        <v>N</v>
      </c>
      <c r="AO229" s="8" t="str">
        <f>HYPERLINK(".\links\netoglyc\AGAP004954-PA-netoglyc.txt","1")</f>
        <v>1</v>
      </c>
      <c r="AP229" s="8">
        <v>10.6</v>
      </c>
      <c r="AQ229" s="2">
        <v>6</v>
      </c>
      <c r="AR229" s="2">
        <v>4.2</v>
      </c>
      <c r="AS229" s="2" t="s">
        <v>97</v>
      </c>
      <c r="AT229" s="2" t="str">
        <f>HYPERLINK(".\links\NR-LIGHT\AGAP004954-PA-NR-LIGHT.txt","AGAP004954-PA")</f>
        <v>AGAP004954-PA</v>
      </c>
      <c r="AU229" s="2" t="str">
        <f>HYPERLINK("http://www.ncbi.nlm.nih.gov/sutils/blink.cgi?pid=XP_315052.4","1E-158")</f>
        <v>1E-158</v>
      </c>
      <c r="AV229" s="2" t="str">
        <f>HYPERLINK("http://www.ncbi.nlm.nih.gov/protein/XP_315052.4","XP_315052.4")</f>
        <v>XP_315052.4</v>
      </c>
      <c r="AW229" s="2">
        <v>100</v>
      </c>
      <c r="AX229" s="2">
        <v>100</v>
      </c>
      <c r="AY229" s="2">
        <v>100</v>
      </c>
      <c r="AZ229" s="2" t="s">
        <v>98</v>
      </c>
      <c r="BA229" s="2" t="str">
        <f>HYPERLINK(".\links\REFSEQ-INVERTEBRATE\AGAP004954-PA-REFSEQ-INVERTEBRATE.txt","AGAP004954-PA")</f>
        <v>AGAP004954-PA</v>
      </c>
      <c r="BB229" s="2" t="str">
        <f>HYPERLINK("http://www.ncbi.nlm.nih.gov/sutils/blink.cgi?pid=XP_315052.4","1E-158")</f>
        <v>1E-158</v>
      </c>
      <c r="BC229" s="2" t="str">
        <f>HYPERLINK("http://www.ncbi.nlm.nih.gov/protein/XP_315052.4","XP_315052.4")</f>
        <v>XP_315052.4</v>
      </c>
      <c r="BD229" s="2">
        <v>100</v>
      </c>
      <c r="BE229" s="2">
        <v>100</v>
      </c>
      <c r="BF229" s="2">
        <v>100</v>
      </c>
      <c r="BG229" s="2" t="s">
        <v>98</v>
      </c>
      <c r="BH229" s="2" t="str">
        <f>HYPERLINK(".\links\REFSEQ-PROTOZOA\AGAP004954-PA-REFSEQ-PROTOZOA.txt","hypothetical protein H696_03857")</f>
        <v>hypothetical protein H696_03857</v>
      </c>
      <c r="BI229" s="2" t="str">
        <f>HYPERLINK("http://www.ncbi.nlm.nih.gov/sutils/blink.cgi?pid=XP_009495992.1","3E-018")</f>
        <v>3E-018</v>
      </c>
      <c r="BJ229" s="2" t="str">
        <f>HYPERLINK("http://www.ncbi.nlm.nih.gov/protein/XP_009495992.1","XP_009495992.1")</f>
        <v>XP_009495992.1</v>
      </c>
      <c r="BK229" s="2">
        <v>26</v>
      </c>
      <c r="BL229" s="2">
        <v>48</v>
      </c>
      <c r="BM229" s="2">
        <v>87</v>
      </c>
      <c r="BN229" s="2" t="s">
        <v>1459</v>
      </c>
      <c r="BO229" s="2" t="str">
        <f>HYPERLINK(".\links\SWISSP\AGAP004954-PA-SWISSP.txt","Rhythmically expressed gene 2 protein")</f>
        <v>Rhythmically expressed gene 2 protein</v>
      </c>
      <c r="BP229" s="2" t="str">
        <f>HYPERLINK("http://www.uniprot.org/uniprot/Q94915","4E-075")</f>
        <v>4E-075</v>
      </c>
      <c r="BQ229" s="2" t="str">
        <f>HYPERLINK("http://www.uniprot.org/uniprot/Q94915#expression","Q94915")</f>
        <v>Q94915</v>
      </c>
      <c r="BR229" s="2">
        <v>51</v>
      </c>
      <c r="BS229" s="2">
        <v>69</v>
      </c>
      <c r="BT229" s="2">
        <v>102</v>
      </c>
      <c r="BU229" s="2" t="s">
        <v>100</v>
      </c>
      <c r="BV229" s="2" t="str">
        <f>HYPERLINK(".\links\FLYBASE\AGAP004954-PA-FLYBASE.txt","FBpp0072460")</f>
        <v>FBpp0072460</v>
      </c>
      <c r="BW229" s="2" t="str">
        <f>HYPERLINK("http://flybase.org/reports/FBgn0016715#alliance_summary_container","3E-97")</f>
        <v>3E-97</v>
      </c>
      <c r="BX229" s="2">
        <v>260</v>
      </c>
      <c r="BY229" s="2">
        <v>51</v>
      </c>
      <c r="BZ229" s="2">
        <v>69</v>
      </c>
      <c r="CA229" s="2">
        <v>102</v>
      </c>
      <c r="CB229" s="2" t="str">
        <f>HYPERLINK(".\links\CDD\AGAP004954-PA-CDD.txt","Rhythmically_expressed_gene_2_protein, REG-2-like, HAD superfamily (subfamily IA) hydrolase")</f>
        <v>Rhythmically_expressed_gene_2_protein, REG-2-like, HAD superfamily (subfamily IA) hydrolase</v>
      </c>
      <c r="CC229" s="13">
        <v>9.9999999999999999E-56</v>
      </c>
      <c r="CD229" s="2">
        <v>107.9</v>
      </c>
      <c r="CE229" s="2" t="s">
        <v>2753</v>
      </c>
      <c r="CF229" s="2" t="s">
        <v>2754</v>
      </c>
      <c r="CG229" s="2" t="str">
        <f>HYPERLINK(".\links\KOG\AGAP004954-PA-KOG.txt","Predicted hydrolase (HAD superfamily)")</f>
        <v>Predicted hydrolase (HAD superfamily)</v>
      </c>
      <c r="CH229" s="13">
        <v>7E-45</v>
      </c>
      <c r="CI229" s="2">
        <v>108</v>
      </c>
      <c r="CJ229" s="2" t="s">
        <v>2755</v>
      </c>
      <c r="CK229" s="2" t="s">
        <v>122</v>
      </c>
      <c r="CL229" s="2" t="str">
        <f>HYPERLINK(".\links\PFAM\AGAP004954-PA-PFAM.txt","HAD_2, Haloacid dehalogenase-like hydrolase")</f>
        <v>HAD_2, Haloacid dehalogenase-like hydrolase</v>
      </c>
      <c r="CM229" s="13">
        <v>3.9999999999999999E-12</v>
      </c>
      <c r="CN229" s="2">
        <v>79.2</v>
      </c>
      <c r="CO229" s="2" t="s">
        <v>2756</v>
      </c>
      <c r="CP229" s="2" t="str">
        <f>HYPERLINK(".\links\SMART\AGAP004954-PA-SMART.txt","ACTIN, Actin")</f>
        <v>ACTIN, Actin</v>
      </c>
      <c r="CQ229" s="13">
        <v>1.3</v>
      </c>
      <c r="CR229" s="2">
        <v>5.0999999999999996</v>
      </c>
      <c r="CS229" s="2" t="s">
        <v>2757</v>
      </c>
      <c r="CT229" s="2" t="s">
        <v>2751</v>
      </c>
      <c r="CU229" s="2" t="s">
        <v>2751</v>
      </c>
      <c r="CV229" s="2" t="s">
        <v>2751</v>
      </c>
      <c r="CW229" s="2" t="str">
        <f>HYPERLINK(".\links\pep\AGAP004954-PA-pep.txt","AGAP004954-PA")</f>
        <v>AGAP004954-PA</v>
      </c>
      <c r="CX229" s="2" t="s">
        <v>88</v>
      </c>
      <c r="CY229" s="2">
        <v>265</v>
      </c>
      <c r="CZ229" s="2" t="s">
        <v>106</v>
      </c>
      <c r="DA229" s="2" t="s">
        <v>2758</v>
      </c>
      <c r="DB229" s="2">
        <v>0</v>
      </c>
      <c r="DC229" s="2">
        <v>1</v>
      </c>
      <c r="DD229" s="2" t="str">
        <f>HYPERLINK("https://www.kegg.jp/kegg-bin/search_pathway_text?map=aga&amp;keyword=AGAP004954&amp;mode=1&amp;viewImage=true","AGAP004954")</f>
        <v>AGAP004954</v>
      </c>
      <c r="DE229" s="2" t="s">
        <v>2747</v>
      </c>
      <c r="DF229" s="2" t="s">
        <v>2748</v>
      </c>
      <c r="DG229" s="2" t="s">
        <v>87</v>
      </c>
      <c r="DH229" s="2" t="str">
        <f>HYPERLINK("https://vectorbase.org/vectorbase/app/record/gene/AGAP004954","AGAP004954-RA")</f>
        <v>AGAP004954-RA</v>
      </c>
      <c r="DI229" s="2" t="s">
        <v>143</v>
      </c>
      <c r="DJ229" s="2">
        <v>954</v>
      </c>
      <c r="DK229" s="2" t="str">
        <f>HYPERLINK(".\links\netoglyc\AGAP004954-PA-netoglyc.txt","1")</f>
        <v>1</v>
      </c>
      <c r="DL229" s="2">
        <v>10.6</v>
      </c>
      <c r="DM229" s="2">
        <v>6</v>
      </c>
      <c r="DN229" s="2">
        <v>4.2</v>
      </c>
      <c r="DO229" s="2" t="s">
        <v>97</v>
      </c>
      <c r="DP229" s="2" t="s">
        <v>94</v>
      </c>
      <c r="DQ229" s="2" t="str">
        <f>HYPERLINK(".\links\Sigp\AGAP004954-PA-SigP.txt","CYT")</f>
        <v>CYT</v>
      </c>
      <c r="DR229" s="2" t="s">
        <v>94</v>
      </c>
      <c r="DS229" s="2">
        <v>31.216000000000001</v>
      </c>
      <c r="DT229" s="2">
        <v>8.85</v>
      </c>
      <c r="DU229" s="2" t="s">
        <v>94</v>
      </c>
      <c r="DV229" s="2" t="s">
        <v>94</v>
      </c>
      <c r="DW229" s="2" t="s">
        <v>463</v>
      </c>
      <c r="DX229" s="2">
        <v>265</v>
      </c>
      <c r="DY229" s="8">
        <v>0</v>
      </c>
      <c r="DZ229" s="2" t="s">
        <v>94</v>
      </c>
      <c r="EA229" s="2" t="s">
        <v>94</v>
      </c>
      <c r="EB229" s="2" t="s">
        <v>94</v>
      </c>
      <c r="EC229" s="2" t="str">
        <f>HYPERLINK(".\links\gpi\AGAP004954-PA-gpi.txt","Y-NoSP")</f>
        <v>Y-NoSP</v>
      </c>
      <c r="ED229" s="2">
        <v>0.33</v>
      </c>
      <c r="EF229" s="2">
        <v>2</v>
      </c>
      <c r="EG229" s="2" t="s">
        <v>94</v>
      </c>
      <c r="EH229" s="2" t="s">
        <v>94</v>
      </c>
      <c r="EI229" s="2">
        <v>10.5660377358491</v>
      </c>
      <c r="EJ229" s="2">
        <v>4.1509433962264204</v>
      </c>
      <c r="EK229" s="2">
        <v>6.0377358490565998</v>
      </c>
      <c r="EL229" s="2">
        <v>10.188679245283</v>
      </c>
      <c r="EM229" s="2" t="s">
        <v>94</v>
      </c>
      <c r="EN229" s="2" t="s">
        <v>94</v>
      </c>
      <c r="EO229" s="2">
        <v>1</v>
      </c>
      <c r="EP229" s="2" t="s">
        <v>94</v>
      </c>
      <c r="EQ229" s="2" t="s">
        <v>94</v>
      </c>
      <c r="ER229" s="2" t="s">
        <v>94</v>
      </c>
      <c r="ES229" s="2" t="s">
        <v>94</v>
      </c>
      <c r="ET229" s="2" t="str">
        <f>HYPERLINK(".\links\REFSEQ-INVERTEBRATE\AGAP004954-PA-REFSEQ-INVERTEBRATE.txt","AGAP004954-PA")</f>
        <v>AGAP004954-PA</v>
      </c>
      <c r="EU229" s="2" t="str">
        <f>HYPERLINK("http://www.ncbi.nlm.nih.gov/sutils/blink.cgi?pid=XP_315052.4","0.0")</f>
        <v>0.0</v>
      </c>
      <c r="EV229" s="2" t="str">
        <f>HYPERLINK("http://www.ncbi.nlm.nih.gov/protein/XP_315052.4","XP_315052.4")</f>
        <v>XP_315052.4</v>
      </c>
      <c r="EW229" s="2">
        <v>100</v>
      </c>
      <c r="EX229" s="2">
        <v>100</v>
      </c>
      <c r="EY229" s="2">
        <v>100</v>
      </c>
      <c r="EZ229" s="2" t="s">
        <v>98</v>
      </c>
    </row>
    <row r="230" spans="1:156" x14ac:dyDescent="0.25">
      <c r="A230" s="2" t="s">
        <v>2759</v>
      </c>
      <c r="B230" s="2">
        <v>-1.13541161175155</v>
      </c>
      <c r="C230" s="2">
        <v>0.45520502484825531</v>
      </c>
      <c r="D230" s="2">
        <v>3.6386379669986701</v>
      </c>
      <c r="E230" s="2">
        <v>12.779919475278801</v>
      </c>
      <c r="F230" s="2">
        <v>3.5036001089838801E-4</v>
      </c>
      <c r="G230" s="2">
        <v>1.8407525683700299E-2</v>
      </c>
      <c r="H230" s="2" t="s">
        <v>2760</v>
      </c>
      <c r="I230" s="2" t="s">
        <v>87</v>
      </c>
      <c r="J230" s="2" t="str">
        <f>HYPERLINK("https://vectorbase.org/vectorbase/app/record/gene/AGAP004379","AGAP004379-RA")</f>
        <v>AGAP004379-RA</v>
      </c>
      <c r="K230" s="2" t="str">
        <f>HYPERLINK(".\links\pep\AGAP004379-PA-pep.txt","AGAP004379-PA")</f>
        <v>AGAP004379-PA</v>
      </c>
      <c r="L230" s="8" t="s">
        <v>88</v>
      </c>
      <c r="M230" s="2">
        <v>295</v>
      </c>
      <c r="N230" s="2">
        <v>0</v>
      </c>
      <c r="O230" s="2">
        <v>0</v>
      </c>
      <c r="P230" s="2" t="s">
        <v>2761</v>
      </c>
      <c r="Q230" s="2" t="s">
        <v>2762</v>
      </c>
      <c r="R230" s="2" t="s">
        <v>395</v>
      </c>
      <c r="S230" s="2" t="str">
        <f>HYPERLINK(".\links\NR-LIGHT\AGAP004379-PA-NR-LIGHT.txt","NR-LIGHT")</f>
        <v>NR-LIGHT</v>
      </c>
      <c r="T230" s="2">
        <v>0</v>
      </c>
      <c r="U230" s="2">
        <v>100</v>
      </c>
      <c r="V230" s="2" t="s">
        <v>2763</v>
      </c>
      <c r="W230" s="10" t="s">
        <v>2764</v>
      </c>
      <c r="X230" s="2" t="s">
        <v>395</v>
      </c>
      <c r="Y230" s="2" t="str">
        <f>HYPERLINK(".\links\ARTHORPODA\AGAP004379-PA-ARTHORPODA.txt","ARTHORPODA")</f>
        <v>ARTHORPODA</v>
      </c>
      <c r="Z230" s="2">
        <v>0</v>
      </c>
      <c r="AA230" s="2">
        <v>101.3</v>
      </c>
      <c r="AB230" s="8" t="str">
        <f>HYPERLINK(".\links\pep\AGAP004379-PA-sulf.txt","1")</f>
        <v>1</v>
      </c>
      <c r="AC230" s="8" t="str">
        <f>HYPERLINK(".\links\Sigp\AGAP004379-PA-SigP.txt","CYT")</f>
        <v>CYT</v>
      </c>
      <c r="AD230" s="2" t="s">
        <v>94</v>
      </c>
      <c r="AE230" s="2">
        <v>34.201999999999998</v>
      </c>
      <c r="AF230" s="2">
        <v>5.37</v>
      </c>
      <c r="AG230" s="2" t="s">
        <v>94</v>
      </c>
      <c r="AH230" s="2" t="s">
        <v>94</v>
      </c>
      <c r="AI230" s="2" t="s">
        <v>2765</v>
      </c>
      <c r="AJ230" s="8">
        <v>0</v>
      </c>
      <c r="AK230" s="2" t="s">
        <v>94</v>
      </c>
      <c r="AL230" s="2" t="s">
        <v>94</v>
      </c>
      <c r="AM230" s="2" t="s">
        <v>94</v>
      </c>
      <c r="AN230" s="8" t="str">
        <f>HYPERLINK(".\links\gpi\AGAP004379-PA-gpi.txt","N")</f>
        <v>N</v>
      </c>
      <c r="AO230" s="8" t="str">
        <f>HYPERLINK(".\links\netoglyc\AGAP004379-PA-netoglyc.txt","3")</f>
        <v>3</v>
      </c>
      <c r="AP230" s="8">
        <v>9.8000000000000007</v>
      </c>
      <c r="AQ230" s="2">
        <v>4.0999999999999996</v>
      </c>
      <c r="AR230" s="2">
        <v>4.0999999999999996</v>
      </c>
      <c r="AS230" s="2" t="s">
        <v>97</v>
      </c>
      <c r="AT230" s="2" t="str">
        <f>HYPERLINK(".\links\NR-LIGHT\AGAP004379-PA-NR-LIGHT.txt","AGAP004379-PA")</f>
        <v>AGAP004379-PA</v>
      </c>
      <c r="AU230" s="2" t="str">
        <f>HYPERLINK("http://www.ncbi.nlm.nih.gov/sutils/blink.cgi?pid=XP_313664.3","1E-164")</f>
        <v>1E-164</v>
      </c>
      <c r="AV230" s="2" t="str">
        <f>HYPERLINK("http://www.ncbi.nlm.nih.gov/protein/XP_313664.3","XP_313664.3")</f>
        <v>XP_313664.3</v>
      </c>
      <c r="AW230" s="2">
        <v>98</v>
      </c>
      <c r="AX230" s="2">
        <v>98</v>
      </c>
      <c r="AY230" s="2">
        <v>101</v>
      </c>
      <c r="AZ230" s="2" t="s">
        <v>98</v>
      </c>
      <c r="BA230" s="2" t="str">
        <f>HYPERLINK(".\links\REFSEQ-INVERTEBRATE\AGAP004379-PA-REFSEQ-INVERTEBRATE.txt","AGAP004379-PA")</f>
        <v>AGAP004379-PA</v>
      </c>
      <c r="BB230" s="2" t="str">
        <f>HYPERLINK("http://www.ncbi.nlm.nih.gov/sutils/blink.cgi?pid=XP_313664.3","1E-164")</f>
        <v>1E-164</v>
      </c>
      <c r="BC230" s="2" t="str">
        <f>HYPERLINK("http://www.ncbi.nlm.nih.gov/protein/XP_313664.3","XP_313664.3")</f>
        <v>XP_313664.3</v>
      </c>
      <c r="BD230" s="2">
        <v>98</v>
      </c>
      <c r="BE230" s="2">
        <v>98</v>
      </c>
      <c r="BF230" s="2">
        <v>101</v>
      </c>
      <c r="BG230" s="2" t="s">
        <v>98</v>
      </c>
      <c r="BH230" s="2" t="str">
        <f>HYPERLINK(".\links\REFSEQ-PROTOZOA\AGAP004379-PA-REFSEQ-PROTOZOA.txt","glutathione S-transferase domain-containing protein")</f>
        <v>glutathione S-transferase domain-containing protein</v>
      </c>
      <c r="BI230" s="2" t="str">
        <f>HYPERLINK("http://www.ncbi.nlm.nih.gov/sutils/blink.cgi?pid=XP_004346352.1","2E-017")</f>
        <v>2E-017</v>
      </c>
      <c r="BJ230" s="2" t="str">
        <f>HYPERLINK("http://www.ncbi.nlm.nih.gov/protein/XP_004346352.1","XP_004346352.1")</f>
        <v>XP_004346352.1</v>
      </c>
      <c r="BK230" s="2">
        <v>32</v>
      </c>
      <c r="BL230" s="2">
        <v>50</v>
      </c>
      <c r="BM230" s="2">
        <v>92</v>
      </c>
      <c r="BN230" s="2" t="s">
        <v>227</v>
      </c>
      <c r="BO230" s="2" t="str">
        <f>HYPERLINK(".\links\SWISSP\AGAP004379-PA-SWISSP.txt","Glutathione S-transferase D5")</f>
        <v>Glutathione S-transferase D5</v>
      </c>
      <c r="BP230" s="2" t="str">
        <f>HYPERLINK("http://www.uniprot.org/uniprot/Q9VG95","2E-045")</f>
        <v>2E-045</v>
      </c>
      <c r="BQ230" s="2" t="str">
        <f>HYPERLINK("http://www.uniprot.org/uniprot/Q9VG95#expression","Q9VG95")</f>
        <v>Q9VG95</v>
      </c>
      <c r="BR230" s="2">
        <v>45</v>
      </c>
      <c r="BS230" s="2">
        <v>62</v>
      </c>
      <c r="BT230" s="2">
        <v>102</v>
      </c>
      <c r="BU230" s="2" t="s">
        <v>100</v>
      </c>
      <c r="BV230" s="2" t="str">
        <f>HYPERLINK(".\links\FLYBASE\AGAP004379-PA-FLYBASE.txt","FBpp0082044")</f>
        <v>FBpp0082044</v>
      </c>
      <c r="BW230" s="2" t="str">
        <f>HYPERLINK("http://flybase.org/reports/FBgn0010041#alliance_summary_container","6E-59")</f>
        <v>6E-59</v>
      </c>
      <c r="BX230" s="2">
        <v>216</v>
      </c>
      <c r="BY230" s="2">
        <v>45</v>
      </c>
      <c r="BZ230" s="2">
        <v>62</v>
      </c>
      <c r="CA230" s="2">
        <v>100</v>
      </c>
      <c r="CB230" s="2" t="str">
        <f>HYPERLINK(".\links\CDD\AGAP004379-PA-CDD.txt","GST_N_Delta_Epsilon, GST_N family, Class Delta and Epsilon subfamily")</f>
        <v>GST_N_Delta_Epsilon, GST_N family, Class Delta and Epsilon subfamily</v>
      </c>
      <c r="CC230" s="13">
        <v>1.0000000000000001E-31</v>
      </c>
      <c r="CD230" s="2">
        <v>102.7</v>
      </c>
      <c r="CE230" s="2" t="s">
        <v>2766</v>
      </c>
      <c r="CF230" s="2" t="s">
        <v>2767</v>
      </c>
      <c r="CG230" s="2" t="str">
        <f>HYPERLINK(".\links\KOG\AGAP004379-PA-KOG.txt","Glutathione S-transferase")</f>
        <v>Glutathione S-transferase</v>
      </c>
      <c r="CH230" s="13">
        <v>1.9999999999999999E-38</v>
      </c>
      <c r="CI230" s="2">
        <v>86.7</v>
      </c>
      <c r="CJ230" s="2" t="s">
        <v>2323</v>
      </c>
      <c r="CK230" s="2" t="s">
        <v>214</v>
      </c>
      <c r="CL230" s="2" t="str">
        <f>HYPERLINK(".\links\PFAM\AGAP004379-PA-PFAM.txt","GST_N_2, Glutathione S-transferase, N-terminal domain")</f>
        <v>GST_N_2, Glutathione S-transferase, N-terminal domain</v>
      </c>
      <c r="CM230" s="13">
        <v>5.0000000000000002E-11</v>
      </c>
      <c r="CN230" s="2">
        <v>100</v>
      </c>
      <c r="CO230" s="2" t="s">
        <v>2324</v>
      </c>
      <c r="CP230" s="2" t="str">
        <f>HYPERLINK(".\links\SMART\AGAP004379-PA-SMART.txt","OmpH, Outer membrane protein (OmpH-like)")</f>
        <v>OmpH, Outer membrane protein (OmpH-like)</v>
      </c>
      <c r="CQ230" s="13">
        <v>0.24</v>
      </c>
      <c r="CR230" s="2">
        <v>32.9</v>
      </c>
      <c r="CS230" s="2" t="s">
        <v>1995</v>
      </c>
      <c r="CT230" s="2" t="s">
        <v>2763</v>
      </c>
      <c r="CU230" s="2" t="s">
        <v>2763</v>
      </c>
      <c r="CV230" s="2" t="s">
        <v>2763</v>
      </c>
      <c r="CW230" s="2" t="str">
        <f>HYPERLINK(".\links\pep\AGAP004379-PA-pep.txt","AGAP004379-PA")</f>
        <v>AGAP004379-PA</v>
      </c>
      <c r="CX230" s="2" t="s">
        <v>88</v>
      </c>
      <c r="CY230" s="2">
        <v>295</v>
      </c>
      <c r="CZ230" s="2" t="s">
        <v>106</v>
      </c>
      <c r="DA230" s="2" t="s">
        <v>2768</v>
      </c>
      <c r="DB230" s="2">
        <v>0</v>
      </c>
      <c r="DC230" s="2">
        <v>0</v>
      </c>
      <c r="DD230" s="2" t="str">
        <f>HYPERLINK("https://www.kegg.jp/kegg-bin/search_pathway_text?map=aga&amp;keyword=AGAP004379&amp;mode=1&amp;viewImage=true","AGAP004379")</f>
        <v>AGAP004379</v>
      </c>
      <c r="DE230" s="2" t="s">
        <v>2759</v>
      </c>
      <c r="DF230" s="2" t="s">
        <v>2760</v>
      </c>
      <c r="DG230" s="2" t="s">
        <v>87</v>
      </c>
      <c r="DH230" s="2" t="str">
        <f>HYPERLINK("https://vectorbase.org/vectorbase/app/record/gene/AGAP004379","AGAP004379-RA")</f>
        <v>AGAP004379-RA</v>
      </c>
      <c r="DI230" s="2" t="s">
        <v>250</v>
      </c>
      <c r="DJ230" s="2">
        <v>1160</v>
      </c>
      <c r="DK230" s="2" t="str">
        <f>HYPERLINK(".\links\netoglyc\AGAP004379-PA-netoglyc.txt","3")</f>
        <v>3</v>
      </c>
      <c r="DL230" s="2">
        <v>9.8000000000000007</v>
      </c>
      <c r="DM230" s="2">
        <v>4.0999999999999996</v>
      </c>
      <c r="DN230" s="2">
        <v>4.0999999999999996</v>
      </c>
      <c r="DO230" s="2" t="s">
        <v>97</v>
      </c>
      <c r="DP230" s="2" t="s">
        <v>2769</v>
      </c>
      <c r="DQ230" s="2" t="str">
        <f>HYPERLINK(".\links\Sigp\AGAP004379-PA-SigP.txt","CYT")</f>
        <v>CYT</v>
      </c>
      <c r="DR230" s="2" t="s">
        <v>94</v>
      </c>
      <c r="DS230" s="2">
        <v>34.201999999999998</v>
      </c>
      <c r="DT230" s="2">
        <v>5.37</v>
      </c>
      <c r="DU230" s="2" t="s">
        <v>94</v>
      </c>
      <c r="DV230" s="2" t="s">
        <v>94</v>
      </c>
      <c r="DW230" s="2" t="s">
        <v>2765</v>
      </c>
      <c r="DX230" s="2">
        <v>295</v>
      </c>
      <c r="DY230" s="8">
        <v>0</v>
      </c>
      <c r="DZ230" s="2" t="s">
        <v>94</v>
      </c>
      <c r="EA230" s="2" t="s">
        <v>94</v>
      </c>
      <c r="EB230" s="2" t="s">
        <v>94</v>
      </c>
      <c r="EC230" s="2" t="str">
        <f>HYPERLINK(".\links\gpi\AGAP004379-PA-gpi.txt","Y-NoSP")</f>
        <v>Y-NoSP</v>
      </c>
      <c r="ED230" s="2">
        <v>0.32</v>
      </c>
      <c r="EF230" s="2">
        <v>3</v>
      </c>
      <c r="EG230" s="2" t="str">
        <f>HYPERLINK(".\links\pep\AGAP004379-PA-sulf.txt","1")</f>
        <v>1</v>
      </c>
      <c r="EH230" s="2" t="s">
        <v>94</v>
      </c>
      <c r="EI230" s="2">
        <v>9.8305084745762699</v>
      </c>
      <c r="EJ230" s="2">
        <v>4.0677966101694896</v>
      </c>
      <c r="EK230" s="2">
        <v>4.0677966101694896</v>
      </c>
      <c r="EL230" s="2">
        <v>8.1355932203389791</v>
      </c>
      <c r="EM230" s="2" t="s">
        <v>94</v>
      </c>
      <c r="EN230" s="2" t="s">
        <v>94</v>
      </c>
      <c r="EO230" s="2" t="s">
        <v>94</v>
      </c>
      <c r="EP230" s="2" t="s">
        <v>94</v>
      </c>
      <c r="EQ230" s="2" t="s">
        <v>94</v>
      </c>
      <c r="ER230" s="2" t="s">
        <v>94</v>
      </c>
      <c r="ES230" s="2" t="s">
        <v>94</v>
      </c>
      <c r="ET230" s="2" t="str">
        <f>HYPERLINK(".\links\REFSEQ-INVERTEBRATE\AGAP004379-PA-REFSEQ-INVERTEBRATE.txt","AGAP004379-PA")</f>
        <v>AGAP004379-PA</v>
      </c>
      <c r="EU230" s="2" t="str">
        <f>HYPERLINK("http://www.ncbi.nlm.nih.gov/sutils/blink.cgi?pid=XP_313664.3","0.0")</f>
        <v>0.0</v>
      </c>
      <c r="EV230" s="2" t="str">
        <f>HYPERLINK("http://www.ncbi.nlm.nih.gov/protein/XP_313664.3","XP_313664.3")</f>
        <v>XP_313664.3</v>
      </c>
      <c r="EW230" s="2">
        <v>98</v>
      </c>
      <c r="EX230" s="2">
        <v>98</v>
      </c>
      <c r="EY230" s="2">
        <v>101</v>
      </c>
      <c r="EZ230" s="2" t="s">
        <v>98</v>
      </c>
    </row>
    <row r="231" spans="1:156" x14ac:dyDescent="0.25">
      <c r="A231" s="2" t="s">
        <v>2770</v>
      </c>
      <c r="B231" s="2">
        <v>-1.1659031593721201</v>
      </c>
      <c r="C231" s="2">
        <v>0.44568516347554377</v>
      </c>
      <c r="D231" s="2">
        <v>5.88061043611253</v>
      </c>
      <c r="E231" s="2">
        <v>32.853133371520599</v>
      </c>
      <c r="F231" s="2">
        <v>9.9390742315691208E-9</v>
      </c>
      <c r="G231" s="2">
        <v>6.2662550005299401E-6</v>
      </c>
      <c r="H231" s="2" t="s">
        <v>2771</v>
      </c>
      <c r="I231" s="2" t="s">
        <v>87</v>
      </c>
      <c r="J231" s="2" t="str">
        <f>HYPERLINK("https://vectorbase.org/vectorbase/app/record/gene/AGAP007781","AGAP007781-RA")</f>
        <v>AGAP007781-RA</v>
      </c>
      <c r="K231" s="2" t="str">
        <f>HYPERLINK(".\links\pep\AGAP007781-PA-pep.txt","AGAP007781-PA")</f>
        <v>AGAP007781-PA</v>
      </c>
      <c r="L231" s="8" t="s">
        <v>88</v>
      </c>
      <c r="M231" s="2">
        <v>122</v>
      </c>
      <c r="N231" s="2">
        <v>0</v>
      </c>
      <c r="O231" s="2">
        <v>0</v>
      </c>
      <c r="P231" s="2" t="s">
        <v>2772</v>
      </c>
      <c r="Q231" s="2" t="s">
        <v>2773</v>
      </c>
      <c r="R231" s="2" t="s">
        <v>2169</v>
      </c>
      <c r="S231" s="2" t="str">
        <f>HYPERLINK(".\links\NR-LIGHT\AGAP007781-PA-NR-LIGHT.txt","NR-LIGHT")</f>
        <v>NR-LIGHT</v>
      </c>
      <c r="T231" s="2">
        <v>1E-50</v>
      </c>
      <c r="U231" s="2">
        <v>63.7</v>
      </c>
      <c r="V231" s="2" t="s">
        <v>2774</v>
      </c>
      <c r="W231" s="10" t="s">
        <v>2775</v>
      </c>
      <c r="X231" s="2" t="s">
        <v>2169</v>
      </c>
      <c r="Y231" s="2" t="str">
        <f>HYPERLINK(".\links\REFSEQ-INVERTEBRATE\AGAP007781-PA-REFSEQ-INVERTEBRATE.txt","REFSEQ-INVERTEBRATE")</f>
        <v>REFSEQ-INVERTEBRATE</v>
      </c>
      <c r="Z231" s="13">
        <v>1.9999999999999999E-81</v>
      </c>
      <c r="AA231" s="2">
        <v>100</v>
      </c>
      <c r="AB231" s="8" t="str">
        <f>HYPERLINK(".\links\pep\AGAP007781-PA-sulf.txt","1")</f>
        <v>1</v>
      </c>
      <c r="AC231" s="8" t="str">
        <f>HYPERLINK(".\links\Sigp\AGAP007781-PA-SigP.txt","CYT")</f>
        <v>CYT</v>
      </c>
      <c r="AD231" s="2" t="s">
        <v>94</v>
      </c>
      <c r="AE231" s="2">
        <v>13.372999999999999</v>
      </c>
      <c r="AF231" s="2">
        <v>9.4600000000000009</v>
      </c>
      <c r="AG231" s="2" t="s">
        <v>94</v>
      </c>
      <c r="AH231" s="2" t="s">
        <v>94</v>
      </c>
      <c r="AI231" s="2" t="s">
        <v>1949</v>
      </c>
      <c r="AJ231" s="8">
        <v>0</v>
      </c>
      <c r="AK231" s="2" t="s">
        <v>94</v>
      </c>
      <c r="AL231" s="2" t="s">
        <v>94</v>
      </c>
      <c r="AM231" s="2" t="s">
        <v>94</v>
      </c>
      <c r="AN231" s="8" t="str">
        <f>HYPERLINK(".\links\gpi\AGAP007781-PA-gpi.txt","N")</f>
        <v>N</v>
      </c>
      <c r="AO231" s="8" t="str">
        <f>HYPERLINK(".\links\netoglyc\AGAP007781-PA-netoglyc.txt","6")</f>
        <v>6</v>
      </c>
      <c r="AP231" s="8">
        <v>18.899999999999999</v>
      </c>
      <c r="AQ231" s="2">
        <v>4.0999999999999996</v>
      </c>
      <c r="AR231" s="2">
        <v>11.5</v>
      </c>
      <c r="AS231" s="2" t="s">
        <v>97</v>
      </c>
      <c r="AT231" s="2" t="str">
        <f>HYPERLINK(".\links\NR-LIGHT\AGAP007781-PA-NR-LIGHT.txt","AGAP007781-PA")</f>
        <v>AGAP007781-PA</v>
      </c>
      <c r="AU231" s="2" t="str">
        <f>HYPERLINK("http://www.ncbi.nlm.nih.gov/sutils/blink.cgi?pid=XP_317732.2","2E-064")</f>
        <v>2E-064</v>
      </c>
      <c r="AV231" s="2" t="str">
        <f>HYPERLINK("http://www.ncbi.nlm.nih.gov/protein/XP_317732.2","XP_317732.2")</f>
        <v>XP_317732.2</v>
      </c>
      <c r="AW231" s="2">
        <v>100</v>
      </c>
      <c r="AX231" s="2">
        <v>100</v>
      </c>
      <c r="AY231" s="2">
        <v>100</v>
      </c>
      <c r="AZ231" s="2" t="s">
        <v>98</v>
      </c>
      <c r="BA231" s="2" t="str">
        <f>HYPERLINK(".\links\REFSEQ-INVERTEBRATE\AGAP007781-PA-REFSEQ-INVERTEBRATE.txt","AGAP007781-PA")</f>
        <v>AGAP007781-PA</v>
      </c>
      <c r="BB231" s="2" t="str">
        <f>HYPERLINK("http://www.ncbi.nlm.nih.gov/sutils/blink.cgi?pid=XP_317732.2","1E-064")</f>
        <v>1E-064</v>
      </c>
      <c r="BC231" s="2" t="str">
        <f>HYPERLINK("http://www.ncbi.nlm.nih.gov/protein/XP_317732.2","XP_317732.2")</f>
        <v>XP_317732.2</v>
      </c>
      <c r="BD231" s="2">
        <v>100</v>
      </c>
      <c r="BE231" s="2">
        <v>100</v>
      </c>
      <c r="BF231" s="2">
        <v>100</v>
      </c>
      <c r="BG231" s="2" t="s">
        <v>98</v>
      </c>
      <c r="BH231" s="2" t="str">
        <f>HYPERLINK(".\links\REFSEQ-PROTOZOA\AGAP007781-PA-REFSEQ-PROTOZOA.txt","eukaryotic translation initiation factor 4e1a-binding protein")</f>
        <v>eukaryotic translation initiation factor 4e1a-binding protein</v>
      </c>
      <c r="BI231" s="2" t="str">
        <f>HYPERLINK("http://www.ncbi.nlm.nih.gov/sutils/blink.cgi?pid=XP_004344861.1","1E-014")</f>
        <v>1E-014</v>
      </c>
      <c r="BJ231" s="2" t="str">
        <f>HYPERLINK("http://www.ncbi.nlm.nih.gov/protein/XP_004344861.1","XP_004344861.1")</f>
        <v>XP_004344861.1</v>
      </c>
      <c r="BK231" s="2">
        <v>49</v>
      </c>
      <c r="BL231" s="2">
        <v>63</v>
      </c>
      <c r="BM231" s="2">
        <v>84</v>
      </c>
      <c r="BN231" s="2" t="s">
        <v>527</v>
      </c>
      <c r="BO231" s="2" t="str">
        <f>HYPERLINK(".\links\SWISSP\AGAP007781-PA-SWISSP.txt","Eukaryotic translation initiation factor 4E-binding protein 1")</f>
        <v>Eukaryotic translation initiation factor 4E-binding protein 1</v>
      </c>
      <c r="BP231" s="2" t="str">
        <f>HYPERLINK("http://www.uniprot.org/uniprot/Q60876","9E-020")</f>
        <v>9E-020</v>
      </c>
      <c r="BQ231" s="2" t="str">
        <f>HYPERLINK("http://www.uniprot.org/uniprot/Q60876#expression","Q60876")</f>
        <v>Q60876</v>
      </c>
      <c r="BR231" s="2">
        <v>44</v>
      </c>
      <c r="BS231" s="2">
        <v>65</v>
      </c>
      <c r="BT231" s="2">
        <v>93</v>
      </c>
      <c r="BU231" s="2" t="s">
        <v>339</v>
      </c>
      <c r="BV231" s="2" t="str">
        <f>HYPERLINK(".\links\FLYBASE\AGAP007781-PA-FLYBASE.txt","FBpp0311456")</f>
        <v>FBpp0311456</v>
      </c>
      <c r="BW231" s="2" t="str">
        <f>HYPERLINK("http://flybase.org/reports/FBgn0261560#alliance_summary_container","1E-35")</f>
        <v>1E-35</v>
      </c>
      <c r="BX231" s="2">
        <v>117</v>
      </c>
      <c r="BY231" s="2">
        <v>53</v>
      </c>
      <c r="BZ231" s="2">
        <v>71</v>
      </c>
      <c r="CA231" s="2">
        <v>108</v>
      </c>
      <c r="CB231" s="2" t="str">
        <f>HYPERLINK(".\links\CDD\AGAP007781-PA-CDD.txt","eIF_4EBP, Eukaryotic translation initiation factor 4E binding protein (EIF4EBP)")</f>
        <v>eIF_4EBP, Eukaryotic translation initiation factor 4E binding protein (EIF4EBP)</v>
      </c>
      <c r="CC231" s="13">
        <v>3.0000000000000002E-40</v>
      </c>
      <c r="CD231" s="2">
        <v>103.8</v>
      </c>
      <c r="CE231" s="2" t="s">
        <v>2776</v>
      </c>
      <c r="CF231" s="2" t="s">
        <v>2777</v>
      </c>
      <c r="CG231" s="2" t="str">
        <f>HYPERLINK(".\links\KOG\AGAP007781-PA-KOG.txt","subunit CFT2 (CPSF subunit)")</f>
        <v>subunit CFT2 (CPSF subunit)</v>
      </c>
      <c r="CH231" s="13">
        <v>2.5</v>
      </c>
      <c r="CI231" s="2">
        <v>2.4</v>
      </c>
      <c r="CJ231" s="2" t="s">
        <v>2778</v>
      </c>
      <c r="CK231" s="2" t="s">
        <v>372</v>
      </c>
      <c r="CL231" s="2" t="str">
        <f>HYPERLINK(".\links\PFAM\AGAP007781-PA-PFAM.txt","eIF_4EBP, Eukaryotic translation initiation factor 4E binding protein (EIF4EBP)")</f>
        <v>eIF_4EBP, Eukaryotic translation initiation factor 4E binding protein (EIF4EBP)</v>
      </c>
      <c r="CM231" s="13">
        <v>8E-41</v>
      </c>
      <c r="CN231" s="2">
        <v>103.8</v>
      </c>
      <c r="CO231" s="2" t="s">
        <v>2776</v>
      </c>
      <c r="CP231" s="2" t="str">
        <f>HYPERLINK(".\links\SMART\AGAP007781-PA-SMART.txt","PKS_ER, Enoylreductase")</f>
        <v>PKS_ER, Enoylreductase</v>
      </c>
      <c r="CQ231" s="13">
        <v>1.5</v>
      </c>
      <c r="CR231" s="2">
        <v>2.8</v>
      </c>
      <c r="CS231" s="2" t="s">
        <v>2699</v>
      </c>
      <c r="CT231" s="2" t="s">
        <v>2774</v>
      </c>
      <c r="CU231" s="2" t="s">
        <v>2774</v>
      </c>
      <c r="CV231" s="2" t="s">
        <v>2774</v>
      </c>
      <c r="CW231" s="2" t="str">
        <f>HYPERLINK(".\links\pep\AGAP007781-PA-pep.txt","AGAP007781-PA")</f>
        <v>AGAP007781-PA</v>
      </c>
      <c r="CX231" s="2" t="s">
        <v>88</v>
      </c>
      <c r="CY231" s="2">
        <v>122</v>
      </c>
      <c r="CZ231" s="2" t="s">
        <v>106</v>
      </c>
      <c r="DA231" s="2" t="s">
        <v>2779</v>
      </c>
      <c r="DB231" s="2">
        <v>0</v>
      </c>
      <c r="DC231" s="2">
        <v>0</v>
      </c>
      <c r="DD231" s="2" t="str">
        <f>HYPERLINK("https://www.kegg.jp/kegg-bin/search_pathway_text?map=aga&amp;keyword=AGAP007781&amp;mode=1&amp;viewImage=true","AGAP007781")</f>
        <v>AGAP007781</v>
      </c>
      <c r="DE231" s="2" t="s">
        <v>2770</v>
      </c>
      <c r="DF231" s="2" t="s">
        <v>2771</v>
      </c>
      <c r="DG231" s="2" t="s">
        <v>87</v>
      </c>
      <c r="DH231" s="2" t="str">
        <f>HYPERLINK("https://vectorbase.org/vectorbase/app/record/gene/AGAP007781","AGAP007781-RA")</f>
        <v>AGAP007781-RA</v>
      </c>
      <c r="DI231" s="2" t="s">
        <v>108</v>
      </c>
      <c r="DJ231" s="2">
        <v>1402</v>
      </c>
      <c r="DK231" s="2" t="str">
        <f>HYPERLINK(".\links\netoglyc\AGAP007781-PA-netoglyc.txt","6")</f>
        <v>6</v>
      </c>
      <c r="DL231" s="2">
        <v>18.899999999999999</v>
      </c>
      <c r="DM231" s="2">
        <v>4.0999999999999996</v>
      </c>
      <c r="DN231" s="2">
        <v>11.5</v>
      </c>
      <c r="DO231" s="2" t="s">
        <v>97</v>
      </c>
      <c r="DP231" s="2" t="s">
        <v>94</v>
      </c>
      <c r="DQ231" s="2" t="str">
        <f>HYPERLINK(".\links\Sigp\AGAP007781-PA-SigP.txt","CYT")</f>
        <v>CYT</v>
      </c>
      <c r="DR231" s="2" t="s">
        <v>94</v>
      </c>
      <c r="DS231" s="2">
        <v>13.372999999999999</v>
      </c>
      <c r="DT231" s="2">
        <v>9.4600000000000009</v>
      </c>
      <c r="DU231" s="2" t="s">
        <v>94</v>
      </c>
      <c r="DV231" s="2" t="s">
        <v>94</v>
      </c>
      <c r="DW231" s="2" t="s">
        <v>1949</v>
      </c>
      <c r="DX231" s="2">
        <v>122</v>
      </c>
      <c r="DY231" s="8">
        <v>0</v>
      </c>
      <c r="DZ231" s="2" t="s">
        <v>94</v>
      </c>
      <c r="EA231" s="2" t="s">
        <v>94</v>
      </c>
      <c r="EB231" s="2" t="s">
        <v>94</v>
      </c>
      <c r="EC231" s="2" t="str">
        <f>HYPERLINK(".\links\gpi\AGAP007781-PA-gpi.txt","N")</f>
        <v>N</v>
      </c>
      <c r="ED231" s="2">
        <v>0.28999999999999998</v>
      </c>
      <c r="EF231" s="2">
        <v>1</v>
      </c>
      <c r="EG231" s="2" t="str">
        <f>HYPERLINK(".\links\pep\AGAP007781-PA-sulf.txt","1")</f>
        <v>1</v>
      </c>
      <c r="EH231" s="2" t="s">
        <v>94</v>
      </c>
      <c r="EI231" s="2">
        <v>18.8524590163934</v>
      </c>
      <c r="EJ231" s="2">
        <v>11.4754098360656</v>
      </c>
      <c r="EK231" s="2">
        <v>4.0983606557377001</v>
      </c>
      <c r="EL231" s="2">
        <v>15.5737704918033</v>
      </c>
      <c r="EM231" s="2" t="s">
        <v>94</v>
      </c>
      <c r="EN231" s="2" t="s">
        <v>94</v>
      </c>
      <c r="EO231" s="2">
        <v>2</v>
      </c>
      <c r="EP231" s="2" t="s">
        <v>94</v>
      </c>
      <c r="EQ231" s="2" t="s">
        <v>94</v>
      </c>
      <c r="ER231" s="2" t="s">
        <v>94</v>
      </c>
      <c r="ES231" s="2" t="s">
        <v>94</v>
      </c>
      <c r="ET231" s="2" t="str">
        <f>HYPERLINK(".\links\REFSEQ-INVERTEBRATE\AGAP007781-PA-REFSEQ-INVERTEBRATE.txt","AGAP007781-PA")</f>
        <v>AGAP007781-PA</v>
      </c>
      <c r="EU231" s="2" t="str">
        <f>HYPERLINK("http://www.ncbi.nlm.nih.gov/sutils/blink.cgi?pid=XP_317732.2","9E-86")</f>
        <v>9E-86</v>
      </c>
      <c r="EV231" s="2" t="str">
        <f>HYPERLINK("http://www.ncbi.nlm.nih.gov/protein/XP_317732.2","XP_317732.2")</f>
        <v>XP_317732.2</v>
      </c>
      <c r="EW231" s="2">
        <v>100</v>
      </c>
      <c r="EX231" s="2">
        <v>100</v>
      </c>
      <c r="EY231" s="2">
        <v>100</v>
      </c>
      <c r="EZ231" s="2" t="s">
        <v>98</v>
      </c>
    </row>
    <row r="232" spans="1:156" x14ac:dyDescent="0.25">
      <c r="A232" s="2" t="s">
        <v>2780</v>
      </c>
      <c r="B232" s="2">
        <v>-1.1662274471683101</v>
      </c>
      <c r="C232" s="2">
        <v>0.44558499399212331</v>
      </c>
      <c r="D232" s="2">
        <v>4.4697328028023504</v>
      </c>
      <c r="E232" s="2">
        <v>13.996807765744901</v>
      </c>
      <c r="F232" s="2">
        <v>1.83121268300072E-4</v>
      </c>
      <c r="G232" s="2">
        <v>1.10304320656928E-2</v>
      </c>
      <c r="H232" s="2" t="s">
        <v>2781</v>
      </c>
      <c r="I232" s="2" t="s">
        <v>87</v>
      </c>
      <c r="J232" s="2" t="str">
        <f>HYPERLINK("https://vectorbase.org/vectorbase/app/record/gene/AGAP007479","AGAP007479-RA")</f>
        <v>AGAP007479-RA</v>
      </c>
      <c r="K232" s="2" t="str">
        <f>HYPERLINK(".\links\pep\AGAP007479-PA-pep.txt","AGAP007479-PA")</f>
        <v>AGAP007479-PA</v>
      </c>
      <c r="L232" s="8" t="s">
        <v>88</v>
      </c>
      <c r="M232" s="2">
        <v>320</v>
      </c>
      <c r="N232" s="2">
        <v>0</v>
      </c>
      <c r="O232" s="2">
        <v>1</v>
      </c>
      <c r="P232" s="2" t="s">
        <v>2782</v>
      </c>
      <c r="Q232" s="2" t="s">
        <v>2783</v>
      </c>
      <c r="R232" s="2" t="s">
        <v>591</v>
      </c>
      <c r="S232" s="2" t="str">
        <f>HYPERLINK(".\links\KOG\AGAP007479-PA-KOG.txt","KOG")</f>
        <v>KOG</v>
      </c>
      <c r="T232" s="2">
        <v>6.9999999999999997E-32</v>
      </c>
      <c r="U232" s="2">
        <v>38.1</v>
      </c>
      <c r="V232" s="2" t="s">
        <v>2784</v>
      </c>
      <c r="W232" s="10" t="s">
        <v>2785</v>
      </c>
      <c r="X232" s="2" t="s">
        <v>2786</v>
      </c>
      <c r="Y232" s="2" t="str">
        <f>HYPERLINK(".\links\TIGR\AGAP007479-PA-TIGR.txt","TIGR")</f>
        <v>TIGR</v>
      </c>
      <c r="Z232" s="13">
        <v>8.0000000000000003E-27</v>
      </c>
      <c r="AA232" s="2">
        <v>81.400000000000006</v>
      </c>
      <c r="AB232" s="8" t="str">
        <f>HYPERLINK(".\links\pep\AGAP007479-PA-sulf.txt","1")</f>
        <v>1</v>
      </c>
      <c r="AC232" s="8" t="str">
        <f>HYPERLINK(".\links\Sigp\AGAP007479-PA-SigP.txt","CYT")</f>
        <v>CYT</v>
      </c>
      <c r="AD232" s="2" t="s">
        <v>94</v>
      </c>
      <c r="AE232" s="2">
        <v>36.81</v>
      </c>
      <c r="AF232" s="2">
        <v>6.3</v>
      </c>
      <c r="AG232" s="2" t="s">
        <v>94</v>
      </c>
      <c r="AH232" s="2" t="s">
        <v>94</v>
      </c>
      <c r="AI232" s="2" t="s">
        <v>2787</v>
      </c>
      <c r="AJ232" s="8">
        <v>0</v>
      </c>
      <c r="AK232" s="2" t="s">
        <v>94</v>
      </c>
      <c r="AL232" s="2" t="s">
        <v>94</v>
      </c>
      <c r="AM232" s="2" t="s">
        <v>94</v>
      </c>
      <c r="AN232" s="8" t="str">
        <f>HYPERLINK(".\links\gpi\AGAP007479-PA-gpi.txt","N")</f>
        <v>N</v>
      </c>
      <c r="AO232" s="8" t="str">
        <f>HYPERLINK(".\links\netoglyc\AGAP007479-PA-netoglyc.txt","2")</f>
        <v>2</v>
      </c>
      <c r="AP232" s="8">
        <v>13.4</v>
      </c>
      <c r="AQ232" s="2">
        <v>4.4000000000000004</v>
      </c>
      <c r="AR232" s="2">
        <v>5</v>
      </c>
      <c r="AS232" s="2">
        <v>0.9</v>
      </c>
      <c r="AT232" s="2" t="str">
        <f>HYPERLINK(".\links\NR-LIGHT\AGAP007479-PA-NR-LIGHT.txt","AGAP007479-PA")</f>
        <v>AGAP007479-PA</v>
      </c>
      <c r="AU232" s="2" t="str">
        <f>HYPERLINK("http://www.ncbi.nlm.nih.gov/sutils/blink.cgi?pid=XP_564779.1","0.0")</f>
        <v>0.0</v>
      </c>
      <c r="AV232" s="2" t="str">
        <f>HYPERLINK("http://www.ncbi.nlm.nih.gov/protein/XP_564779.1","XP_564779.1")</f>
        <v>XP_564779.1</v>
      </c>
      <c r="AW232" s="2">
        <v>100</v>
      </c>
      <c r="AX232" s="2">
        <v>100</v>
      </c>
      <c r="AY232" s="2">
        <v>100</v>
      </c>
      <c r="AZ232" s="2" t="s">
        <v>98</v>
      </c>
      <c r="BA232" s="2" t="str">
        <f>HYPERLINK(".\links\REFSEQ-INVERTEBRATE\AGAP007479-PA-REFSEQ-INVERTEBRATE.txt","AGAP007479-PA")</f>
        <v>AGAP007479-PA</v>
      </c>
      <c r="BB232" s="2" t="str">
        <f>HYPERLINK("http://www.ncbi.nlm.nih.gov/sutils/blink.cgi?pid=XP_564779.1","0.0")</f>
        <v>0.0</v>
      </c>
      <c r="BC232" s="2" t="str">
        <f>HYPERLINK("http://www.ncbi.nlm.nih.gov/protein/XP_564779.1","XP_564779.1")</f>
        <v>XP_564779.1</v>
      </c>
      <c r="BD232" s="2">
        <v>100</v>
      </c>
      <c r="BE232" s="2">
        <v>100</v>
      </c>
      <c r="BF232" s="2">
        <v>100</v>
      </c>
      <c r="BG232" s="2" t="s">
        <v>98</v>
      </c>
      <c r="BH232" s="2" t="str">
        <f>HYPERLINK(".\links\REFSEQ-PROTOZOA\AGAP007479-PA-REFSEQ-PROTOZOA.txt","methylenetetrahydrofolate reductase")</f>
        <v>methylenetetrahydrofolate reductase</v>
      </c>
      <c r="BI232" s="2" t="str">
        <f>HYPERLINK("http://www.ncbi.nlm.nih.gov/sutils/blink.cgi?pid=XP_009496902.1","1E-024")</f>
        <v>1E-024</v>
      </c>
      <c r="BJ232" s="2" t="str">
        <f>HYPERLINK("http://www.ncbi.nlm.nih.gov/protein/XP_009496902.1","XP_009496902.1")</f>
        <v>XP_009496902.1</v>
      </c>
      <c r="BK232" s="2">
        <v>29</v>
      </c>
      <c r="BL232" s="2">
        <v>51</v>
      </c>
      <c r="BM232" s="2">
        <v>78</v>
      </c>
      <c r="BN232" s="2" t="s">
        <v>1459</v>
      </c>
      <c r="BO232" s="2" t="str">
        <f>HYPERLINK(".\links\SWISSP\AGAP007479-PA-SWISSP.txt","Methylenetetrahydrofolate reductase")</f>
        <v>Methylenetetrahydrofolate reductase</v>
      </c>
      <c r="BP232" s="2" t="str">
        <f>HYPERLINK("http://www.uniprot.org/uniprot/P42898","4E-024")</f>
        <v>4E-024</v>
      </c>
      <c r="BQ232" s="2" t="str">
        <f>HYPERLINK("http://www.uniprot.org/uniprot/P42898#expression","P42898")</f>
        <v>P42898</v>
      </c>
      <c r="BR232" s="2">
        <v>31</v>
      </c>
      <c r="BS232" s="2">
        <v>51</v>
      </c>
      <c r="BT232" s="2">
        <v>35</v>
      </c>
      <c r="BU232" s="2" t="s">
        <v>196</v>
      </c>
      <c r="BV232" s="2" t="str">
        <f>HYPERLINK(".\links\FLYBASE\AGAP007479-PA-FLYBASE.txt","FBpp0075903")</f>
        <v>FBpp0075903</v>
      </c>
      <c r="BW232" s="2" t="str">
        <f>HYPERLINK("http://flybase.org/reports/FBgn0036157#alliance_summary_container","4E-26")</f>
        <v>4E-26</v>
      </c>
      <c r="BX232" s="2">
        <v>349</v>
      </c>
      <c r="BY232" s="2">
        <v>29</v>
      </c>
      <c r="BZ232" s="2">
        <v>46</v>
      </c>
      <c r="CA232" s="2">
        <v>87</v>
      </c>
      <c r="CB232" s="2" t="str">
        <f>HYPERLINK(".\links\CDD\AGAP007479-PA-CDD.txt","MTHFR, Methylenetetrahydrofolate reductase (MTHFR)")</f>
        <v>MTHFR, Methylenetetrahydrofolate reductase (MTHFR)</v>
      </c>
      <c r="CC232" s="13">
        <v>4.9999999999999998E-39</v>
      </c>
      <c r="CD232" s="2">
        <v>100.7</v>
      </c>
      <c r="CE232" s="2" t="s">
        <v>2788</v>
      </c>
      <c r="CF232" s="2" t="s">
        <v>2789</v>
      </c>
      <c r="CG232" s="2" t="str">
        <f>HYPERLINK(".\links\KOG\AGAP007479-PA-KOG.txt","10-methylenetetrahydrofolate reductase")</f>
        <v>10-methylenetetrahydrofolate reductase</v>
      </c>
      <c r="CH232" s="13">
        <v>6.9999999999999997E-32</v>
      </c>
      <c r="CI232" s="2">
        <v>38.1</v>
      </c>
      <c r="CJ232" s="2" t="s">
        <v>2790</v>
      </c>
      <c r="CK232" s="2" t="s">
        <v>278</v>
      </c>
      <c r="CL232" s="2" t="str">
        <f>HYPERLINK(".\links\PFAM\AGAP007479-PA-PFAM.txt","MTHFR, Methylenetetrahydrofolate reductase")</f>
        <v>MTHFR, Methylenetetrahydrofolate reductase</v>
      </c>
      <c r="CM232" s="13">
        <v>3.9999999999999998E-29</v>
      </c>
      <c r="CN232" s="2">
        <v>77.3</v>
      </c>
      <c r="CO232" s="2" t="s">
        <v>2791</v>
      </c>
      <c r="CP232" s="2" t="str">
        <f>HYPERLINK(".\links\SMART\AGAP007479-PA-SMART.txt","DCX, Domain in the Doublecortin (DCX) gene product")</f>
        <v>DCX, Domain in the Doublecortin (DCX) gene product</v>
      </c>
      <c r="CQ232" s="13">
        <v>0.78</v>
      </c>
      <c r="CR232" s="2">
        <v>31.5</v>
      </c>
      <c r="CS232" s="2" t="s">
        <v>2792</v>
      </c>
      <c r="CT232" s="2" t="s">
        <v>2784</v>
      </c>
      <c r="CU232" s="2" t="s">
        <v>2784</v>
      </c>
      <c r="CV232" s="2" t="s">
        <v>2784</v>
      </c>
      <c r="CW232" s="2" t="str">
        <f>HYPERLINK(".\links\pep\AGAP007479-PA-pep.txt","AGAP007479-PA")</f>
        <v>AGAP007479-PA</v>
      </c>
      <c r="CX232" s="2" t="s">
        <v>88</v>
      </c>
      <c r="CY232" s="2">
        <v>320</v>
      </c>
      <c r="CZ232" s="2" t="s">
        <v>106</v>
      </c>
      <c r="DA232" s="2" t="s">
        <v>2793</v>
      </c>
      <c r="DB232" s="2">
        <v>0</v>
      </c>
      <c r="DC232" s="2">
        <v>1</v>
      </c>
      <c r="DD232" s="2" t="str">
        <f>HYPERLINK("https://www.kegg.jp/kegg-bin/search_pathway_text?map=aga&amp;keyword=AGAP007479&amp;mode=1&amp;viewImage=true","AGAP007479")</f>
        <v>AGAP007479</v>
      </c>
      <c r="DE232" s="2" t="s">
        <v>2780</v>
      </c>
      <c r="DF232" s="2" t="s">
        <v>2781</v>
      </c>
      <c r="DG232" s="2" t="s">
        <v>87</v>
      </c>
      <c r="DH232" s="2" t="str">
        <f>HYPERLINK("https://vectorbase.org/vectorbase/app/record/gene/AGAP007479","AGAP007479-RA")</f>
        <v>AGAP007479-RA</v>
      </c>
      <c r="DI232" s="2" t="s">
        <v>250</v>
      </c>
      <c r="DJ232" s="2">
        <v>963</v>
      </c>
      <c r="DK232" s="2" t="str">
        <f>HYPERLINK(".\links\netoglyc\AGAP007479-PA-netoglyc.txt","2")</f>
        <v>2</v>
      </c>
      <c r="DL232" s="2">
        <v>13.4</v>
      </c>
      <c r="DM232" s="2">
        <v>4.4000000000000004</v>
      </c>
      <c r="DN232" s="2">
        <v>5</v>
      </c>
      <c r="DO232" s="2">
        <v>0.9</v>
      </c>
      <c r="DP232" s="2" t="s">
        <v>94</v>
      </c>
      <c r="DQ232" s="2" t="str">
        <f>HYPERLINK(".\links\Sigp\AGAP007479-PA-SigP.txt","CYT")</f>
        <v>CYT</v>
      </c>
      <c r="DR232" s="2" t="s">
        <v>94</v>
      </c>
      <c r="DS232" s="2">
        <v>36.81</v>
      </c>
      <c r="DT232" s="2">
        <v>6.3</v>
      </c>
      <c r="DU232" s="2" t="s">
        <v>94</v>
      </c>
      <c r="DV232" s="2" t="s">
        <v>94</v>
      </c>
      <c r="DW232" s="2" t="s">
        <v>2787</v>
      </c>
      <c r="DX232" s="2">
        <v>320</v>
      </c>
      <c r="DY232" s="8">
        <v>0</v>
      </c>
      <c r="DZ232" s="2" t="s">
        <v>94</v>
      </c>
      <c r="EA232" s="2" t="s">
        <v>94</v>
      </c>
      <c r="EB232" s="2" t="s">
        <v>94</v>
      </c>
      <c r="EC232" s="2" t="str">
        <f>HYPERLINK(".\links\gpi\AGAP007479-PA-gpi.txt","Y-NoSP")</f>
        <v>Y-NoSP</v>
      </c>
      <c r="ED232" s="2">
        <v>0.26</v>
      </c>
      <c r="EF232" s="2">
        <v>3</v>
      </c>
      <c r="EG232" s="2" t="str">
        <f>HYPERLINK(".\links\pep\AGAP007479-PA-sulf.txt","1")</f>
        <v>1</v>
      </c>
      <c r="EH232" s="2" t="s">
        <v>94</v>
      </c>
      <c r="EI232" s="2">
        <v>13.4375</v>
      </c>
      <c r="EJ232" s="2">
        <v>5</v>
      </c>
      <c r="EK232" s="2">
        <v>4.375</v>
      </c>
      <c r="EL232" s="2">
        <v>9.375</v>
      </c>
      <c r="EM232" s="2" t="s">
        <v>94</v>
      </c>
      <c r="EN232" s="2" t="s">
        <v>94</v>
      </c>
      <c r="EO232" s="2">
        <v>2</v>
      </c>
      <c r="EP232" s="2" t="s">
        <v>94</v>
      </c>
      <c r="EQ232" s="2" t="s">
        <v>94</v>
      </c>
      <c r="ER232" s="2" t="s">
        <v>94</v>
      </c>
      <c r="ES232" s="2" t="s">
        <v>94</v>
      </c>
      <c r="ET232" s="2" t="str">
        <f>HYPERLINK(".\links\REFSEQ-INVERTEBRATE\AGAP007479-PA-REFSEQ-INVERTEBRATE.txt","AGAP007479-PA")</f>
        <v>AGAP007479-PA</v>
      </c>
      <c r="EU232" s="2" t="str">
        <f>HYPERLINK("http://www.ncbi.nlm.nih.gov/sutils/blink.cgi?pid=XP_564779.1","0.0")</f>
        <v>0.0</v>
      </c>
      <c r="EV232" s="2" t="str">
        <f>HYPERLINK("http://www.ncbi.nlm.nih.gov/protein/XP_564779.1","XP_564779.1")</f>
        <v>XP_564779.1</v>
      </c>
      <c r="EW232" s="2">
        <v>100</v>
      </c>
      <c r="EX232" s="2">
        <v>100</v>
      </c>
      <c r="EY232" s="2">
        <v>100</v>
      </c>
      <c r="EZ232" s="2" t="s">
        <v>98</v>
      </c>
    </row>
    <row r="233" spans="1:156" x14ac:dyDescent="0.25">
      <c r="A233" s="2" t="s">
        <v>2794</v>
      </c>
      <c r="B233" s="2">
        <v>-1.17354652415646</v>
      </c>
      <c r="C233" s="2">
        <v>0.44333017767993088</v>
      </c>
      <c r="D233" s="2">
        <v>3.19795247182179</v>
      </c>
      <c r="E233" s="2">
        <v>25.041121844609599</v>
      </c>
      <c r="F233" s="2">
        <v>5.6120561510694401E-7</v>
      </c>
      <c r="G233" s="2">
        <v>1.3966635531753599E-4</v>
      </c>
      <c r="H233" s="2" t="s">
        <v>2795</v>
      </c>
      <c r="I233" s="2" t="s">
        <v>87</v>
      </c>
      <c r="J233" s="2" t="str">
        <f>HYPERLINK("https://vectorbase.org/vectorbase/app/record/gene/AGAP009380","AGAP009380-RA")</f>
        <v>AGAP009380-RA</v>
      </c>
      <c r="K233" s="2" t="str">
        <f>HYPERLINK(".\links\pep\AGAP009380-PA-pep.txt","AGAP009380-PA")</f>
        <v>AGAP009380-PA</v>
      </c>
      <c r="L233" s="8" t="s">
        <v>88</v>
      </c>
      <c r="M233" s="2">
        <v>285</v>
      </c>
      <c r="N233" s="2">
        <v>0</v>
      </c>
      <c r="O233" s="2">
        <v>1</v>
      </c>
      <c r="P233" s="2" t="s">
        <v>2796</v>
      </c>
      <c r="Q233" s="2" t="s">
        <v>2797</v>
      </c>
      <c r="R233" s="2" t="s">
        <v>131</v>
      </c>
      <c r="S233" s="2" t="str">
        <f>HYPERLINK(".\links\KOG\AGAP009380-PA-KOG.txt","KOG")</f>
        <v>KOG</v>
      </c>
      <c r="T233" s="2">
        <v>4.9999999999999996E-40</v>
      </c>
      <c r="U233" s="2">
        <v>91.1</v>
      </c>
      <c r="V233" s="2" t="s">
        <v>2798</v>
      </c>
      <c r="W233" s="10" t="s">
        <v>2799</v>
      </c>
      <c r="X233" s="2" t="s">
        <v>2786</v>
      </c>
      <c r="Y233" s="2" t="str">
        <f>HYPERLINK(".\links\UNIPROTKB\AGAP009380-PA-UNIPROTKB.txt","UNIPROTKB")</f>
        <v>UNIPROTKB</v>
      </c>
      <c r="Z233" s="13">
        <v>7.9999999999999998E-47</v>
      </c>
      <c r="AA233" s="2">
        <v>80.3</v>
      </c>
      <c r="AB233" s="8" t="s">
        <v>94</v>
      </c>
      <c r="AC233" s="8" t="str">
        <f>HYPERLINK(".\links\Sigp\AGAP009380-PA-SigP.txt","CYT")</f>
        <v>CYT</v>
      </c>
      <c r="AD233" s="2" t="s">
        <v>94</v>
      </c>
      <c r="AE233" s="2">
        <v>32.890999999999998</v>
      </c>
      <c r="AF233" s="2">
        <v>8.3000000000000007</v>
      </c>
      <c r="AG233" s="2" t="s">
        <v>94</v>
      </c>
      <c r="AH233" s="2" t="s">
        <v>94</v>
      </c>
      <c r="AI233" s="2" t="s">
        <v>1776</v>
      </c>
      <c r="AJ233" s="8">
        <v>0</v>
      </c>
      <c r="AK233" s="2" t="s">
        <v>94</v>
      </c>
      <c r="AL233" s="2" t="s">
        <v>94</v>
      </c>
      <c r="AM233" s="2" t="s">
        <v>94</v>
      </c>
      <c r="AN233" s="8" t="str">
        <f>HYPERLINK(".\links\gpi\AGAP009380-PA-gpi.txt","N")</f>
        <v>N</v>
      </c>
      <c r="AO233" s="8" t="str">
        <f>HYPERLINK(".\links\netoglyc\AGAP009380-PA-netoglyc.txt","0")</f>
        <v>0</v>
      </c>
      <c r="AP233" s="8">
        <v>8.8000000000000007</v>
      </c>
      <c r="AQ233" s="2">
        <v>5.3</v>
      </c>
      <c r="AR233" s="2">
        <v>5.3</v>
      </c>
      <c r="AS233" s="2" t="s">
        <v>97</v>
      </c>
      <c r="AT233" s="2" t="str">
        <f>HYPERLINK(".\links\NR-LIGHT\AGAP009380-PA-NR-LIGHT.txt","AGAP009380-PA")</f>
        <v>AGAP009380-PA</v>
      </c>
      <c r="AU233" s="2" t="str">
        <f>HYPERLINK("http://www.ncbi.nlm.nih.gov/sutils/blink.cgi?pid=XP_310051.2","1E-164")</f>
        <v>1E-164</v>
      </c>
      <c r="AV233" s="2" t="str">
        <f>HYPERLINK("http://www.ncbi.nlm.nih.gov/protein/XP_310051.2","XP_310051.2")</f>
        <v>XP_310051.2</v>
      </c>
      <c r="AW233" s="2">
        <v>100</v>
      </c>
      <c r="AX233" s="2">
        <v>100</v>
      </c>
      <c r="AY233" s="2">
        <v>100</v>
      </c>
      <c r="AZ233" s="2" t="s">
        <v>98</v>
      </c>
      <c r="BA233" s="2" t="str">
        <f>HYPERLINK(".\links\REFSEQ-INVERTEBRATE\AGAP009380-PA-REFSEQ-INVERTEBRATE.txt","AGAP009380-PA")</f>
        <v>AGAP009380-PA</v>
      </c>
      <c r="BB233" s="2" t="str">
        <f>HYPERLINK("http://www.ncbi.nlm.nih.gov/sutils/blink.cgi?pid=XP_310051.2","1E-164")</f>
        <v>1E-164</v>
      </c>
      <c r="BC233" s="2" t="str">
        <f>HYPERLINK("http://www.ncbi.nlm.nih.gov/protein/XP_310051.2","XP_310051.2")</f>
        <v>XP_310051.2</v>
      </c>
      <c r="BD233" s="2">
        <v>100</v>
      </c>
      <c r="BE233" s="2">
        <v>100</v>
      </c>
      <c r="BF233" s="2">
        <v>100</v>
      </c>
      <c r="BG233" s="2" t="s">
        <v>98</v>
      </c>
      <c r="BH233" s="2" t="str">
        <f>HYPERLINK(".\links\REFSEQ-PROTOZOA\AGAP009380-PA-REFSEQ-PROTOZOA.txt","clavesin-2")</f>
        <v>clavesin-2</v>
      </c>
      <c r="BI233" s="2" t="str">
        <f>HYPERLINK("http://www.ncbi.nlm.nih.gov/sutils/blink.cgi?pid=XP_013755686.1","1E-022")</f>
        <v>1E-022</v>
      </c>
      <c r="BJ233" s="2" t="str">
        <f>HYPERLINK("http://www.ncbi.nlm.nih.gov/protein/XP_013755686.1","XP_013755686.1")</f>
        <v>XP_013755686.1</v>
      </c>
      <c r="BK233" s="2">
        <v>33</v>
      </c>
      <c r="BL233" s="2">
        <v>47</v>
      </c>
      <c r="BM233" s="2">
        <v>48</v>
      </c>
      <c r="BN233" s="2" t="s">
        <v>256</v>
      </c>
      <c r="BO233" s="2" t="str">
        <f>HYPERLINK(".\links\SWISSP\AGAP009380-PA-SWISSP.txt","Retinaldehyde-binding protein 1")</f>
        <v>Retinaldehyde-binding protein 1</v>
      </c>
      <c r="BP233" s="2" t="str">
        <f>HYPERLINK("http://www.uniprot.org/uniprot/P10123","1E-035")</f>
        <v>1E-035</v>
      </c>
      <c r="BQ233" s="2" t="str">
        <f>HYPERLINK("http://www.uniprot.org/uniprot/P10123#expression","P10123")</f>
        <v>P10123</v>
      </c>
      <c r="BR233" s="2">
        <v>33</v>
      </c>
      <c r="BS233" s="2">
        <v>53</v>
      </c>
      <c r="BT233" s="2">
        <v>83</v>
      </c>
      <c r="BU233" s="2" t="s">
        <v>1134</v>
      </c>
      <c r="BV233" s="2" t="str">
        <f>HYPERLINK(".\links\FLYBASE\AGAP009380-PA-FLYBASE.txt","FBpp0079090")</f>
        <v>FBpp0079090</v>
      </c>
      <c r="BW233" s="2" t="str">
        <f>HYPERLINK("http://flybase.org/reports/FBgn0031913#alliance_summary_container","4E-98")</f>
        <v>4E-98</v>
      </c>
      <c r="BX233" s="2">
        <v>294</v>
      </c>
      <c r="BY233" s="2">
        <v>48</v>
      </c>
      <c r="BZ233" s="2">
        <v>69</v>
      </c>
      <c r="CA233" s="2">
        <v>92</v>
      </c>
      <c r="CB233" s="2" t="str">
        <f>HYPERLINK(".\links\CDD\AGAP009380-PA-CDD.txt","SEC14, Sec14p-like lipid-binding domain")</f>
        <v>SEC14, Sec14p-like lipid-binding domain</v>
      </c>
      <c r="CC233" s="13">
        <v>1.9999999999999999E-34</v>
      </c>
      <c r="CD233" s="2">
        <v>100</v>
      </c>
      <c r="CE233" s="2" t="s">
        <v>2800</v>
      </c>
      <c r="CF233" s="2" t="s">
        <v>2801</v>
      </c>
      <c r="CG233" s="2" t="str">
        <f>HYPERLINK(".\links\KOG\AGAP009380-PA-KOG.txt","Phosphatidylinositol transfer protein SEC14 and related proteins")</f>
        <v>Phosphatidylinositol transfer protein SEC14 and related proteins</v>
      </c>
      <c r="CH233" s="13">
        <v>4.9999999999999996E-40</v>
      </c>
      <c r="CI233" s="2">
        <v>91.2</v>
      </c>
      <c r="CJ233" s="2" t="s">
        <v>2802</v>
      </c>
      <c r="CK233" s="2" t="s">
        <v>232</v>
      </c>
      <c r="CL233" s="2" t="str">
        <f>HYPERLINK(".\links\PFAM\AGAP009380-PA-PFAM.txt","CRAL_TRIO, CRAL/TRIO domain")</f>
        <v>CRAL_TRIO, CRAL/TRIO domain</v>
      </c>
      <c r="CM233" s="13">
        <v>6.9999999999999997E-31</v>
      </c>
      <c r="CN233" s="2">
        <v>100</v>
      </c>
      <c r="CO233" s="2" t="s">
        <v>2803</v>
      </c>
      <c r="CP233" s="2" t="str">
        <f>HYPERLINK(".\links\SMART\AGAP009380-PA-SMART.txt","SEC14, Domain in homologues of a S")</f>
        <v>SEC14, Domain in homologues of a S</v>
      </c>
      <c r="CQ233" s="13">
        <v>8.0000000000000003E-25</v>
      </c>
      <c r="CR233" s="2">
        <v>94.3</v>
      </c>
      <c r="CS233" s="2" t="s">
        <v>2445</v>
      </c>
      <c r="CT233" s="2" t="s">
        <v>2798</v>
      </c>
      <c r="CU233" s="2" t="s">
        <v>2798</v>
      </c>
      <c r="CV233" s="2" t="s">
        <v>2798</v>
      </c>
      <c r="CW233" s="2" t="str">
        <f>HYPERLINK(".\links\pep\AGAP009380-PA-pep.txt","AGAP009380-PA")</f>
        <v>AGAP009380-PA</v>
      </c>
      <c r="CX233" s="2" t="s">
        <v>88</v>
      </c>
      <c r="CY233" s="2">
        <v>285</v>
      </c>
      <c r="CZ233" s="2" t="s">
        <v>106</v>
      </c>
      <c r="DA233" s="2" t="s">
        <v>2804</v>
      </c>
      <c r="DB233" s="2">
        <v>0</v>
      </c>
      <c r="DC233" s="2">
        <v>1</v>
      </c>
      <c r="DD233" s="2" t="str">
        <f>HYPERLINK("https://www.kegg.jp/kegg-bin/search_pathway_text?map=aga&amp;keyword=AGAP009380&amp;mode=1&amp;viewImage=true","AGAP009380")</f>
        <v>AGAP009380</v>
      </c>
      <c r="DE233" s="2" t="s">
        <v>2794</v>
      </c>
      <c r="DF233" s="2" t="s">
        <v>2795</v>
      </c>
      <c r="DG233" s="2" t="s">
        <v>87</v>
      </c>
      <c r="DH233" s="2" t="str">
        <f>HYPERLINK("https://vectorbase.org/vectorbase/app/record/gene/AGAP009380","AGAP009380-RA")</f>
        <v>AGAP009380-RA</v>
      </c>
      <c r="DI233" s="2" t="s">
        <v>108</v>
      </c>
      <c r="DJ233" s="2">
        <v>1100</v>
      </c>
      <c r="DK233" s="2" t="str">
        <f>HYPERLINK(".\links\netoglyc\AGAP009380-PA-netoglyc.txt","0")</f>
        <v>0</v>
      </c>
      <c r="DL233" s="2">
        <v>8.8000000000000007</v>
      </c>
      <c r="DM233" s="2">
        <v>5.3</v>
      </c>
      <c r="DN233" s="2">
        <v>5.3</v>
      </c>
      <c r="DO233" s="2" t="s">
        <v>97</v>
      </c>
      <c r="DP233" s="2" t="s">
        <v>94</v>
      </c>
      <c r="DQ233" s="2" t="str">
        <f>HYPERLINK(".\links\Sigp\AGAP009380-PA-SigP.txt","CYT")</f>
        <v>CYT</v>
      </c>
      <c r="DR233" s="2" t="s">
        <v>94</v>
      </c>
      <c r="DS233" s="2">
        <v>32.890999999999998</v>
      </c>
      <c r="DT233" s="2">
        <v>8.3000000000000007</v>
      </c>
      <c r="DU233" s="2" t="s">
        <v>94</v>
      </c>
      <c r="DV233" s="2" t="s">
        <v>94</v>
      </c>
      <c r="DW233" s="2" t="s">
        <v>1776</v>
      </c>
      <c r="DX233" s="2">
        <v>285</v>
      </c>
      <c r="DY233" s="8">
        <v>0</v>
      </c>
      <c r="DZ233" s="2" t="s">
        <v>94</v>
      </c>
      <c r="EA233" s="2" t="s">
        <v>94</v>
      </c>
      <c r="EB233" s="2" t="s">
        <v>94</v>
      </c>
      <c r="EC233" s="2" t="str">
        <f>HYPERLINK(".\links\gpi\AGAP009380-PA-gpi.txt","N")</f>
        <v>N</v>
      </c>
      <c r="ED233" s="2">
        <v>0.27</v>
      </c>
      <c r="EF233" s="2">
        <v>3</v>
      </c>
      <c r="EG233" s="2" t="s">
        <v>94</v>
      </c>
      <c r="EH233" s="2" t="s">
        <v>94</v>
      </c>
      <c r="EI233" s="2">
        <v>8.7719298245614006</v>
      </c>
      <c r="EJ233" s="2">
        <v>5.2631578947368398</v>
      </c>
      <c r="EK233" s="2">
        <v>5.2631578947368398</v>
      </c>
      <c r="EL233" s="2">
        <v>10.526315789473699</v>
      </c>
      <c r="EM233" s="2" t="s">
        <v>94</v>
      </c>
      <c r="EN233" s="2">
        <v>2</v>
      </c>
      <c r="EO233" s="2">
        <v>2</v>
      </c>
      <c r="EP233" s="2" t="s">
        <v>94</v>
      </c>
      <c r="EQ233" s="2" t="s">
        <v>94</v>
      </c>
      <c r="ER233" s="2" t="s">
        <v>94</v>
      </c>
      <c r="ES233" s="2" t="s">
        <v>94</v>
      </c>
      <c r="ET233" s="2" t="str">
        <f>HYPERLINK(".\links\REFSEQ-INVERTEBRATE\AGAP009380-PA-REFSEQ-INVERTEBRATE.txt","AGAP009380-PA")</f>
        <v>AGAP009380-PA</v>
      </c>
      <c r="EU233" s="2" t="str">
        <f>HYPERLINK("http://www.ncbi.nlm.nih.gov/sutils/blink.cgi?pid=XP_310051.2","0.0")</f>
        <v>0.0</v>
      </c>
      <c r="EV233" s="2" t="str">
        <f>HYPERLINK("http://www.ncbi.nlm.nih.gov/protein/XP_310051.2","XP_310051.2")</f>
        <v>XP_310051.2</v>
      </c>
      <c r="EW233" s="2">
        <v>100</v>
      </c>
      <c r="EX233" s="2">
        <v>100</v>
      </c>
      <c r="EY233" s="2">
        <v>100</v>
      </c>
      <c r="EZ233" s="2" t="s">
        <v>98</v>
      </c>
    </row>
    <row r="234" spans="1:156" x14ac:dyDescent="0.25">
      <c r="A234" s="2" t="s">
        <v>2805</v>
      </c>
      <c r="B234" s="2">
        <v>-1.22377646377024</v>
      </c>
      <c r="C234" s="2">
        <v>0.42816047782013289</v>
      </c>
      <c r="D234" s="2">
        <v>3.8277788471103</v>
      </c>
      <c r="E234" s="2">
        <v>25.3043458467588</v>
      </c>
      <c r="F234" s="2">
        <v>4.8960439175773099E-7</v>
      </c>
      <c r="G234" s="2">
        <v>1.3229110665293899E-4</v>
      </c>
      <c r="H234" s="2" t="s">
        <v>2806</v>
      </c>
      <c r="I234" s="2" t="s">
        <v>87</v>
      </c>
      <c r="J234" s="2" t="str">
        <f>HYPERLINK("https://vectorbase.org/vectorbase/app/record/gene/AGAP011563","AGAP011563-RA")</f>
        <v>AGAP011563-RA</v>
      </c>
      <c r="K234" s="2" t="str">
        <f>HYPERLINK(".\links\pep\AGAP011563-PA-pep.txt","AGAP011563-PA")</f>
        <v>AGAP011563-PA</v>
      </c>
      <c r="L234" s="8" t="s">
        <v>88</v>
      </c>
      <c r="M234" s="2">
        <v>222</v>
      </c>
      <c r="N234" s="2">
        <v>0</v>
      </c>
      <c r="O234" s="2">
        <v>1</v>
      </c>
      <c r="P234" s="2" t="s">
        <v>2807</v>
      </c>
      <c r="Q234" s="2" t="s">
        <v>2808</v>
      </c>
      <c r="R234" s="2" t="s">
        <v>253</v>
      </c>
      <c r="S234" s="2" t="str">
        <f>HYPERLINK(".\links\REFSEQ-INVERTEBRATE\AGAP011563-PA-REFSEQ-INVERTEBRATE.txt","REFSEQ-INVERTEBRATE")</f>
        <v>REFSEQ-INVERTEBRATE</v>
      </c>
      <c r="T234" s="2">
        <v>3.0000000000000002E-77</v>
      </c>
      <c r="U234" s="2">
        <v>93.2</v>
      </c>
      <c r="V234" s="2" t="s">
        <v>2809</v>
      </c>
      <c r="W234" s="10" t="s">
        <v>2810</v>
      </c>
      <c r="X234" s="2" t="s">
        <v>253</v>
      </c>
      <c r="Y234" s="2" t="str">
        <f>HYPERLINK(".\links\ARTHORPODA\AGAP011563-PA-ARTHORPODA.txt","ARTHORPODA")</f>
        <v>ARTHORPODA</v>
      </c>
      <c r="Z234" s="2">
        <v>0</v>
      </c>
      <c r="AA234" s="2">
        <v>1</v>
      </c>
      <c r="AB234" s="8" t="s">
        <v>94</v>
      </c>
      <c r="AC234" s="8" t="str">
        <f>HYPERLINK(".\links\Sigp\AGAP011563-PA-SigP.txt","BL")</f>
        <v>BL</v>
      </c>
      <c r="AD234" s="2" t="s">
        <v>679</v>
      </c>
      <c r="AE234" s="2">
        <v>25.088999999999999</v>
      </c>
      <c r="AF234" s="2">
        <v>7.07</v>
      </c>
      <c r="AG234" s="2">
        <v>20.672000000000001</v>
      </c>
      <c r="AH234" s="2">
        <v>7.21</v>
      </c>
      <c r="AI234" s="2" t="s">
        <v>2811</v>
      </c>
      <c r="AJ234" s="8">
        <v>0</v>
      </c>
      <c r="AK234" s="2" t="s">
        <v>94</v>
      </c>
      <c r="AL234" s="2" t="s">
        <v>94</v>
      </c>
      <c r="AM234" s="2" t="s">
        <v>94</v>
      </c>
      <c r="AN234" s="8" t="str">
        <f>HYPERLINK(".\links\gpi\AGAP011563-PA-gpi.txt","N")</f>
        <v>N</v>
      </c>
      <c r="AO234" s="8" t="str">
        <f>HYPERLINK(".\links\netoglyc\AGAP011563-PA-netoglyc.txt","8")</f>
        <v>8</v>
      </c>
      <c r="AP234" s="8">
        <v>18</v>
      </c>
      <c r="AQ234" s="2">
        <v>7.7</v>
      </c>
      <c r="AR234" s="2">
        <v>3.6</v>
      </c>
      <c r="AS234" s="2" t="s">
        <v>97</v>
      </c>
      <c r="AT234" s="2" t="str">
        <f>HYPERLINK(".\links\NR-LIGHT\AGAP011563-PA-NR-LIGHT.txt","AGAP011563-PA, partial")</f>
        <v>AGAP011563-PA, partial</v>
      </c>
      <c r="AU234" s="2" t="str">
        <f>HYPERLINK("http://www.ncbi.nlm.nih.gov/sutils/blink.cgi?pid=XP_309944.3","3E-077")</f>
        <v>3E-077</v>
      </c>
      <c r="AV234" s="2" t="str">
        <f>HYPERLINK("http://www.ncbi.nlm.nih.gov/protein/XP_309944.3","XP_309944.3")</f>
        <v>XP_309944.3</v>
      </c>
      <c r="AW234" s="2">
        <v>100</v>
      </c>
      <c r="AX234" s="2">
        <v>100</v>
      </c>
      <c r="AY234" s="2">
        <v>93</v>
      </c>
      <c r="AZ234" s="2" t="s">
        <v>98</v>
      </c>
      <c r="BA234" s="2" t="str">
        <f>HYPERLINK(".\links\REFSEQ-INVERTEBRATE\AGAP011563-PA-REFSEQ-INVERTEBRATE.txt","AGAP011563-PA, partial")</f>
        <v>AGAP011563-PA, partial</v>
      </c>
      <c r="BB234" s="2" t="str">
        <f>HYPERLINK("http://www.ncbi.nlm.nih.gov/sutils/blink.cgi?pid=XP_309944.3","3E-077")</f>
        <v>3E-077</v>
      </c>
      <c r="BC234" s="2" t="str">
        <f>HYPERLINK("http://www.ncbi.nlm.nih.gov/protein/XP_309944.3","XP_309944.3")</f>
        <v>XP_309944.3</v>
      </c>
      <c r="BD234" s="2">
        <v>100</v>
      </c>
      <c r="BE234" s="2">
        <v>100</v>
      </c>
      <c r="BF234" s="2">
        <v>93</v>
      </c>
      <c r="BG234" s="2" t="s">
        <v>98</v>
      </c>
      <c r="BH234" s="2" t="str">
        <f>HYPERLINK(".\links\REFSEQ-PROTOZOA\AGAP011563-PA-REFSEQ-PROTOZOA.txt","hypothetical protein PTSG_02396")</f>
        <v>hypothetical protein PTSG_02396</v>
      </c>
      <c r="BI234" s="2" t="str">
        <f>HYPERLINK("http://www.ncbi.nlm.nih.gov/sutils/blink.cgi?pid=XP_004996886.1","4E-033")</f>
        <v>4E-033</v>
      </c>
      <c r="BJ234" s="2" t="str">
        <f>HYPERLINK("http://www.ncbi.nlm.nih.gov/protein/XP_004996886.1","XP_004996886.1")</f>
        <v>XP_004996886.1</v>
      </c>
      <c r="BK234" s="2">
        <v>58</v>
      </c>
      <c r="BL234" s="2">
        <v>71</v>
      </c>
      <c r="BM234" s="2">
        <v>100</v>
      </c>
      <c r="BN234" s="2" t="s">
        <v>117</v>
      </c>
      <c r="BO234" s="2" t="str">
        <f>HYPERLINK(".\links\SWISSP\AGAP011563-PA-SWISSP.txt","Protein yippee-like CG15309")</f>
        <v>Protein yippee-like CG15309</v>
      </c>
      <c r="BP234" s="2" t="str">
        <f>HYPERLINK("http://www.uniprot.org/uniprot/Q9W2X7","8E-061")</f>
        <v>8E-061</v>
      </c>
      <c r="BQ234" s="2" t="str">
        <f>HYPERLINK("http://www.uniprot.org/uniprot/Q9W2X7#expression","Q9W2X7")</f>
        <v>Q9W2X7</v>
      </c>
      <c r="BR234" s="2">
        <v>94</v>
      </c>
      <c r="BS234" s="2">
        <v>97</v>
      </c>
      <c r="BT234" s="2">
        <v>100</v>
      </c>
      <c r="BU234" s="2" t="s">
        <v>100</v>
      </c>
      <c r="BV234" s="2" t="str">
        <f>HYPERLINK(".\links\FLYBASE\AGAP011563-PA-FLYBASE.txt","FBpp0305121")</f>
        <v>FBpp0305121</v>
      </c>
      <c r="BW234" s="2" t="str">
        <f>HYPERLINK("http://flybase.org/reports/FBgn0030183#alliance_summary_container","2E-79")</f>
        <v>2E-79</v>
      </c>
      <c r="BX234" s="2">
        <v>114</v>
      </c>
      <c r="BY234" s="2">
        <v>94</v>
      </c>
      <c r="BZ234" s="2">
        <v>97</v>
      </c>
      <c r="CA234" s="2">
        <v>100</v>
      </c>
      <c r="CB234" s="2" t="str">
        <f>HYPERLINK(".\links\CDD\AGAP011563-PA-CDD.txt","Yippee-Mis18, Yippee zinc-binding/DNA-binding /Mis18, centromere assembly")</f>
        <v>Yippee-Mis18, Yippee zinc-binding/DNA-binding /Mis18, centromere assembly</v>
      </c>
      <c r="CC234" s="13">
        <v>1.2E-2</v>
      </c>
      <c r="CD234" s="2">
        <v>94.9</v>
      </c>
      <c r="CE234" s="2" t="s">
        <v>2812</v>
      </c>
      <c r="CF234" s="2" t="s">
        <v>2813</v>
      </c>
      <c r="CG234" s="2" t="str">
        <f>HYPERLINK(".\links\KOG\AGAP011563-PA-KOG.txt","Predicted Yippee-type zinc-binding protein")</f>
        <v>Predicted Yippee-type zinc-binding protein</v>
      </c>
      <c r="CH234" s="13">
        <v>2E-55</v>
      </c>
      <c r="CI234" s="2">
        <v>93.4</v>
      </c>
      <c r="CJ234" s="2" t="s">
        <v>2814</v>
      </c>
      <c r="CK234" s="2" t="s">
        <v>122</v>
      </c>
      <c r="CL234" s="2" t="str">
        <f>HYPERLINK(".\links\PFAM\AGAP011563-PA-PFAM.txt","Yippee-Mis18, Yippee zinc-binding/DNA-binding /Mis18, centromere assembly")</f>
        <v>Yippee-Mis18, Yippee zinc-binding/DNA-binding /Mis18, centromere assembly</v>
      </c>
      <c r="CM234" s="13">
        <v>3.0000000000000001E-3</v>
      </c>
      <c r="CN234" s="2">
        <v>94.9</v>
      </c>
      <c r="CO234" s="2" t="s">
        <v>2812</v>
      </c>
      <c r="CP234" s="2" t="str">
        <f>HYPERLINK(".\links\SMART\AGAP011563-PA-SMART.txt","CASc, Caspase, interleukin-1 beta converting enzyme (ICE) homologues")</f>
        <v>CASc, Caspase, interleukin-1 beta converting enzyme (ICE) homologues</v>
      </c>
      <c r="CQ234" s="13">
        <v>2.1</v>
      </c>
      <c r="CR234" s="2">
        <v>20.3</v>
      </c>
      <c r="CS234" s="2" t="s">
        <v>2815</v>
      </c>
      <c r="CT234" s="2" t="s">
        <v>2809</v>
      </c>
      <c r="CU234" s="2" t="s">
        <v>2809</v>
      </c>
      <c r="CV234" s="2" t="s">
        <v>2809</v>
      </c>
      <c r="CW234" s="2" t="str">
        <f>HYPERLINK(".\links\pep\AGAP011563-PA-pep.txt","AGAP011563-PA")</f>
        <v>AGAP011563-PA</v>
      </c>
      <c r="CX234" s="2" t="s">
        <v>88</v>
      </c>
      <c r="CY234" s="2">
        <v>222</v>
      </c>
      <c r="CZ234" s="2" t="s">
        <v>106</v>
      </c>
      <c r="DA234" s="2" t="s">
        <v>2816</v>
      </c>
      <c r="DB234" s="2">
        <v>0</v>
      </c>
      <c r="DC234" s="2">
        <v>1</v>
      </c>
      <c r="DD234" s="2" t="str">
        <f>HYPERLINK("https://www.kegg.jp/kegg-bin/search_pathway_text?map=aga&amp;keyword=AGAP011563&amp;mode=1&amp;viewImage=true","AGAP011563")</f>
        <v>AGAP011563</v>
      </c>
      <c r="DE234" s="2" t="s">
        <v>2805</v>
      </c>
      <c r="DF234" s="2" t="s">
        <v>2806</v>
      </c>
      <c r="DG234" s="2" t="s">
        <v>87</v>
      </c>
      <c r="DH234" s="2" t="str">
        <f>HYPERLINK("https://vectorbase.org/vectorbase/app/record/gene/AGAP011563","AGAP011563-RA")</f>
        <v>AGAP011563-RA</v>
      </c>
      <c r="DI234" s="2" t="s">
        <v>108</v>
      </c>
      <c r="DJ234" s="2">
        <v>6183</v>
      </c>
      <c r="DK234" s="2" t="str">
        <f>HYPERLINK(".\links\netoglyc\AGAP011563-PA-netoglyc.txt","8")</f>
        <v>8</v>
      </c>
      <c r="DL234" s="2">
        <v>18</v>
      </c>
      <c r="DM234" s="2">
        <v>7.7</v>
      </c>
      <c r="DN234" s="2">
        <v>3.6</v>
      </c>
      <c r="DO234" s="2" t="s">
        <v>97</v>
      </c>
      <c r="DP234" s="2" t="s">
        <v>94</v>
      </c>
      <c r="DQ234" s="2" t="str">
        <f>HYPERLINK(".\links\Sigp\AGAP011563-PA-SigP.txt","BL")</f>
        <v>BL</v>
      </c>
      <c r="DR234" s="2" t="s">
        <v>679</v>
      </c>
      <c r="DS234" s="2">
        <v>25.088999999999999</v>
      </c>
      <c r="DT234" s="2">
        <v>7.07</v>
      </c>
      <c r="DU234" s="2">
        <v>20.672000000000001</v>
      </c>
      <c r="DV234" s="2">
        <v>7.21</v>
      </c>
      <c r="DW234" s="2" t="s">
        <v>2811</v>
      </c>
      <c r="DX234" s="2">
        <v>222</v>
      </c>
      <c r="DY234" s="8">
        <v>0</v>
      </c>
      <c r="DZ234" s="2" t="s">
        <v>94</v>
      </c>
      <c r="EA234" s="2" t="s">
        <v>94</v>
      </c>
      <c r="EB234" s="2" t="s">
        <v>94</v>
      </c>
      <c r="EC234" s="2" t="str">
        <f>HYPERLINK(".\links\gpi\AGAP011563-PA-gpi.txt","N")</f>
        <v>N</v>
      </c>
      <c r="ED234" s="2">
        <v>0.27</v>
      </c>
      <c r="EE234" s="2" t="s">
        <v>2817</v>
      </c>
      <c r="EF234" s="2">
        <v>7</v>
      </c>
      <c r="EG234" s="2" t="s">
        <v>94</v>
      </c>
      <c r="EH234" s="2" t="s">
        <v>94</v>
      </c>
      <c r="EI234" s="2">
        <v>18.018018018018001</v>
      </c>
      <c r="EJ234" s="2">
        <v>3.6036036036036001</v>
      </c>
      <c r="EK234" s="2">
        <v>7.6576576576576603</v>
      </c>
      <c r="EL234" s="2">
        <v>11.2612612612613</v>
      </c>
      <c r="EM234" s="2" t="s">
        <v>94</v>
      </c>
      <c r="EN234" s="2" t="s">
        <v>94</v>
      </c>
      <c r="EO234" s="2" t="s">
        <v>94</v>
      </c>
      <c r="EP234" s="2" t="s">
        <v>94</v>
      </c>
      <c r="EQ234" s="2" t="s">
        <v>94</v>
      </c>
      <c r="ER234" s="2" t="s">
        <v>94</v>
      </c>
      <c r="ES234" s="2" t="s">
        <v>486</v>
      </c>
      <c r="ET234" s="2" t="str">
        <f>HYPERLINK(".\links\REFSEQ-INVERTEBRATE\AGAP011563-PA-REFSEQ-INVERTEBRATE.txt","protein yippee-like CG15309 isoform X1")</f>
        <v>protein yippee-like CG15309 isoform X1</v>
      </c>
      <c r="EU234" s="2" t="str">
        <f>HYPERLINK("http://www.ncbi.nlm.nih.gov/sutils/blink.cgi?pid=XP_035895898.1","1E-100")</f>
        <v>1E-100</v>
      </c>
      <c r="EV234" s="2" t="str">
        <f>HYPERLINK("http://www.ncbi.nlm.nih.gov/protein/XP_035895898.1","XP_035895898.1")</f>
        <v>XP_035895898.1</v>
      </c>
      <c r="EW234" s="2">
        <v>100</v>
      </c>
      <c r="EX234" s="2">
        <v>100</v>
      </c>
      <c r="EY234" s="2">
        <v>93</v>
      </c>
      <c r="EZ234" s="2" t="s">
        <v>184</v>
      </c>
    </row>
    <row r="235" spans="1:156" x14ac:dyDescent="0.25">
      <c r="A235" s="2" t="s">
        <v>2818</v>
      </c>
      <c r="B235" s="2">
        <v>-1.30398213421279</v>
      </c>
      <c r="C235" s="2">
        <v>0.40500675223469884</v>
      </c>
      <c r="D235" s="2">
        <v>0.55827755409966895</v>
      </c>
      <c r="E235" s="2">
        <v>10.539336381301499</v>
      </c>
      <c r="F235" s="2">
        <v>1.1686037212817299E-3</v>
      </c>
      <c r="G235" s="2">
        <v>4.72285700519713E-2</v>
      </c>
      <c r="H235" s="2" t="s">
        <v>2819</v>
      </c>
      <c r="I235" s="2" t="s">
        <v>87</v>
      </c>
      <c r="J235" s="2" t="str">
        <f>HYPERLINK("https://vectorbase.org/vectorbase/app/record/gene/AGAP012611","AGAP012611-RA")</f>
        <v>AGAP012611-RA</v>
      </c>
      <c r="K235" s="2" t="str">
        <f>HYPERLINK(".\links\pep\AGAP012611-PA-pep.txt","AGAP012611-PA")</f>
        <v>AGAP012611-PA</v>
      </c>
      <c r="L235" s="8" t="s">
        <v>143</v>
      </c>
      <c r="M235" s="2">
        <v>288</v>
      </c>
      <c r="N235" s="2">
        <v>0</v>
      </c>
      <c r="O235" s="2">
        <v>0</v>
      </c>
      <c r="P235" s="2" t="s">
        <v>2820</v>
      </c>
      <c r="Q235" s="2" t="s">
        <v>2820</v>
      </c>
      <c r="R235" s="2" t="s">
        <v>2169</v>
      </c>
      <c r="S235" s="2" t="str">
        <f>HYPERLINK(".\links\REFSEQ-INVERTEBRATE\AGAP012611-PA-REFSEQ-INVERTEBRATE.txt","REFSEQ-INVERTEBRATE")</f>
        <v>REFSEQ-INVERTEBRATE</v>
      </c>
      <c r="T235" s="2">
        <v>0</v>
      </c>
      <c r="U235" s="2">
        <v>91.4</v>
      </c>
      <c r="V235" s="2" t="s">
        <v>2821</v>
      </c>
      <c r="W235" s="10" t="s">
        <v>133</v>
      </c>
      <c r="X235" s="2" t="s">
        <v>2169</v>
      </c>
      <c r="Y235" s="2" t="str">
        <f>HYPERLINK(".\links\COG\AGAP012611-PA-COG.txt","COG")</f>
        <v>COG</v>
      </c>
      <c r="Z235" s="13">
        <v>2.0000000000000001E-37</v>
      </c>
      <c r="AA235" s="2">
        <v>65.7</v>
      </c>
      <c r="AB235" s="8" t="s">
        <v>94</v>
      </c>
      <c r="AC235" s="8" t="str">
        <f>HYPERLINK(".\links\Sigp\AGAP012611-PA-SigP.txt","CYT")</f>
        <v>CYT</v>
      </c>
      <c r="AD235" s="2" t="s">
        <v>94</v>
      </c>
      <c r="AE235" s="2">
        <v>32.457000000000001</v>
      </c>
      <c r="AF235" s="2">
        <v>6.64</v>
      </c>
      <c r="AG235" s="2" t="s">
        <v>94</v>
      </c>
      <c r="AH235" s="2" t="s">
        <v>94</v>
      </c>
      <c r="AI235" s="2" t="s">
        <v>995</v>
      </c>
      <c r="AJ235" s="8">
        <v>0</v>
      </c>
      <c r="AK235" s="2" t="s">
        <v>94</v>
      </c>
      <c r="AL235" s="2" t="s">
        <v>94</v>
      </c>
      <c r="AM235" s="2" t="s">
        <v>94</v>
      </c>
      <c r="AN235" s="8" t="str">
        <f>HYPERLINK(".\links\gpi\AGAP012611-PA-gpi.txt","N")</f>
        <v>N</v>
      </c>
      <c r="AO235" s="8" t="str">
        <f>HYPERLINK(".\links\netoglyc\AGAP012611-PA-netoglyc.txt","1")</f>
        <v>1</v>
      </c>
      <c r="AP235" s="8">
        <v>13.2</v>
      </c>
      <c r="AQ235" s="2">
        <v>5.2</v>
      </c>
      <c r="AR235" s="2">
        <v>3.5</v>
      </c>
      <c r="AS235" s="2" t="s">
        <v>97</v>
      </c>
      <c r="AT235" s="2" t="str">
        <f>HYPERLINK(".\links\NR-LIGHT\AGAP012611-PA-NR-LIGHT.txt","AGAP012611-PA, partial")</f>
        <v>AGAP012611-PA, partial</v>
      </c>
      <c r="AU235" s="2" t="str">
        <f>HYPERLINK("http://www.ncbi.nlm.nih.gov/sutils/blink.cgi?pid=XP_307038.2","1E-162")</f>
        <v>1E-162</v>
      </c>
      <c r="AV235" s="2" t="str">
        <f>HYPERLINK("http://www.ncbi.nlm.nih.gov/protein/XP_307038.2","XP_307038.2")</f>
        <v>XP_307038.2</v>
      </c>
      <c r="AW235" s="2">
        <v>100</v>
      </c>
      <c r="AX235" s="2">
        <v>100</v>
      </c>
      <c r="AY235" s="2">
        <v>100</v>
      </c>
      <c r="AZ235" s="2" t="s">
        <v>98</v>
      </c>
      <c r="BA235" s="2" t="str">
        <f>HYPERLINK(".\links\REFSEQ-INVERTEBRATE\AGAP012611-PA-REFSEQ-INVERTEBRATE.txt","AGAP012611-PA, partial")</f>
        <v>AGAP012611-PA, partial</v>
      </c>
      <c r="BB235" s="2" t="str">
        <f>HYPERLINK("http://www.ncbi.nlm.nih.gov/sutils/blink.cgi?pid=XP_307038.2","1E-162")</f>
        <v>1E-162</v>
      </c>
      <c r="BC235" s="2" t="str">
        <f>HYPERLINK("http://www.ncbi.nlm.nih.gov/protein/XP_307038.2","XP_307038.2")</f>
        <v>XP_307038.2</v>
      </c>
      <c r="BD235" s="2">
        <v>100</v>
      </c>
      <c r="BE235" s="2">
        <v>100</v>
      </c>
      <c r="BF235" s="2">
        <v>100</v>
      </c>
      <c r="BG235" s="2" t="s">
        <v>98</v>
      </c>
      <c r="BH235" s="2" t="str">
        <f>HYPERLINK(".\links\REFSEQ-PROTOZOA\AGAP012611-PA-REFSEQ-PROTOZOA.txt","hypothetical protein")</f>
        <v>hypothetical protein</v>
      </c>
      <c r="BI235" s="2" t="str">
        <f>HYPERLINK("http://www.ncbi.nlm.nih.gov/sutils/blink.cgi?pid=XP_001742447.1","4E-056")</f>
        <v>4E-056</v>
      </c>
      <c r="BJ235" s="2" t="str">
        <f>HYPERLINK("http://www.ncbi.nlm.nih.gov/protein/XP_001742447.1","XP_001742447.1")</f>
        <v>XP_001742447.1</v>
      </c>
      <c r="BK235" s="2">
        <v>44</v>
      </c>
      <c r="BL235" s="2">
        <v>62</v>
      </c>
      <c r="BM235" s="2">
        <v>88</v>
      </c>
      <c r="BN235" s="2" t="s">
        <v>704</v>
      </c>
      <c r="BO235" s="2" t="str">
        <f>HYPERLINK(".\links\SWISSP\AGAP012611-PA-SWISSP.txt","Translation initiation factor eIF-2B subunit alpha")</f>
        <v>Translation initiation factor eIF-2B subunit alpha</v>
      </c>
      <c r="BP235" s="2" t="str">
        <f>HYPERLINK("http://www.uniprot.org/uniprot/Q5RAR0","1E-064")</f>
        <v>1E-064</v>
      </c>
      <c r="BQ235" s="2" t="str">
        <f>HYPERLINK("http://www.uniprot.org/uniprot/Q5RAR0#expression","Q5RAR0")</f>
        <v>Q5RAR0</v>
      </c>
      <c r="BR235" s="2">
        <v>46</v>
      </c>
      <c r="BS235" s="2">
        <v>64</v>
      </c>
      <c r="BT235" s="2">
        <v>91</v>
      </c>
      <c r="BU235" s="2" t="s">
        <v>905</v>
      </c>
      <c r="BV235" s="2" t="str">
        <f>HYPERLINK(".\links\FLYBASE\AGAP012611-PA-FLYBASE.txt","FBpp0084874")</f>
        <v>FBpp0084874</v>
      </c>
      <c r="BW235" s="2" t="str">
        <f>HYPERLINK("http://flybase.org/reports/FBgn0039726#alliance_summary_container","1E-137")</f>
        <v>1E-137</v>
      </c>
      <c r="BX235" s="2">
        <v>306</v>
      </c>
      <c r="BY235" s="2">
        <v>66</v>
      </c>
      <c r="BZ235" s="2">
        <v>80</v>
      </c>
      <c r="CA235" s="2">
        <v>91</v>
      </c>
      <c r="CB235" s="2" t="str">
        <f>HYPERLINK(".\links\CDD\AGAP012611-PA-CDD.txt","IF-2B, Initiation factor 2 subunit family")</f>
        <v>IF-2B, Initiation factor 2 subunit family</v>
      </c>
      <c r="CC235" s="13">
        <v>7.0000000000000006E-64</v>
      </c>
      <c r="CD235" s="2">
        <v>95.4</v>
      </c>
      <c r="CE235" s="2" t="s">
        <v>2822</v>
      </c>
      <c r="CF235" s="2" t="s">
        <v>2823</v>
      </c>
      <c r="CG235" s="2" t="str">
        <f>HYPERLINK(".\links\KOG\AGAP012611-PA-KOG.txt","alpha subunit (eIF-2Balpha/GCN3)")</f>
        <v>alpha subunit (eIF-2Balpha/GCN3)</v>
      </c>
      <c r="CH235" s="13">
        <v>9.9999999999999993E-103</v>
      </c>
      <c r="CI235" s="2">
        <v>90.7</v>
      </c>
      <c r="CJ235" s="2" t="s">
        <v>2824</v>
      </c>
      <c r="CK235" s="2" t="s">
        <v>613</v>
      </c>
      <c r="CL235" s="2" t="str">
        <f>HYPERLINK(".\links\PFAM\AGAP012611-PA-PFAM.txt","IF-2B, Initiation factor 2 subunit family")</f>
        <v>IF-2B, Initiation factor 2 subunit family</v>
      </c>
      <c r="CM235" s="13">
        <v>9.9999999999999997E-65</v>
      </c>
      <c r="CN235" s="2">
        <v>95.4</v>
      </c>
      <c r="CO235" s="2" t="s">
        <v>2822</v>
      </c>
      <c r="CP235" s="2" t="str">
        <f>HYPERLINK(".\links\SMART\AGAP012611-PA-SMART.txt","VWD, von Willebrand factor (vWF) type D domain")</f>
        <v>VWD, von Willebrand factor (vWF) type D domain</v>
      </c>
      <c r="CQ235" s="13">
        <v>1.3</v>
      </c>
      <c r="CR235" s="2">
        <v>24.5</v>
      </c>
      <c r="CS235" s="2" t="s">
        <v>2825</v>
      </c>
      <c r="CT235" s="2" t="s">
        <v>2821</v>
      </c>
      <c r="CU235" s="2" t="s">
        <v>2821</v>
      </c>
      <c r="CV235" s="2" t="s">
        <v>2821</v>
      </c>
      <c r="CW235" s="2" t="str">
        <f>HYPERLINK(".\links\pep\AGAP012611-PA-pep.txt","AGAP012611-PA")</f>
        <v>AGAP012611-PA</v>
      </c>
      <c r="CX235" s="2" t="s">
        <v>143</v>
      </c>
      <c r="CY235" s="2">
        <v>288</v>
      </c>
      <c r="CZ235" s="2" t="s">
        <v>106</v>
      </c>
      <c r="DA235" s="2" t="s">
        <v>2826</v>
      </c>
      <c r="DB235" s="2">
        <v>0</v>
      </c>
      <c r="DC235" s="2">
        <v>0</v>
      </c>
      <c r="DD235" s="2" t="str">
        <f>HYPERLINK("https://www.kegg.jp/kegg-bin/search_pathway_text?map=aga&amp;keyword=AGAP012611&amp;mode=1&amp;viewImage=true","AGAP012611")</f>
        <v>AGAP012611</v>
      </c>
      <c r="DE235" s="2" t="s">
        <v>2818</v>
      </c>
      <c r="DF235" s="2" t="s">
        <v>2819</v>
      </c>
      <c r="DG235" s="2" t="s">
        <v>87</v>
      </c>
      <c r="DH235" s="2" t="str">
        <f>HYPERLINK("https://vectorbase.org/vectorbase/app/record/gene/AGAP012611","AGAP012611-RA")</f>
        <v>AGAP012611-RA</v>
      </c>
      <c r="DI235" s="2" t="s">
        <v>250</v>
      </c>
      <c r="DJ235" s="2">
        <v>864</v>
      </c>
      <c r="DK235" s="2" t="str">
        <f>HYPERLINK(".\links\netoglyc\AGAP012611-PA-netoglyc.txt","1")</f>
        <v>1</v>
      </c>
      <c r="DL235" s="2">
        <v>13.2</v>
      </c>
      <c r="DM235" s="2">
        <v>5.2</v>
      </c>
      <c r="DN235" s="2">
        <v>3.5</v>
      </c>
      <c r="DO235" s="2" t="s">
        <v>97</v>
      </c>
      <c r="DP235" s="2" t="s">
        <v>94</v>
      </c>
      <c r="DQ235" s="2" t="str">
        <f>HYPERLINK(".\links\Sigp\AGAP012611-PA-SigP.txt","CYT")</f>
        <v>CYT</v>
      </c>
      <c r="DR235" s="2" t="s">
        <v>94</v>
      </c>
      <c r="DS235" s="2">
        <v>32.457000000000001</v>
      </c>
      <c r="DT235" s="2">
        <v>6.64</v>
      </c>
      <c r="DU235" s="2" t="s">
        <v>94</v>
      </c>
      <c r="DV235" s="2" t="s">
        <v>94</v>
      </c>
      <c r="DW235" s="2" t="s">
        <v>995</v>
      </c>
      <c r="DX235" s="2">
        <v>288</v>
      </c>
      <c r="DY235" s="8">
        <v>0</v>
      </c>
      <c r="DZ235" s="2" t="s">
        <v>94</v>
      </c>
      <c r="EA235" s="2" t="s">
        <v>94</v>
      </c>
      <c r="EB235" s="2" t="s">
        <v>94</v>
      </c>
      <c r="EC235" s="2" t="str">
        <f>HYPERLINK(".\links\gpi\AGAP012611-PA-gpi.txt","N")</f>
        <v>N</v>
      </c>
      <c r="ED235" s="2">
        <v>0.26</v>
      </c>
      <c r="EF235" s="2">
        <v>5</v>
      </c>
      <c r="EG235" s="2" t="s">
        <v>94</v>
      </c>
      <c r="EH235" s="2" t="s">
        <v>94</v>
      </c>
      <c r="EI235" s="2">
        <v>13.1944444444444</v>
      </c>
      <c r="EJ235" s="2">
        <v>3.4722222222222201</v>
      </c>
      <c r="EK235" s="2">
        <v>5.2083333333333304</v>
      </c>
      <c r="EL235" s="2">
        <v>8.6805555555555607</v>
      </c>
      <c r="EM235" s="2">
        <v>1</v>
      </c>
      <c r="EN235" s="2" t="s">
        <v>94</v>
      </c>
      <c r="EO235" s="2">
        <v>2</v>
      </c>
      <c r="EP235" s="2" t="s">
        <v>94</v>
      </c>
      <c r="EQ235" s="2" t="s">
        <v>94</v>
      </c>
      <c r="ER235" s="2" t="s">
        <v>94</v>
      </c>
      <c r="ES235" s="2" t="s">
        <v>94</v>
      </c>
      <c r="ET235" s="2" t="str">
        <f>HYPERLINK(".\links\REFSEQ-INVERTEBRATE\AGAP012611-PA-REFSEQ-INVERTEBRATE.txt","AGAP012611-PA, partial")</f>
        <v>AGAP012611-PA, partial</v>
      </c>
      <c r="EU235" s="2" t="str">
        <f>HYPERLINK("http://www.ncbi.nlm.nih.gov/sutils/blink.cgi?pid=XP_307038.2","0.0")</f>
        <v>0.0</v>
      </c>
      <c r="EV235" s="2" t="str">
        <f>HYPERLINK("http://www.ncbi.nlm.nih.gov/protein/XP_307038.2","XP_307038.2")</f>
        <v>XP_307038.2</v>
      </c>
      <c r="EW235" s="2">
        <v>100</v>
      </c>
      <c r="EX235" s="2">
        <v>100</v>
      </c>
      <c r="EY235" s="2">
        <v>100</v>
      </c>
      <c r="EZ235" s="2" t="s">
        <v>98</v>
      </c>
    </row>
    <row r="236" spans="1:156" x14ac:dyDescent="0.25">
      <c r="A236" s="2" t="s">
        <v>2827</v>
      </c>
      <c r="B236" s="2">
        <v>-1.3059519611427599</v>
      </c>
      <c r="C236" s="2">
        <v>0.40445414147002851</v>
      </c>
      <c r="D236" s="2">
        <v>1.5816178732577899</v>
      </c>
      <c r="E236" s="2">
        <v>10.5647551522031</v>
      </c>
      <c r="F236" s="2">
        <v>1.1526430111362699E-3</v>
      </c>
      <c r="G236" s="2">
        <v>4.6783454748136201E-2</v>
      </c>
      <c r="H236" s="2" t="s">
        <v>2828</v>
      </c>
      <c r="I236" s="2" t="s">
        <v>87</v>
      </c>
      <c r="J236" s="2" t="str">
        <f>HYPERLINK("https://vectorbase.org/vectorbase/app/record/gene/AGAP001303","AGAP001303-RA")</f>
        <v>AGAP001303-RA</v>
      </c>
      <c r="K236" s="2" t="str">
        <f>HYPERLINK(".\links\pep\AGAP001303-PA-pep.txt","AGAP001303-PA")</f>
        <v>AGAP001303-PA</v>
      </c>
      <c r="L236" s="8" t="s">
        <v>88</v>
      </c>
      <c r="M236" s="2">
        <v>160</v>
      </c>
      <c r="N236" s="2">
        <v>0</v>
      </c>
      <c r="O236" s="2">
        <v>0</v>
      </c>
      <c r="P236" s="2" t="s">
        <v>2829</v>
      </c>
      <c r="Q236" s="2" t="s">
        <v>605</v>
      </c>
      <c r="R236" s="2" t="s">
        <v>606</v>
      </c>
      <c r="S236" s="2" t="str">
        <f>HYPERLINK(".\links\REFSEQ-INVERTEBRATE\AGAP001303-PA-REFSEQ-INVERTEBRATE.txt","REFSEQ-INVERTEBRATE")</f>
        <v>REFSEQ-INVERTEBRATE</v>
      </c>
      <c r="T236" s="2">
        <v>2.0000000000000001E-89</v>
      </c>
      <c r="V236" s="2" t="s">
        <v>2830</v>
      </c>
      <c r="W236" s="10" t="s">
        <v>605</v>
      </c>
      <c r="X236" s="2" t="s">
        <v>606</v>
      </c>
      <c r="Y236" s="2" t="str">
        <f>HYPERLINK(".\links\REFSEQ-INVERTEBRATE\AGAP001303-PA-REFSEQ-INVERTEBRATE.txt","REFSEQ-INVERTEBRATE")</f>
        <v>REFSEQ-INVERTEBRATE</v>
      </c>
      <c r="Z236" s="13">
        <v>0</v>
      </c>
      <c r="AA236" s="2">
        <v>100.6</v>
      </c>
      <c r="AB236" s="8" t="s">
        <v>94</v>
      </c>
      <c r="AC236" s="8" t="str">
        <f>HYPERLINK(".\links\Sigp\AGAP001303-PA-SigP.txt","SIG")</f>
        <v>SIG</v>
      </c>
      <c r="AD236" s="2" t="s">
        <v>679</v>
      </c>
      <c r="AE236" s="2">
        <v>17.78</v>
      </c>
      <c r="AF236" s="2">
        <v>11.25</v>
      </c>
      <c r="AG236" s="2">
        <v>14.193</v>
      </c>
      <c r="AH236" s="2">
        <v>11.13</v>
      </c>
      <c r="AI236" s="2" t="s">
        <v>2831</v>
      </c>
      <c r="AJ236" s="8" t="str">
        <f>HYPERLINK(".\links\tmhmm\AGAP001303-PA-tmhmm.txt","1")</f>
        <v>1</v>
      </c>
      <c r="AK236" s="2">
        <v>11.3</v>
      </c>
      <c r="AL236" s="2">
        <v>80.599999999999994</v>
      </c>
      <c r="AM236" s="2">
        <v>8.1</v>
      </c>
      <c r="AN236" s="8" t="str">
        <f>HYPERLINK(".\links\gpi\AGAP001303-PA-gpi.txt","N")</f>
        <v>N</v>
      </c>
      <c r="AO236" s="8" t="str">
        <f>HYPERLINK(".\links\netoglyc\AGAP001303-PA-netoglyc.txt","2")</f>
        <v>2</v>
      </c>
      <c r="AP236" s="8">
        <v>13.1</v>
      </c>
      <c r="AQ236" s="2">
        <v>9.4</v>
      </c>
      <c r="AR236" s="2">
        <v>5</v>
      </c>
      <c r="AS236" s="2" t="s">
        <v>97</v>
      </c>
      <c r="AT236" s="2" t="str">
        <f>HYPERLINK(".\links\NR-LIGHT\AGAP001303-PA-NR-LIGHT.txt","AGAP001303-PA")</f>
        <v>AGAP001303-PA</v>
      </c>
      <c r="AU236" s="2" t="str">
        <f>HYPERLINK("http://www.ncbi.nlm.nih.gov/sutils/blink.cgi?pid=XP_001238548.3","2E-089")</f>
        <v>2E-089</v>
      </c>
      <c r="AV236" s="2" t="str">
        <f>HYPERLINK("http://www.ncbi.nlm.nih.gov/protein/XP_001238548.3","XP_001238548.3")</f>
        <v>XP_001238548.3</v>
      </c>
      <c r="AW236" s="2">
        <v>100</v>
      </c>
      <c r="AX236" s="2">
        <v>100</v>
      </c>
      <c r="AY236" s="2">
        <v>100</v>
      </c>
      <c r="AZ236" s="2" t="s">
        <v>98</v>
      </c>
      <c r="BA236" s="2" t="str">
        <f>HYPERLINK(".\links\REFSEQ-INVERTEBRATE\AGAP001303-PA-REFSEQ-INVERTEBRATE.txt","AGAP001303-PB")</f>
        <v>AGAP001303-PB</v>
      </c>
      <c r="BB236" s="2" t="str">
        <f>HYPERLINK("http://www.ncbi.nlm.nih.gov/sutils/blink.cgi?pid=XP_003435803.1","2E-089")</f>
        <v>2E-089</v>
      </c>
      <c r="BC236" s="2" t="str">
        <f>HYPERLINK("http://www.ncbi.nlm.nih.gov/protein/XP_003435803.1","XP_003435803.1")</f>
        <v>XP_003435803.1</v>
      </c>
      <c r="BD236" s="2">
        <v>100</v>
      </c>
      <c r="BE236" s="2">
        <v>100</v>
      </c>
      <c r="BF236" s="2">
        <v>100</v>
      </c>
      <c r="BG236" s="2" t="s">
        <v>98</v>
      </c>
      <c r="BH236" s="2" t="str">
        <f>HYPERLINK(".\links\REFSEQ-PROTOZOA\AGAP001303-PA-REFSEQ-PROTOZOA.txt","hypothetical protein EMIHUDRAFT_432172, partial")</f>
        <v>hypothetical protein EMIHUDRAFT_432172, partial</v>
      </c>
      <c r="BI236" s="2" t="str">
        <f>HYPERLINK("http://www.ncbi.nlm.nih.gov/sutils/blink.cgi?pid=XP_005775534.1","0.033")</f>
        <v>0.033</v>
      </c>
      <c r="BJ236" s="2" t="str">
        <f>HYPERLINK("http://www.ncbi.nlm.nih.gov/protein/XP_005775534.1","XP_005775534.1")</f>
        <v>XP_005775534.1</v>
      </c>
      <c r="BK236" s="2">
        <v>35</v>
      </c>
      <c r="BL236" s="2">
        <v>41</v>
      </c>
      <c r="BM236" s="2">
        <v>47</v>
      </c>
      <c r="BN236" s="2" t="s">
        <v>2625</v>
      </c>
      <c r="BO236" s="2" t="str">
        <f>HYPERLINK(".\links\SWISSP\AGAP001303-PA-SWISSP.txt","DDRGK domain-containing protein 1")</f>
        <v>DDRGK domain-containing protein 1</v>
      </c>
      <c r="BP236" s="2" t="str">
        <f>HYPERLINK("http://www.uniprot.org/uniprot/B4NKL1","1.0")</f>
        <v>1.0</v>
      </c>
      <c r="BQ236" s="2" t="str">
        <f>HYPERLINK("http://www.uniprot.org/uniprot/B4NKL1#expression","B4NKL1")</f>
        <v>B4NKL1</v>
      </c>
      <c r="BR236" s="2">
        <v>27</v>
      </c>
      <c r="BS236" s="2">
        <v>45</v>
      </c>
      <c r="BT236" s="2">
        <v>36</v>
      </c>
      <c r="BU236" s="2" t="s">
        <v>2832</v>
      </c>
      <c r="BV236" s="2" t="str">
        <f>HYPERLINK(".\links\FLYBASE\AGAP001303-PA-FLYBASE.txt","FBpp0073569")</f>
        <v>FBpp0073569</v>
      </c>
      <c r="BW236" s="2" t="str">
        <f>HYPERLINK("http://flybase.org/reports/FBgn0030459#alliance_summary_container","2.6")</f>
        <v>2.6</v>
      </c>
      <c r="BX236" s="2">
        <v>625</v>
      </c>
      <c r="BY236" s="2">
        <v>35</v>
      </c>
      <c r="BZ236" s="2">
        <v>64</v>
      </c>
      <c r="CA236" s="2">
        <v>5</v>
      </c>
      <c r="CB236" s="2" t="str">
        <f>HYPERLINK(".\links\CDD\AGAP001303-PA-CDD.txt","GGTase-II, Geranylgeranyltransferase type II (GGTase-II)_like proteins containing the protein prenyltransferase (PTase) domain, beta subunit (alpha 6 - alpha 6 barrel fold)")</f>
        <v>GGTase-II, Geranylgeranyltransferase type II (GGTase-II)_like proteins containing the protein prenyltransferase (PTase) domain, beta subunit (alpha 6 - alpha 6 barrel fold)</v>
      </c>
      <c r="CC236" s="13">
        <v>2.6</v>
      </c>
      <c r="CD236" s="2">
        <v>7.3</v>
      </c>
      <c r="CE236" s="2" t="s">
        <v>2833</v>
      </c>
      <c r="CF236" s="2" t="s">
        <v>2834</v>
      </c>
      <c r="CG236" s="2" t="str">
        <f>HYPERLINK(".\links\KOG\AGAP001303-PA-KOG.txt","pore-forming alpha1I subunit")</f>
        <v>pore-forming alpha1I subunit</v>
      </c>
      <c r="CH236" s="13">
        <v>1.3</v>
      </c>
      <c r="CI236" s="2">
        <v>6</v>
      </c>
      <c r="CJ236" s="2" t="s">
        <v>2835</v>
      </c>
      <c r="CK236" s="2" t="s">
        <v>1519</v>
      </c>
      <c r="CL236" s="2" t="str">
        <f>HYPERLINK(".\links\PFAM\AGAP001303-PA-PFAM.txt","Herpes_glycop, Herpesvirus glycoprotein M")</f>
        <v>Herpes_glycop, Herpesvirus glycoprotein M</v>
      </c>
      <c r="CM236" s="13">
        <v>0.83</v>
      </c>
      <c r="CN236" s="2">
        <v>18.8</v>
      </c>
      <c r="CO236" s="2" t="s">
        <v>2836</v>
      </c>
      <c r="CP236" s="2" t="str">
        <f>HYPERLINK(".\links\SMART\AGAP001303-PA-SMART.txt","Aerolysin, Aerolysin toxin")</f>
        <v>Aerolysin, Aerolysin toxin</v>
      </c>
      <c r="CQ236" s="13">
        <v>6</v>
      </c>
      <c r="CR236" s="2">
        <v>5.2</v>
      </c>
      <c r="CS236" s="2" t="s">
        <v>2837</v>
      </c>
      <c r="CT236" s="2" t="s">
        <v>2830</v>
      </c>
      <c r="CU236" s="2" t="s">
        <v>2830</v>
      </c>
      <c r="CV236" s="2" t="s">
        <v>2830</v>
      </c>
      <c r="CW236" s="2" t="str">
        <f>HYPERLINK(".\links\pep\AGAP001303-PA-pep.txt","AGAP001303-PA")</f>
        <v>AGAP001303-PA</v>
      </c>
      <c r="CX236" s="2" t="s">
        <v>88</v>
      </c>
      <c r="CY236" s="2">
        <v>160</v>
      </c>
      <c r="CZ236" s="2" t="s">
        <v>106</v>
      </c>
      <c r="DA236" s="2" t="s">
        <v>2838</v>
      </c>
      <c r="DB236" s="2">
        <v>0</v>
      </c>
      <c r="DC236" s="2">
        <v>0</v>
      </c>
      <c r="DD236" s="2" t="str">
        <f>HYPERLINK("https://www.kegg.jp/kegg-bin/search_pathway_text?map=aga&amp;keyword=AGAP001303&amp;mode=1&amp;viewImage=true","AGAP001303")</f>
        <v>AGAP001303</v>
      </c>
      <c r="DE236" s="2" t="s">
        <v>2827</v>
      </c>
      <c r="DF236" s="2" t="s">
        <v>2828</v>
      </c>
      <c r="DG236" s="2" t="s">
        <v>87</v>
      </c>
      <c r="DH236" s="2" t="str">
        <f>HYPERLINK("https://vectorbase.org/vectorbase/app/record/gene/AGAP001303","AGAP001303-RA")</f>
        <v>AGAP001303-RA</v>
      </c>
      <c r="DI236" s="2" t="s">
        <v>125</v>
      </c>
      <c r="DJ236" s="2">
        <v>1157</v>
      </c>
      <c r="DK236" s="2" t="str">
        <f>HYPERLINK(".\links\netoglyc\AGAP001303-PA-netoglyc.txt","2")</f>
        <v>2</v>
      </c>
      <c r="DL236" s="2">
        <v>13.1</v>
      </c>
      <c r="DM236" s="2">
        <v>9.4</v>
      </c>
      <c r="DN236" s="2">
        <v>5</v>
      </c>
      <c r="DO236" s="2" t="s">
        <v>97</v>
      </c>
      <c r="DP236" s="2" t="s">
        <v>94</v>
      </c>
      <c r="DQ236" s="2" t="str">
        <f>HYPERLINK(".\links\Sigp\AGAP001303-PA-SigP.txt","SIG")</f>
        <v>SIG</v>
      </c>
      <c r="DR236" s="2" t="s">
        <v>679</v>
      </c>
      <c r="DS236" s="2">
        <v>17.78</v>
      </c>
      <c r="DT236" s="2">
        <v>11.25</v>
      </c>
      <c r="DU236" s="2">
        <v>14.193</v>
      </c>
      <c r="DV236" s="2">
        <v>11.13</v>
      </c>
      <c r="DW236" s="2" t="s">
        <v>2831</v>
      </c>
      <c r="DX236" s="2">
        <v>160</v>
      </c>
      <c r="DY236" s="8" t="str">
        <f>HYPERLINK(".\links\tmhmm\AGAP001303-PA-tmhmm.txt","1")</f>
        <v>1</v>
      </c>
      <c r="DZ236" s="2">
        <v>11.3</v>
      </c>
      <c r="EA236" s="2">
        <v>80.599999999999994</v>
      </c>
      <c r="EB236" s="2">
        <v>8.1</v>
      </c>
      <c r="EC236" s="2" t="str">
        <f>HYPERLINK(".\links\gpi\AGAP001303-PA-gpi.txt","N")</f>
        <v>N</v>
      </c>
      <c r="ED236" s="2">
        <v>0.5</v>
      </c>
      <c r="EE236" s="2" t="s">
        <v>2839</v>
      </c>
      <c r="EF236" s="2">
        <v>5</v>
      </c>
      <c r="EG236" s="2" t="s">
        <v>94</v>
      </c>
      <c r="EH236" s="2" t="s">
        <v>94</v>
      </c>
      <c r="EI236" s="2">
        <v>13.125</v>
      </c>
      <c r="EJ236" s="2">
        <v>5</v>
      </c>
      <c r="EK236" s="2">
        <v>9.375</v>
      </c>
      <c r="EL236" s="2">
        <v>14.375</v>
      </c>
      <c r="EM236" s="2" t="s">
        <v>94</v>
      </c>
      <c r="EN236" s="2" t="s">
        <v>94</v>
      </c>
      <c r="EO236" s="2" t="s">
        <v>94</v>
      </c>
      <c r="EP236" s="2" t="s">
        <v>94</v>
      </c>
      <c r="EQ236" s="2" t="s">
        <v>94</v>
      </c>
      <c r="ER236" s="2" t="s">
        <v>94</v>
      </c>
      <c r="ES236" s="2" t="s">
        <v>94</v>
      </c>
      <c r="ET236" s="2" t="str">
        <f>HYPERLINK(".\links\REFSEQ-INVERTEBRATE\AGAP001303-PA-REFSEQ-INVERTEBRATE.txt","AGAP001303-PB")</f>
        <v>AGAP001303-PB</v>
      </c>
      <c r="EU236" s="2" t="str">
        <f>HYPERLINK("http://www.ncbi.nlm.nih.gov/sutils/blink.cgi?pid=XP_003435803.1","1E-111")</f>
        <v>1E-111</v>
      </c>
      <c r="EV236" s="2" t="str">
        <f>HYPERLINK("http://www.ncbi.nlm.nih.gov/protein/XP_003435803.1","XP_003435803.1")</f>
        <v>XP_003435803.1</v>
      </c>
      <c r="EW236" s="2">
        <v>100</v>
      </c>
      <c r="EX236" s="2">
        <v>100</v>
      </c>
      <c r="EY236" s="2">
        <v>100</v>
      </c>
      <c r="EZ236" s="2" t="s">
        <v>98</v>
      </c>
    </row>
    <row r="237" spans="1:156" x14ac:dyDescent="0.25">
      <c r="A237" s="2" t="s">
        <v>2840</v>
      </c>
      <c r="B237" s="2">
        <v>-1.31693373380165</v>
      </c>
      <c r="C237" s="2">
        <v>0.40138713053998409</v>
      </c>
      <c r="D237" s="2">
        <v>3.7361027862828999</v>
      </c>
      <c r="E237" s="2">
        <v>31.4791513932099</v>
      </c>
      <c r="F237" s="2">
        <v>2.0159319506563598E-8</v>
      </c>
      <c r="G237" s="2">
        <v>1.05914824763096E-5</v>
      </c>
      <c r="H237" s="2" t="s">
        <v>2841</v>
      </c>
      <c r="I237" s="2" t="s">
        <v>87</v>
      </c>
      <c r="J237" s="2" t="str">
        <f>HYPERLINK("https://vectorbase.org/vectorbase/app/record/gene/AGAP008557","AGAP008557-RA")</f>
        <v>AGAP008557-RA</v>
      </c>
      <c r="K237" s="2" t="str">
        <f>HYPERLINK(".\links\pep\AGAP008557-PA-pep.txt","AGAP008557-PA")</f>
        <v>AGAP008557-PA</v>
      </c>
      <c r="L237" s="8" t="s">
        <v>88</v>
      </c>
      <c r="M237" s="2">
        <v>594</v>
      </c>
      <c r="N237" s="2">
        <v>0</v>
      </c>
      <c r="O237" s="2">
        <v>1</v>
      </c>
      <c r="P237" s="2" t="s">
        <v>2842</v>
      </c>
      <c r="Q237" s="2" t="s">
        <v>2843</v>
      </c>
      <c r="R237" s="2" t="s">
        <v>131</v>
      </c>
      <c r="S237" s="2" t="str">
        <f>HYPERLINK(".\links\CDD\AGAP008557-PA-CDD.txt","CDD")</f>
        <v>CDD</v>
      </c>
      <c r="T237" s="2">
        <v>0</v>
      </c>
      <c r="U237" s="2">
        <v>102.1</v>
      </c>
      <c r="V237" s="2" t="s">
        <v>2844</v>
      </c>
      <c r="W237" s="10" t="s">
        <v>133</v>
      </c>
      <c r="X237" s="2" t="s">
        <v>131</v>
      </c>
      <c r="Y237" s="2" t="str">
        <f>HYPERLINK(".\links\COG\AGAP008557-PA-COG.txt","COG")</f>
        <v>COG</v>
      </c>
      <c r="Z237" s="13">
        <v>4.9999999999999996E-40</v>
      </c>
      <c r="AA237" s="2">
        <v>107.7</v>
      </c>
      <c r="AB237" s="8" t="str">
        <f>HYPERLINK(".\links\pep\AGAP008557-PA-sulf.txt","1")</f>
        <v>1</v>
      </c>
      <c r="AC237" s="8" t="str">
        <f>HYPERLINK(".\links\Sigp\AGAP008557-PA-SigP.txt","CYT")</f>
        <v>CYT</v>
      </c>
      <c r="AD237" s="2" t="s">
        <v>94</v>
      </c>
      <c r="AE237" s="2">
        <v>65.647999999999996</v>
      </c>
      <c r="AF237" s="2">
        <v>8.23</v>
      </c>
      <c r="AG237" s="2" t="s">
        <v>94</v>
      </c>
      <c r="AH237" s="2" t="s">
        <v>94</v>
      </c>
      <c r="AI237" s="2" t="s">
        <v>2845</v>
      </c>
      <c r="AJ237" s="8">
        <v>0</v>
      </c>
      <c r="AK237" s="2" t="s">
        <v>94</v>
      </c>
      <c r="AL237" s="2" t="s">
        <v>94</v>
      </c>
      <c r="AM237" s="2" t="s">
        <v>94</v>
      </c>
      <c r="AN237" s="8" t="str">
        <f>HYPERLINK(".\links\gpi\AGAP008557-PA-gpi.txt","N")</f>
        <v>N</v>
      </c>
      <c r="AO237" s="8" t="str">
        <f>HYPERLINK(".\links\netoglyc\AGAP008557-PA-netoglyc.txt","1")</f>
        <v>1</v>
      </c>
      <c r="AP237" s="8">
        <v>10.8</v>
      </c>
      <c r="AQ237" s="2">
        <v>8.1999999999999993</v>
      </c>
      <c r="AR237" s="2">
        <v>4.2</v>
      </c>
      <c r="AS237" s="2" t="s">
        <v>97</v>
      </c>
      <c r="AT237" s="2" t="str">
        <f>HYPERLINK(".\links\NR-LIGHT\AGAP008557-PA-NR-LIGHT.txt","AGAP008557-PA")</f>
        <v>AGAP008557-PA</v>
      </c>
      <c r="AU237" s="2" t="str">
        <f>HYPERLINK("http://www.ncbi.nlm.nih.gov/sutils/blink.cgi?pid=XP_314666.4","0.0")</f>
        <v>0.0</v>
      </c>
      <c r="AV237" s="2" t="str">
        <f>HYPERLINK("http://www.ncbi.nlm.nih.gov/protein/XP_314666.4","XP_314666.4")</f>
        <v>XP_314666.4</v>
      </c>
      <c r="AW237" s="2">
        <v>100</v>
      </c>
      <c r="AX237" s="2">
        <v>100</v>
      </c>
      <c r="AY237" s="2">
        <v>100</v>
      </c>
      <c r="AZ237" s="2" t="s">
        <v>98</v>
      </c>
      <c r="BA237" s="2" t="str">
        <f>HYPERLINK(".\links\REFSEQ-INVERTEBRATE\AGAP008557-PA-REFSEQ-INVERTEBRATE.txt","AGAP008557-PA")</f>
        <v>AGAP008557-PA</v>
      </c>
      <c r="BB237" s="2" t="str">
        <f>HYPERLINK("http://www.ncbi.nlm.nih.gov/sutils/blink.cgi?pid=XP_314666.4","0.0")</f>
        <v>0.0</v>
      </c>
      <c r="BC237" s="2" t="str">
        <f>HYPERLINK("http://www.ncbi.nlm.nih.gov/protein/XP_314666.4","XP_314666.4")</f>
        <v>XP_314666.4</v>
      </c>
      <c r="BD237" s="2">
        <v>100</v>
      </c>
      <c r="BE237" s="2">
        <v>100</v>
      </c>
      <c r="BF237" s="2">
        <v>100</v>
      </c>
      <c r="BG237" s="2" t="s">
        <v>98</v>
      </c>
      <c r="BH237" s="2" t="str">
        <f>HYPERLINK(".\links\REFSEQ-PROTOZOA\AGAP008557-PA-REFSEQ-PROTOZOA.txt","acyl-CoA synthetase (AMP-forming)/AMP-acid ligase II")</f>
        <v>acyl-CoA synthetase (AMP-forming)/AMP-acid ligase II</v>
      </c>
      <c r="BI237" s="2" t="str">
        <f>HYPERLINK("http://www.ncbi.nlm.nih.gov/sutils/blink.cgi?pid=XP_001010173.2","1E-132")</f>
        <v>1E-132</v>
      </c>
      <c r="BJ237" s="2" t="str">
        <f>HYPERLINK("http://www.ncbi.nlm.nih.gov/protein/XP_001010173.2","XP_001010173.2")</f>
        <v>XP_001010173.2</v>
      </c>
      <c r="BK237" s="2">
        <v>40</v>
      </c>
      <c r="BL237" s="2">
        <v>62</v>
      </c>
      <c r="BM237" s="2">
        <v>92</v>
      </c>
      <c r="BN237" s="2" t="s">
        <v>681</v>
      </c>
      <c r="BO237" s="2" t="str">
        <f>HYPERLINK(".\links\SWISSP\AGAP008557-PA-SWISSP.txt","Acyl-CoA synthetase family member 2, mitochondrial")</f>
        <v>Acyl-CoA synthetase family member 2, mitochondrial</v>
      </c>
      <c r="BP237" s="2" t="str">
        <f>HYPERLINK("http://www.uniprot.org/uniprot/Q0P4F7","1E-125")</f>
        <v>1E-125</v>
      </c>
      <c r="BQ237" s="2" t="str">
        <f>HYPERLINK("http://www.uniprot.org/uniprot/Q0P4F7#expression","Q0P4F7")</f>
        <v>Q0P4F7</v>
      </c>
      <c r="BR237" s="2">
        <v>42</v>
      </c>
      <c r="BS237" s="2">
        <v>62</v>
      </c>
      <c r="BT237" s="2">
        <v>91</v>
      </c>
      <c r="BU237" s="2" t="s">
        <v>2373</v>
      </c>
      <c r="BV237" s="2" t="str">
        <f>HYPERLINK(".\links\FLYBASE\AGAP008557-PA-FLYBASE.txt","FBpp0078711")</f>
        <v>FBpp0078711</v>
      </c>
      <c r="BW237" s="2" t="str">
        <f>HYPERLINK("http://flybase.org/reports/FBgn0031703#alliance_summary_container","0.0")</f>
        <v>0.0</v>
      </c>
      <c r="BX237" s="2">
        <v>593</v>
      </c>
      <c r="BY237" s="2">
        <v>52</v>
      </c>
      <c r="BZ237" s="2">
        <v>72</v>
      </c>
      <c r="CA237" s="2">
        <v>100</v>
      </c>
      <c r="CB237" s="2" t="str">
        <f>HYPERLINK(".\links\CDD\AGAP008557-PA-CDD.txt","PRK08315, AMP-binding domain protein")</f>
        <v>PRK08315, AMP-binding domain protein</v>
      </c>
      <c r="CC237" s="13">
        <v>1E-167</v>
      </c>
      <c r="CD237" s="2">
        <v>101.6</v>
      </c>
      <c r="CE237" s="2" t="s">
        <v>2846</v>
      </c>
      <c r="CF237" s="2" t="s">
        <v>2847</v>
      </c>
      <c r="CG237" s="2" t="str">
        <f>HYPERLINK(".\links\KOG\AGAP008557-PA-KOG.txt","Long chain fatty acid acyl-CoA ligase")</f>
        <v>Long chain fatty acid acyl-CoA ligase</v>
      </c>
      <c r="CH237" s="13">
        <v>0</v>
      </c>
      <c r="CI237" s="2">
        <v>99.2</v>
      </c>
      <c r="CJ237" s="2" t="s">
        <v>2848</v>
      </c>
      <c r="CK237" s="2" t="s">
        <v>232</v>
      </c>
      <c r="CL237" s="2" t="str">
        <f>HYPERLINK(".\links\PFAM\AGAP008557-PA-PFAM.txt","AMP-binding, AMP-binding enzyme")</f>
        <v>AMP-binding, AMP-binding enzyme</v>
      </c>
      <c r="CM237" s="13">
        <v>6E-79</v>
      </c>
      <c r="CN237" s="2">
        <v>105.4</v>
      </c>
      <c r="CO237" s="2" t="s">
        <v>2849</v>
      </c>
      <c r="CP237" s="2" t="str">
        <f>HYPERLINK(".\links\SMART\AGAP008557-PA-SMART.txt","PKS_MT, Methyltransferase in polyketide synthase (PKS) enzymes")</f>
        <v>PKS_MT, Methyltransferase in polyketide synthase (PKS) enzymes</v>
      </c>
      <c r="CQ237" s="13">
        <v>1.1000000000000001</v>
      </c>
      <c r="CR237" s="2">
        <v>20.5</v>
      </c>
      <c r="CS237" s="2" t="s">
        <v>2850</v>
      </c>
      <c r="CT237" s="2" t="s">
        <v>2844</v>
      </c>
      <c r="CU237" s="2" t="s">
        <v>2844</v>
      </c>
      <c r="CV237" s="2" t="s">
        <v>2844</v>
      </c>
      <c r="CW237" s="2" t="str">
        <f>HYPERLINK(".\links\pep\AGAP008557-PA-pep.txt","AGAP008557-PA")</f>
        <v>AGAP008557-PA</v>
      </c>
      <c r="CX237" s="2" t="s">
        <v>88</v>
      </c>
      <c r="CY237" s="2">
        <v>594</v>
      </c>
      <c r="CZ237" s="2" t="s">
        <v>106</v>
      </c>
      <c r="DA237" s="2" t="s">
        <v>2851</v>
      </c>
      <c r="DB237" s="2">
        <v>0</v>
      </c>
      <c r="DC237" s="2">
        <v>1</v>
      </c>
      <c r="DD237" s="2" t="str">
        <f>HYPERLINK("https://www.kegg.jp/kegg-bin/search_pathway_text?map=aga&amp;keyword=AGAP008557&amp;mode=1&amp;viewImage=true","AGAP008557")</f>
        <v>AGAP008557</v>
      </c>
      <c r="DE237" s="2" t="s">
        <v>2840</v>
      </c>
      <c r="DF237" s="2" t="s">
        <v>2841</v>
      </c>
      <c r="DG237" s="2" t="s">
        <v>87</v>
      </c>
      <c r="DH237" s="2" t="str">
        <f>HYPERLINK("https://vectorbase.org/vectorbase/app/record/gene/AGAP008557","AGAP008557-RA")</f>
        <v>AGAP008557-RA</v>
      </c>
      <c r="DI237" s="2" t="s">
        <v>108</v>
      </c>
      <c r="DJ237" s="2">
        <v>2133</v>
      </c>
      <c r="DK237" s="2" t="str">
        <f>HYPERLINK(".\links\netoglyc\AGAP008557-PA-netoglyc.txt","1")</f>
        <v>1</v>
      </c>
      <c r="DL237" s="2">
        <v>10.8</v>
      </c>
      <c r="DM237" s="2">
        <v>8.1999999999999993</v>
      </c>
      <c r="DN237" s="2">
        <v>4.2</v>
      </c>
      <c r="DO237" s="2" t="s">
        <v>97</v>
      </c>
      <c r="DP237" s="2" t="s">
        <v>94</v>
      </c>
      <c r="DQ237" s="2" t="str">
        <f>HYPERLINK(".\links\Sigp\AGAP008557-PA-SigP.txt","CYT")</f>
        <v>CYT</v>
      </c>
      <c r="DR237" s="2" t="s">
        <v>94</v>
      </c>
      <c r="DS237" s="2">
        <v>65.647999999999996</v>
      </c>
      <c r="DT237" s="2">
        <v>8.23</v>
      </c>
      <c r="DU237" s="2" t="s">
        <v>94</v>
      </c>
      <c r="DV237" s="2" t="s">
        <v>94</v>
      </c>
      <c r="DW237" s="2" t="s">
        <v>2845</v>
      </c>
      <c r="DX237" s="2">
        <v>594</v>
      </c>
      <c r="DY237" s="8">
        <v>0</v>
      </c>
      <c r="DZ237" s="2" t="s">
        <v>94</v>
      </c>
      <c r="EA237" s="2" t="s">
        <v>94</v>
      </c>
      <c r="EB237" s="2" t="s">
        <v>94</v>
      </c>
      <c r="EC237" s="2" t="str">
        <f>HYPERLINK(".\links\gpi\AGAP008557-PA-gpi.txt","N")</f>
        <v>N</v>
      </c>
      <c r="ED237" s="2">
        <v>0.19</v>
      </c>
      <c r="EF237" s="2">
        <v>8</v>
      </c>
      <c r="EG237" s="2" t="str">
        <f>HYPERLINK(".\links\pep\AGAP008557-PA-sulf.txt","1")</f>
        <v>1</v>
      </c>
      <c r="EH237" s="2" t="s">
        <v>94</v>
      </c>
      <c r="EI237" s="2">
        <v>10.7744107744108</v>
      </c>
      <c r="EJ237" s="2">
        <v>4.2087542087542102</v>
      </c>
      <c r="EK237" s="2">
        <v>8.2491582491582491</v>
      </c>
      <c r="EL237" s="2">
        <v>12.457912457912499</v>
      </c>
      <c r="EM237" s="2">
        <v>1</v>
      </c>
      <c r="EN237" s="2" t="s">
        <v>94</v>
      </c>
      <c r="EO237" s="2">
        <v>2</v>
      </c>
      <c r="EP237" s="2" t="s">
        <v>94</v>
      </c>
      <c r="EQ237" s="2" t="s">
        <v>94</v>
      </c>
      <c r="ER237" s="2" t="s">
        <v>94</v>
      </c>
      <c r="ES237" s="2" t="s">
        <v>94</v>
      </c>
      <c r="ET237" s="2" t="str">
        <f>HYPERLINK(".\links\REFSEQ-INVERTEBRATE\AGAP008557-PA-REFSEQ-INVERTEBRATE.txt","AGAP008557-PA")</f>
        <v>AGAP008557-PA</v>
      </c>
      <c r="EU237" s="2" t="str">
        <f>HYPERLINK("http://www.ncbi.nlm.nih.gov/sutils/blink.cgi?pid=XP_314666.4","0.0")</f>
        <v>0.0</v>
      </c>
      <c r="EV237" s="2" t="str">
        <f>HYPERLINK("http://www.ncbi.nlm.nih.gov/protein/XP_314666.4","XP_314666.4")</f>
        <v>XP_314666.4</v>
      </c>
      <c r="EW237" s="2">
        <v>100</v>
      </c>
      <c r="EX237" s="2">
        <v>100</v>
      </c>
      <c r="EY237" s="2">
        <v>100</v>
      </c>
      <c r="EZ237" s="2" t="s">
        <v>98</v>
      </c>
    </row>
    <row r="238" spans="1:156" x14ac:dyDescent="0.25">
      <c r="A238" s="2" t="s">
        <v>2852</v>
      </c>
      <c r="B238" s="2">
        <v>-1.3852003634451999</v>
      </c>
      <c r="C238" s="2">
        <v>0.38283632675272811</v>
      </c>
      <c r="D238" s="2">
        <v>8.3835807665379605</v>
      </c>
      <c r="E238" s="2">
        <v>23.780663241728199</v>
      </c>
      <c r="F238" s="2">
        <v>1.0796163283526699E-6</v>
      </c>
      <c r="G238" s="2">
        <v>2.2195503515719901E-4</v>
      </c>
      <c r="H238" s="2" t="s">
        <v>2853</v>
      </c>
      <c r="I238" s="2" t="s">
        <v>94</v>
      </c>
      <c r="J238" s="2" t="str">
        <f>HYPERLINK("https://vectorbase.org/vectorbase/app/record/gene/AGAP028373","AGAP028373-RA")</f>
        <v>AGAP028373-RA</v>
      </c>
      <c r="K238" s="2" t="str">
        <f>HYPERLINK(".\links\pep\AGAP028373-PA-pep.txt","AGAP028373-PA")</f>
        <v>AGAP028373-PA</v>
      </c>
      <c r="L238" s="8" t="s">
        <v>88</v>
      </c>
      <c r="M238" s="2">
        <v>117</v>
      </c>
      <c r="N238" s="2">
        <v>0</v>
      </c>
      <c r="O238" s="2">
        <v>1</v>
      </c>
      <c r="P238" s="2" t="s">
        <v>2854</v>
      </c>
      <c r="Q238" s="2" t="s">
        <v>2855</v>
      </c>
      <c r="R238" s="2" t="s">
        <v>333</v>
      </c>
      <c r="S238" s="2" t="str">
        <f>HYPERLINK(".\links\REFSEQ-INVERTEBRATE\AGAP028373-PA-REFSEQ-INVERTEBRATE.txt","REFSEQ-INVERTEBRATE")</f>
        <v>REFSEQ-INVERTEBRATE</v>
      </c>
      <c r="T238" s="2">
        <v>3.0000000000000001E-61</v>
      </c>
      <c r="V238" s="2" t="s">
        <v>2856</v>
      </c>
      <c r="W238" s="10" t="s">
        <v>2857</v>
      </c>
      <c r="X238" s="2" t="s">
        <v>2858</v>
      </c>
      <c r="Y238" s="2" t="str">
        <f>HYPERLINK(".\links\EC\AGAP028373-PA-EC.txt","EC")</f>
        <v>EC</v>
      </c>
      <c r="Z238" s="13">
        <v>4E-79</v>
      </c>
      <c r="AA238" s="2">
        <v>100</v>
      </c>
      <c r="AB238" s="8" t="s">
        <v>94</v>
      </c>
      <c r="AC238" s="8" t="str">
        <f>HYPERLINK(".\links\Sigp\AGAP028373-PA-SigP.txt","SIG")</f>
        <v>SIG</v>
      </c>
      <c r="AD238" s="2" t="s">
        <v>1065</v>
      </c>
      <c r="AE238" s="2">
        <v>13.66</v>
      </c>
      <c r="AF238" s="2">
        <v>5.23</v>
      </c>
      <c r="AG238" s="2">
        <v>10.747</v>
      </c>
      <c r="AH238" s="2">
        <v>5.23</v>
      </c>
      <c r="AI238" s="2" t="s">
        <v>2859</v>
      </c>
      <c r="AJ238" s="8" t="str">
        <f>HYPERLINK(".\links\tmhmm\AGAP028373-PA-tmhmm.txt","3")</f>
        <v>3</v>
      </c>
      <c r="AK238" s="2">
        <v>52.1</v>
      </c>
      <c r="AL238" s="2">
        <v>12</v>
      </c>
      <c r="AM238" s="2">
        <v>35.9</v>
      </c>
      <c r="AN238" s="8" t="str">
        <f>HYPERLINK(".\links\gpi\AGAP028373-PA-gpi.txt","N")</f>
        <v>N</v>
      </c>
      <c r="AO238" s="8" t="str">
        <f>HYPERLINK(".\links\netoglyc\AGAP028373-PA-netoglyc.txt","0")</f>
        <v>0</v>
      </c>
      <c r="AP238" s="8">
        <v>13.7</v>
      </c>
      <c r="AQ238" s="2">
        <v>2.6</v>
      </c>
      <c r="AR238" s="2">
        <v>3.4</v>
      </c>
      <c r="AS238" s="2" t="s">
        <v>97</v>
      </c>
      <c r="AT238" s="2" t="str">
        <f>HYPERLINK(".\links\NR-LIGHT\AGAP028373-PA-NR-LIGHT.txt","ND3 gene product (mitochondrion)")</f>
        <v>ND3 gene product (mitochondrion)</v>
      </c>
      <c r="AU238" s="2" t="str">
        <f>HYPERLINK("http://www.ncbi.nlm.nih.gov/sutils/blink.cgi?pid=NP_008075.1","4E-060")</f>
        <v>4E-060</v>
      </c>
      <c r="AV238" s="2" t="str">
        <f>HYPERLINK("http://www.ncbi.nlm.nih.gov/protein/NP_008075.1","NP_008075.1")</f>
        <v>NP_008075.1</v>
      </c>
      <c r="AW238" s="2">
        <v>100</v>
      </c>
      <c r="AX238" s="2">
        <v>100</v>
      </c>
      <c r="AY238" s="2">
        <v>100</v>
      </c>
      <c r="AZ238" s="2" t="s">
        <v>274</v>
      </c>
      <c r="BA238" s="2" t="str">
        <f>HYPERLINK(".\links\REFSEQ-INVERTEBRATE\AGAP028373-PA-REFSEQ-INVERTEBRATE.txt","NADH dehydrogenase subunit 3 (mitochondrion)")</f>
        <v>NADH dehydrogenase subunit 3 (mitochondrion)</v>
      </c>
      <c r="BB238" s="2" t="str">
        <f>HYPERLINK("http://www.ncbi.nlm.nih.gov/sutils/blink.cgi?pid=YP_009176669.1","4E-060")</f>
        <v>4E-060</v>
      </c>
      <c r="BC238" s="2" t="str">
        <f>HYPERLINK("http://www.ncbi.nlm.nih.gov/protein/YP_009176669.1","YP_009176669.1")</f>
        <v>YP_009176669.1</v>
      </c>
      <c r="BD238" s="2">
        <v>100</v>
      </c>
      <c r="BE238" s="2">
        <v>100</v>
      </c>
      <c r="BF238" s="2">
        <v>100</v>
      </c>
      <c r="BG238" s="2" t="s">
        <v>2860</v>
      </c>
      <c r="BH238" s="2" t="str">
        <f>HYPERLINK(".\links\REFSEQ-PROTOZOA\AGAP028373-PA-REFSEQ-PROTOZOA.txt","NADH dehydrogenase subunit 3 (mitochondrion)")</f>
        <v>NADH dehydrogenase subunit 3 (mitochondrion)</v>
      </c>
      <c r="BI238" s="2" t="str">
        <f>HYPERLINK("http://www.ncbi.nlm.nih.gov/sutils/blink.cgi?pid=NP_957730.1","1E-020")</f>
        <v>1E-020</v>
      </c>
      <c r="BJ238" s="2" t="str">
        <f>HYPERLINK("http://www.ncbi.nlm.nih.gov/protein/NP_957730.1","NP_957730.1")</f>
        <v>NP_957730.1</v>
      </c>
      <c r="BK238" s="2">
        <v>43</v>
      </c>
      <c r="BL238" s="2">
        <v>68</v>
      </c>
      <c r="BM238" s="2">
        <v>91</v>
      </c>
      <c r="BN238" s="2" t="s">
        <v>2861</v>
      </c>
      <c r="BO238" s="2" t="str">
        <f>HYPERLINK(".\links\SWISSP\AGAP028373-PA-SWISSP.txt","NADH-ubiquinone oxidoreductase chain 3")</f>
        <v>NADH-ubiquinone oxidoreductase chain 3</v>
      </c>
      <c r="BP238" s="2" t="str">
        <f>HYPERLINK("http://www.uniprot.org/uniprot/P34850","3E-061")</f>
        <v>3E-061</v>
      </c>
      <c r="BQ238" s="2" t="str">
        <f>HYPERLINK("http://www.uniprot.org/uniprot/P34850#expression","P34850")</f>
        <v>P34850</v>
      </c>
      <c r="BR238" s="2">
        <v>100</v>
      </c>
      <c r="BS238" s="2">
        <v>100</v>
      </c>
      <c r="BT238" s="2">
        <v>100</v>
      </c>
      <c r="BU238" s="2" t="s">
        <v>274</v>
      </c>
      <c r="BV238" s="2" t="str">
        <f>HYPERLINK(".\links\FLYBASE\AGAP028373-PA-FLYBASE.txt","FBpp0100181")</f>
        <v>FBpp0100181</v>
      </c>
      <c r="BW238" s="2" t="str">
        <f>HYPERLINK("http://flybase.org/reports/FBgn0013681#alliance_summary_container","1E-43")</f>
        <v>1E-43</v>
      </c>
      <c r="BX238" s="2">
        <v>117</v>
      </c>
      <c r="BY238" s="2">
        <v>78</v>
      </c>
      <c r="BZ238" s="2">
        <v>88</v>
      </c>
      <c r="CA238" s="2">
        <v>85</v>
      </c>
      <c r="CB238" s="2" t="str">
        <f>HYPERLINK(".\links\CDD\AGAP028373-PA-CDD.txt","ND3, NADH dehydrogenase subunit 3")</f>
        <v>ND3, NADH dehydrogenase subunit 3</v>
      </c>
      <c r="CC238" s="13">
        <v>1.0000000000000001E-32</v>
      </c>
      <c r="CD238" s="2">
        <v>98.3</v>
      </c>
      <c r="CE238" s="2" t="s">
        <v>2862</v>
      </c>
      <c r="CF238" s="2" t="s">
        <v>2863</v>
      </c>
      <c r="CG238" s="2" t="str">
        <f>HYPERLINK(".\links\KOG\AGAP028373-PA-KOG.txt","NADH dehydrogenase subunit 3 and related proteins")</f>
        <v>NADH dehydrogenase subunit 3 and related proteins</v>
      </c>
      <c r="CH238" s="13">
        <v>1.9999999999999998E-24</v>
      </c>
      <c r="CI238" s="2">
        <v>95.9</v>
      </c>
      <c r="CJ238" s="2" t="s">
        <v>2864</v>
      </c>
      <c r="CK238" s="2" t="s">
        <v>531</v>
      </c>
      <c r="CL238" s="2" t="str">
        <f>HYPERLINK(".\links\PFAM\AGAP028373-PA-PFAM.txt","Oxidored_q4, NADH-ubiquinone/plastoquinone oxidoreductase, chain 3")</f>
        <v>Oxidored_q4, NADH-ubiquinone/plastoquinone oxidoreductase, chain 3</v>
      </c>
      <c r="CM238" s="13">
        <v>2.0000000000000001E-22</v>
      </c>
      <c r="CN238" s="2">
        <v>102.1</v>
      </c>
      <c r="CO238" s="2" t="s">
        <v>2865</v>
      </c>
      <c r="CP238" s="2" t="str">
        <f>HYPERLINK(".\links\SMART\AGAP028373-PA-SMART.txt","Glyco_32, Glycosyl hydrolases family 32")</f>
        <v>Glyco_32, Glycosyl hydrolases family 32</v>
      </c>
      <c r="CQ238" s="13">
        <v>2</v>
      </c>
      <c r="CR238" s="2">
        <v>4.5999999999999996</v>
      </c>
      <c r="CS238" s="2" t="s">
        <v>2866</v>
      </c>
      <c r="CT238" s="2" t="s">
        <v>2856</v>
      </c>
      <c r="CU238" s="2" t="s">
        <v>2856</v>
      </c>
      <c r="CV238" s="2" t="s">
        <v>2856</v>
      </c>
      <c r="CW238" s="2" t="str">
        <f>HYPERLINK(".\links\pep\AGAP028373-PA-pep.txt","AGAP028373-PA")</f>
        <v>AGAP028373-PA</v>
      </c>
      <c r="CX238" s="2" t="s">
        <v>88</v>
      </c>
      <c r="CY238" s="2">
        <v>117</v>
      </c>
      <c r="CZ238" s="2" t="s">
        <v>106</v>
      </c>
      <c r="DA238" s="2">
        <v>0</v>
      </c>
      <c r="DB238" s="2">
        <v>1</v>
      </c>
      <c r="DD238" s="2" t="str">
        <f>HYPERLINK("https://www.kegg.jp/kegg-bin/search_pathway_text?map=aga&amp;keyword=AGAP028373&amp;mode=1&amp;viewImage=true","AGAP028373")</f>
        <v>AGAP028373</v>
      </c>
      <c r="DE238" s="2" t="s">
        <v>2852</v>
      </c>
      <c r="DF238" s="2" t="s">
        <v>2853</v>
      </c>
      <c r="DG238" s="2" t="s">
        <v>94</v>
      </c>
      <c r="DH238" s="2" t="str">
        <f>HYPERLINK("https://vectorbase.org/vectorbase/app/record/gene/AGAP028373","AGAP028373-RA")</f>
        <v>AGAP028373-RA</v>
      </c>
      <c r="DI238" s="2" t="s">
        <v>250</v>
      </c>
      <c r="DJ238" s="2">
        <v>354</v>
      </c>
      <c r="DK238" s="2" t="str">
        <f>HYPERLINK(".\links\netoglyc\AGAP028373-PA-netoglyc.txt","0")</f>
        <v>0</v>
      </c>
      <c r="DL238" s="2">
        <v>13.7</v>
      </c>
      <c r="DM238" s="2">
        <v>2.6</v>
      </c>
      <c r="DN238" s="2">
        <v>3.4</v>
      </c>
      <c r="DO238" s="2" t="s">
        <v>97</v>
      </c>
      <c r="DP238" s="2" t="s">
        <v>94</v>
      </c>
      <c r="DQ238" s="2" t="str">
        <f>HYPERLINK(".\links\Sigp\AGAP028373-PA-SigP.txt","SIG")</f>
        <v>SIG</v>
      </c>
      <c r="DR238" s="2" t="s">
        <v>1065</v>
      </c>
      <c r="DS238" s="2">
        <v>13.66</v>
      </c>
      <c r="DT238" s="2">
        <v>5.23</v>
      </c>
      <c r="DU238" s="2">
        <v>10.747</v>
      </c>
      <c r="DV238" s="2">
        <v>5.23</v>
      </c>
      <c r="DW238" s="2" t="s">
        <v>2859</v>
      </c>
      <c r="DX238" s="2">
        <v>117</v>
      </c>
      <c r="DY238" s="8" t="str">
        <f>HYPERLINK(".\links\tmhmm\AGAP028373-PA-tmhmm.txt","3")</f>
        <v>3</v>
      </c>
      <c r="DZ238" s="2">
        <v>52.1</v>
      </c>
      <c r="EA238" s="2">
        <v>12</v>
      </c>
      <c r="EB238" s="2">
        <v>35.9</v>
      </c>
      <c r="EC238" s="2" t="str">
        <f>HYPERLINK(".\links\gpi\AGAP028373-PA-gpi.txt","Y-NoSP")</f>
        <v>Y-NoSP</v>
      </c>
      <c r="ED238" s="2">
        <v>0.65</v>
      </c>
      <c r="EE238" s="2" t="s">
        <v>2867</v>
      </c>
      <c r="EF238" s="2">
        <v>2</v>
      </c>
      <c r="EG238" s="2" t="s">
        <v>94</v>
      </c>
      <c r="EH238" s="2" t="s">
        <v>94</v>
      </c>
      <c r="EI238" s="2">
        <v>13.675213675213699</v>
      </c>
      <c r="EJ238" s="2">
        <v>3.41880341880342</v>
      </c>
      <c r="EK238" s="2">
        <v>2.5641025641025599</v>
      </c>
      <c r="EL238" s="2">
        <v>5.9829059829059803</v>
      </c>
      <c r="EM238" s="2" t="s">
        <v>94</v>
      </c>
      <c r="EN238" s="2" t="s">
        <v>94</v>
      </c>
      <c r="EO238" s="2" t="s">
        <v>94</v>
      </c>
      <c r="EP238" s="2" t="s">
        <v>94</v>
      </c>
      <c r="EQ238" s="2" t="s">
        <v>94</v>
      </c>
      <c r="ER238" s="2" t="s">
        <v>94</v>
      </c>
      <c r="ES238" s="2" t="s">
        <v>94</v>
      </c>
      <c r="ET238" s="2" t="str">
        <f>HYPERLINK(".\links\REFSEQ-INVERTEBRATE\AGAP028373-PA-REFSEQ-INVERTEBRATE.txt","ND3 gene product (mitochondrion)")</f>
        <v>ND3 gene product (mitochondrion)</v>
      </c>
      <c r="EU238" s="2" t="str">
        <f>HYPERLINK("http://www.ncbi.nlm.nih.gov/sutils/blink.cgi?pid=NP_008075.1","1E-77")</f>
        <v>1E-77</v>
      </c>
      <c r="EV238" s="2" t="str">
        <f>HYPERLINK("http://www.ncbi.nlm.nih.gov/protein/NP_008075.1","NP_008075.1")</f>
        <v>NP_008075.1</v>
      </c>
      <c r="EW238" s="2">
        <v>100</v>
      </c>
      <c r="EX238" s="2">
        <v>100</v>
      </c>
      <c r="EY238" s="2">
        <v>100</v>
      </c>
      <c r="EZ238" s="2" t="s">
        <v>274</v>
      </c>
    </row>
    <row r="239" spans="1:156" x14ac:dyDescent="0.25">
      <c r="A239" s="2" t="s">
        <v>2868</v>
      </c>
      <c r="B239" s="2">
        <v>-1.41333778073064</v>
      </c>
      <c r="C239" s="2">
        <v>0.37544206853130457</v>
      </c>
      <c r="D239" s="2">
        <v>5.3245134212950198</v>
      </c>
      <c r="E239" s="2">
        <v>25.138706337818299</v>
      </c>
      <c r="F239" s="2">
        <v>5.3351182557339299E-7</v>
      </c>
      <c r="G239" s="2">
        <v>1.3636273876885301E-4</v>
      </c>
      <c r="H239" s="2" t="s">
        <v>2869</v>
      </c>
      <c r="I239" s="2" t="s">
        <v>94</v>
      </c>
      <c r="J239" s="2" t="str">
        <f>HYPERLINK("https://vectorbase.org/vectorbase/app/record/gene/AGAP005715","AGAP005715-RB")</f>
        <v>AGAP005715-RB</v>
      </c>
      <c r="K239" s="2" t="str">
        <f>HYPERLINK(".\links\pep\AGAP005715-PB-pep.txt","AGAP005715-PB")</f>
        <v>AGAP005715-PB</v>
      </c>
      <c r="L239" s="8" t="s">
        <v>88</v>
      </c>
      <c r="M239" s="2">
        <v>417</v>
      </c>
      <c r="N239" s="2">
        <v>0</v>
      </c>
      <c r="O239" s="2">
        <v>1</v>
      </c>
      <c r="P239" s="2" t="s">
        <v>2870</v>
      </c>
      <c r="Q239" s="2" t="s">
        <v>2871</v>
      </c>
      <c r="R239" s="2" t="s">
        <v>347</v>
      </c>
      <c r="S239" s="2" t="str">
        <f>HYPERLINK(".\links\REFSEQ-INVERTEBRATE\AGAP005715-PB-REFSEQ-INVERTEBRATE.txt","REFSEQ-INVERTEBRATE")</f>
        <v>REFSEQ-INVERTEBRATE</v>
      </c>
      <c r="T239" s="2">
        <v>0</v>
      </c>
      <c r="U239" s="2">
        <v>105</v>
      </c>
      <c r="V239" s="2" t="s">
        <v>2872</v>
      </c>
      <c r="W239" s="10" t="s">
        <v>2873</v>
      </c>
      <c r="X239" s="2" t="s">
        <v>347</v>
      </c>
      <c r="Y239" s="2" t="str">
        <f>HYPERLINK(".\links\ARTHORPODA\AGAP005715-PB-ARTHORPODA.txt","ARTHORPODA")</f>
        <v>ARTHORPODA</v>
      </c>
      <c r="Z239" s="13">
        <v>0</v>
      </c>
      <c r="AA239" s="2">
        <v>80</v>
      </c>
      <c r="AB239" s="8" t="str">
        <f>HYPERLINK(".\links\pep\AGAP005715-PB-sulf.txt","2")</f>
        <v>2</v>
      </c>
      <c r="AC239" s="8" t="str">
        <f>HYPERLINK(".\links\Sigp\AGAP005715-PB-SigP.txt","CYT")</f>
        <v>CYT</v>
      </c>
      <c r="AD239" s="2" t="s">
        <v>94</v>
      </c>
      <c r="AE239" s="2">
        <v>46.234000000000002</v>
      </c>
      <c r="AF239" s="2">
        <v>5.22</v>
      </c>
      <c r="AG239" s="2" t="s">
        <v>94</v>
      </c>
      <c r="AH239" s="2" t="s">
        <v>94</v>
      </c>
      <c r="AI239" s="2" t="s">
        <v>2874</v>
      </c>
      <c r="AJ239" s="8">
        <v>0</v>
      </c>
      <c r="AK239" s="2" t="s">
        <v>94</v>
      </c>
      <c r="AL239" s="2" t="s">
        <v>94</v>
      </c>
      <c r="AM239" s="2" t="s">
        <v>94</v>
      </c>
      <c r="AN239" s="8" t="str">
        <f>HYPERLINK(".\links\gpi\AGAP005715-PB-gpi.txt","N")</f>
        <v>N</v>
      </c>
      <c r="AO239" s="8" t="str">
        <f>HYPERLINK(".\links\netoglyc\AGAP005715-PB-netoglyc.txt","11")</f>
        <v>11</v>
      </c>
      <c r="AP239" s="8">
        <v>18.7</v>
      </c>
      <c r="AQ239" s="2">
        <v>5.8</v>
      </c>
      <c r="AR239" s="2">
        <v>6</v>
      </c>
      <c r="AS239" s="2" t="s">
        <v>97</v>
      </c>
      <c r="AT239" s="2" t="str">
        <f>HYPERLINK(".\links\NR-LIGHT\AGAP005715-PB-NR-LIGHT.txt","AGAP005715-PB")</f>
        <v>AGAP005715-PB</v>
      </c>
      <c r="AU239" s="2" t="str">
        <f>HYPERLINK("http://www.ncbi.nlm.nih.gov/sutils/blink.cgi?pid=XP_001688716.1","0.0")</f>
        <v>0.0</v>
      </c>
      <c r="AV239" s="2" t="str">
        <f>HYPERLINK("http://www.ncbi.nlm.nih.gov/protein/XP_001688716.1","XP_001688716.1")</f>
        <v>XP_001688716.1</v>
      </c>
      <c r="AW239" s="2">
        <v>100</v>
      </c>
      <c r="AX239" s="2">
        <v>100</v>
      </c>
      <c r="AY239" s="2">
        <v>100</v>
      </c>
      <c r="AZ239" s="2" t="s">
        <v>98</v>
      </c>
      <c r="BA239" s="2" t="str">
        <f>HYPERLINK(".\links\REFSEQ-INVERTEBRATE\AGAP005715-PB-REFSEQ-INVERTEBRATE.txt","AGAP005715-PB")</f>
        <v>AGAP005715-PB</v>
      </c>
      <c r="BB239" s="2" t="str">
        <f>HYPERLINK("http://www.ncbi.nlm.nih.gov/sutils/blink.cgi?pid=XP_001688716.1","0.0")</f>
        <v>0.0</v>
      </c>
      <c r="BC239" s="2" t="str">
        <f>HYPERLINK("http://www.ncbi.nlm.nih.gov/protein/XP_001688716.1","XP_001688716.1")</f>
        <v>XP_001688716.1</v>
      </c>
      <c r="BD239" s="2">
        <v>100</v>
      </c>
      <c r="BE239" s="2">
        <v>100</v>
      </c>
      <c r="BF239" s="2">
        <v>100</v>
      </c>
      <c r="BG239" s="2" t="s">
        <v>98</v>
      </c>
      <c r="BH239" s="2" t="str">
        <f>HYPERLINK(".\links\REFSEQ-PROTOZOA\AGAP005715-PB-REFSEQ-PROTOZOA.txt","hypothetical protein EMH_0081200")</f>
        <v>hypothetical protein EMH_0081200</v>
      </c>
      <c r="BI239" s="2" t="str">
        <f>HYPERLINK("http://www.ncbi.nlm.nih.gov/sutils/blink.cgi?pid=XP_013355807.1","0.001")</f>
        <v>0.001</v>
      </c>
      <c r="BJ239" s="2" t="str">
        <f>HYPERLINK("http://www.ncbi.nlm.nih.gov/protein/XP_013355807.1","XP_013355807.1")</f>
        <v>XP_013355807.1</v>
      </c>
      <c r="BK239" s="2">
        <v>28</v>
      </c>
      <c r="BL239" s="2">
        <v>43</v>
      </c>
      <c r="BM239" s="2">
        <v>50</v>
      </c>
      <c r="BN239" s="2" t="s">
        <v>383</v>
      </c>
      <c r="BO239" s="2" t="str">
        <f>HYPERLINK(".\links\SWISSP\AGAP005715-PB-SWISSP.txt","Autophagy-related protein 13 homolog")</f>
        <v>Autophagy-related protein 13 homolog</v>
      </c>
      <c r="BP239" s="2" t="str">
        <f>HYPERLINK("http://www.uniprot.org/uniprot/Q9VHR6","7E-059")</f>
        <v>7E-059</v>
      </c>
      <c r="BQ239" s="2" t="str">
        <f>HYPERLINK("http://www.uniprot.org/uniprot/Q9VHR6#expression","Q9VHR6")</f>
        <v>Q9VHR6</v>
      </c>
      <c r="BR239" s="2">
        <v>35</v>
      </c>
      <c r="BS239" s="2">
        <v>50</v>
      </c>
      <c r="BT239" s="2">
        <v>87</v>
      </c>
      <c r="BU239" s="2" t="s">
        <v>100</v>
      </c>
      <c r="BV239" s="2" t="str">
        <f>HYPERLINK(".\links\FLYBASE\AGAP005715-PB-FLYBASE.txt","FBpp0081333")</f>
        <v>FBpp0081333</v>
      </c>
      <c r="BW239" s="2" t="str">
        <f>HYPERLINK("http://flybase.org/reports/FBgn0261108#alliance_summary_container","1E-67")</f>
        <v>1E-67</v>
      </c>
      <c r="BX239" s="2">
        <v>523</v>
      </c>
      <c r="BY239" s="2">
        <v>35</v>
      </c>
      <c r="BZ239" s="2">
        <v>49</v>
      </c>
      <c r="CA239" s="2">
        <v>88</v>
      </c>
      <c r="CB239" s="2" t="str">
        <f>HYPERLINK(".\links\CDD\AGAP005715-PB-CDD.txt","ATG13, Autophagy-related protein 13")</f>
        <v>ATG13, Autophagy-related protein 13</v>
      </c>
      <c r="CC239" s="13">
        <v>0.04</v>
      </c>
      <c r="CD239" s="2">
        <v>54.7</v>
      </c>
      <c r="CE239" s="2" t="s">
        <v>2875</v>
      </c>
      <c r="CF239" s="2" t="s">
        <v>2876</v>
      </c>
      <c r="CG239" s="2" t="str">
        <f>HYPERLINK(".\links\KOG\AGAP005715-PB-KOG.txt","Uncharacterized conserved protein")</f>
        <v>Uncharacterized conserved protein</v>
      </c>
      <c r="CH239" s="13">
        <v>4.0000000000000002E-42</v>
      </c>
      <c r="CI239" s="2">
        <v>89.9</v>
      </c>
      <c r="CJ239" s="2" t="s">
        <v>2877</v>
      </c>
      <c r="CK239" s="2" t="s">
        <v>447</v>
      </c>
      <c r="CL239" s="2" t="str">
        <f>HYPERLINK(".\links\PFAM\AGAP005715-PB-PFAM.txt","ATG13, Autophagy-related protein 13")</f>
        <v>ATG13, Autophagy-related protein 13</v>
      </c>
      <c r="CM239" s="13">
        <v>8.0000000000000002E-3</v>
      </c>
      <c r="CN239" s="2">
        <v>54.7</v>
      </c>
      <c r="CO239" s="2" t="s">
        <v>2875</v>
      </c>
      <c r="CP239" s="2" t="str">
        <f>HYPERLINK(".\links\SMART\AGAP005715-PB-SMART.txt","PKS_DH, Dehydratase domain in polyketide synthase (PKS) enzymes")</f>
        <v>PKS_DH, Dehydratase domain in polyketide synthase (PKS) enzymes</v>
      </c>
      <c r="CQ239" s="13">
        <v>0.46</v>
      </c>
      <c r="CR239" s="2">
        <v>15.6</v>
      </c>
      <c r="CS239" s="2" t="s">
        <v>2878</v>
      </c>
      <c r="CT239" s="2" t="s">
        <v>2872</v>
      </c>
      <c r="CU239" s="2" t="s">
        <v>2872</v>
      </c>
      <c r="CV239" s="2" t="s">
        <v>2872</v>
      </c>
      <c r="CW239" s="2" t="str">
        <f>HYPERLINK(".\links\pep\AGAP005715-PB-pep.txt","AGAP005715-PB")</f>
        <v>AGAP005715-PB</v>
      </c>
      <c r="CX239" s="2" t="s">
        <v>88</v>
      </c>
      <c r="CY239" s="2">
        <v>417</v>
      </c>
      <c r="CZ239" s="2" t="s">
        <v>106</v>
      </c>
      <c r="DA239" s="2">
        <v>0</v>
      </c>
      <c r="DB239" s="2">
        <v>1</v>
      </c>
      <c r="DD239" s="2" t="str">
        <f>HYPERLINK("https://www.kegg.jp/kegg-bin/search_pathway_text?map=aga&amp;keyword=AGAP005715&amp;mode=1&amp;viewImage=true","AGAP005715")</f>
        <v>AGAP005715</v>
      </c>
      <c r="DE239" s="2" t="s">
        <v>2868</v>
      </c>
      <c r="DF239" s="2" t="s">
        <v>2869</v>
      </c>
      <c r="DG239" s="2" t="s">
        <v>94</v>
      </c>
      <c r="DH239" s="2" t="str">
        <f>HYPERLINK("https://vectorbase.org/vectorbase/app/record/gene/AGAP005715","AGAP005715-RB")</f>
        <v>AGAP005715-RB</v>
      </c>
      <c r="DI239" s="2" t="s">
        <v>143</v>
      </c>
      <c r="DJ239" s="2">
        <v>1782</v>
      </c>
      <c r="DK239" s="2" t="str">
        <f>HYPERLINK(".\links\netoglyc\AGAP005715-PB-netoglyc.txt","11")</f>
        <v>11</v>
      </c>
      <c r="DL239" s="2">
        <v>18.7</v>
      </c>
      <c r="DM239" s="2">
        <v>5.8</v>
      </c>
      <c r="DN239" s="2">
        <v>6</v>
      </c>
      <c r="DO239" s="2" t="s">
        <v>97</v>
      </c>
      <c r="DP239" s="2" t="s">
        <v>2879</v>
      </c>
      <c r="DQ239" s="2" t="str">
        <f>HYPERLINK(".\links\Sigp\AGAP005715-PB-SigP.txt","CYT")</f>
        <v>CYT</v>
      </c>
      <c r="DR239" s="2" t="s">
        <v>94</v>
      </c>
      <c r="DS239" s="2">
        <v>46.234000000000002</v>
      </c>
      <c r="DT239" s="2">
        <v>5.22</v>
      </c>
      <c r="DU239" s="2" t="s">
        <v>94</v>
      </c>
      <c r="DV239" s="2" t="s">
        <v>94</v>
      </c>
      <c r="DW239" s="2" t="s">
        <v>2874</v>
      </c>
      <c r="DX239" s="2">
        <v>417</v>
      </c>
      <c r="DY239" s="8">
        <v>0</v>
      </c>
      <c r="DZ239" s="2" t="s">
        <v>94</v>
      </c>
      <c r="EA239" s="2" t="s">
        <v>94</v>
      </c>
      <c r="EB239" s="2" t="s">
        <v>94</v>
      </c>
      <c r="EC239" s="2" t="str">
        <f>HYPERLINK(".\links\gpi\AGAP005715-PB-gpi.txt","N")</f>
        <v>N</v>
      </c>
      <c r="ED239" s="2">
        <v>0.19</v>
      </c>
      <c r="EF239" s="2">
        <v>8</v>
      </c>
      <c r="EG239" s="2" t="str">
        <f>HYPERLINK(".\links\pep\AGAP005715-PB-sulf.txt","2")</f>
        <v>2</v>
      </c>
      <c r="EH239" s="2" t="s">
        <v>94</v>
      </c>
      <c r="EI239" s="2">
        <v>18.705035971223001</v>
      </c>
      <c r="EJ239" s="2">
        <v>5.9952038369304601</v>
      </c>
      <c r="EK239" s="2">
        <v>5.7553956834532398</v>
      </c>
      <c r="EL239" s="2">
        <v>11.7505995203837</v>
      </c>
      <c r="EM239" s="2" t="s">
        <v>94</v>
      </c>
      <c r="EN239" s="2">
        <v>1</v>
      </c>
      <c r="EO239" s="2">
        <v>2</v>
      </c>
      <c r="EP239" s="2" t="s">
        <v>94</v>
      </c>
      <c r="EQ239" s="2" t="s">
        <v>94</v>
      </c>
      <c r="ER239" s="2" t="s">
        <v>94</v>
      </c>
      <c r="ES239" s="2" t="s">
        <v>94</v>
      </c>
      <c r="ET239" s="2" t="str">
        <f>HYPERLINK(".\links\REFSEQ-INVERTEBRATE\AGAP005715-PB-REFSEQ-INVERTEBRATE.txt","AGAP005715-PA")</f>
        <v>AGAP005715-PA</v>
      </c>
      <c r="EU239" s="2" t="str">
        <f>HYPERLINK("http://www.ncbi.nlm.nih.gov/sutils/blink.cgi?pid=XP_315727.4","0.0")</f>
        <v>0.0</v>
      </c>
      <c r="EV239" s="2" t="str">
        <f>HYPERLINK("http://www.ncbi.nlm.nih.gov/protein/XP_315727.4","XP_315727.4")</f>
        <v>XP_315727.4</v>
      </c>
      <c r="EW239" s="2">
        <v>100</v>
      </c>
      <c r="EX239" s="2">
        <v>100</v>
      </c>
      <c r="EY239" s="2">
        <v>81</v>
      </c>
      <c r="EZ239" s="2" t="s">
        <v>98</v>
      </c>
    </row>
    <row r="240" spans="1:156" x14ac:dyDescent="0.25">
      <c r="A240" s="2" t="s">
        <v>2880</v>
      </c>
      <c r="B240" s="2">
        <v>-1.4300168024690401</v>
      </c>
      <c r="C240" s="2">
        <v>0.3711265702753011</v>
      </c>
      <c r="D240" s="2">
        <v>8.4102405545262897</v>
      </c>
      <c r="E240" s="2">
        <v>41.327166698157299</v>
      </c>
      <c r="F240" s="2">
        <v>1.2876681534806999E-10</v>
      </c>
      <c r="G240" s="2">
        <v>1.5221847159333801E-7</v>
      </c>
      <c r="H240" s="2" t="s">
        <v>86</v>
      </c>
      <c r="I240" s="2" t="s">
        <v>87</v>
      </c>
      <c r="J240" s="2" t="str">
        <f>HYPERLINK("https://vectorbase.org/vectorbase/app/record/gene/AGAP012296","AGAP012296-RA")</f>
        <v>AGAP012296-RA</v>
      </c>
      <c r="K240" s="2" t="str">
        <f>HYPERLINK(".\links\pep\AGAP012296-PA-pep.txt","AGAP012296-PA")</f>
        <v>AGAP012296-PA</v>
      </c>
      <c r="L240" s="8" t="s">
        <v>88</v>
      </c>
      <c r="M240" s="2">
        <v>545</v>
      </c>
      <c r="N240" s="2">
        <v>0</v>
      </c>
      <c r="O240" s="2">
        <v>4</v>
      </c>
      <c r="P240" s="2" t="s">
        <v>2881</v>
      </c>
      <c r="Q240" s="2" t="s">
        <v>676</v>
      </c>
      <c r="R240" s="2" t="s">
        <v>147</v>
      </c>
      <c r="S240" s="2" t="str">
        <f>HYPERLINK(".\links\PFAM\AGAP012296-PA-PFAM.txt","PFAM")</f>
        <v>PFAM</v>
      </c>
      <c r="T240" s="2">
        <v>7.9999999999999998E-66</v>
      </c>
      <c r="U240" s="2">
        <v>110.6</v>
      </c>
      <c r="V240" s="2" t="s">
        <v>2882</v>
      </c>
      <c r="W240" s="10" t="s">
        <v>2883</v>
      </c>
      <c r="X240" s="2" t="s">
        <v>147</v>
      </c>
      <c r="Y240" s="2" t="str">
        <f>HYPERLINK(".\links\REFSEQVERTEBRATE95\AGAP012296-PA-REFSEQVERTEBRATE95.txt","REFSEQVERTEBRATE95")</f>
        <v>REFSEQVERTEBRATE95</v>
      </c>
      <c r="Z240" s="2">
        <v>0</v>
      </c>
      <c r="AA240" s="2">
        <v>101.8</v>
      </c>
      <c r="AB240" s="8" t="s">
        <v>94</v>
      </c>
      <c r="AC240" s="8" t="str">
        <f>HYPERLINK(".\links\Sigp\AGAP012296-PA-SigP.txt","BL")</f>
        <v>BL</v>
      </c>
      <c r="AD240" s="2" t="s">
        <v>863</v>
      </c>
      <c r="AE240" s="2">
        <v>62.814999999999998</v>
      </c>
      <c r="AF240" s="2">
        <v>8.32</v>
      </c>
      <c r="AG240" s="2">
        <v>60.012999999999998</v>
      </c>
      <c r="AH240" s="2">
        <v>8.35</v>
      </c>
      <c r="AI240" s="2" t="s">
        <v>2884</v>
      </c>
      <c r="AJ240" s="8" t="str">
        <f>HYPERLINK(".\links\tmhmm\AGAP012296-PA-tmhmm.txt","1")</f>
        <v>1</v>
      </c>
      <c r="AK240" s="2">
        <v>3.1</v>
      </c>
      <c r="AL240" s="2">
        <v>96</v>
      </c>
      <c r="AM240" s="2">
        <v>0.9</v>
      </c>
      <c r="AN240" s="8" t="str">
        <f>HYPERLINK(".\links\gpi\AGAP012296-PA-gpi.txt","N")</f>
        <v>N</v>
      </c>
      <c r="AO240" s="8" t="str">
        <f>HYPERLINK(".\links\netoglyc\AGAP012296-PA-netoglyc.txt","1")</f>
        <v>1</v>
      </c>
      <c r="AP240" s="8">
        <v>9.4</v>
      </c>
      <c r="AQ240" s="2">
        <v>5.7</v>
      </c>
      <c r="AR240" s="2">
        <v>5</v>
      </c>
      <c r="AS240" s="2" t="s">
        <v>97</v>
      </c>
      <c r="AT240" s="2" t="str">
        <f>HYPERLINK(".\links\NR-LIGHT\AGAP012296-PA-NR-LIGHT.txt","AGAP012296-PA")</f>
        <v>AGAP012296-PA</v>
      </c>
      <c r="AU240" s="2" t="str">
        <f>HYPERLINK("http://www.ncbi.nlm.nih.gov/sutils/blink.cgi?pid=XP_551896.3","0.0")</f>
        <v>0.0</v>
      </c>
      <c r="AV240" s="2" t="str">
        <f>HYPERLINK("http://www.ncbi.nlm.nih.gov/protein/XP_551896.3","XP_551896.3")</f>
        <v>XP_551896.3</v>
      </c>
      <c r="AW240" s="2">
        <v>100</v>
      </c>
      <c r="AX240" s="2">
        <v>100</v>
      </c>
      <c r="AY240" s="2">
        <v>100</v>
      </c>
      <c r="AZ240" s="2" t="s">
        <v>98</v>
      </c>
      <c r="BA240" s="2" t="str">
        <f>HYPERLINK(".\links\REFSEQ-INVERTEBRATE\AGAP012296-PA-REFSEQ-INVERTEBRATE.txt","AGAP012296-PA")</f>
        <v>AGAP012296-PA</v>
      </c>
      <c r="BB240" s="2" t="str">
        <f>HYPERLINK("http://www.ncbi.nlm.nih.gov/sutils/blink.cgi?pid=XP_551896.3","0.0")</f>
        <v>0.0</v>
      </c>
      <c r="BC240" s="2" t="str">
        <f>HYPERLINK("http://www.ncbi.nlm.nih.gov/protein/XP_551896.3","XP_551896.3")</f>
        <v>XP_551896.3</v>
      </c>
      <c r="BD240" s="2">
        <v>100</v>
      </c>
      <c r="BE240" s="2">
        <v>100</v>
      </c>
      <c r="BF240" s="2">
        <v>100</v>
      </c>
      <c r="BG240" s="2" t="s">
        <v>98</v>
      </c>
      <c r="BH240" s="2" t="str">
        <f>HYPERLINK(".\links\REFSEQ-PROTOZOA\AGAP012296-PA-REFSEQ-PROTOZOA.txt","hypothetical protein EMIHUDRAFT_452377")</f>
        <v>hypothetical protein EMIHUDRAFT_452377</v>
      </c>
      <c r="BI240" s="2" t="str">
        <f>HYPERLINK("http://www.ncbi.nlm.nih.gov/sutils/blink.cgi?pid=XP_005764004.1","8E-031")</f>
        <v>8E-031</v>
      </c>
      <c r="BJ240" s="2" t="str">
        <f>HYPERLINK("http://www.ncbi.nlm.nih.gov/protein/XP_005764004.1","XP_005764004.1")</f>
        <v>XP_005764004.1</v>
      </c>
      <c r="BK240" s="2">
        <v>25</v>
      </c>
      <c r="BL240" s="2">
        <v>42</v>
      </c>
      <c r="BM240" s="2">
        <v>46</v>
      </c>
      <c r="BN240" s="2" t="s">
        <v>2625</v>
      </c>
      <c r="BO240" s="2" t="str">
        <f>HYPERLINK(".\links\SWISSP\AGAP012296-PA-SWISSP.txt","Probable cytochrome P450 9f2")</f>
        <v>Probable cytochrome P450 9f2</v>
      </c>
      <c r="BP240" s="2" t="str">
        <f>HYPERLINK("http://www.uniprot.org/uniprot/Q9VG82","1E-112")</f>
        <v>1E-112</v>
      </c>
      <c r="BQ240" s="2" t="str">
        <f>HYPERLINK("http://www.uniprot.org/uniprot/Q9VG82#expression","Q9VG82")</f>
        <v>Q9VG82</v>
      </c>
      <c r="BR240" s="2">
        <v>41</v>
      </c>
      <c r="BS240" s="2">
        <v>61</v>
      </c>
      <c r="BT240" s="2">
        <v>101</v>
      </c>
      <c r="BU240" s="2" t="s">
        <v>100</v>
      </c>
      <c r="BV240" s="2" t="str">
        <f>HYPERLINK(".\links\FLYBASE\AGAP012296-PA-FLYBASE.txt","FBpp0082070")</f>
        <v>FBpp0082070</v>
      </c>
      <c r="BW240" s="2" t="str">
        <f>HYPERLINK("http://flybase.org/reports/FBgn0038037#alliance_summary_container","1E-140")</f>
        <v>1E-140</v>
      </c>
      <c r="BX240" s="2">
        <v>516</v>
      </c>
      <c r="BY240" s="2">
        <v>39</v>
      </c>
      <c r="BZ240" s="2">
        <v>62</v>
      </c>
      <c r="CA240" s="2">
        <v>102</v>
      </c>
      <c r="CB240" s="2" t="str">
        <f>HYPERLINK(".\links\CDD\AGAP012296-PA-CDD.txt","p450, Cytochrome P450")</f>
        <v>p450, Cytochrome P450</v>
      </c>
      <c r="CC240" s="13">
        <v>3.9999999999999997E-65</v>
      </c>
      <c r="CD240" s="2">
        <v>110.6</v>
      </c>
      <c r="CE240" s="2" t="s">
        <v>101</v>
      </c>
      <c r="CF240" s="2" t="s">
        <v>2885</v>
      </c>
      <c r="CG240" s="2" t="str">
        <f>HYPERLINK(".\links\KOG\AGAP012296-PA-KOG.txt","Cytochrome P450 CYP3/CYP5/CYP6/CYP9 subfamilies")</f>
        <v>Cytochrome P450 CYP3/CYP5/CYP6/CYP9 subfamilies</v>
      </c>
      <c r="CH240" s="13">
        <v>1E-136</v>
      </c>
      <c r="CI240" s="2">
        <v>108.2</v>
      </c>
      <c r="CJ240" s="2" t="s">
        <v>103</v>
      </c>
      <c r="CK240" s="2" t="s">
        <v>104</v>
      </c>
      <c r="CL240" s="2" t="str">
        <f>HYPERLINK(".\links\PFAM\AGAP012296-PA-PFAM.txt","p450, Cytochrome P450")</f>
        <v>p450, Cytochrome P450</v>
      </c>
      <c r="CM240" s="13">
        <v>7.9999999999999998E-66</v>
      </c>
      <c r="CN240" s="2">
        <v>110.6</v>
      </c>
      <c r="CO240" s="2" t="s">
        <v>101</v>
      </c>
      <c r="CP240" s="2" t="str">
        <f>HYPERLINK(".\links\SMART\AGAP012296-PA-SMART.txt","Lactamase_B, Metallo-beta-lactamase superfamily")</f>
        <v>Lactamase_B, Metallo-beta-lactamase superfamily</v>
      </c>
      <c r="CQ240" s="13">
        <v>1.8</v>
      </c>
      <c r="CR240" s="2">
        <v>28.8</v>
      </c>
      <c r="CS240" s="2" t="s">
        <v>2886</v>
      </c>
      <c r="CT240" s="2" t="s">
        <v>2882</v>
      </c>
      <c r="CU240" s="2" t="s">
        <v>2882</v>
      </c>
      <c r="CV240" s="2" t="s">
        <v>2882</v>
      </c>
      <c r="CW240" s="2" t="str">
        <f>HYPERLINK(".\links\pep\AGAP012296-PA-pep.txt","AGAP012296-PA")</f>
        <v>AGAP012296-PA</v>
      </c>
      <c r="CX240" s="2" t="s">
        <v>88</v>
      </c>
      <c r="CY240" s="2">
        <v>545</v>
      </c>
      <c r="CZ240" s="2" t="s">
        <v>106</v>
      </c>
      <c r="DA240" s="2" t="s">
        <v>2887</v>
      </c>
      <c r="DB240" s="2">
        <v>0</v>
      </c>
      <c r="DC240" s="2">
        <v>4</v>
      </c>
      <c r="DD240" s="2" t="str">
        <f>HYPERLINK("https://www.kegg.jp/kegg-bin/search_pathway_text?map=aga&amp;keyword=AGAP012296&amp;mode=1&amp;viewImage=true","AGAP012296")</f>
        <v>AGAP012296</v>
      </c>
      <c r="DE240" s="2" t="s">
        <v>2880</v>
      </c>
      <c r="DF240" s="2" t="s">
        <v>86</v>
      </c>
      <c r="DG240" s="2" t="s">
        <v>87</v>
      </c>
      <c r="DH240" s="2" t="str">
        <f>HYPERLINK("https://vectorbase.org/vectorbase/app/record/gene/AGAP012296","AGAP012296-RA")</f>
        <v>AGAP012296-RA</v>
      </c>
      <c r="DI240" s="2" t="s">
        <v>250</v>
      </c>
      <c r="DJ240" s="2">
        <v>1793</v>
      </c>
      <c r="DK240" s="2" t="str">
        <f>HYPERLINK(".\links\netoglyc\AGAP012296-PA-netoglyc.txt","1")</f>
        <v>1</v>
      </c>
      <c r="DL240" s="2">
        <v>9.4</v>
      </c>
      <c r="DM240" s="2">
        <v>5.7</v>
      </c>
      <c r="DN240" s="2">
        <v>5</v>
      </c>
      <c r="DO240" s="2" t="s">
        <v>97</v>
      </c>
      <c r="DP240" s="2" t="s">
        <v>94</v>
      </c>
      <c r="DQ240" s="2" t="str">
        <f>HYPERLINK(".\links\Sigp\AGAP012296-PA-SigP.txt","BL")</f>
        <v>BL</v>
      </c>
      <c r="DR240" s="2" t="s">
        <v>863</v>
      </c>
      <c r="DS240" s="2">
        <v>62.814999999999998</v>
      </c>
      <c r="DT240" s="2">
        <v>8.32</v>
      </c>
      <c r="DU240" s="2">
        <v>60.012999999999998</v>
      </c>
      <c r="DV240" s="2">
        <v>8.35</v>
      </c>
      <c r="DW240" s="2" t="s">
        <v>2884</v>
      </c>
      <c r="DX240" s="2">
        <v>545</v>
      </c>
      <c r="DY240" s="8" t="str">
        <f>HYPERLINK(".\links\tmhmm\AGAP012296-PA-tmhmm.txt","1")</f>
        <v>1</v>
      </c>
      <c r="DZ240" s="2">
        <v>3.1</v>
      </c>
      <c r="EA240" s="2">
        <v>96</v>
      </c>
      <c r="EB240" s="2">
        <v>0.9</v>
      </c>
      <c r="EC240" s="2" t="str">
        <f>HYPERLINK(".\links\gpi\AGAP012296-PA-gpi.txt","N")</f>
        <v>N</v>
      </c>
      <c r="ED240" s="2">
        <v>0.24</v>
      </c>
      <c r="EF240" s="2">
        <v>6</v>
      </c>
      <c r="EG240" s="2" t="s">
        <v>94</v>
      </c>
      <c r="EH240" s="2" t="s">
        <v>94</v>
      </c>
      <c r="EI240" s="2">
        <v>9.3577981651376092</v>
      </c>
      <c r="EJ240" s="2">
        <v>4.9541284403669703</v>
      </c>
      <c r="EK240" s="2">
        <v>5.6880733944954098</v>
      </c>
      <c r="EL240" s="2">
        <v>10.6422018348624</v>
      </c>
      <c r="EM240" s="2" t="s">
        <v>94</v>
      </c>
      <c r="EN240" s="2">
        <v>7</v>
      </c>
      <c r="EO240" s="2">
        <v>7</v>
      </c>
      <c r="EP240" s="2" t="s">
        <v>94</v>
      </c>
      <c r="EQ240" s="2" t="s">
        <v>94</v>
      </c>
      <c r="ER240" s="2" t="s">
        <v>94</v>
      </c>
      <c r="ES240" s="2" t="s">
        <v>94</v>
      </c>
      <c r="ET240" s="2" t="str">
        <f>HYPERLINK(".\links\REFSEQ-INVERTEBRATE\AGAP012296-PA-REFSEQ-INVERTEBRATE.txt","AGAP012296-PA")</f>
        <v>AGAP012296-PA</v>
      </c>
      <c r="EU240" s="2" t="str">
        <f>HYPERLINK("http://www.ncbi.nlm.nih.gov/sutils/blink.cgi?pid=XP_551896.3","0.0")</f>
        <v>0.0</v>
      </c>
      <c r="EV240" s="2" t="str">
        <f>HYPERLINK("http://www.ncbi.nlm.nih.gov/protein/XP_551896.3","XP_551896.3")</f>
        <v>XP_551896.3</v>
      </c>
      <c r="EW240" s="2">
        <v>100</v>
      </c>
      <c r="EX240" s="2">
        <v>100</v>
      </c>
      <c r="EY240" s="2">
        <v>100</v>
      </c>
      <c r="EZ240" s="2" t="s">
        <v>98</v>
      </c>
    </row>
    <row r="241" spans="1:156" x14ac:dyDescent="0.25">
      <c r="A241" s="2" t="s">
        <v>2888</v>
      </c>
      <c r="B241" s="2">
        <v>-1.4524468576223599</v>
      </c>
      <c r="C241" s="2">
        <v>0.36540116590707672</v>
      </c>
      <c r="D241" s="2">
        <v>2.5076358068625502</v>
      </c>
      <c r="E241" s="2">
        <v>18.2166125825111</v>
      </c>
      <c r="F241" s="2">
        <v>1.97151683446487E-5</v>
      </c>
      <c r="G241" s="2">
        <v>2.0949027756780102E-3</v>
      </c>
      <c r="H241" s="2" t="s">
        <v>2889</v>
      </c>
      <c r="I241" s="2" t="s">
        <v>87</v>
      </c>
      <c r="J241" s="2" t="str">
        <f>HYPERLINK("https://vectorbase.org/vectorbase/app/record/gene/AGAP003688","AGAP003688-RA")</f>
        <v>AGAP003688-RA</v>
      </c>
      <c r="K241" s="2" t="str">
        <f>HYPERLINK(".\links\pep\AGAP003688-PA-pep.txt","AGAP003688-PA")</f>
        <v>AGAP003688-PA</v>
      </c>
      <c r="L241" s="8" t="s">
        <v>88</v>
      </c>
      <c r="M241" s="2">
        <v>386</v>
      </c>
      <c r="N241" s="2">
        <v>0</v>
      </c>
      <c r="O241" s="2">
        <v>1</v>
      </c>
      <c r="P241" s="2" t="s">
        <v>2890</v>
      </c>
      <c r="Q241" s="2" t="s">
        <v>2891</v>
      </c>
      <c r="R241" s="2" t="s">
        <v>591</v>
      </c>
      <c r="S241" s="2" t="str">
        <f>HYPERLINK(".\links\KOG\AGAP003688-PA-KOG.txt","KOG")</f>
        <v>KOG</v>
      </c>
      <c r="T241" s="2">
        <v>0</v>
      </c>
      <c r="U241" s="2">
        <v>94</v>
      </c>
      <c r="V241" s="2" t="s">
        <v>2892</v>
      </c>
      <c r="W241" s="10" t="s">
        <v>2893</v>
      </c>
      <c r="X241" s="2" t="s">
        <v>591</v>
      </c>
      <c r="Y241" s="2" t="str">
        <f>HYPERLINK(".\links\COG\AGAP003688-PA-COG.txt","COG")</f>
        <v>COG</v>
      </c>
      <c r="Z241" s="13">
        <v>2.9999999999999998E-63</v>
      </c>
      <c r="AA241" s="2">
        <v>90</v>
      </c>
      <c r="AB241" s="8" t="str">
        <f>HYPERLINK(".\links\pep\AGAP003688-PA-sulf.txt","1")</f>
        <v>1</v>
      </c>
      <c r="AC241" s="8" t="str">
        <f>HYPERLINK(".\links\Sigp\AGAP003688-PA-SigP.txt","CYT")</f>
        <v>CYT</v>
      </c>
      <c r="AD241" s="2" t="s">
        <v>94</v>
      </c>
      <c r="AE241" s="2">
        <v>42.037999999999997</v>
      </c>
      <c r="AF241" s="2">
        <v>6.14</v>
      </c>
      <c r="AG241" s="2" t="s">
        <v>94</v>
      </c>
      <c r="AH241" s="2" t="s">
        <v>94</v>
      </c>
      <c r="AI241" s="2" t="s">
        <v>2894</v>
      </c>
      <c r="AJ241" s="8">
        <v>0</v>
      </c>
      <c r="AK241" s="2" t="s">
        <v>94</v>
      </c>
      <c r="AL241" s="2" t="s">
        <v>94</v>
      </c>
      <c r="AM241" s="2" t="s">
        <v>94</v>
      </c>
      <c r="AN241" s="8" t="str">
        <f>HYPERLINK(".\links\gpi\AGAP003688-PA-gpi.txt","N")</f>
        <v>N</v>
      </c>
      <c r="AO241" s="8" t="str">
        <f>HYPERLINK(".\links\netoglyc\AGAP003688-PA-netoglyc.txt","0")</f>
        <v>0</v>
      </c>
      <c r="AP241" s="8">
        <v>9.3000000000000007</v>
      </c>
      <c r="AQ241" s="2">
        <v>8.3000000000000007</v>
      </c>
      <c r="AR241" s="2">
        <v>3.1</v>
      </c>
      <c r="AS241" s="2" t="s">
        <v>97</v>
      </c>
      <c r="AT241" s="2" t="str">
        <f>HYPERLINK(".\links\NR-LIGHT\AGAP003688-PA-NR-LIGHT.txt","AGAP003688-PA")</f>
        <v>AGAP003688-PA</v>
      </c>
      <c r="AU241" s="2" t="str">
        <f>HYPERLINK("http://www.ncbi.nlm.nih.gov/sutils/blink.cgi?pid=XP_313472.4","0.0")</f>
        <v>0.0</v>
      </c>
      <c r="AV241" s="2" t="str">
        <f>HYPERLINK("http://www.ncbi.nlm.nih.gov/protein/XP_313472.4","XP_313472.4")</f>
        <v>XP_313472.4</v>
      </c>
      <c r="AW241" s="2">
        <v>100</v>
      </c>
      <c r="AX241" s="2">
        <v>100</v>
      </c>
      <c r="AY241" s="2">
        <v>100</v>
      </c>
      <c r="AZ241" s="2" t="s">
        <v>98</v>
      </c>
      <c r="BA241" s="2" t="str">
        <f>HYPERLINK(".\links\REFSEQ-INVERTEBRATE\AGAP003688-PA-REFSEQ-INVERTEBRATE.txt","AGAP003688-PA")</f>
        <v>AGAP003688-PA</v>
      </c>
      <c r="BB241" s="2" t="str">
        <f>HYPERLINK("http://www.ncbi.nlm.nih.gov/sutils/blink.cgi?pid=XP_313472.4","0.0")</f>
        <v>0.0</v>
      </c>
      <c r="BC241" s="2" t="str">
        <f>HYPERLINK("http://www.ncbi.nlm.nih.gov/protein/XP_313472.4","XP_313472.4")</f>
        <v>XP_313472.4</v>
      </c>
      <c r="BD241" s="2">
        <v>100</v>
      </c>
      <c r="BE241" s="2">
        <v>100</v>
      </c>
      <c r="BF241" s="2">
        <v>100</v>
      </c>
      <c r="BG241" s="2" t="s">
        <v>98</v>
      </c>
      <c r="BH241" s="2" t="str">
        <f>HYPERLINK(".\links\REFSEQ-PROTOZOA\AGAP003688-PA-REFSEQ-PROTOZOA.txt","threonine aldolase")</f>
        <v>threonine aldolase</v>
      </c>
      <c r="BI241" s="2" t="str">
        <f>HYPERLINK("http://www.ncbi.nlm.nih.gov/sutils/blink.cgi?pid=XP_004992223.1","1E-078")</f>
        <v>1E-078</v>
      </c>
      <c r="BJ241" s="2" t="str">
        <f>HYPERLINK("http://www.ncbi.nlm.nih.gov/protein/XP_004992223.1","XP_004992223.1")</f>
        <v>XP_004992223.1</v>
      </c>
      <c r="BK241" s="2">
        <v>44</v>
      </c>
      <c r="BL241" s="2">
        <v>61</v>
      </c>
      <c r="BM241" s="2">
        <v>96</v>
      </c>
      <c r="BN241" s="2" t="s">
        <v>117</v>
      </c>
      <c r="BO241" s="2" t="str">
        <f>HYPERLINK(".\links\SWISSP\AGAP003688-PA-SWISSP.txt","Probable low-specificity L-threonine aldolase 2")</f>
        <v>Probable low-specificity L-threonine aldolase 2</v>
      </c>
      <c r="BP241" s="2" t="str">
        <f>HYPERLINK("http://www.uniprot.org/uniprot/Q9FPH3","1E-078")</f>
        <v>1E-078</v>
      </c>
      <c r="BQ241" s="2" t="str">
        <f>HYPERLINK("http://www.uniprot.org/uniprot/Q9FPH3#expression","Q9FPH3")</f>
        <v>Q9FPH3</v>
      </c>
      <c r="BR241" s="2">
        <v>43</v>
      </c>
      <c r="BS241" s="2">
        <v>62</v>
      </c>
      <c r="BT241" s="2">
        <v>106</v>
      </c>
      <c r="BU241" s="2" t="s">
        <v>823</v>
      </c>
      <c r="BV241" s="2" t="str">
        <f>HYPERLINK(".\links\FLYBASE\AGAP003688-PA-FLYBASE.txt","FBpp0083872")</f>
        <v>FBpp0083872</v>
      </c>
      <c r="BW241" s="2" t="str">
        <f>HYPERLINK("http://flybase.org/reports/FBgn0039094#alliance_summary_container","1E-169")</f>
        <v>1E-169</v>
      </c>
      <c r="BX241" s="2">
        <v>383</v>
      </c>
      <c r="BY241" s="2">
        <v>61</v>
      </c>
      <c r="BZ241" s="2">
        <v>77</v>
      </c>
      <c r="CA241" s="2">
        <v>98</v>
      </c>
      <c r="CB241" s="2" t="str">
        <f>HYPERLINK(".\links\CDD\AGAP003688-PA-CDD.txt","PLN02721, threonine aldolase")</f>
        <v>PLN02721, threonine aldolase</v>
      </c>
      <c r="CC241" s="13">
        <v>9.9999999999999994E-107</v>
      </c>
      <c r="CD241" s="2">
        <v>103.4</v>
      </c>
      <c r="CE241" s="2" t="s">
        <v>2895</v>
      </c>
      <c r="CF241" s="2" t="s">
        <v>2896</v>
      </c>
      <c r="CG241" s="2" t="str">
        <f>HYPERLINK(".\links\KOG\AGAP003688-PA-KOG.txt","Threonine aldolase")</f>
        <v>Threonine aldolase</v>
      </c>
      <c r="CH241" s="13">
        <v>1E-119</v>
      </c>
      <c r="CI241" s="2">
        <v>94</v>
      </c>
      <c r="CJ241" s="2" t="s">
        <v>2897</v>
      </c>
      <c r="CK241" s="2" t="s">
        <v>278</v>
      </c>
      <c r="CL241" s="2" t="str">
        <f>HYPERLINK(".\links\PFAM\AGAP003688-PA-PFAM.txt","Beta_elim_lyase, Beta-eliminating lyase")</f>
        <v>Beta_elim_lyase, Beta-eliminating lyase</v>
      </c>
      <c r="CM241" s="13">
        <v>9.9999999999999996E-104</v>
      </c>
      <c r="CN241" s="2">
        <v>99.3</v>
      </c>
      <c r="CO241" s="2" t="s">
        <v>2898</v>
      </c>
      <c r="CP241" s="2" t="str">
        <f>HYPERLINK(".\links\SMART\AGAP003688-PA-SMART.txt","Sec7, Sec7 domain")</f>
        <v>Sec7, Sec7 domain</v>
      </c>
      <c r="CQ241" s="13">
        <v>0.01</v>
      </c>
      <c r="CR241" s="2">
        <v>19.600000000000001</v>
      </c>
      <c r="CS241" s="2" t="s">
        <v>803</v>
      </c>
      <c r="CT241" s="2" t="s">
        <v>2892</v>
      </c>
      <c r="CU241" s="2" t="s">
        <v>2892</v>
      </c>
      <c r="CV241" s="2" t="s">
        <v>2892</v>
      </c>
      <c r="CW241" s="2" t="str">
        <f>HYPERLINK(".\links\pep\AGAP003688-PA-pep.txt","AGAP003688-PA")</f>
        <v>AGAP003688-PA</v>
      </c>
      <c r="CX241" s="2" t="s">
        <v>88</v>
      </c>
      <c r="CY241" s="2">
        <v>386</v>
      </c>
      <c r="CZ241" s="2" t="s">
        <v>106</v>
      </c>
      <c r="DA241" s="2" t="s">
        <v>2899</v>
      </c>
      <c r="DB241" s="2">
        <v>0</v>
      </c>
      <c r="DC241" s="2">
        <v>1</v>
      </c>
      <c r="DD241" s="2" t="str">
        <f>HYPERLINK("https://www.kegg.jp/kegg-bin/search_pathway_text?map=aga&amp;keyword=AGAP003688&amp;mode=1&amp;viewImage=true","AGAP003688")</f>
        <v>AGAP003688</v>
      </c>
      <c r="DE241" s="2" t="s">
        <v>2888</v>
      </c>
      <c r="DF241" s="2" t="s">
        <v>2889</v>
      </c>
      <c r="DG241" s="2" t="s">
        <v>87</v>
      </c>
      <c r="DH241" s="2" t="str">
        <f>HYPERLINK("https://vectorbase.org/vectorbase/app/record/gene/AGAP003688","AGAP003688-RA")</f>
        <v>AGAP003688-RA</v>
      </c>
      <c r="DI241" s="2" t="s">
        <v>108</v>
      </c>
      <c r="DJ241" s="2">
        <v>1561</v>
      </c>
      <c r="DK241" s="2" t="str">
        <f>HYPERLINK(".\links\netoglyc\AGAP003688-PA-netoglyc.txt","0")</f>
        <v>0</v>
      </c>
      <c r="DL241" s="2">
        <v>9.3000000000000007</v>
      </c>
      <c r="DM241" s="2">
        <v>8.3000000000000007</v>
      </c>
      <c r="DN241" s="2">
        <v>3.1</v>
      </c>
      <c r="DO241" s="2" t="s">
        <v>97</v>
      </c>
      <c r="DP241" s="2" t="s">
        <v>2900</v>
      </c>
      <c r="DQ241" s="2" t="str">
        <f>HYPERLINK(".\links\Sigp\AGAP003688-PA-SigP.txt","CYT")</f>
        <v>CYT</v>
      </c>
      <c r="DR241" s="2" t="s">
        <v>94</v>
      </c>
      <c r="DS241" s="2">
        <v>42.037999999999997</v>
      </c>
      <c r="DT241" s="2">
        <v>6.14</v>
      </c>
      <c r="DU241" s="2" t="s">
        <v>94</v>
      </c>
      <c r="DV241" s="2" t="s">
        <v>94</v>
      </c>
      <c r="DW241" s="2" t="s">
        <v>2894</v>
      </c>
      <c r="DX241" s="2">
        <v>386</v>
      </c>
      <c r="DY241" s="8">
        <v>0</v>
      </c>
      <c r="DZ241" s="2" t="s">
        <v>94</v>
      </c>
      <c r="EA241" s="2" t="s">
        <v>94</v>
      </c>
      <c r="EB241" s="2" t="s">
        <v>94</v>
      </c>
      <c r="EC241" s="2" t="str">
        <f>HYPERLINK(".\links\gpi\AGAP003688-PA-gpi.txt","Y-NoSP")</f>
        <v>Y-NoSP</v>
      </c>
      <c r="ED241" s="2">
        <v>0.26</v>
      </c>
      <c r="EF241" s="2">
        <v>8</v>
      </c>
      <c r="EG241" s="2" t="str">
        <f>HYPERLINK(".\links\pep\AGAP003688-PA-sulf.txt","1")</f>
        <v>1</v>
      </c>
      <c r="EH241" s="2" t="s">
        <v>94</v>
      </c>
      <c r="EI241" s="2">
        <v>9.3264248704663206</v>
      </c>
      <c r="EJ241" s="2">
        <v>3.1088082901554399</v>
      </c>
      <c r="EK241" s="2">
        <v>8.2901554404145106</v>
      </c>
      <c r="EL241" s="2">
        <v>11.3989637305699</v>
      </c>
      <c r="EM241" s="2">
        <v>1</v>
      </c>
      <c r="EN241" s="2">
        <v>3</v>
      </c>
      <c r="EO241" s="2">
        <v>3</v>
      </c>
      <c r="EP241" s="2" t="s">
        <v>94</v>
      </c>
      <c r="EQ241" s="2" t="s">
        <v>94</v>
      </c>
      <c r="ER241" s="2" t="s">
        <v>94</v>
      </c>
      <c r="ES241" s="2" t="s">
        <v>94</v>
      </c>
      <c r="ET241" s="2" t="str">
        <f>HYPERLINK(".\links\REFSEQ-INVERTEBRATE\AGAP003688-PA-REFSEQ-INVERTEBRATE.txt","AGAP003688-PA")</f>
        <v>AGAP003688-PA</v>
      </c>
      <c r="EU241" s="2" t="str">
        <f>HYPERLINK("http://www.ncbi.nlm.nih.gov/sutils/blink.cgi?pid=XP_313472.4","0.0")</f>
        <v>0.0</v>
      </c>
      <c r="EV241" s="2" t="str">
        <f>HYPERLINK("http://www.ncbi.nlm.nih.gov/protein/XP_313472.4","XP_313472.4")</f>
        <v>XP_313472.4</v>
      </c>
      <c r="EW241" s="2">
        <v>100</v>
      </c>
      <c r="EX241" s="2">
        <v>100</v>
      </c>
      <c r="EY241" s="2">
        <v>100</v>
      </c>
      <c r="EZ241" s="2" t="s">
        <v>98</v>
      </c>
    </row>
    <row r="242" spans="1:156" x14ac:dyDescent="0.25">
      <c r="A242" s="2" t="s">
        <v>2901</v>
      </c>
      <c r="B242" s="2">
        <v>-1.8642223065475101</v>
      </c>
      <c r="C242" s="2">
        <v>0.27467122672612576</v>
      </c>
      <c r="D242" s="2">
        <v>6.3043027024783003</v>
      </c>
      <c r="E242" s="2">
        <v>33.282799849260797</v>
      </c>
      <c r="F242" s="2">
        <v>7.9684324055762506E-9</v>
      </c>
      <c r="G242" s="2">
        <v>5.3826760899667603E-6</v>
      </c>
      <c r="H242" s="2" t="s">
        <v>2902</v>
      </c>
      <c r="I242" s="2" t="s">
        <v>94</v>
      </c>
      <c r="J242" s="2" t="str">
        <f>HYPERLINK("https://vectorbase.org/vectorbase/app/record/gene/AGAP028360","AGAP028360-RA")</f>
        <v>AGAP028360-RA</v>
      </c>
      <c r="K242" s="2" t="str">
        <f>HYPERLINK(".\links\pep\AGAP028360-PA-pep.txt","AGAP028360-PA")</f>
        <v>AGAP028360-PA</v>
      </c>
      <c r="L242" s="8" t="s">
        <v>88</v>
      </c>
      <c r="M242" s="2">
        <v>341</v>
      </c>
      <c r="N242" s="2">
        <v>0</v>
      </c>
      <c r="O242" s="2">
        <v>0</v>
      </c>
      <c r="P242" s="2" t="s">
        <v>2903</v>
      </c>
      <c r="Q242" s="2" t="s">
        <v>2904</v>
      </c>
      <c r="R242" s="2" t="s">
        <v>2905</v>
      </c>
      <c r="S242" s="2" t="str">
        <f>HYPERLINK(".\links\PFAM\AGAP028360-PA-PFAM.txt","PFAM")</f>
        <v>PFAM</v>
      </c>
      <c r="T242" s="2">
        <v>9.9999999999999998E-46</v>
      </c>
      <c r="U242" s="2">
        <v>100</v>
      </c>
      <c r="V242" s="2" t="s">
        <v>2906</v>
      </c>
      <c r="W242" s="10" t="s">
        <v>2907</v>
      </c>
      <c r="X242" s="2" t="s">
        <v>2908</v>
      </c>
      <c r="Y242" s="2" t="str">
        <f>HYPERLINK(".\links\EC\AGAP028360-PA-EC.txt","EC")</f>
        <v>EC</v>
      </c>
      <c r="Z242" s="2">
        <v>0</v>
      </c>
      <c r="AA242" s="2">
        <v>96.7</v>
      </c>
      <c r="AB242" s="8" t="s">
        <v>94</v>
      </c>
      <c r="AC242" s="8" t="str">
        <f>HYPERLINK(".\links\Sigp\AGAP028360-PA-SigP.txt","BL/SIG")</f>
        <v>BL/SIG</v>
      </c>
      <c r="AD242" s="2" t="s">
        <v>94</v>
      </c>
      <c r="AE242" s="2">
        <v>39.502000000000002</v>
      </c>
      <c r="AF242" s="2">
        <v>9.56</v>
      </c>
      <c r="AG242" s="2" t="s">
        <v>94</v>
      </c>
      <c r="AH242" s="2" t="s">
        <v>94</v>
      </c>
      <c r="AI242" s="2" t="s">
        <v>2909</v>
      </c>
      <c r="AJ242" s="8" t="str">
        <f>HYPERLINK(".\links\tmhmm\AGAP028360-PA-tmhmm.txt","9")</f>
        <v>9</v>
      </c>
      <c r="AK242" s="2">
        <v>55.7</v>
      </c>
      <c r="AL242" s="2">
        <v>25.8</v>
      </c>
      <c r="AM242" s="2">
        <v>18.5</v>
      </c>
      <c r="AN242" s="8" t="str">
        <f>HYPERLINK(".\links\gpi\AGAP028360-PA-gpi.txt","Y")</f>
        <v>Y</v>
      </c>
      <c r="AO242" s="8" t="str">
        <f>HYPERLINK(".\links\netoglyc\AGAP028360-PA-netoglyc.txt","0")</f>
        <v>0</v>
      </c>
      <c r="AP242" s="8">
        <v>14.1</v>
      </c>
      <c r="AQ242" s="2">
        <v>4.4000000000000004</v>
      </c>
      <c r="AR242" s="2">
        <v>2.2999999999999998</v>
      </c>
      <c r="AS242" s="2" t="s">
        <v>97</v>
      </c>
      <c r="AT242" s="2" t="str">
        <f>HYPERLINK(".\links\NR-LIGHT\AGAP028360-PA-NR-LIGHT.txt","ND2 gene product (mitochondrion)")</f>
        <v>ND2 gene product (mitochondrion)</v>
      </c>
      <c r="AU242" s="2" t="str">
        <f>HYPERLINK("http://www.ncbi.nlm.nih.gov/sutils/blink.cgi?pid=NP_008069.1","0.0")</f>
        <v>0.0</v>
      </c>
      <c r="AV242" s="2" t="str">
        <f>HYPERLINK("http://www.ncbi.nlm.nih.gov/protein/NP_008069.1","NP_008069.1")</f>
        <v>NP_008069.1</v>
      </c>
      <c r="AW242" s="2">
        <v>100</v>
      </c>
      <c r="AX242" s="2">
        <v>100</v>
      </c>
      <c r="AY242" s="2">
        <v>100</v>
      </c>
      <c r="AZ242" s="2" t="s">
        <v>274</v>
      </c>
      <c r="BA242" s="2" t="str">
        <f>HYPERLINK(".\links\REFSEQ-INVERTEBRATE\AGAP028360-PA-REFSEQ-INVERTEBRATE.txt","NADH dehydrogenase subunit 2 (mitochondrion)")</f>
        <v>NADH dehydrogenase subunit 2 (mitochondrion)</v>
      </c>
      <c r="BB242" s="2" t="str">
        <f>HYPERLINK("http://www.ncbi.nlm.nih.gov/sutils/blink.cgi?pid=YP_009176663.1","0.0")</f>
        <v>0.0</v>
      </c>
      <c r="BC242" s="2" t="str">
        <f>HYPERLINK("http://www.ncbi.nlm.nih.gov/protein/YP_009176663.1","YP_009176663.1")</f>
        <v>YP_009176663.1</v>
      </c>
      <c r="BD242" s="2">
        <v>100</v>
      </c>
      <c r="BE242" s="2">
        <v>100</v>
      </c>
      <c r="BF242" s="2">
        <v>100</v>
      </c>
      <c r="BG242" s="2" t="s">
        <v>2860</v>
      </c>
      <c r="BH242" s="2" t="str">
        <f>HYPERLINK(".\links\REFSEQ-PROTOZOA\AGAP028360-PA-REFSEQ-PROTOZOA.txt","NADH dehydrogenase subunit 2 (mitochondrion)")</f>
        <v>NADH dehydrogenase subunit 2 (mitochondrion)</v>
      </c>
      <c r="BI242" s="2" t="str">
        <f>HYPERLINK("http://www.ncbi.nlm.nih.gov/sutils/blink.cgi?pid=YP_009164887.1","3E-041")</f>
        <v>3E-041</v>
      </c>
      <c r="BJ242" s="2" t="str">
        <f>HYPERLINK("http://www.ncbi.nlm.nih.gov/protein/YP_009164887.1","YP_009164887.1")</f>
        <v>YP_009164887.1</v>
      </c>
      <c r="BK242" s="2">
        <v>31</v>
      </c>
      <c r="BL242" s="2">
        <v>53</v>
      </c>
      <c r="BM242" s="2">
        <v>72</v>
      </c>
      <c r="BN242" s="2" t="s">
        <v>2910</v>
      </c>
      <c r="BO242" s="2" t="str">
        <f>HYPERLINK(".\links\SWISSP\AGAP028360-PA-SWISSP.txt","NADH-ubiquinone oxidoreductase chain 2")</f>
        <v>NADH-ubiquinone oxidoreductase chain 2</v>
      </c>
      <c r="BP242" s="2" t="str">
        <f>HYPERLINK("http://www.uniprot.org/uniprot/P34848","0.0")</f>
        <v>0.0</v>
      </c>
      <c r="BQ242" s="2" t="str">
        <f>HYPERLINK("http://www.uniprot.org/uniprot/P34848#expression","P34848")</f>
        <v>P34848</v>
      </c>
      <c r="BR242" s="2">
        <v>100</v>
      </c>
      <c r="BS242" s="2">
        <v>100</v>
      </c>
      <c r="BT242" s="2">
        <v>100</v>
      </c>
      <c r="BU242" s="2" t="s">
        <v>274</v>
      </c>
      <c r="BV242" s="2" t="str">
        <f>HYPERLINK(".\links\FLYBASE\AGAP028360-PA-FLYBASE.txt","FBpp0100175")</f>
        <v>FBpp0100175</v>
      </c>
      <c r="BW242" s="2" t="str">
        <f>HYPERLINK("http://flybase.org/reports/FBgn0013680#alliance_summary_container","1E-126")</f>
        <v>1E-126</v>
      </c>
      <c r="BX242" s="2">
        <v>341</v>
      </c>
      <c r="BY242" s="2">
        <v>60</v>
      </c>
      <c r="BZ242" s="2">
        <v>79</v>
      </c>
      <c r="CA242" s="2">
        <v>98</v>
      </c>
      <c r="CB242" s="2" t="str">
        <f>HYPERLINK(".\links\CDD\AGAP028360-PA-CDD.txt","ND2, NADH dehydrogenase subunit 2")</f>
        <v>ND2, NADH dehydrogenase subunit 2</v>
      </c>
      <c r="CC242" s="13">
        <v>3E-57</v>
      </c>
      <c r="CD242" s="2">
        <v>101.5</v>
      </c>
      <c r="CE242" s="2" t="s">
        <v>2911</v>
      </c>
      <c r="CF242" s="2" t="s">
        <v>2912</v>
      </c>
      <c r="CG242" s="2" t="str">
        <f>HYPERLINK(".\links\KOG\AGAP028360-PA-KOG.txt","5, and related proteins")</f>
        <v>5, and related proteins</v>
      </c>
      <c r="CH242" s="13">
        <v>3E-32</v>
      </c>
      <c r="CI242" s="2">
        <v>96.9</v>
      </c>
      <c r="CJ242" s="2" t="s">
        <v>2913</v>
      </c>
      <c r="CK242" s="2" t="s">
        <v>531</v>
      </c>
      <c r="CL242" s="2" t="str">
        <f>HYPERLINK(".\links\PFAM\AGAP028360-PA-PFAM.txt","Proton_antipo_M, Proton-conducting membrane transporter")</f>
        <v>Proton_antipo_M, Proton-conducting membrane transporter</v>
      </c>
      <c r="CM242" s="13">
        <v>9.9999999999999998E-46</v>
      </c>
      <c r="CN242" s="2">
        <v>100</v>
      </c>
      <c r="CO242" s="2" t="s">
        <v>2914</v>
      </c>
      <c r="CP242" s="2" t="str">
        <f>HYPERLINK(".\links\SMART\AGAP028360-PA-SMART.txt","FA58C, Coagulation factor 5/8 C-terminal domain, discoidin domain")</f>
        <v>FA58C, Coagulation factor 5/8 C-terminal domain, discoidin domain</v>
      </c>
      <c r="CQ242" s="13">
        <v>2.2000000000000002</v>
      </c>
      <c r="CR242" s="2">
        <v>21.6</v>
      </c>
      <c r="CS242" s="2" t="s">
        <v>2915</v>
      </c>
      <c r="CT242" s="2" t="s">
        <v>2906</v>
      </c>
      <c r="CU242" s="2" t="s">
        <v>2906</v>
      </c>
      <c r="CV242" s="2" t="s">
        <v>2906</v>
      </c>
      <c r="CW242" s="2" t="str">
        <f>HYPERLINK(".\links\pep\AGAP028360-PA-pep.txt","AGAP028360-PA")</f>
        <v>AGAP028360-PA</v>
      </c>
      <c r="CX242" s="2" t="s">
        <v>2916</v>
      </c>
      <c r="CY242" s="2">
        <v>341</v>
      </c>
      <c r="CZ242" s="2" t="s">
        <v>106</v>
      </c>
      <c r="DA242" s="2">
        <v>0</v>
      </c>
      <c r="DB242" s="2">
        <v>0</v>
      </c>
      <c r="DD242" s="2" t="str">
        <f>HYPERLINK("https://www.kegg.jp/kegg-bin/search_pathway_text?map=aga&amp;keyword=AGAP028360&amp;mode=1&amp;viewImage=true","AGAP028360")</f>
        <v>AGAP028360</v>
      </c>
      <c r="DE242" s="2" t="s">
        <v>2901</v>
      </c>
      <c r="DF242" s="2" t="s">
        <v>2902</v>
      </c>
      <c r="DG242" s="2" t="s">
        <v>94</v>
      </c>
      <c r="DH242" s="2" t="str">
        <f>HYPERLINK("https://vectorbase.org/vectorbase/app/record/gene/AGAP028360","AGAP028360-RA")</f>
        <v>AGAP028360-RA</v>
      </c>
      <c r="DI242" s="2" t="s">
        <v>250</v>
      </c>
      <c r="DJ242" s="2">
        <v>1026</v>
      </c>
      <c r="DK242" s="2" t="str">
        <f>HYPERLINK(".\links\netoglyc\AGAP028360-PA-netoglyc.txt","0")</f>
        <v>0</v>
      </c>
      <c r="DL242" s="2">
        <v>14.1</v>
      </c>
      <c r="DM242" s="2">
        <v>4.4000000000000004</v>
      </c>
      <c r="DN242" s="2">
        <v>2.2999999999999998</v>
      </c>
      <c r="DO242" s="2" t="s">
        <v>97</v>
      </c>
      <c r="DP242" s="2" t="s">
        <v>94</v>
      </c>
      <c r="DQ242" s="2" t="str">
        <f>HYPERLINK(".\links\Sigp\AGAP028360-PA-SigP.txt","BL/SIG")</f>
        <v>BL/SIG</v>
      </c>
      <c r="DR242" s="2" t="s">
        <v>94</v>
      </c>
      <c r="DS242" s="2">
        <v>39.484000000000002</v>
      </c>
      <c r="DT242" s="2">
        <v>9.56</v>
      </c>
      <c r="DU242" s="2" t="s">
        <v>94</v>
      </c>
      <c r="DV242" s="2" t="s">
        <v>94</v>
      </c>
      <c r="DW242" s="2" t="s">
        <v>2909</v>
      </c>
      <c r="DX242" s="2">
        <v>341</v>
      </c>
      <c r="DY242" s="8" t="str">
        <f>HYPERLINK(".\links\tmhmm\AGAP028360-PA-tmhmm.txt","9")</f>
        <v>9</v>
      </c>
      <c r="DZ242" s="2">
        <v>55.7</v>
      </c>
      <c r="EA242" s="2">
        <v>25.8</v>
      </c>
      <c r="EB242" s="2">
        <v>18.5</v>
      </c>
      <c r="EC242" s="2" t="str">
        <f>HYPERLINK(".\links\gpi\AGAP028360-PA-gpi.txt","Y-NoSP")</f>
        <v>Y-NoSP</v>
      </c>
      <c r="ED242" s="2">
        <v>0.78</v>
      </c>
      <c r="EE242" s="2" t="s">
        <v>2917</v>
      </c>
      <c r="EF242" s="2">
        <v>1</v>
      </c>
      <c r="EG242" s="2" t="s">
        <v>94</v>
      </c>
      <c r="EH242" s="2" t="s">
        <v>94</v>
      </c>
      <c r="EI242" s="2">
        <v>14.0762463343109</v>
      </c>
      <c r="EJ242" s="2">
        <v>2.3460410557184801</v>
      </c>
      <c r="EK242" s="2">
        <v>4.3988269794721404</v>
      </c>
      <c r="EL242" s="2">
        <v>6.7448680351906196</v>
      </c>
      <c r="EM242" s="2" t="s">
        <v>94</v>
      </c>
      <c r="EN242" s="2" t="s">
        <v>94</v>
      </c>
      <c r="EO242" s="2" t="s">
        <v>94</v>
      </c>
      <c r="EP242" s="2" t="s">
        <v>94</v>
      </c>
      <c r="EQ242" s="2" t="s">
        <v>94</v>
      </c>
      <c r="ER242" s="2" t="s">
        <v>94</v>
      </c>
      <c r="ES242" s="2" t="s">
        <v>94</v>
      </c>
      <c r="ET242" s="2" t="str">
        <f>HYPERLINK(".\links\REFSEQ-INVERTEBRATE\AGAP028360-PA-REFSEQ-INVERTEBRATE.txt","ND2 gene product (mitochondrion)")</f>
        <v>ND2 gene product (mitochondrion)</v>
      </c>
      <c r="EU242" s="2" t="str">
        <f>HYPERLINK("http://www.ncbi.nlm.nih.gov/sutils/blink.cgi?pid=NP_008069.1","0.0")</f>
        <v>0.0</v>
      </c>
      <c r="EV242" s="2" t="str">
        <f>HYPERLINK("http://www.ncbi.nlm.nih.gov/protein/NP_008069.1","NP_008069.1")</f>
        <v>NP_008069.1</v>
      </c>
      <c r="EW242" s="2">
        <v>99</v>
      </c>
      <c r="EX242" s="2">
        <v>100</v>
      </c>
      <c r="EY242" s="2">
        <v>100</v>
      </c>
      <c r="EZ242" s="2" t="s">
        <v>274</v>
      </c>
    </row>
    <row r="243" spans="1:156" x14ac:dyDescent="0.25">
      <c r="A243" s="2" t="s">
        <v>2918</v>
      </c>
      <c r="B243" s="2">
        <v>-1.89634080400787</v>
      </c>
      <c r="C243" s="2">
        <v>0.26862382942630153</v>
      </c>
      <c r="D243" s="2">
        <v>5.1545540528553904</v>
      </c>
      <c r="E243" s="2">
        <v>12.318452046311499</v>
      </c>
      <c r="F243" s="2">
        <v>4.4850248477870197E-4</v>
      </c>
      <c r="G243" s="2">
        <v>2.1976621754156399E-2</v>
      </c>
      <c r="H243" s="2" t="s">
        <v>2919</v>
      </c>
      <c r="I243" s="2" t="s">
        <v>94</v>
      </c>
      <c r="J243" s="2" t="str">
        <f>HYPERLINK("https://vectorbase.org/vectorbase/app/record/gene/AGAP003689","AGAP003689-RA")</f>
        <v>AGAP003689-RA</v>
      </c>
      <c r="K243" s="2" t="str">
        <f>HYPERLINK(".\links\pep\AGAP003689-PA-pep.txt","AGAP003689-PA")</f>
        <v>AGAP003689-PA</v>
      </c>
      <c r="L243" s="8" t="s">
        <v>88</v>
      </c>
      <c r="M243" s="2">
        <v>596</v>
      </c>
      <c r="N243" s="2">
        <v>0</v>
      </c>
      <c r="O243" s="2">
        <v>0</v>
      </c>
      <c r="P243" s="2" t="s">
        <v>2920</v>
      </c>
      <c r="Q243" s="2" t="s">
        <v>266</v>
      </c>
      <c r="R243" s="2" t="s">
        <v>267</v>
      </c>
      <c r="S243" s="2" t="str">
        <f>HYPERLINK(".\links\SMART\AGAP003689-PA-SMART.txt","SMART")</f>
        <v>SMART</v>
      </c>
      <c r="T243" s="2">
        <v>9.0000000000000003E-27</v>
      </c>
      <c r="U243" s="2">
        <v>94.3</v>
      </c>
      <c r="V243" s="2" t="s">
        <v>2921</v>
      </c>
      <c r="W243" s="10" t="s">
        <v>2922</v>
      </c>
      <c r="X243" s="2" t="s">
        <v>270</v>
      </c>
      <c r="Y243" s="2" t="str">
        <f>HYPERLINK(".\links\ARTHORPODA\AGAP003689-PA-ARTHORPODA.txt","ARTHORPODA")</f>
        <v>ARTHORPODA</v>
      </c>
      <c r="Z243" s="2">
        <v>0</v>
      </c>
      <c r="AA243" s="2">
        <v>100</v>
      </c>
      <c r="AB243" s="8" t="s">
        <v>94</v>
      </c>
      <c r="AC243" s="8" t="str">
        <f>HYPERLINK(".\links\Sigp\AGAP003689-PA-SigP.txt","SIG")</f>
        <v>SIG</v>
      </c>
      <c r="AD243" s="2" t="s">
        <v>271</v>
      </c>
      <c r="AE243" s="2">
        <v>67.350999999999999</v>
      </c>
      <c r="AF243" s="2">
        <v>5.64</v>
      </c>
      <c r="AG243" s="2">
        <v>64.69</v>
      </c>
      <c r="AH243" s="2">
        <v>5.5</v>
      </c>
      <c r="AI243" s="2" t="s">
        <v>2923</v>
      </c>
      <c r="AJ243" s="8" t="str">
        <f>HYPERLINK(".\links\tmhmm\AGAP003689-PA-tmhmm.txt","1")</f>
        <v>1</v>
      </c>
      <c r="AK243" s="2">
        <v>3.2</v>
      </c>
      <c r="AL243" s="2">
        <v>95.6</v>
      </c>
      <c r="AM243" s="2">
        <v>1.2</v>
      </c>
      <c r="AN243" s="8" t="str">
        <f>HYPERLINK(".\links\gpi\AGAP003689-PA-gpi.txt","N")</f>
        <v>N</v>
      </c>
      <c r="AO243" s="8" t="str">
        <f>HYPERLINK(".\links\netoglyc\AGAP003689-PA-netoglyc.txt","0")</f>
        <v>0</v>
      </c>
      <c r="AP243" s="8">
        <v>12.1</v>
      </c>
      <c r="AQ243" s="2">
        <v>4.9000000000000004</v>
      </c>
      <c r="AR243" s="2">
        <v>4.2</v>
      </c>
      <c r="AS243" s="2" t="s">
        <v>97</v>
      </c>
      <c r="AT243" s="2" t="str">
        <f>HYPERLINK(".\links\NR-LIGHT\AGAP003689-PA-NR-LIGHT.txt","AGAP003689-PA")</f>
        <v>AGAP003689-PA</v>
      </c>
      <c r="AU243" s="2" t="str">
        <f>HYPERLINK("http://www.ncbi.nlm.nih.gov/sutils/blink.cgi?pid=XP_313474.4","0.0")</f>
        <v>0.0</v>
      </c>
      <c r="AV243" s="2" t="str">
        <f>HYPERLINK("http://www.ncbi.nlm.nih.gov/protein/XP_313474.4","XP_313474.4")</f>
        <v>XP_313474.4</v>
      </c>
      <c r="AW243" s="2">
        <v>99</v>
      </c>
      <c r="AX243" s="2">
        <v>99</v>
      </c>
      <c r="AY243" s="2">
        <v>100</v>
      </c>
      <c r="AZ243" s="2" t="s">
        <v>98</v>
      </c>
      <c r="BA243" s="2" t="str">
        <f>HYPERLINK(".\links\REFSEQ-INVERTEBRATE\AGAP003689-PA-REFSEQ-INVERTEBRATE.txt","AGAP003689-PA")</f>
        <v>AGAP003689-PA</v>
      </c>
      <c r="BB243" s="2" t="str">
        <f>HYPERLINK("http://www.ncbi.nlm.nih.gov/sutils/blink.cgi?pid=XP_313474.4","0.0")</f>
        <v>0.0</v>
      </c>
      <c r="BC243" s="2" t="str">
        <f>HYPERLINK("http://www.ncbi.nlm.nih.gov/protein/XP_313474.4","XP_313474.4")</f>
        <v>XP_313474.4</v>
      </c>
      <c r="BD243" s="2">
        <v>99</v>
      </c>
      <c r="BE243" s="2">
        <v>99</v>
      </c>
      <c r="BF243" s="2">
        <v>100</v>
      </c>
      <c r="BG243" s="2" t="s">
        <v>98</v>
      </c>
      <c r="BH243" s="2" t="str">
        <f>HYPERLINK(".\links\REFSEQ-PROTOZOA\AGAP003689-PA-REFSEQ-PROTOZOA.txt","hypothetical protein THAPSDRAFT_264461, partial")</f>
        <v>hypothetical protein THAPSDRAFT_264461, partial</v>
      </c>
      <c r="BI243" s="2" t="str">
        <f>HYPERLINK("http://www.ncbi.nlm.nih.gov/sutils/blink.cgi?pid=XP_002294506.1","4E-007")</f>
        <v>4E-007</v>
      </c>
      <c r="BJ243" s="2" t="str">
        <f>HYPERLINK("http://www.ncbi.nlm.nih.gov/protein/XP_002294506.1","XP_002294506.1")</f>
        <v>XP_002294506.1</v>
      </c>
      <c r="BK243" s="2">
        <v>24</v>
      </c>
      <c r="BL243" s="2">
        <v>40</v>
      </c>
      <c r="BM243" s="2">
        <v>96</v>
      </c>
      <c r="BN243" s="2" t="s">
        <v>2924</v>
      </c>
      <c r="BO243" s="2" t="str">
        <f>HYPERLINK(".\links\SWISSP\AGAP003689-PA-SWISSP.txt","Coagulation factor X isoform 1")</f>
        <v>Coagulation factor X isoform 1</v>
      </c>
      <c r="BP243" s="2" t="str">
        <f>HYPERLINK("http://www.uniprot.org/uniprot/Q1L659","3E-015")</f>
        <v>3E-015</v>
      </c>
      <c r="BQ243" s="2" t="str">
        <f>HYPERLINK("http://www.uniprot.org/uniprot/Q1L659#expression","Q1L659")</f>
        <v>Q1L659</v>
      </c>
      <c r="BR243" s="2">
        <v>30</v>
      </c>
      <c r="BS243" s="2">
        <v>47</v>
      </c>
      <c r="BT243" s="2">
        <v>45</v>
      </c>
      <c r="BU243" s="2" t="s">
        <v>2925</v>
      </c>
      <c r="BV243" s="2" t="str">
        <f>HYPERLINK(".\links\FLYBASE\AGAP003689-PA-FLYBASE.txt","FBpp0291597")</f>
        <v>FBpp0291597</v>
      </c>
      <c r="BW243" s="2" t="str">
        <f>HYPERLINK("http://flybase.org/reports/FBgn0039272#alliance_summary_container","4E-19")</f>
        <v>4E-19</v>
      </c>
      <c r="BX243" s="2">
        <v>223</v>
      </c>
      <c r="BY243" s="2">
        <v>29</v>
      </c>
      <c r="BZ243" s="2">
        <v>49</v>
      </c>
      <c r="CA243" s="2">
        <v>100</v>
      </c>
      <c r="CB243" s="2" t="str">
        <f>HYPERLINK(".\links\CDD\AGAP003689-PA-CDD.txt","Tryp_SPc, Trypsin-like serine protease")</f>
        <v>Tryp_SPc, Trypsin-like serine protease</v>
      </c>
      <c r="CC243" s="13">
        <v>5.9999999999999995E-25</v>
      </c>
      <c r="CD243" s="2">
        <v>94.4</v>
      </c>
      <c r="CE243" s="2" t="s">
        <v>275</v>
      </c>
      <c r="CF243" s="2" t="s">
        <v>2926</v>
      </c>
      <c r="CG243" s="2" t="str">
        <f>HYPERLINK(".\links\KOG\AGAP003689-PA-KOG.txt","Trypsin")</f>
        <v>Trypsin</v>
      </c>
      <c r="CH243" s="13">
        <v>8.9999999999999994E-21</v>
      </c>
      <c r="CI243" s="2">
        <v>94.1</v>
      </c>
      <c r="CJ243" s="2" t="s">
        <v>277</v>
      </c>
      <c r="CK243" s="2" t="s">
        <v>278</v>
      </c>
      <c r="CL243" s="2" t="str">
        <f>HYPERLINK(".\links\PFAM\AGAP003689-PA-PFAM.txt","Trypsin, Trypsin")</f>
        <v>Trypsin, Trypsin</v>
      </c>
      <c r="CM243" s="13">
        <v>3.9999999999999998E-20</v>
      </c>
      <c r="CN243" s="2">
        <v>105.9</v>
      </c>
      <c r="CO243" s="2" t="s">
        <v>279</v>
      </c>
      <c r="CP243" s="2" t="str">
        <f>HYPERLINK(".\links\SMART\AGAP003689-PA-SMART.txt","Tryp_SPc, Trypsin-like serine protease")</f>
        <v>Tryp_SPc, Trypsin-like serine protease</v>
      </c>
      <c r="CQ243" s="13">
        <v>9.0000000000000003E-27</v>
      </c>
      <c r="CR243" s="2">
        <v>94.3</v>
      </c>
      <c r="CS243" s="2" t="s">
        <v>280</v>
      </c>
      <c r="CT243" s="2" t="s">
        <v>2921</v>
      </c>
      <c r="CU243" s="2" t="s">
        <v>2921</v>
      </c>
      <c r="CV243" s="2" t="s">
        <v>2921</v>
      </c>
      <c r="CW243" s="2" t="str">
        <f>HYPERLINK(".\links\pep\AGAP003689-PA-pep.txt","AGAP003689-PA")</f>
        <v>AGAP003689-PA</v>
      </c>
      <c r="CX243" s="2" t="s">
        <v>88</v>
      </c>
      <c r="CY243" s="2">
        <v>596</v>
      </c>
      <c r="CZ243" s="2" t="s">
        <v>106</v>
      </c>
      <c r="DA243" s="2">
        <v>0</v>
      </c>
      <c r="DB243" s="2">
        <v>0</v>
      </c>
      <c r="DD243" s="2" t="str">
        <f>HYPERLINK("https://www.kegg.jp/kegg-bin/search_pathway_text?map=aga&amp;keyword=AGAP003689&amp;mode=1&amp;viewImage=true","AGAP003689")</f>
        <v>AGAP003689</v>
      </c>
      <c r="DE243" s="2" t="s">
        <v>2918</v>
      </c>
      <c r="DF243" s="2" t="s">
        <v>2919</v>
      </c>
      <c r="DG243" s="2" t="s">
        <v>94</v>
      </c>
      <c r="DH243" s="2" t="str">
        <f>HYPERLINK("https://vectorbase.org/vectorbase/app/record/gene/AGAP003689","AGAP003689-RA")</f>
        <v>AGAP003689-RA</v>
      </c>
      <c r="DI243" s="2" t="s">
        <v>250</v>
      </c>
      <c r="DJ243" s="2">
        <v>1882</v>
      </c>
      <c r="DK243" s="2" t="str">
        <f>HYPERLINK(".\links\netoglyc\AGAP003689-PA-netoglyc.txt","0")</f>
        <v>0</v>
      </c>
      <c r="DL243" s="2">
        <v>12.1</v>
      </c>
      <c r="DM243" s="2">
        <v>4.9000000000000004</v>
      </c>
      <c r="DN243" s="2">
        <v>4.2</v>
      </c>
      <c r="DO243" s="2" t="s">
        <v>97</v>
      </c>
      <c r="DP243" s="2" t="s">
        <v>94</v>
      </c>
      <c r="DQ243" s="2" t="str">
        <f>HYPERLINK(".\links\Sigp\AGAP003689-PA-SigP.txt","SIG")</f>
        <v>SIG</v>
      </c>
      <c r="DR243" s="2" t="s">
        <v>271</v>
      </c>
      <c r="DS243" s="2">
        <v>67.350999999999999</v>
      </c>
      <c r="DT243" s="2">
        <v>5.64</v>
      </c>
      <c r="DU243" s="2">
        <v>64.69</v>
      </c>
      <c r="DV243" s="2">
        <v>5.5</v>
      </c>
      <c r="DW243" s="2" t="s">
        <v>2923</v>
      </c>
      <c r="DX243" s="2">
        <v>596</v>
      </c>
      <c r="DY243" s="8" t="str">
        <f>HYPERLINK(".\links\tmhmm\AGAP003689-PA-tmhmm.txt","1")</f>
        <v>1</v>
      </c>
      <c r="DZ243" s="2">
        <v>3.2</v>
      </c>
      <c r="EA243" s="2">
        <v>95.6</v>
      </c>
      <c r="EB243" s="2">
        <v>1.2</v>
      </c>
      <c r="EC243" s="2" t="str">
        <f>HYPERLINK(".\links\gpi\AGAP003689-PA-gpi.txt","N")</f>
        <v>N</v>
      </c>
      <c r="ED243" s="2">
        <v>0.22</v>
      </c>
      <c r="EF243" s="2">
        <v>24</v>
      </c>
      <c r="EG243" s="2" t="s">
        <v>94</v>
      </c>
      <c r="EH243" s="2" t="s">
        <v>94</v>
      </c>
      <c r="EI243" s="2">
        <v>12.0805369127517</v>
      </c>
      <c r="EJ243" s="2">
        <v>4.19463087248322</v>
      </c>
      <c r="EK243" s="2">
        <v>4.8657718120805402</v>
      </c>
      <c r="EL243" s="2">
        <v>9.0604026845637602</v>
      </c>
      <c r="EM243" s="2" t="s">
        <v>94</v>
      </c>
      <c r="EN243" s="2">
        <v>2</v>
      </c>
      <c r="EO243" s="2">
        <v>2</v>
      </c>
      <c r="EP243" s="2" t="s">
        <v>94</v>
      </c>
      <c r="EQ243" s="2" t="s">
        <v>94</v>
      </c>
      <c r="ER243" s="2" t="s">
        <v>94</v>
      </c>
      <c r="ES243" s="2" t="s">
        <v>94</v>
      </c>
      <c r="ET243" s="2" t="str">
        <f>HYPERLINK(".\links\REFSEQ-INVERTEBRATE\AGAP003689-PA-REFSEQ-INVERTEBRATE.txt","AGAP003689-PA")</f>
        <v>AGAP003689-PA</v>
      </c>
      <c r="EU243" s="2" t="str">
        <f>HYPERLINK("http://www.ncbi.nlm.nih.gov/sutils/blink.cgi?pid=XP_313474.4","0.0")</f>
        <v>0.0</v>
      </c>
      <c r="EV243" s="2" t="str">
        <f>HYPERLINK("http://www.ncbi.nlm.nih.gov/protein/XP_313474.4","XP_313474.4")</f>
        <v>XP_313474.4</v>
      </c>
      <c r="EW243" s="2">
        <v>99</v>
      </c>
      <c r="EX243" s="2">
        <v>99</v>
      </c>
      <c r="EY243" s="2">
        <v>100</v>
      </c>
      <c r="EZ243" s="2" t="s">
        <v>98</v>
      </c>
    </row>
    <row r="244" spans="1:156" x14ac:dyDescent="0.25">
      <c r="A244" s="2" t="s">
        <v>2927</v>
      </c>
      <c r="B244" s="2">
        <v>-1.91927633262078</v>
      </c>
      <c r="C244" s="2">
        <v>0.26438709556778661</v>
      </c>
      <c r="D244" s="2">
        <v>7.0552899133584397</v>
      </c>
      <c r="E244" s="2">
        <v>11.950706681107</v>
      </c>
      <c r="F244" s="2">
        <v>5.4626657404440501E-4</v>
      </c>
      <c r="G244" s="2">
        <v>2.60911262158482E-2</v>
      </c>
      <c r="H244" s="2" t="s">
        <v>167</v>
      </c>
      <c r="I244" s="2" t="s">
        <v>87</v>
      </c>
      <c r="J244" s="2" t="str">
        <f>HYPERLINK("https://vectorbase.org/vectorbase/app/record/gene/AGAP029285","AGAP029285-RA")</f>
        <v>AGAP029285-RA</v>
      </c>
      <c r="K244" s="2" t="str">
        <f>HYPERLINK(".\links\pep\AGAP029285-PA-pep.txt","AGAP029285-PA")</f>
        <v>AGAP029285-PA</v>
      </c>
      <c r="L244" s="8" t="s">
        <v>88</v>
      </c>
      <c r="M244" s="2">
        <v>1649</v>
      </c>
      <c r="N244" s="2">
        <v>0</v>
      </c>
      <c r="O244" s="2">
        <v>4</v>
      </c>
      <c r="P244" s="2" t="s">
        <v>94</v>
      </c>
      <c r="Q244" s="2" t="s">
        <v>2928</v>
      </c>
      <c r="R244" s="2" t="s">
        <v>253</v>
      </c>
      <c r="S244" s="2" t="str">
        <f>HYPERLINK(".\links\NR-LIGHT\AGAP029285-PA-NR-LIGHT.txt","NR-LIGHT")</f>
        <v>NR-LIGHT</v>
      </c>
      <c r="T244" s="2">
        <v>9.9999999999999993E-77</v>
      </c>
      <c r="U244" s="2">
        <v>99.4</v>
      </c>
      <c r="V244" s="2" t="s">
        <v>2929</v>
      </c>
      <c r="W244" s="10" t="s">
        <v>2930</v>
      </c>
      <c r="X244" s="2" t="s">
        <v>253</v>
      </c>
      <c r="Y244" s="2" t="str">
        <f>HYPERLINK(".\links\ARTHORPODA\AGAP029285-PA-ARTHORPODA.txt","ARTHORPODA")</f>
        <v>ARTHORPODA</v>
      </c>
      <c r="Z244" s="2">
        <v>0</v>
      </c>
      <c r="AA244" s="2">
        <v>101</v>
      </c>
      <c r="AB244" s="8" t="str">
        <f>HYPERLINK(".\links\pep\AGAP029285-PA-sulf.txt","1")</f>
        <v>1</v>
      </c>
      <c r="AC244" s="8" t="str">
        <f>HYPERLINK(".\links\Sigp\AGAP029285-PA-SigP.txt","CYT")</f>
        <v>CYT</v>
      </c>
      <c r="AD244" s="2" t="s">
        <v>94</v>
      </c>
      <c r="AE244" s="2">
        <v>189.79400000000001</v>
      </c>
      <c r="AF244" s="2">
        <v>6.56</v>
      </c>
      <c r="AG244" s="2" t="s">
        <v>94</v>
      </c>
      <c r="AH244" s="2" t="s">
        <v>94</v>
      </c>
      <c r="AI244" s="2" t="s">
        <v>2931</v>
      </c>
      <c r="AJ244" s="8">
        <v>0</v>
      </c>
      <c r="AK244" s="2" t="s">
        <v>94</v>
      </c>
      <c r="AL244" s="2" t="s">
        <v>94</v>
      </c>
      <c r="AM244" s="2" t="s">
        <v>94</v>
      </c>
      <c r="AN244" s="2" t="str">
        <f>HYPERLINK(".\links\gpi\AGAP029285-PA-gpi.txt","N")</f>
        <v>N</v>
      </c>
      <c r="AO244" s="8" t="str">
        <f>HYPERLINK(".\links\netoglyc\AGAP029285-PA-netoglyc.txt","0")</f>
        <v>0</v>
      </c>
      <c r="AP244" s="8">
        <v>14.4</v>
      </c>
      <c r="AQ244" s="2">
        <v>2.8</v>
      </c>
      <c r="AR244" s="2">
        <v>3.4</v>
      </c>
      <c r="AS244" s="2" t="s">
        <v>97</v>
      </c>
      <c r="AT244" s="2" t="str">
        <f>HYPERLINK(".\links\NR-LIGHT\AGAP029285-PA-NR-LIGHT.txt","AGAP012173-PA-like protein")</f>
        <v>AGAP012173-PA-like protein</v>
      </c>
      <c r="AU244" s="2" t="str">
        <f>HYPERLINK("http://www.ncbi.nlm.nih.gov/sutils/blink.cgi?pid=KFB47478.1","1E-076")</f>
        <v>1E-076</v>
      </c>
      <c r="AV244" s="2" t="str">
        <f>HYPERLINK("http://www.ncbi.nlm.nih.gov/protein/KFB47478.1","KFB47478.1")</f>
        <v>KFB47478.1</v>
      </c>
      <c r="AW244" s="2">
        <v>23</v>
      </c>
      <c r="AX244" s="2">
        <v>41</v>
      </c>
      <c r="AY244" s="2">
        <v>99</v>
      </c>
      <c r="AZ244" s="2" t="s">
        <v>174</v>
      </c>
      <c r="BA244" s="2" t="str">
        <f>HYPERLINK(".\links\REFSEQ-INVERTEBRATE\AGAP029285-PA-REFSEQ-INVERTEBRATE.txt","AGAP012173-PA")</f>
        <v>AGAP012173-PA</v>
      </c>
      <c r="BB244" s="2" t="str">
        <f>HYPERLINK("http://www.ncbi.nlm.nih.gov/sutils/blink.cgi?pid=XP_001238308.1","9E-063")</f>
        <v>9E-063</v>
      </c>
      <c r="BC244" s="2" t="str">
        <f>HYPERLINK("http://www.ncbi.nlm.nih.gov/protein/XP_001238308.1","XP_001238308.1")</f>
        <v>XP_001238308.1</v>
      </c>
      <c r="BD244" s="2">
        <v>24</v>
      </c>
      <c r="BE244" s="2">
        <v>43</v>
      </c>
      <c r="BF244" s="2">
        <v>102</v>
      </c>
      <c r="BG244" s="2" t="s">
        <v>98</v>
      </c>
      <c r="BH244" s="2" t="str">
        <f>HYPERLINK(".\links\REFSEQ-PROTOZOA\AGAP029285-PA-REFSEQ-PROTOZOA.txt","hypothetical protein TGME49_314480")</f>
        <v>hypothetical protein TGME49_314480</v>
      </c>
      <c r="BI244" s="2" t="str">
        <f>HYPERLINK("http://www.ncbi.nlm.nih.gov/sutils/blink.cgi?pid=XP_002364648.2","0.34")</f>
        <v>0.34</v>
      </c>
      <c r="BJ244" s="2" t="str">
        <f>HYPERLINK("http://www.ncbi.nlm.nih.gov/protein/XP_002364648.2","XP_002364648.2")</f>
        <v>XP_002364648.2</v>
      </c>
      <c r="BK244" s="2">
        <v>23</v>
      </c>
      <c r="BL244" s="2">
        <v>40</v>
      </c>
      <c r="BM244" s="2">
        <v>35</v>
      </c>
      <c r="BN244" s="2" t="s">
        <v>1852</v>
      </c>
      <c r="BO244" s="2" t="str">
        <f>HYPERLINK(".\links\SWISSP\AGAP029285-PA-SWISSP.txt","Assimilatory nitrate reductase electron transfer subunit")</f>
        <v>Assimilatory nitrate reductase electron transfer subunit</v>
      </c>
      <c r="BP244" s="2" t="str">
        <f>HYPERLINK("http://www.uniprot.org/uniprot/P42433","0.64")</f>
        <v>0.64</v>
      </c>
      <c r="BQ244" s="2" t="str">
        <f>HYPERLINK("http://www.uniprot.org/uniprot/P42433#expression","P42433")</f>
        <v>P42433</v>
      </c>
      <c r="BR244" s="2">
        <v>22</v>
      </c>
      <c r="BS244" s="2">
        <v>42</v>
      </c>
      <c r="BT244" s="2">
        <v>38</v>
      </c>
      <c r="BU244" s="2" t="s">
        <v>2932</v>
      </c>
      <c r="BV244" s="2" t="str">
        <f>HYPERLINK(".\links\FLYBASE\AGAP029285-PA-FLYBASE.txt","FBpp0112712")</f>
        <v>FBpp0112712</v>
      </c>
      <c r="BW244" s="2" t="str">
        <f>HYPERLINK("http://flybase.org/reports/FBgn0039955#alliance_summary_container","0.075")</f>
        <v>0.075</v>
      </c>
      <c r="BX244" s="2">
        <v>1122</v>
      </c>
      <c r="BY244" s="2">
        <v>25</v>
      </c>
      <c r="BZ244" s="2">
        <v>43</v>
      </c>
      <c r="CA244" s="2">
        <v>13</v>
      </c>
      <c r="CB244" s="2" t="str">
        <f>HYPERLINK(".\links\CDD\AGAP029285-PA-CDD.txt","ANK, ankyrin repeats")</f>
        <v>ANK, ankyrin repeats</v>
      </c>
      <c r="CC244" s="13">
        <v>2.9999999999999997E-4</v>
      </c>
      <c r="CD244" s="2">
        <v>87.3</v>
      </c>
      <c r="CE244" s="2" t="s">
        <v>2024</v>
      </c>
      <c r="CF244" s="2" t="s">
        <v>2933</v>
      </c>
      <c r="CG244" s="2" t="str">
        <f>HYPERLINK(".\links\KOG\AGAP029285-PA-KOG.txt","WD40 repeat protein")</f>
        <v>WD40 repeat protein</v>
      </c>
      <c r="CH244" s="13">
        <v>0.79</v>
      </c>
      <c r="CI244" s="2">
        <v>7</v>
      </c>
      <c r="CJ244" s="2" t="s">
        <v>2934</v>
      </c>
      <c r="CK244" s="2" t="s">
        <v>122</v>
      </c>
      <c r="CL244" s="2" t="str">
        <f>HYPERLINK(".\links\PFAM\AGAP029285-PA-PFAM.txt","Ank_2, Ankyrin repeats (3 copies)")</f>
        <v>Ank_2, Ankyrin repeats (3 copies)</v>
      </c>
      <c r="CM244" s="13">
        <v>0.02</v>
      </c>
      <c r="CN244" s="2">
        <v>98.9</v>
      </c>
      <c r="CO244" s="2" t="s">
        <v>1493</v>
      </c>
      <c r="CP244" s="2" t="str">
        <f>HYPERLINK(".\links\SMART\AGAP029285-PA-SMART.txt","DUSP, Domain in ubiquitin-specific proteases")</f>
        <v>DUSP, Domain in ubiquitin-specific proteases</v>
      </c>
      <c r="CQ244" s="13">
        <v>1.7</v>
      </c>
      <c r="CR244" s="2">
        <v>35.200000000000003</v>
      </c>
      <c r="CS244" s="2" t="s">
        <v>814</v>
      </c>
      <c r="CT244" s="2" t="s">
        <v>2929</v>
      </c>
      <c r="CU244" s="2" t="s">
        <v>2929</v>
      </c>
      <c r="CV244" s="2" t="s">
        <v>2929</v>
      </c>
      <c r="CW244" s="2" t="str">
        <f>HYPERLINK(".\links\pep\AGAP029285-PA-pep.txt","AGAP029285-PA")</f>
        <v>AGAP029285-PA</v>
      </c>
      <c r="CX244" s="2" t="s">
        <v>88</v>
      </c>
      <c r="CY244" s="2">
        <v>1649</v>
      </c>
      <c r="CZ244" s="2" t="s">
        <v>106</v>
      </c>
      <c r="DA244" s="2" t="s">
        <v>2935</v>
      </c>
      <c r="DB244" s="2">
        <v>0</v>
      </c>
      <c r="DC244" s="2">
        <v>4</v>
      </c>
      <c r="DD244" s="2" t="str">
        <f>HYPERLINK("https://www.kegg.jp/kegg-bin/search_pathway_text?map=aga&amp;keyword=AGAP029285&amp;mode=1&amp;viewImage=true","AGAP029285")</f>
        <v>AGAP029285</v>
      </c>
      <c r="DE244" s="2" t="s">
        <v>2927</v>
      </c>
      <c r="DF244" s="2" t="s">
        <v>167</v>
      </c>
      <c r="DG244" s="2" t="s">
        <v>87</v>
      </c>
      <c r="DH244" s="2" t="str">
        <f>HYPERLINK("https://vectorbase.org/vectorbase/app/record/gene/AGAP029285","AGAP029285-RA")</f>
        <v>AGAP029285-RA</v>
      </c>
      <c r="DI244" s="2" t="s">
        <v>125</v>
      </c>
      <c r="DJ244" s="2">
        <v>7717</v>
      </c>
      <c r="DK244" s="2" t="str">
        <f>HYPERLINK(".\links\netoglyc\AGAP029285-PA-netoglyc.txt","0")</f>
        <v>0</v>
      </c>
      <c r="DL244" s="2">
        <v>14.4</v>
      </c>
      <c r="DM244" s="2">
        <v>2.8</v>
      </c>
      <c r="DN244" s="2">
        <v>3.4</v>
      </c>
      <c r="DO244" s="2" t="s">
        <v>97</v>
      </c>
      <c r="DP244" s="2" t="s">
        <v>94</v>
      </c>
      <c r="DQ244" s="2" t="str">
        <f>HYPERLINK(".\links\Sigp\AGAP029285-PA-SigP.txt","CYT")</f>
        <v>CYT</v>
      </c>
      <c r="DR244" s="2" t="s">
        <v>94</v>
      </c>
      <c r="DS244" s="2">
        <v>189.79400000000001</v>
      </c>
      <c r="DT244" s="2">
        <v>6.56</v>
      </c>
      <c r="DU244" s="2" t="s">
        <v>94</v>
      </c>
      <c r="DV244" s="2" t="s">
        <v>94</v>
      </c>
      <c r="DW244" s="2" t="s">
        <v>2931</v>
      </c>
      <c r="DX244" s="2">
        <v>1649</v>
      </c>
      <c r="DY244" s="8">
        <v>0</v>
      </c>
      <c r="DZ244" s="2" t="s">
        <v>94</v>
      </c>
      <c r="EA244" s="2" t="s">
        <v>94</v>
      </c>
      <c r="EB244" s="2" t="s">
        <v>94</v>
      </c>
      <c r="EC244" s="2" t="str">
        <f>HYPERLINK(".\links\gpi\AGAP029285-PA-gpi.txt","Y-NoSP")</f>
        <v>Y-NoSP</v>
      </c>
      <c r="ED244" s="2">
        <v>0.2</v>
      </c>
      <c r="EF244" s="2">
        <v>44</v>
      </c>
      <c r="EG244" s="2" t="str">
        <f>HYPERLINK(".\links\pep\AGAP029285-PA-sulf.txt","1")</f>
        <v>1</v>
      </c>
      <c r="EH244" s="2" t="s">
        <v>94</v>
      </c>
      <c r="EI244" s="2">
        <v>14.372346876895101</v>
      </c>
      <c r="EJ244" s="2">
        <v>3.39599757428745</v>
      </c>
      <c r="EK244" s="2">
        <v>2.7895694360218299</v>
      </c>
      <c r="EL244" s="2">
        <v>6.1855670103092804</v>
      </c>
      <c r="EM244" s="2" t="s">
        <v>94</v>
      </c>
      <c r="EN244" s="2">
        <v>1</v>
      </c>
      <c r="EO244" s="2">
        <v>1</v>
      </c>
      <c r="EP244" s="2" t="s">
        <v>94</v>
      </c>
      <c r="EQ244" s="2" t="s">
        <v>94</v>
      </c>
      <c r="ER244" s="2" t="s">
        <v>94</v>
      </c>
      <c r="ES244" s="2" t="s">
        <v>94</v>
      </c>
      <c r="ET244" s="2" t="str">
        <f>HYPERLINK(".\links\REFSEQ-INVERTEBRATE\AGAP029285-PA-REFSEQ-INVERTEBRATE.txt","uncharacterized protein LOC118506058")</f>
        <v>uncharacterized protein LOC118506058</v>
      </c>
      <c r="EU244" s="2" t="str">
        <f>HYPERLINK("http://www.ncbi.nlm.nih.gov/sutils/blink.cgi?pid=XP_035898594.1","1E-132")</f>
        <v>1E-132</v>
      </c>
      <c r="EV244" s="2" t="str">
        <f>HYPERLINK("http://www.ncbi.nlm.nih.gov/protein/XP_035898594.1","XP_035898594.1")</f>
        <v>XP_035898594.1</v>
      </c>
      <c r="EW244" s="2">
        <v>26</v>
      </c>
      <c r="EX244" s="2">
        <v>43</v>
      </c>
      <c r="EY244" s="2">
        <v>102</v>
      </c>
      <c r="EZ244" s="2" t="s">
        <v>184</v>
      </c>
    </row>
    <row r="245" spans="1:156" x14ac:dyDescent="0.25">
      <c r="A245" s="2" t="s">
        <v>2936</v>
      </c>
      <c r="B245" s="2">
        <v>-10.5078393763207</v>
      </c>
      <c r="C245" s="2">
        <v>6.8679188994775423E-4</v>
      </c>
      <c r="D245" s="2">
        <v>2.44776485867949</v>
      </c>
      <c r="E245" s="2">
        <v>77.577475407583805</v>
      </c>
      <c r="F245" s="2">
        <v>1.2761718901563299E-18</v>
      </c>
      <c r="G245" s="2">
        <v>1.2068757565208399E-14</v>
      </c>
      <c r="H245" s="2" t="s">
        <v>167</v>
      </c>
      <c r="I245" s="2" t="s">
        <v>87</v>
      </c>
      <c r="J245" s="2" t="str">
        <f>HYPERLINK("https://vectorbase.org/vectorbase/app/record/gene/AGAP029568","AGAP029568-RD")</f>
        <v>AGAP029568-RD</v>
      </c>
      <c r="K245" s="2" t="str">
        <f>HYPERLINK(".\links\pep\AGAP029568-PD-pep.txt","AGAP029568-PD")</f>
        <v>AGAP029568-PD</v>
      </c>
      <c r="L245" s="8" t="s">
        <v>88</v>
      </c>
      <c r="M245" s="2">
        <v>1549</v>
      </c>
      <c r="N245" s="2">
        <v>0</v>
      </c>
      <c r="O245" s="2">
        <v>2</v>
      </c>
      <c r="P245" s="2" t="s">
        <v>94</v>
      </c>
      <c r="Q245" s="2" t="s">
        <v>2937</v>
      </c>
      <c r="R245" s="2" t="s">
        <v>318</v>
      </c>
      <c r="S245" s="2" t="str">
        <f>HYPERLINK(".\links\KOG\AGAP029568-PD-KOG.txt","KOG")</f>
        <v>KOG</v>
      </c>
      <c r="T245" s="2">
        <v>0</v>
      </c>
      <c r="U245" s="2">
        <v>93.1</v>
      </c>
      <c r="V245" s="2" t="s">
        <v>2938</v>
      </c>
      <c r="W245" s="10" t="s">
        <v>2939</v>
      </c>
      <c r="X245" s="2" t="s">
        <v>1220</v>
      </c>
      <c r="Y245" s="2" t="str">
        <f>HYPERLINK(".\links\KOG\AGAP029568-PD-KOG.txt","KOG")</f>
        <v>KOG</v>
      </c>
      <c r="Z245" s="2">
        <v>0</v>
      </c>
      <c r="AA245" s="2">
        <v>59</v>
      </c>
      <c r="AB245" s="8" t="s">
        <v>94</v>
      </c>
      <c r="AC245" s="8" t="str">
        <f>HYPERLINK(".\links\Sigp\AGAP029568-PD-SigP.txt","CYT")</f>
        <v>CYT</v>
      </c>
      <c r="AD245" s="2" t="s">
        <v>94</v>
      </c>
      <c r="AE245" s="2">
        <v>171.75899999999999</v>
      </c>
      <c r="AF245" s="2">
        <v>8.94</v>
      </c>
      <c r="AG245" s="2" t="s">
        <v>94</v>
      </c>
      <c r="AH245" s="2" t="s">
        <v>94</v>
      </c>
      <c r="AI245" s="2" t="s">
        <v>390</v>
      </c>
      <c r="AJ245" s="8">
        <v>0</v>
      </c>
      <c r="AK245" s="2" t="s">
        <v>94</v>
      </c>
      <c r="AL245" s="2" t="s">
        <v>94</v>
      </c>
      <c r="AM245" s="2" t="s">
        <v>94</v>
      </c>
      <c r="AN245" s="2" t="str">
        <f>HYPERLINK(".\links\gpi\AGAP029568-PD-gpi.txt","N")</f>
        <v>N</v>
      </c>
      <c r="AO245" s="8" t="str">
        <f>HYPERLINK(".\links\netoglyc\AGAP029568-PD-netoglyc.txt","13")</f>
        <v>13</v>
      </c>
      <c r="AP245" s="8">
        <v>18.3</v>
      </c>
      <c r="AQ245" s="2">
        <v>5.6</v>
      </c>
      <c r="AR245" s="2">
        <v>7.9</v>
      </c>
      <c r="AS245" s="2" t="s">
        <v>97</v>
      </c>
      <c r="AT245" s="2" t="str">
        <f>HYPERLINK(".\links\NR-LIGHT\AGAP029568-PD-NR-LIGHT.txt","tensin")</f>
        <v>tensin</v>
      </c>
      <c r="AU245" s="2" t="str">
        <f>HYPERLINK("http://www.ncbi.nlm.nih.gov/sutils/blink.cgi?pid=CAJ14145.1","0.0")</f>
        <v>0.0</v>
      </c>
      <c r="AV245" s="2" t="str">
        <f>HYPERLINK("http://www.ncbi.nlm.nih.gov/protein/CAJ14145.1","CAJ14145.1")</f>
        <v>CAJ14145.1</v>
      </c>
      <c r="AW245" s="2">
        <v>98</v>
      </c>
      <c r="AX245" s="2">
        <v>98</v>
      </c>
      <c r="AY245" s="2">
        <v>97</v>
      </c>
      <c r="AZ245" s="2" t="s">
        <v>274</v>
      </c>
      <c r="BA245" s="2" t="str">
        <f>HYPERLINK(".\links\REFSEQ-INVERTEBRATE\AGAP029568-PD-REFSEQ-INVERTEBRATE.txt","AGAP001678-PA")</f>
        <v>AGAP001678-PA</v>
      </c>
      <c r="BB245" s="2" t="str">
        <f>HYPERLINK("http://www.ncbi.nlm.nih.gov/sutils/blink.cgi?pid=XP_321415.5","0.0")</f>
        <v>0.0</v>
      </c>
      <c r="BC245" s="2" t="str">
        <f>HYPERLINK("http://www.ncbi.nlm.nih.gov/protein/XP_321415.5","XP_321415.5")</f>
        <v>XP_321415.5</v>
      </c>
      <c r="BD245" s="2">
        <v>95</v>
      </c>
      <c r="BE245" s="2">
        <v>96</v>
      </c>
      <c r="BF245" s="2">
        <v>96</v>
      </c>
      <c r="BG245" s="2" t="s">
        <v>98</v>
      </c>
      <c r="BH245" s="2" t="str">
        <f>HYPERLINK(".\links\REFSEQ-PROTOZOA\AGAP029568-PD-REFSEQ-PROTOZOA.txt","hypothetical protein H310_13866")</f>
        <v>hypothetical protein H310_13866</v>
      </c>
      <c r="BI245" s="2" t="str">
        <f>HYPERLINK("http://www.ncbi.nlm.nih.gov/sutils/blink.cgi?pid=XP_008879735.1","2E-014")</f>
        <v>2E-014</v>
      </c>
      <c r="BJ245" s="2" t="str">
        <f>HYPERLINK("http://www.ncbi.nlm.nih.gov/protein/XP_008879735.1","XP_008879735.1")</f>
        <v>XP_008879735.1</v>
      </c>
      <c r="BK245" s="2">
        <v>23</v>
      </c>
      <c r="BL245" s="2">
        <v>38</v>
      </c>
      <c r="BM245" s="2">
        <v>62</v>
      </c>
      <c r="BN245" s="2" t="s">
        <v>99</v>
      </c>
      <c r="BO245" s="2" t="str">
        <f>HYPERLINK(".\links\SWISSP\AGAP029568-PD-SWISSP.txt","Tensin-1")</f>
        <v>Tensin-1</v>
      </c>
      <c r="BP245" s="2" t="str">
        <f>HYPERLINK("http://www.uniprot.org/uniprot/Q9GLM4","1E-092")</f>
        <v>1E-092</v>
      </c>
      <c r="BQ245" s="2" t="str">
        <f>HYPERLINK("http://www.uniprot.org/uniprot/Q9GLM4#expression","Q9GLM4")</f>
        <v>Q9GLM4</v>
      </c>
      <c r="BR245" s="2">
        <v>47</v>
      </c>
      <c r="BS245" s="2">
        <v>60</v>
      </c>
      <c r="BT245" s="2">
        <v>24</v>
      </c>
      <c r="BU245" s="2" t="s">
        <v>1134</v>
      </c>
      <c r="BV245" s="2" t="str">
        <f>HYPERLINK(".\links\FLYBASE\AGAP029568-PD-FLYBASE.txt","FBpp0290315")</f>
        <v>FBpp0290315</v>
      </c>
      <c r="BW245" s="2" t="str">
        <f>HYPERLINK("http://flybase.org/reports/FBgn0000244#alliance_summary_container","1E-106")</f>
        <v>1E-106</v>
      </c>
      <c r="BX245" s="2">
        <v>720</v>
      </c>
      <c r="BY245" s="2">
        <v>60</v>
      </c>
      <c r="BZ245" s="2">
        <v>77</v>
      </c>
      <c r="CA245" s="2">
        <v>39</v>
      </c>
      <c r="CB245" s="2" t="str">
        <f>HYPERLINK(".\links\CDD\AGAP029568-PD-CDD.txt","PTB_tensin, Tensin Phosphotyrosine-binding (PTB) domain")</f>
        <v>PTB_tensin, Tensin Phosphotyrosine-binding (PTB) domain</v>
      </c>
      <c r="CC245" s="13">
        <v>5.0000000000000003E-64</v>
      </c>
      <c r="CD245" s="2">
        <v>101.5</v>
      </c>
      <c r="CE245" s="2" t="s">
        <v>1717</v>
      </c>
      <c r="CF245" s="2" t="s">
        <v>2940</v>
      </c>
      <c r="CG245" s="2" t="str">
        <f>HYPERLINK(".\links\KOG\AGAP029568-PD-KOG.txt","contains PTB domain")</f>
        <v>contains PTB domain</v>
      </c>
      <c r="CH245" s="13">
        <v>9.9999999999999999E-110</v>
      </c>
      <c r="CI245" s="2">
        <v>93.2</v>
      </c>
      <c r="CJ245" s="2" t="s">
        <v>1719</v>
      </c>
      <c r="CK245" s="2" t="s">
        <v>1720</v>
      </c>
      <c r="CL245" s="2" t="str">
        <f>HYPERLINK(".\links\PFAM\AGAP029568-PD-PFAM.txt","PTB, Phosphotyrosine-binding domain")</f>
        <v>PTB, Phosphotyrosine-binding domain</v>
      </c>
      <c r="CM245" s="13">
        <v>1.9999999999999999E-29</v>
      </c>
      <c r="CN245" s="2">
        <v>108.4</v>
      </c>
      <c r="CO245" s="2" t="s">
        <v>1721</v>
      </c>
      <c r="CP245" s="2" t="str">
        <f>HYPERLINK(".\links\SMART\AGAP029568-PD-SMART.txt","PTB, Phosphotyrosine-binding domain, phosphotyrosine-interaction (PI) domain")</f>
        <v>PTB, Phosphotyrosine-binding domain, phosphotyrosine-interaction (PI) domain</v>
      </c>
      <c r="CQ245" s="13">
        <v>8.9999999999999999E-18</v>
      </c>
      <c r="CR245" s="2">
        <v>104.5</v>
      </c>
      <c r="CS245" s="2" t="s">
        <v>1722</v>
      </c>
      <c r="CT245" s="2" t="s">
        <v>2938</v>
      </c>
      <c r="CU245" s="2" t="s">
        <v>2938</v>
      </c>
      <c r="CV245" s="2" t="s">
        <v>2938</v>
      </c>
      <c r="CW245" s="2" t="str">
        <f>HYPERLINK(".\links\pep\AGAP029568-PD-pep.txt","AGAP029568-PD")</f>
        <v>AGAP029568-PD</v>
      </c>
      <c r="CX245" s="2" t="s">
        <v>88</v>
      </c>
      <c r="CY245" s="2">
        <v>1549</v>
      </c>
      <c r="CZ245" s="2" t="s">
        <v>106</v>
      </c>
      <c r="DA245" s="2" t="s">
        <v>2941</v>
      </c>
      <c r="DB245" s="2">
        <v>0</v>
      </c>
      <c r="DC245" s="2">
        <v>2</v>
      </c>
      <c r="DD245" s="2" t="str">
        <f>HYPERLINK("https://www.kegg.jp/kegg-bin/search_pathway_text?map=aga&amp;keyword=AGAP029568&amp;mode=1&amp;viewImage=true","AGAP029568")</f>
        <v>AGAP029568</v>
      </c>
      <c r="DE245" s="2" t="s">
        <v>2936</v>
      </c>
      <c r="DF245" s="2" t="s">
        <v>167</v>
      </c>
      <c r="DG245" s="2" t="s">
        <v>87</v>
      </c>
      <c r="DH245" s="2" t="str">
        <f>HYPERLINK("https://vectorbase.org/vectorbase/app/record/gene/AGAP029568","AGAP029568-RD")</f>
        <v>AGAP029568-RD</v>
      </c>
      <c r="DI245" s="2" t="s">
        <v>125</v>
      </c>
      <c r="DJ245" s="2">
        <v>8255</v>
      </c>
      <c r="DK245" s="2" t="str">
        <f>HYPERLINK(".\links\netoglyc\AGAP029568-PD-netoglyc.txt","13")</f>
        <v>13</v>
      </c>
      <c r="DL245" s="2">
        <v>18.3</v>
      </c>
      <c r="DM245" s="2">
        <v>5.6</v>
      </c>
      <c r="DN245" s="2">
        <v>7.9</v>
      </c>
      <c r="DO245" s="2" t="s">
        <v>97</v>
      </c>
      <c r="DP245" s="2" t="s">
        <v>94</v>
      </c>
      <c r="DQ245" s="2" t="str">
        <f>HYPERLINK(".\links\Sigp\AGAP029568-PD-SigP.txt","CYT")</f>
        <v>CYT</v>
      </c>
      <c r="DR245" s="2" t="s">
        <v>94</v>
      </c>
      <c r="DS245" s="2">
        <v>171.75899999999999</v>
      </c>
      <c r="DT245" s="2">
        <v>8.94</v>
      </c>
      <c r="DU245" s="2" t="s">
        <v>94</v>
      </c>
      <c r="DV245" s="2" t="s">
        <v>94</v>
      </c>
      <c r="DW245" s="2" t="s">
        <v>390</v>
      </c>
      <c r="DX245" s="2">
        <v>1549</v>
      </c>
      <c r="DY245" s="8">
        <v>0</v>
      </c>
      <c r="DZ245" s="2" t="s">
        <v>94</v>
      </c>
      <c r="EA245" s="2" t="s">
        <v>94</v>
      </c>
      <c r="EB245" s="2" t="s">
        <v>94</v>
      </c>
      <c r="EC245" s="2" t="str">
        <f>HYPERLINK(".\links\gpi\AGAP029568-PD-gpi.txt","N")</f>
        <v>N</v>
      </c>
      <c r="ED245" s="2">
        <v>0.24</v>
      </c>
      <c r="EF245" s="2">
        <v>17</v>
      </c>
      <c r="EG245" s="2" t="s">
        <v>94</v>
      </c>
      <c r="EH245" s="2" t="s">
        <v>94</v>
      </c>
      <c r="EI245" s="2">
        <v>18.334409296320199</v>
      </c>
      <c r="EJ245" s="2">
        <v>7.8760490639122001</v>
      </c>
      <c r="EK245" s="2">
        <v>5.5519690122659799</v>
      </c>
      <c r="EL245" s="2">
        <v>13.4280180761782</v>
      </c>
      <c r="EM245" s="2">
        <v>2</v>
      </c>
      <c r="EN245" s="2">
        <v>2</v>
      </c>
      <c r="EO245" s="2">
        <v>2</v>
      </c>
      <c r="EP245" s="2" t="s">
        <v>94</v>
      </c>
      <c r="EQ245" s="2" t="s">
        <v>94</v>
      </c>
      <c r="ER245" s="2" t="s">
        <v>94</v>
      </c>
      <c r="ES245" s="2" t="s">
        <v>486</v>
      </c>
      <c r="ET245" s="2" t="str">
        <f>HYPERLINK(".\links\REFSEQ-INVERTEBRATE\AGAP029568-PD-REFSEQ-INVERTEBRATE.txt","AGAP001678-PA")</f>
        <v>AGAP001678-PA</v>
      </c>
      <c r="EU245" s="2" t="str">
        <f>HYPERLINK("http://www.ncbi.nlm.nih.gov/sutils/blink.cgi?pid=XP_321415.5","0.0")</f>
        <v>0.0</v>
      </c>
      <c r="EV245" s="2" t="str">
        <f>HYPERLINK("http://www.ncbi.nlm.nih.gov/protein/XP_321415.5","XP_321415.5")</f>
        <v>XP_321415.5</v>
      </c>
      <c r="EW245" s="2">
        <v>95</v>
      </c>
      <c r="EX245" s="2">
        <v>96</v>
      </c>
      <c r="EY245" s="2">
        <v>96</v>
      </c>
      <c r="EZ245" s="2" t="s">
        <v>98</v>
      </c>
    </row>
  </sheetData>
  <autoFilter ref="A1:EZ245" xr:uid="{3FDD45F8-A365-464D-9B28-D25E8D6C5B2D}"/>
  <hyperlinks>
    <hyperlink ref="DH47" r:id="rId1" xr:uid="{FEA92294-C331-4951-ABDB-B31C987157DB}"/>
    <hyperlink ref="DH58" r:id="rId2" xr:uid="{706EEB21-A226-4D61-AA5B-D5903F5A4DDA}"/>
    <hyperlink ref="DH23" r:id="rId3" xr:uid="{291C31FC-B0D8-453C-96A9-EB72DE21D5BD}"/>
    <hyperlink ref="J47" r:id="rId4" xr:uid="{0B7873F5-F1FA-47B2-9DE5-4359ED2AD421}"/>
    <hyperlink ref="J58" r:id="rId5" xr:uid="{2C590255-5406-41FD-B379-BD3CDC651E38}"/>
    <hyperlink ref="J23" r:id="rId6" xr:uid="{9BB81BF9-7AE0-486E-B157-BA7833957EA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Alves E Silva, Thiago Luiz (NIH/NIAID) [E]</dc:creator>
  <cp:lastModifiedBy>De Souza Saraiva, Francis (NIH/NIAID) [F]</cp:lastModifiedBy>
  <dcterms:created xsi:type="dcterms:W3CDTF">2025-09-18T19:58:34Z</dcterms:created>
  <dcterms:modified xsi:type="dcterms:W3CDTF">2026-06-10T16:23:05Z</dcterms:modified>
</cp:coreProperties>
</file>