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ER\OneDrive\Desktop\TRABAJOS\1. ARTICULOS\Huella hidrica\"/>
    </mc:Choice>
  </mc:AlternateContent>
  <xr:revisionPtr revIDLastSave="0" documentId="8_{83DD3499-9435-409F-9F61-435ECA9AD0E2}" xr6:coauthVersionLast="47" xr6:coauthVersionMax="47" xr10:uidLastSave="{00000000-0000-0000-0000-000000000000}"/>
  <bookViews>
    <workbookView xWindow="-108" yWindow="-108" windowWidth="23256" windowHeight="12456" activeTab="2" xr2:uid="{A52B30C7-E9F7-4B1F-91B0-F885D89A30C8}"/>
  </bookViews>
  <sheets>
    <sheet name="INSTRUCCIONES" sheetId="11" r:id="rId1"/>
    <sheet name="Huella Hídrica Azul" sheetId="2" r:id="rId2"/>
    <sheet name="Huella hidrica verde" sheetId="8" r:id="rId3"/>
    <sheet name="Huella hidrica gris" sheetId="9" r:id="rId4"/>
    <sheet name="HH Indirecta (2)" sheetId="10" r:id="rId5"/>
    <sheet name="Energia" sheetId="3" r:id="rId6"/>
    <sheet name="Hoja1" sheetId="12" r:id="rId7"/>
    <sheet name="Insumos" sheetId="5" r:id="rId8"/>
    <sheet name="Bienes" sheetId="4" r:id="rId9"/>
    <sheet name="HH Indirecta" sheetId="6" r:id="rId10"/>
    <sheet name="Comparacion HH" sheetId="7"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7" l="1"/>
  <c r="B65" i="8"/>
  <c r="G27" i="8"/>
  <c r="F31" i="8"/>
  <c r="F26" i="8"/>
  <c r="I54" i="8"/>
  <c r="E54" i="8"/>
  <c r="E60" i="8"/>
  <c r="E46" i="8"/>
  <c r="L44" i="8"/>
  <c r="D55" i="6"/>
  <c r="C31" i="8"/>
  <c r="N93" i="2"/>
  <c r="C35" i="8"/>
  <c r="P93" i="2"/>
  <c r="N102" i="2"/>
  <c r="O102" i="2"/>
  <c r="P102" i="2"/>
  <c r="P89" i="2"/>
  <c r="S24" i="2"/>
  <c r="H3" i="7"/>
  <c r="V18" i="9"/>
  <c r="V19" i="9"/>
  <c r="V20" i="9"/>
  <c r="V21" i="9"/>
  <c r="V22" i="9"/>
  <c r="V17" i="9"/>
  <c r="I22" i="9"/>
  <c r="S23" i="9"/>
  <c r="S24" i="9"/>
  <c r="S25" i="9"/>
  <c r="S26" i="9"/>
  <c r="S27" i="9"/>
  <c r="S22" i="9"/>
  <c r="S11" i="9"/>
  <c r="S12" i="9"/>
  <c r="S13" i="9"/>
  <c r="S14" i="9"/>
  <c r="S15" i="9"/>
  <c r="S10" i="9"/>
  <c r="N3" i="7"/>
  <c r="K27" i="9"/>
  <c r="Q27" i="9" s="1"/>
  <c r="C27" i="9"/>
  <c r="I27" i="9" s="1"/>
  <c r="K26" i="9"/>
  <c r="Q26" i="9" s="1"/>
  <c r="C26" i="9"/>
  <c r="I26" i="9" s="1"/>
  <c r="K25" i="9"/>
  <c r="Q25" i="9" s="1"/>
  <c r="C25" i="9"/>
  <c r="I25" i="9" s="1"/>
  <c r="K24" i="9"/>
  <c r="Q24" i="9" s="1"/>
  <c r="C24" i="9"/>
  <c r="I24" i="9" s="1"/>
  <c r="K23" i="9"/>
  <c r="Q23" i="9" s="1"/>
  <c r="C23" i="9"/>
  <c r="I23" i="9" s="1"/>
  <c r="K22" i="9"/>
  <c r="Q22" i="9" s="1"/>
  <c r="C22" i="9"/>
  <c r="G35" i="8" l="1"/>
  <c r="Q6" i="4"/>
  <c r="Q7" i="4" s="1"/>
  <c r="O6" i="4"/>
  <c r="O7" i="4"/>
  <c r="C29" i="10" s="1"/>
  <c r="E29" i="10" s="1"/>
  <c r="C27" i="10"/>
  <c r="E27" i="10" s="1"/>
  <c r="K17" i="4"/>
  <c r="I6" i="7"/>
  <c r="M102" i="2"/>
  <c r="M98" i="2"/>
  <c r="M99" i="2"/>
  <c r="M100" i="2"/>
  <c r="M101" i="2"/>
  <c r="M97" i="2"/>
  <c r="K10" i="3"/>
  <c r="J10" i="3"/>
  <c r="F7" i="8"/>
  <c r="D4" i="10"/>
  <c r="F4" i="10" s="1"/>
  <c r="F6" i="10"/>
  <c r="F5" i="10"/>
  <c r="D7" i="10"/>
  <c r="E44" i="10"/>
  <c r="C52" i="10" s="1"/>
  <c r="D44" i="10"/>
  <c r="D38" i="10"/>
  <c r="C38" i="10"/>
  <c r="E38" i="10" s="1"/>
  <c r="D37" i="10"/>
  <c r="C37" i="10"/>
  <c r="E37" i="10" s="1"/>
  <c r="E39" i="10" s="1"/>
  <c r="E40" i="10" s="1"/>
  <c r="C51" i="10" s="1"/>
  <c r="C30" i="10"/>
  <c r="E30" i="10" s="1"/>
  <c r="C28" i="10"/>
  <c r="E28" i="10" s="1"/>
  <c r="E22" i="10"/>
  <c r="E23" i="10" s="1"/>
  <c r="C49" i="10" s="1"/>
  <c r="E21" i="10"/>
  <c r="E20" i="10"/>
  <c r="F15" i="10"/>
  <c r="F14" i="10"/>
  <c r="F13" i="10"/>
  <c r="F12" i="10"/>
  <c r="F11" i="10"/>
  <c r="F10" i="10"/>
  <c r="F9" i="10"/>
  <c r="F8" i="10"/>
  <c r="F7" i="10"/>
  <c r="J22" i="10"/>
  <c r="D6" i="10"/>
  <c r="J21" i="10"/>
  <c r="J6" i="6"/>
  <c r="J5" i="6"/>
  <c r="I4" i="7"/>
  <c r="J4" i="7" s="1"/>
  <c r="I5" i="7"/>
  <c r="O5" i="7" s="1"/>
  <c r="R5" i="7" s="1"/>
  <c r="P85" i="2"/>
  <c r="N98" i="2" s="1"/>
  <c r="P86" i="2"/>
  <c r="N99" i="2" s="1"/>
  <c r="P87" i="2"/>
  <c r="N100" i="2" s="1"/>
  <c r="P88" i="2"/>
  <c r="N101" i="2" s="1"/>
  <c r="P84" i="2"/>
  <c r="N97" i="2" s="1"/>
  <c r="F4" i="6"/>
  <c r="D6" i="6"/>
  <c r="C15" i="9"/>
  <c r="I15" i="9" s="1"/>
  <c r="C37" i="6"/>
  <c r="L15" i="4"/>
  <c r="L14" i="4"/>
  <c r="K7" i="4"/>
  <c r="K15" i="9"/>
  <c r="Q15" i="9" s="1"/>
  <c r="K14" i="9"/>
  <c r="Q14" i="9" s="1"/>
  <c r="K13" i="9"/>
  <c r="Q13" i="9" s="1"/>
  <c r="K12" i="9"/>
  <c r="Q12" i="9" s="1"/>
  <c r="K11" i="9"/>
  <c r="Q11" i="9" s="1"/>
  <c r="K10" i="9"/>
  <c r="Q10" i="9" s="1"/>
  <c r="C11" i="9"/>
  <c r="I11" i="9" s="1"/>
  <c r="C12" i="9"/>
  <c r="I12" i="9" s="1"/>
  <c r="C13" i="9"/>
  <c r="I13" i="9" s="1"/>
  <c r="C14" i="9"/>
  <c r="I14" i="9" s="1"/>
  <c r="C10" i="9"/>
  <c r="I10" i="9" s="1"/>
  <c r="P6" i="4"/>
  <c r="K6" i="4"/>
  <c r="G121" i="2"/>
  <c r="C131" i="2" s="1"/>
  <c r="E131" i="2" s="1"/>
  <c r="H121" i="2"/>
  <c r="F121" i="2"/>
  <c r="AH45" i="2"/>
  <c r="AH46" i="2" s="1"/>
  <c r="O93" i="2" s="1"/>
  <c r="B131" i="2"/>
  <c r="C52" i="6"/>
  <c r="E44" i="6"/>
  <c r="D44" i="6"/>
  <c r="D38" i="6"/>
  <c r="D37" i="6"/>
  <c r="E22" i="6"/>
  <c r="E23" i="6" s="1"/>
  <c r="C49" i="6" s="1"/>
  <c r="E21" i="6"/>
  <c r="E20" i="6"/>
  <c r="F9" i="6"/>
  <c r="F10" i="6"/>
  <c r="F11" i="6"/>
  <c r="F12" i="6"/>
  <c r="F13" i="6"/>
  <c r="F14" i="6"/>
  <c r="F15" i="6"/>
  <c r="F8" i="6"/>
  <c r="F5" i="6"/>
  <c r="F7" i="6"/>
  <c r="F6" i="6"/>
  <c r="F16" i="6" s="1"/>
  <c r="F17" i="6" s="1"/>
  <c r="C48" i="6" s="1"/>
  <c r="E37" i="6"/>
  <c r="P7" i="4"/>
  <c r="C30" i="6" s="1"/>
  <c r="E30" i="6" s="1"/>
  <c r="N6" i="4"/>
  <c r="M6" i="4"/>
  <c r="L6" i="4"/>
  <c r="I47" i="4"/>
  <c r="H47" i="4"/>
  <c r="G47" i="4"/>
  <c r="F47" i="4"/>
  <c r="D47" i="4"/>
  <c r="C47" i="4"/>
  <c r="J7" i="3"/>
  <c r="K7" i="3" s="1"/>
  <c r="J8" i="3"/>
  <c r="K8" i="3" s="1"/>
  <c r="J9" i="3"/>
  <c r="K9" i="3" s="1"/>
  <c r="J6" i="3"/>
  <c r="K6" i="3" s="1"/>
  <c r="S26" i="2"/>
  <c r="V26" i="2" s="1"/>
  <c r="V27" i="2" s="1"/>
  <c r="S25" i="2"/>
  <c r="U25" i="2" s="1"/>
  <c r="U27" i="2" s="1"/>
  <c r="T24" i="2"/>
  <c r="T27" i="2" s="1"/>
  <c r="F23" i="2"/>
  <c r="D131" i="2" l="1"/>
  <c r="F131" i="2" s="1"/>
  <c r="M93" i="2"/>
  <c r="C31" i="10"/>
  <c r="E31" i="10" s="1"/>
  <c r="E32" i="10" s="1"/>
  <c r="E33" i="10" s="1"/>
  <c r="C50" i="10" s="1"/>
  <c r="C31" i="6"/>
  <c r="E31" i="6" s="1"/>
  <c r="Q5" i="7"/>
  <c r="P5" i="7"/>
  <c r="C29" i="6"/>
  <c r="E29" i="6" s="1"/>
  <c r="P4" i="7"/>
  <c r="O6" i="7"/>
  <c r="L6" i="7"/>
  <c r="J6" i="7"/>
  <c r="K4" i="7"/>
  <c r="L5" i="7"/>
  <c r="K5" i="7"/>
  <c r="J5" i="7"/>
  <c r="K6" i="7"/>
  <c r="L4" i="7"/>
  <c r="F16" i="10"/>
  <c r="F17" i="10" s="1"/>
  <c r="C48" i="10" s="1"/>
  <c r="G3" i="7"/>
  <c r="L7" i="4"/>
  <c r="C38" i="6" s="1"/>
  <c r="E38" i="6" s="1"/>
  <c r="E39" i="6" s="1"/>
  <c r="E40" i="6" s="1"/>
  <c r="C51" i="6" s="1"/>
  <c r="M7" i="4"/>
  <c r="C27" i="6" s="1"/>
  <c r="E27" i="6" s="1"/>
  <c r="E32" i="6" s="1"/>
  <c r="E33" i="6" s="1"/>
  <c r="C50" i="6" s="1"/>
  <c r="N7" i="4"/>
  <c r="C28" i="6" s="1"/>
  <c r="E28" i="6" s="1"/>
  <c r="H131" i="2"/>
  <c r="G131" i="2"/>
  <c r="C53" i="6" l="1"/>
  <c r="C53" i="10"/>
  <c r="R6" i="7"/>
  <c r="Q6" i="7"/>
  <c r="R4" i="7"/>
  <c r="Q4" i="7"/>
  <c r="P6" i="7"/>
  <c r="O97" i="2"/>
  <c r="P97" i="2" s="1"/>
  <c r="O98" i="2"/>
  <c r="P98" i="2" s="1"/>
  <c r="F3" i="7"/>
  <c r="O99" i="2"/>
  <c r="P99" i="2" s="1"/>
  <c r="O100" i="2"/>
  <c r="P100" i="2" s="1"/>
  <c r="O101" i="2"/>
  <c r="P101" i="2" s="1"/>
  <c r="I3" i="7" l="1"/>
  <c r="D52" i="10"/>
  <c r="D49" i="10"/>
  <c r="D48" i="10"/>
  <c r="D51" i="10"/>
  <c r="D50" i="10"/>
  <c r="K3" i="7" l="1"/>
  <c r="O3" i="7"/>
  <c r="Q3" i="7" s="1"/>
  <c r="L3" i="7"/>
  <c r="J3" i="7"/>
  <c r="R3" i="7" l="1"/>
  <c r="O11" i="4" s="1"/>
  <c r="O12" i="7"/>
  <c r="P3" i="7"/>
  <c r="O14" i="7" l="1"/>
</calcChain>
</file>

<file path=xl/sharedStrings.xml><?xml version="1.0" encoding="utf-8"?>
<sst xmlns="http://schemas.openxmlformats.org/spreadsheetml/2006/main" count="815" uniqueCount="405">
  <si>
    <t>Datos obtenidos de la FAO</t>
  </si>
  <si>
    <t>Área Verde ESPOL</t>
  </si>
  <si>
    <t>Pag 139 (160)</t>
  </si>
  <si>
    <t>Kc</t>
  </si>
  <si>
    <t>Ubicación</t>
  </si>
  <si>
    <t>Área (m2)</t>
  </si>
  <si>
    <t>Unidades</t>
  </si>
  <si>
    <t>Inicial</t>
  </si>
  <si>
    <t xml:space="preserve">Medio </t>
  </si>
  <si>
    <t>Final</t>
  </si>
  <si>
    <t>RECTORADO</t>
  </si>
  <si>
    <t>m2</t>
  </si>
  <si>
    <t>Inicio de cosecha</t>
  </si>
  <si>
    <t>Media</t>
  </si>
  <si>
    <t>Fin</t>
  </si>
  <si>
    <t>FIMCBOR</t>
  </si>
  <si>
    <t>CIB</t>
  </si>
  <si>
    <t>Pag 107 (128)</t>
  </si>
  <si>
    <t>Etapa del cultivo en días</t>
  </si>
  <si>
    <t>Mes</t>
  </si>
  <si>
    <t>Enero</t>
  </si>
  <si>
    <t>Febrero</t>
  </si>
  <si>
    <t>Marzo</t>
  </si>
  <si>
    <t>GSTI</t>
  </si>
  <si>
    <t>Desarrollo</t>
  </si>
  <si>
    <t>Total</t>
  </si>
  <si>
    <t>Eto</t>
  </si>
  <si>
    <t>FICT</t>
  </si>
  <si>
    <t>FCSH</t>
  </si>
  <si>
    <t>Kc. Inicial</t>
  </si>
  <si>
    <t>CELEX</t>
  </si>
  <si>
    <t>Pag 165 (186)</t>
  </si>
  <si>
    <t>Profundidad radicular</t>
  </si>
  <si>
    <t>Altura de cultivos</t>
  </si>
  <si>
    <t>Pag 112 (133)</t>
  </si>
  <si>
    <t>Kc. Medio</t>
  </si>
  <si>
    <t>FCNM</t>
  </si>
  <si>
    <t>Máxima</t>
  </si>
  <si>
    <t>Kc. Final</t>
  </si>
  <si>
    <t>FIEC</t>
  </si>
  <si>
    <t>Etc</t>
  </si>
  <si>
    <t>mm/día</t>
  </si>
  <si>
    <t>CEMA</t>
  </si>
  <si>
    <t>COMEDOR ING</t>
  </si>
  <si>
    <t>Factor de agotamiento</t>
  </si>
  <si>
    <t>ARQUEOLOGÍA</t>
  </si>
  <si>
    <t>Medio</t>
  </si>
  <si>
    <t>P</t>
  </si>
  <si>
    <t>TRIÁNGULO</t>
  </si>
  <si>
    <t>SERVICIOS GEN</t>
  </si>
  <si>
    <t>FEPOL</t>
  </si>
  <si>
    <t>Pag 202</t>
  </si>
  <si>
    <t>Factor de respuestas Ky</t>
  </si>
  <si>
    <t>CANCHA DE FÚTBOL</t>
  </si>
  <si>
    <t>fprom</t>
  </si>
  <si>
    <t>CMI 1-2</t>
  </si>
  <si>
    <t>CICLOVÍA</t>
  </si>
  <si>
    <t>EDCOM</t>
  </si>
  <si>
    <t>Datos obtenidos del CIPWAT</t>
  </si>
  <si>
    <t>ED. CONTINUA</t>
  </si>
  <si>
    <t>CONDUESPOL</t>
  </si>
  <si>
    <t>Temp Min</t>
  </si>
  <si>
    <t>Temp Max</t>
  </si>
  <si>
    <t>Humedad</t>
  </si>
  <si>
    <t>Viento</t>
  </si>
  <si>
    <t>Insolación</t>
  </si>
  <si>
    <t>Rad</t>
  </si>
  <si>
    <t>ETo</t>
  </si>
  <si>
    <t>AREAS VERDES FCV</t>
  </si>
  <si>
    <t>°C</t>
  </si>
  <si>
    <t>%</t>
  </si>
  <si>
    <t>km/día</t>
  </si>
  <si>
    <t>horas</t>
  </si>
  <si>
    <t>MJ/m²/día</t>
  </si>
  <si>
    <t>FIMCP</t>
  </si>
  <si>
    <t>PARCON</t>
  </si>
  <si>
    <t>PISCINA</t>
  </si>
  <si>
    <t>TERMINAL BUSES</t>
  </si>
  <si>
    <t>Abril</t>
  </si>
  <si>
    <t>ESTADIO TECN.</t>
  </si>
  <si>
    <t>Mayo</t>
  </si>
  <si>
    <t>Junio</t>
  </si>
  <si>
    <t>ha</t>
  </si>
  <si>
    <t>Julio</t>
  </si>
  <si>
    <t>Agosto</t>
  </si>
  <si>
    <t>Septiembre</t>
  </si>
  <si>
    <t>Octubre</t>
  </si>
  <si>
    <t>Noviembre</t>
  </si>
  <si>
    <t>Diciembre</t>
  </si>
  <si>
    <t>Promedio</t>
  </si>
  <si>
    <t>MÓDULO DE CLIMA</t>
  </si>
  <si>
    <t>MÓDULO DE PRECIPITACIÓN</t>
  </si>
  <si>
    <t>MÓDULO DE CULTIVO</t>
  </si>
  <si>
    <t>MÓDULO DE SUELO</t>
  </si>
  <si>
    <t>MÓDULO DE REQUERIMIENTO DE AGUA DE CULTIVO (RAC)</t>
  </si>
  <si>
    <t>TABLAS PRINCIPALES</t>
  </si>
  <si>
    <t>Decada</t>
  </si>
  <si>
    <t>Etapa</t>
  </si>
  <si>
    <t>ETc</t>
  </si>
  <si>
    <t>Prec. efec</t>
  </si>
  <si>
    <t>Req.Riego</t>
  </si>
  <si>
    <t>Conversión de mm a m3/ha</t>
  </si>
  <si>
    <t>Valores editables</t>
  </si>
  <si>
    <t>Tablas ingresadas en las diapositivas</t>
  </si>
  <si>
    <t>Valores editables para futuras HHA</t>
  </si>
  <si>
    <t>coef</t>
  </si>
  <si>
    <t>mm/dec</t>
  </si>
  <si>
    <t>1mm</t>
  </si>
  <si>
    <t>1 lt/m2</t>
  </si>
  <si>
    <t>Ene</t>
  </si>
  <si>
    <t>Inic</t>
  </si>
  <si>
    <t>1x10</t>
  </si>
  <si>
    <t>1 m3/ha</t>
  </si>
  <si>
    <t>Huella hídrica Azul</t>
  </si>
  <si>
    <t>Valor</t>
  </si>
  <si>
    <t>Celda</t>
  </si>
  <si>
    <t>Des</t>
  </si>
  <si>
    <t>Año</t>
  </si>
  <si>
    <t>Consumo de agua</t>
  </si>
  <si>
    <t>%Consumo</t>
  </si>
  <si>
    <t>Wfazul</t>
  </si>
  <si>
    <t>Consumo de agua m3/año</t>
  </si>
  <si>
    <t>N76</t>
  </si>
  <si>
    <t>Med</t>
  </si>
  <si>
    <t>1 ha</t>
  </si>
  <si>
    <t>10000 m2</t>
  </si>
  <si>
    <t>Área verde ESPOL m2</t>
  </si>
  <si>
    <t>AH32</t>
  </si>
  <si>
    <t>Feb</t>
  </si>
  <si>
    <t>1 m3</t>
  </si>
  <si>
    <t>1000 m2</t>
  </si>
  <si>
    <t>338.849,00</t>
  </si>
  <si>
    <t>0,1</t>
  </si>
  <si>
    <t>33.884,90</t>
  </si>
  <si>
    <t>278.899,00</t>
  </si>
  <si>
    <t>27.889,90</t>
  </si>
  <si>
    <t>215.564,00</t>
  </si>
  <si>
    <t>21.556,40</t>
  </si>
  <si>
    <t>Mar</t>
  </si>
  <si>
    <t>229.460,00</t>
  </si>
  <si>
    <t>22.946,00</t>
  </si>
  <si>
    <t>185.429,00</t>
  </si>
  <si>
    <t>18.542,90</t>
  </si>
  <si>
    <t>257.052,00</t>
  </si>
  <si>
    <t>25.705,20</t>
  </si>
  <si>
    <t>Abr</t>
  </si>
  <si>
    <t>Req. De Riego</t>
  </si>
  <si>
    <t>ETc Azul</t>
  </si>
  <si>
    <t>Área Verde</t>
  </si>
  <si>
    <t>mm</t>
  </si>
  <si>
    <t>918,70</t>
  </si>
  <si>
    <t>9.187,00</t>
  </si>
  <si>
    <t>9,64</t>
  </si>
  <si>
    <t>88.589,32</t>
  </si>
  <si>
    <t>May</t>
  </si>
  <si>
    <t>Huella Hídrica Azul</t>
  </si>
  <si>
    <t>HH consumo</t>
  </si>
  <si>
    <t>HH riego</t>
  </si>
  <si>
    <t>HHA</t>
  </si>
  <si>
    <t>Jun</t>
  </si>
  <si>
    <t>Jul</t>
  </si>
  <si>
    <t>Ago</t>
  </si>
  <si>
    <t>Sep</t>
  </si>
  <si>
    <t>Oct</t>
  </si>
  <si>
    <t>Nov</t>
  </si>
  <si>
    <t>Dic</t>
  </si>
  <si>
    <t>Agua de lluvia aprovechable por el cultivo</t>
  </si>
  <si>
    <t>HHV</t>
  </si>
  <si>
    <t>Rendimiento</t>
  </si>
  <si>
    <t>Precp. Eff.</t>
  </si>
  <si>
    <t>ETc Verde</t>
  </si>
  <si>
    <t>Ton/ha</t>
  </si>
  <si>
    <t>m3/ha</t>
  </si>
  <si>
    <t>m3/ton</t>
  </si>
  <si>
    <t>Calculo de Evapotranspiracion</t>
  </si>
  <si>
    <t>Temperatura maxima en epoca de lluvia</t>
  </si>
  <si>
    <t xml:space="preserve">Estos datos (temperaturas y radiacion) deben de ser actualizados dependiendo del año que se calcule </t>
  </si>
  <si>
    <t>Temperatura minima en epoca de lluvia</t>
  </si>
  <si>
    <t>Temperatura media en epoca de lluvia</t>
  </si>
  <si>
    <t>Segun INAMHI</t>
  </si>
  <si>
    <t>mm/dia</t>
  </si>
  <si>
    <t>Valor en base a datos del INAMHI 2023</t>
  </si>
  <si>
    <t>Radiación extraterrestre (Ra)</t>
  </si>
  <si>
    <t xml:space="preserve"> MJ/m²/día</t>
  </si>
  <si>
    <t>Almacenamiento en el suelo</t>
  </si>
  <si>
    <t>+</t>
  </si>
  <si>
    <t>Evaporacion</t>
  </si>
  <si>
    <t>Transpiracion</t>
  </si>
  <si>
    <t>Incorporacion en la planta</t>
  </si>
  <si>
    <t>mm/m</t>
  </si>
  <si>
    <t>Ya es anual</t>
  </si>
  <si>
    <t>Anual =</t>
  </si>
  <si>
    <t>Valores de almacenamiento y evapotranspiracion en metros por anio</t>
  </si>
  <si>
    <t>Valores ya multiplicados por el area:</t>
  </si>
  <si>
    <t>m3</t>
  </si>
  <si>
    <t>Primero, convertimos la precipitación anual a volumen utilizando el área verde total del campus.</t>
  </si>
  <si>
    <t>Area verde total</t>
  </si>
  <si>
    <t>Precipitacion anual</t>
  </si>
  <si>
    <t>m</t>
  </si>
  <si>
    <t>La precipitacion anual es un dato investigativo, no hay un total de estos años</t>
  </si>
  <si>
    <t>% Agua disponible</t>
  </si>
  <si>
    <t>Volumen total de precipitacion</t>
  </si>
  <si>
    <t>Agua disponible</t>
  </si>
  <si>
    <t>% Incorporacion en la planta</t>
  </si>
  <si>
    <t>Incorporacion del agua</t>
  </si>
  <si>
    <t>Ya calculado por el area y de forma anual</t>
  </si>
  <si>
    <t>Entonces la suma de todos los prametros, con el area total y de forma anual es:</t>
  </si>
  <si>
    <t>Admisiones</t>
  </si>
  <si>
    <t>DQO</t>
  </si>
  <si>
    <t>DBO</t>
  </si>
  <si>
    <t xml:space="preserve">Effl  </t>
  </si>
  <si>
    <t>Ceffl</t>
  </si>
  <si>
    <t>Abstr Q</t>
  </si>
  <si>
    <t>Cact</t>
  </si>
  <si>
    <t>Cmax</t>
  </si>
  <si>
    <t>Cnat</t>
  </si>
  <si>
    <t>Wgris</t>
  </si>
  <si>
    <t>[m3/año]</t>
  </si>
  <si>
    <t>[mg/l]</t>
  </si>
  <si>
    <t>Ingenierias - MBR</t>
  </si>
  <si>
    <t>Huella hídrica Indirecta - Insumos papel</t>
  </si>
  <si>
    <t>Suministro</t>
  </si>
  <si>
    <t>Consumo Anual</t>
  </si>
  <si>
    <t>Consumo por unidad</t>
  </si>
  <si>
    <t>Huella hidrica suministro</t>
  </si>
  <si>
    <t>CARTULINA  70 X 100 (PLIEGOS)</t>
  </si>
  <si>
    <t>lts</t>
  </si>
  <si>
    <t>CARTULINA BLANCA FORMATO A4</t>
  </si>
  <si>
    <t>CARTULINA BRISTOL(PAQUETE DE 25 UNIDADES</t>
  </si>
  <si>
    <t>CUADERNO UNIVERSITARIO</t>
  </si>
  <si>
    <t>MARCADOR PARA PIZARRON</t>
  </si>
  <si>
    <t>MARCADOR PERMANENTE</t>
  </si>
  <si>
    <t>MARCADOR PERMANENTE COLOR AZUL</t>
  </si>
  <si>
    <t>MARCADOR PERMANENTE COLOR ROJO</t>
  </si>
  <si>
    <t>MARCADOR PERMANENTE COLOR VERDE</t>
  </si>
  <si>
    <t>MARCADOR PUNTA FINA AZUL</t>
  </si>
  <si>
    <t>MARCADOR PUNTA FINA NEGRO</t>
  </si>
  <si>
    <t>MARCADOR RESALTADOR</t>
  </si>
  <si>
    <t>TOTAL</t>
  </si>
  <si>
    <t>Huella hídrica Indirecta - Insumos banos</t>
  </si>
  <si>
    <t>Coeficiente de Conversion</t>
  </si>
  <si>
    <t>ROLLO DE PAPEL HIGIENICO</t>
  </si>
  <si>
    <t>ROLLO DE PAPEL TOALLA PARA MANOS</t>
  </si>
  <si>
    <t>Papel</t>
  </si>
  <si>
    <t>Van Oel, P.R. and Hoekstra, A.Y. (2010) The green and blue water footprint of paper products: methodological considerations and quantification, Value of Water Research Report Series No. 46, UNESCO-IHE, Delft, the Netherlands</t>
  </si>
  <si>
    <t>Cartulina</t>
  </si>
  <si>
    <t>Huella hídrica Indirecta - Bienes mobiliarios</t>
  </si>
  <si>
    <t>Bienes consumidos</t>
  </si>
  <si>
    <t>Consumo Annual</t>
  </si>
  <si>
    <t>Asientos plasticos</t>
  </si>
  <si>
    <t>Escritorios de oficina</t>
  </si>
  <si>
    <t>Pupitres</t>
  </si>
  <si>
    <t>Asientos de oficina</t>
  </si>
  <si>
    <t>Mesas de madera</t>
  </si>
  <si>
    <t>Huella hídrica Indirecta - Equipos</t>
  </si>
  <si>
    <t>Computadoras</t>
  </si>
  <si>
    <t>Impresoras</t>
  </si>
  <si>
    <t>Huella hídrica Indirecta - Energía</t>
  </si>
  <si>
    <t>Consumo anual
[Kwh/año]</t>
  </si>
  <si>
    <t>Consumo Anual  [GJ/ano]</t>
  </si>
  <si>
    <t>WFelectricidad
 [m3/año]</t>
  </si>
  <si>
    <t>Huella hídrica Indirecta - 2023</t>
  </si>
  <si>
    <t>Materias Primas</t>
  </si>
  <si>
    <t>WF
 [m3/año]</t>
  </si>
  <si>
    <t>Insumos papel</t>
  </si>
  <si>
    <t>Insumos banos</t>
  </si>
  <si>
    <t>Bienes mobiliarios</t>
  </si>
  <si>
    <t>Equipos</t>
  </si>
  <si>
    <t>Energia</t>
  </si>
  <si>
    <t>Electricidad</t>
  </si>
  <si>
    <t>GigaJules</t>
  </si>
  <si>
    <t xml:space="preserve">Cantidad </t>
  </si>
  <si>
    <t xml:space="preserve">Costo Unitario </t>
  </si>
  <si>
    <t xml:space="preserve">Costo Total </t>
  </si>
  <si>
    <t>MATERIALES E INSUMOS DE OFICINA</t>
  </si>
  <si>
    <t>Papel:</t>
  </si>
  <si>
    <t>UNIDAD</t>
  </si>
  <si>
    <t>PAQUETE</t>
  </si>
  <si>
    <t>Tinta y tones para impresoras :</t>
  </si>
  <si>
    <t xml:space="preserve">No existe stock </t>
  </si>
  <si>
    <t>Materiales de escritura:</t>
  </si>
  <si>
    <t>BOLIGRAFO AZULES</t>
  </si>
  <si>
    <t>BOLIGRAFO COLOR NEGRO</t>
  </si>
  <si>
    <t>BOLIGRAFO COLOR ROJO</t>
  </si>
  <si>
    <t>ESFEROGRAFICO AZUL</t>
  </si>
  <si>
    <t>LAPIZ</t>
  </si>
  <si>
    <t>LAPIZ HB CON GOMA CAJA 12 U</t>
  </si>
  <si>
    <t>DOCENA</t>
  </si>
  <si>
    <t>MARCADOR PARA CD</t>
  </si>
  <si>
    <t>INSUMOS DE LIMPIEZA:</t>
  </si>
  <si>
    <t>Productos para limpieza de baños:</t>
  </si>
  <si>
    <t>GUANTE DE CAUCHO Nº 9</t>
  </si>
  <si>
    <t>PAR</t>
  </si>
  <si>
    <t>GUANTES DE CAUCHO Nª 8</t>
  </si>
  <si>
    <t>GUANTES DE CAUCHO Nª 8 1/2</t>
  </si>
  <si>
    <t>RECOGEDOR  DE BASURA</t>
  </si>
  <si>
    <t>TRAPEADOR</t>
  </si>
  <si>
    <t>Detergentes y desinfectantes para limpieza en general:</t>
  </si>
  <si>
    <t>CLORO</t>
  </si>
  <si>
    <t>DESINFECTANTE</t>
  </si>
  <si>
    <t>GALON</t>
  </si>
  <si>
    <t>DETERGENTE EN POLVO 2KG</t>
  </si>
  <si>
    <t xml:space="preserve">Papel higienico y toallas de papel </t>
  </si>
  <si>
    <t>ROLLO</t>
  </si>
  <si>
    <t>EQUIPOS SANITARIOS:</t>
  </si>
  <si>
    <t>Inodoros</t>
  </si>
  <si>
    <t>INODORO COMPLETO CON SUS ACCESORIOS</t>
  </si>
  <si>
    <t xml:space="preserve">Lavamanos </t>
  </si>
  <si>
    <t>LAVAMANOS, DE CERAMICA COLOR BLANCO</t>
  </si>
  <si>
    <t>Urinarios</t>
  </si>
  <si>
    <t>Duchas</t>
  </si>
  <si>
    <t>DUCHA ELECTRICA</t>
  </si>
  <si>
    <t>Vida util</t>
  </si>
  <si>
    <t>Oficina</t>
  </si>
  <si>
    <t>Mobiliario</t>
  </si>
  <si>
    <t xml:space="preserve">Anio </t>
  </si>
  <si>
    <t>Computador</t>
  </si>
  <si>
    <t>Impresora</t>
  </si>
  <si>
    <t>Escritorios</t>
  </si>
  <si>
    <t>Asientos ofi</t>
  </si>
  <si>
    <t>Mesas madera</t>
  </si>
  <si>
    <t>Total 2023</t>
  </si>
  <si>
    <t>Huella hidri</t>
  </si>
  <si>
    <t>Marcador</t>
  </si>
  <si>
    <t>Papel Higien</t>
  </si>
  <si>
    <t>Toalla Manos</t>
  </si>
  <si>
    <t>Campus</t>
  </si>
  <si>
    <t>Pais</t>
  </si>
  <si>
    <t>Ano de estudio</t>
  </si>
  <si>
    <t>Poblacion (2023)</t>
  </si>
  <si>
    <t>HH azul m3 (HA)</t>
  </si>
  <si>
    <t>HH verde m3(HV)</t>
  </si>
  <si>
    <t>HH gris m3 (HG)</t>
  </si>
  <si>
    <t>HH directa(HA+HV+HG)</t>
  </si>
  <si>
    <t>% Azul</t>
  </si>
  <si>
    <t>%Verde</t>
  </si>
  <si>
    <t>%Gris</t>
  </si>
  <si>
    <t>HH indirecta temas</t>
  </si>
  <si>
    <t>HH indirecta</t>
  </si>
  <si>
    <t>HH total</t>
  </si>
  <si>
    <t>H directa</t>
  </si>
  <si>
    <t>H indirecta</t>
  </si>
  <si>
    <t>HH per capita</t>
  </si>
  <si>
    <t>Referencias</t>
  </si>
  <si>
    <t>Ecuador</t>
  </si>
  <si>
    <t>Energia, insumos, bienes y papel</t>
  </si>
  <si>
    <t>FICT sostenibilidad</t>
  </si>
  <si>
    <t>Energia y papel</t>
  </si>
  <si>
    <t>(Ortiz Sarango, 2018)</t>
  </si>
  <si>
    <t>(Guaman &amp; Illares,2019)</t>
  </si>
  <si>
    <t>Peru</t>
  </si>
  <si>
    <t>Energia, papel y alimento</t>
  </si>
  <si>
    <t>(Castillo,2016)</t>
  </si>
  <si>
    <t>Primer paso</t>
  </si>
  <si>
    <t>Conseguir el valor anual del consumo de agua en ESPOL</t>
  </si>
  <si>
    <t>Segundo paso</t>
  </si>
  <si>
    <t>En la hoja "Huella Hídrica Azul" en la sección "Tablas principales", editar el consumo de agua.</t>
  </si>
  <si>
    <t>Tercer paso</t>
  </si>
  <si>
    <t>Colocar el área verde de ESPOL en la celda AH32.</t>
  </si>
  <si>
    <t>Cuarto paso</t>
  </si>
  <si>
    <t>Se obtiene la huella hídrica azul en la celda P89 a partir de la suma de la huella hídrica de consumo y la huella hídrica de riego.</t>
  </si>
  <si>
    <t xml:space="preserve">Huella Hídrica Gris </t>
  </si>
  <si>
    <t xml:space="preserve">Huella Hídrica Verde </t>
  </si>
  <si>
    <t xml:space="preserve">Huella Hídrica Directa </t>
  </si>
  <si>
    <t xml:space="preserve">Huella Hídrica Indirecta </t>
  </si>
  <si>
    <t xml:space="preserve">Primer paso </t>
  </si>
  <si>
    <t>1. Ingresar datos en las columnas llamadas Ceffl (color verde); esos datos corresponden a las concentraciones de la sustancia (contaminante) en las descargas (el cuerpo del efluente (mg /l)).  Dato obtenido mediante ensayos de laboratorio</t>
  </si>
  <si>
    <t xml:space="preserve">2. Ingresar datos en las columnas llamadas Abstr Q (color morado); estos datos son obtenidos de las planillas de consumo de agua - Volumen total de agua que es consumida (m3)  </t>
  </si>
  <si>
    <t xml:space="preserve">Los valores en gris no se cambian (A menos que la normativa cambie. Se han tomado los valores de las Tablas 2 y 8 del Libro VI Anexo 1del TULSMA - Texto unificado de la Legislación Secundaria del Ministerio del Ambiente) </t>
  </si>
  <si>
    <t xml:space="preserve">El programa utiliza la siguiente formula y se obtiene la Huella Hídrica en las celdas llamadas Wgris (m3/año) (Color celeste) </t>
  </si>
  <si>
    <t>Cada año se obtiene la HH Gris</t>
  </si>
  <si>
    <t>1. Entre los dos valores obtenidos por el año que se analiza se selecciona el valor mayor del sitio de estudio, en este caso ingenierías y admisiones</t>
  </si>
  <si>
    <t>2. Con los dos valores obtenidos de numeral 1 se saca el promedio y ese es valor de la HH Gris de la ESPOL, celda K3 (color anaranjado)</t>
  </si>
  <si>
    <t xml:space="preserve">Mayor valor del año de estudio </t>
  </si>
  <si>
    <t>HH Gris ESPOL</t>
  </si>
  <si>
    <t>RESULTADO</t>
  </si>
  <si>
    <t>Este dato nos sirve para el calculo de la HH directa</t>
  </si>
  <si>
    <t>WFriego</t>
  </si>
  <si>
    <t>ESPOL (2023)</t>
  </si>
  <si>
    <t>Parameters</t>
  </si>
  <si>
    <t>Average values</t>
  </si>
  <si>
    <t>Maximum values</t>
  </si>
  <si>
    <t>ET (mm/day)</t>
  </si>
  <si>
    <t>Water retention capacity (Sa)</t>
  </si>
  <si>
    <t>9.6 (140 mm/m)</t>
  </si>
  <si>
    <t>Root depth (D)</t>
  </si>
  <si>
    <t>60 cm</t>
  </si>
  <si>
    <t>Allowable depletion (da)</t>
  </si>
  <si>
    <t>29.4 mm</t>
  </si>
  <si>
    <t>26.94 mm</t>
  </si>
  <si>
    <t>Irrigation interval (i)</t>
  </si>
  <si>
    <t>5 days</t>
  </si>
  <si>
    <t>4 days</t>
  </si>
  <si>
    <t>Net Sheet (dn)</t>
  </si>
  <si>
    <t>Unit</t>
  </si>
  <si>
    <t>Total precipitation volume</t>
  </si>
  <si>
    <r>
      <t>m</t>
    </r>
    <r>
      <rPr>
        <vertAlign val="superscript"/>
        <sz val="11"/>
        <color rgb="FF000000"/>
        <rFont val="Times New Roman"/>
        <family val="1"/>
      </rPr>
      <t>3</t>
    </r>
  </si>
  <si>
    <t>% Available water</t>
  </si>
  <si>
    <t>Available water</t>
  </si>
  <si>
    <t>% Incorporation into the plant</t>
  </si>
  <si>
    <t>Incorporation of water</t>
  </si>
  <si>
    <t>Total Green Water Footprint</t>
  </si>
  <si>
    <t>Universidad Politecnica Salesiana Quito Campus (2016)</t>
  </si>
  <si>
    <t>Universidad Politecnica Salesiana Cuenca Campus (2019)</t>
  </si>
  <si>
    <t>Pontificia Universidad Catolica del Peru Campus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</si>
</sst>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
    <numFmt numFmtId="165" formatCode="#,##0.00&quot;00&quot;"/>
    <numFmt numFmtId="166" formatCode="_(* #,##0_);_(* \(#,##0\);_(* &quot;-&quot;??_);_(@_)"/>
    <numFmt numFmtId="167" formatCode="#,##0.000"/>
  </numFmts>
  <fonts count="26" x14ac:knownFonts="1">
    <font>
      <sz val="11"/>
      <color theme="1"/>
      <name val="Aptos Narrow"/>
      <family val="2"/>
      <scheme val="minor"/>
    </font>
    <font>
      <b/>
      <sz val="11"/>
      <color theme="1"/>
      <name val="Aptos Narrow"/>
      <family val="2"/>
      <scheme val="minor"/>
    </font>
    <font>
      <sz val="11"/>
      <color theme="1"/>
      <name val="Aptos Narrow"/>
      <family val="2"/>
      <scheme val="minor"/>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0"/>
      <color indexed="8"/>
      <name val="Arial"/>
      <family val="2"/>
    </font>
    <font>
      <sz val="10"/>
      <color indexed="8"/>
      <name val="Arial"/>
      <family val="2"/>
    </font>
    <font>
      <b/>
      <sz val="12"/>
      <color theme="0"/>
      <name val="Aptos Narrow"/>
      <family val="2"/>
      <scheme val="minor"/>
    </font>
    <font>
      <b/>
      <sz val="12"/>
      <color theme="1"/>
      <name val="Aptos Narrow"/>
      <family val="2"/>
      <scheme val="minor"/>
    </font>
    <font>
      <sz val="12"/>
      <color theme="1"/>
      <name val="Aptos Narrow"/>
      <family val="2"/>
      <scheme val="minor"/>
    </font>
    <font>
      <sz val="11"/>
      <color theme="1"/>
      <name val="Times New Roman"/>
      <family val="1"/>
    </font>
    <font>
      <sz val="11"/>
      <color rgb="FF242424"/>
      <name val="Aptos Narrow"/>
      <family val="2"/>
    </font>
    <font>
      <sz val="8"/>
      <name val="Aptos Narrow"/>
      <family val="2"/>
      <scheme val="minor"/>
    </font>
    <font>
      <b/>
      <sz val="18"/>
      <color theme="0"/>
      <name val="Aptos Narrow"/>
      <family val="2"/>
      <scheme val="minor"/>
    </font>
    <font>
      <b/>
      <i/>
      <sz val="11"/>
      <color theme="1"/>
      <name val="Aptos Narrow"/>
      <family val="2"/>
      <scheme val="minor"/>
    </font>
    <font>
      <b/>
      <sz val="12"/>
      <color theme="1"/>
      <name val="Times New Roman"/>
      <family val="1"/>
    </font>
    <font>
      <sz val="11"/>
      <color theme="1"/>
      <name val="Aptos"/>
      <family val="2"/>
    </font>
    <font>
      <b/>
      <sz val="11"/>
      <color rgb="FF000000"/>
      <name val="Calibri"/>
      <family val="2"/>
    </font>
    <font>
      <sz val="11"/>
      <color rgb="FF000000"/>
      <name val="Calibri"/>
      <family val="2"/>
    </font>
    <font>
      <sz val="11"/>
      <color rgb="FF000000"/>
      <name val="Times New Roman"/>
      <family val="1"/>
    </font>
    <font>
      <vertAlign val="superscript"/>
      <sz val="11"/>
      <color rgb="FF000000"/>
      <name val="Times New Roman"/>
      <family val="1"/>
    </font>
    <font>
      <b/>
      <sz val="11"/>
      <color rgb="FF000000"/>
      <name val="Times New Roman"/>
      <family val="1"/>
    </font>
    <font>
      <b/>
      <u/>
      <sz val="11"/>
      <color rgb="FF008080"/>
      <name val="Times New Roman"/>
      <family val="1"/>
    </font>
    <font>
      <b/>
      <sz val="11"/>
      <color theme="1"/>
      <name val="Times New Roman"/>
      <family val="1"/>
    </font>
  </fonts>
  <fills count="2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0070C0"/>
        <bgColor rgb="FF000000"/>
      </patternFill>
    </fill>
    <fill>
      <patternFill patternType="solid">
        <fgColor rgb="FFD9D9D9"/>
        <bgColor rgb="FF000000"/>
      </patternFill>
    </fill>
    <fill>
      <patternFill patternType="solid">
        <fgColor rgb="FFFFFFFF"/>
        <bgColor rgb="FF000000"/>
      </patternFill>
    </fill>
    <fill>
      <patternFill patternType="solid">
        <fgColor theme="2" tint="-9.9978637043366805E-2"/>
        <bgColor indexed="64"/>
      </patternFill>
    </fill>
    <fill>
      <patternFill patternType="solid">
        <fgColor rgb="FF0070C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14999847407452621"/>
        <bgColor rgb="FF000000"/>
      </patternFill>
    </fill>
    <fill>
      <patternFill patternType="solid">
        <fgColor theme="2"/>
        <bgColor indexed="64"/>
      </patternFill>
    </fill>
    <fill>
      <patternFill patternType="solid">
        <fgColor theme="8"/>
        <bgColor indexed="64"/>
      </patternFill>
    </fill>
    <fill>
      <patternFill patternType="solid">
        <fgColor theme="2" tint="-0.499984740745262"/>
        <bgColor indexed="64"/>
      </patternFill>
    </fill>
    <fill>
      <patternFill patternType="solid">
        <fgColor theme="3" tint="9.9978637043366805E-2"/>
        <bgColor indexed="64"/>
      </patternFill>
    </fill>
    <fill>
      <patternFill patternType="solid">
        <fgColor theme="2" tint="-0.249977111117893"/>
        <bgColor indexed="64"/>
      </patternFill>
    </fill>
    <fill>
      <patternFill patternType="solid">
        <fgColor theme="9" tint="0.59999389629810485"/>
        <bgColor rgb="FF000000"/>
      </patternFill>
    </fill>
    <fill>
      <patternFill patternType="solid">
        <fgColor theme="8" tint="0.59999389629810485"/>
        <bgColor rgb="FF000000"/>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34998626667073579"/>
        <bgColor rgb="FF000000"/>
      </patternFill>
    </fill>
  </fills>
  <borders count="7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bottom/>
      <diagonal/>
    </border>
    <border>
      <left style="thin">
        <color indexed="64"/>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style="medium">
        <color rgb="FF000000"/>
      </right>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style="thin">
        <color indexed="64"/>
      </right>
      <top style="thin">
        <color indexed="64"/>
      </top>
      <bottom/>
      <diagonal/>
    </border>
    <border>
      <left/>
      <right style="thin">
        <color indexed="64"/>
      </right>
      <top style="thin">
        <color indexed="64"/>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medium">
        <color rgb="FF000000"/>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28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 fillId="0" borderId="6" xfId="0" applyFont="1" applyBorder="1" applyAlignment="1">
      <alignment horizontal="center" vertical="center"/>
    </xf>
    <xf numFmtId="0" fontId="0" fillId="0" borderId="6" xfId="0" applyBorder="1" applyAlignment="1">
      <alignment horizontal="center" vertical="center"/>
    </xf>
    <xf numFmtId="14" fontId="0" fillId="0" borderId="6" xfId="0" applyNumberFormat="1" applyBorder="1" applyAlignment="1">
      <alignment horizontal="center" vertical="center"/>
    </xf>
    <xf numFmtId="0" fontId="1" fillId="3" borderId="6" xfId="0" applyFont="1" applyFill="1" applyBorder="1" applyAlignment="1">
      <alignment horizontal="center" vertical="center"/>
    </xf>
    <xf numFmtId="0" fontId="0" fillId="3" borderId="6" xfId="0" applyFill="1" applyBorder="1" applyAlignment="1">
      <alignment horizontal="center" vertical="center"/>
    </xf>
    <xf numFmtId="0" fontId="1" fillId="0" borderId="4"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wrapText="1"/>
    </xf>
    <xf numFmtId="0" fontId="5" fillId="6" borderId="24"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3" fillId="0" borderId="6" xfId="0" applyFont="1" applyBorder="1" applyAlignment="1">
      <alignment horizontal="center" vertical="center"/>
    </xf>
    <xf numFmtId="0" fontId="5" fillId="6" borderId="6" xfId="0" applyFont="1" applyFill="1" applyBorder="1" applyAlignment="1">
      <alignment horizontal="center" vertical="center"/>
    </xf>
    <xf numFmtId="0" fontId="5" fillId="6" borderId="24" xfId="0" applyFont="1" applyFill="1" applyBorder="1" applyAlignment="1">
      <alignment horizontal="center" vertical="center"/>
    </xf>
    <xf numFmtId="0" fontId="0" fillId="0" borderId="0" xfId="0" applyAlignment="1">
      <alignment vertical="top"/>
    </xf>
    <xf numFmtId="0" fontId="7" fillId="0" borderId="0" xfId="0" applyFont="1" applyAlignment="1">
      <alignment vertical="top"/>
    </xf>
    <xf numFmtId="3" fontId="0" fillId="0" borderId="0" xfId="0" applyNumberFormat="1" applyAlignment="1">
      <alignment vertical="top"/>
    </xf>
    <xf numFmtId="164" fontId="0" fillId="0" borderId="0" xfId="0" applyNumberFormat="1" applyAlignment="1">
      <alignment vertical="top"/>
    </xf>
    <xf numFmtId="165" fontId="0" fillId="0" borderId="0" xfId="0" applyNumberFormat="1" applyAlignment="1">
      <alignment vertical="top"/>
    </xf>
    <xf numFmtId="0" fontId="8" fillId="0" borderId="0" xfId="0" applyFont="1" applyAlignment="1">
      <alignment vertical="top"/>
    </xf>
    <xf numFmtId="0" fontId="0" fillId="11" borderId="0" xfId="0" applyFill="1"/>
    <xf numFmtId="0" fontId="0" fillId="0" borderId="6" xfId="0" applyBorder="1" applyAlignment="1">
      <alignment horizontal="center"/>
    </xf>
    <xf numFmtId="0" fontId="0" fillId="0" borderId="6" xfId="0" applyBorder="1" applyAlignment="1">
      <alignment horizontal="center" vertical="top"/>
    </xf>
    <xf numFmtId="4" fontId="0" fillId="0" borderId="6" xfId="0" applyNumberFormat="1" applyBorder="1" applyAlignment="1">
      <alignment horizontal="center"/>
    </xf>
    <xf numFmtId="4" fontId="0" fillId="0" borderId="6" xfId="0" applyNumberFormat="1" applyBorder="1" applyAlignment="1">
      <alignment horizontal="center" vertical="top"/>
    </xf>
    <xf numFmtId="0" fontId="0" fillId="0" borderId="24" xfId="0" applyBorder="1" applyAlignment="1">
      <alignment horizontal="center" vertical="top"/>
    </xf>
    <xf numFmtId="4" fontId="0" fillId="0" borderId="24" xfId="0" applyNumberFormat="1" applyBorder="1" applyAlignment="1">
      <alignment horizontal="center" vertical="top"/>
    </xf>
    <xf numFmtId="4" fontId="0" fillId="0" borderId="23" xfId="0" applyNumberFormat="1" applyBorder="1" applyAlignment="1">
      <alignment horizontal="center" vertical="top"/>
    </xf>
    <xf numFmtId="0" fontId="0" fillId="0" borderId="0" xfId="0" applyAlignment="1">
      <alignment horizontal="center"/>
    </xf>
    <xf numFmtId="4" fontId="0" fillId="0" borderId="0" xfId="0" applyNumberFormat="1" applyAlignment="1">
      <alignment horizontal="center"/>
    </xf>
    <xf numFmtId="4" fontId="0" fillId="0" borderId="21" xfId="0" applyNumberFormat="1" applyBorder="1" applyAlignment="1">
      <alignment horizontal="center"/>
    </xf>
    <xf numFmtId="4" fontId="0" fillId="0" borderId="6" xfId="0" applyNumberFormat="1" applyBorder="1" applyAlignment="1">
      <alignment horizontal="center" vertical="center"/>
    </xf>
    <xf numFmtId="4" fontId="0" fillId="0" borderId="24" xfId="0" applyNumberFormat="1" applyBorder="1" applyAlignment="1">
      <alignment horizontal="center" vertical="center"/>
    </xf>
    <xf numFmtId="4" fontId="0" fillId="0" borderId="0" xfId="0" applyNumberFormat="1" applyAlignment="1">
      <alignment horizontal="center" vertical="center"/>
    </xf>
    <xf numFmtId="0" fontId="1" fillId="0" borderId="6" xfId="0" applyFont="1" applyBorder="1" applyAlignment="1">
      <alignment horizontal="center"/>
    </xf>
    <xf numFmtId="0" fontId="1" fillId="0" borderId="21" xfId="0" applyFont="1" applyBorder="1" applyAlignment="1">
      <alignment horizontal="center"/>
    </xf>
    <xf numFmtId="0" fontId="10" fillId="3" borderId="6" xfId="0" applyFont="1" applyFill="1" applyBorder="1" applyAlignment="1">
      <alignment horizontal="center" vertical="center"/>
    </xf>
    <xf numFmtId="0" fontId="10" fillId="3" borderId="6" xfId="0" applyFont="1" applyFill="1" applyBorder="1" applyAlignment="1">
      <alignment horizontal="center" vertical="center" wrapText="1"/>
    </xf>
    <xf numFmtId="0" fontId="11" fillId="10" borderId="6" xfId="0" applyFont="1" applyFill="1" applyBorder="1" applyAlignment="1">
      <alignment horizontal="center" vertical="center"/>
    </xf>
    <xf numFmtId="3" fontId="11" fillId="10" borderId="6" xfId="0" applyNumberFormat="1" applyFont="1" applyFill="1" applyBorder="1" applyAlignment="1">
      <alignment horizontal="center" vertical="center"/>
    </xf>
    <xf numFmtId="4" fontId="11" fillId="10" borderId="6" xfId="2" applyNumberFormat="1" applyFont="1" applyFill="1" applyBorder="1" applyAlignment="1">
      <alignment horizontal="center" vertical="center"/>
    </xf>
    <xf numFmtId="0" fontId="1" fillId="0" borderId="17" xfId="0" applyFont="1" applyBorder="1" applyAlignment="1">
      <alignment horizontal="center"/>
    </xf>
    <xf numFmtId="0" fontId="11" fillId="0" borderId="6" xfId="0" applyFont="1" applyBorder="1" applyAlignment="1">
      <alignment horizontal="center" vertical="center"/>
    </xf>
    <xf numFmtId="4" fontId="0" fillId="0" borderId="6" xfId="0" applyNumberFormat="1" applyBorder="1" applyAlignment="1">
      <alignment vertical="center"/>
    </xf>
    <xf numFmtId="0" fontId="9" fillId="0" borderId="0" xfId="0" applyFont="1"/>
    <xf numFmtId="0" fontId="1" fillId="8" borderId="21" xfId="0" applyFont="1" applyFill="1" applyBorder="1" applyAlignment="1">
      <alignment horizontal="center" vertical="center"/>
    </xf>
    <xf numFmtId="4" fontId="0" fillId="0" borderId="17" xfId="0" applyNumberFormat="1" applyBorder="1" applyAlignment="1">
      <alignment vertical="center"/>
    </xf>
    <xf numFmtId="0" fontId="1" fillId="12" borderId="6" xfId="0" applyFont="1" applyFill="1" applyBorder="1" applyAlignment="1">
      <alignment horizontal="center" vertical="center"/>
    </xf>
    <xf numFmtId="4" fontId="0" fillId="12" borderId="6" xfId="0" applyNumberFormat="1" applyFill="1" applyBorder="1" applyAlignment="1">
      <alignment horizontal="center"/>
    </xf>
    <xf numFmtId="0" fontId="0" fillId="12" borderId="6" xfId="0" applyFill="1" applyBorder="1" applyAlignment="1">
      <alignment horizontal="center"/>
    </xf>
    <xf numFmtId="4" fontId="1" fillId="12" borderId="6" xfId="0" applyNumberFormat="1" applyFont="1" applyFill="1" applyBorder="1" applyAlignment="1">
      <alignment horizontal="center" vertical="top"/>
    </xf>
    <xf numFmtId="0" fontId="1" fillId="12" borderId="6" xfId="0" applyFont="1" applyFill="1" applyBorder="1" applyAlignment="1">
      <alignment horizontal="center"/>
    </xf>
    <xf numFmtId="4" fontId="1" fillId="12" borderId="24" xfId="0" applyNumberFormat="1" applyFont="1" applyFill="1" applyBorder="1" applyAlignment="1">
      <alignment horizontal="center" vertical="top"/>
    </xf>
    <xf numFmtId="4" fontId="1" fillId="12" borderId="6" xfId="0" applyNumberFormat="1" applyFont="1" applyFill="1" applyBorder="1" applyAlignment="1">
      <alignment horizontal="center"/>
    </xf>
    <xf numFmtId="4" fontId="1" fillId="12" borderId="6" xfId="0" applyNumberFormat="1"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5" borderId="21" xfId="0" applyFont="1" applyFill="1" applyBorder="1" applyAlignment="1">
      <alignment horizontal="center" vertical="center"/>
    </xf>
    <xf numFmtId="0" fontId="4" fillId="5" borderId="22" xfId="0" applyFont="1" applyFill="1" applyBorder="1" applyAlignment="1">
      <alignment horizontal="center" vertical="center"/>
    </xf>
    <xf numFmtId="0" fontId="4" fillId="5" borderId="6" xfId="0" applyFont="1" applyFill="1" applyBorder="1" applyAlignment="1">
      <alignment horizontal="center" vertical="center"/>
    </xf>
    <xf numFmtId="0" fontId="5" fillId="6" borderId="17" xfId="0" applyFont="1" applyFill="1" applyBorder="1" applyAlignment="1">
      <alignment horizontal="center" vertical="center"/>
    </xf>
    <xf numFmtId="0" fontId="0" fillId="0" borderId="0" xfId="0" applyAlignment="1">
      <alignment wrapText="1"/>
    </xf>
    <xf numFmtId="0" fontId="5" fillId="6" borderId="6" xfId="0" applyFont="1" applyFill="1" applyBorder="1" applyAlignment="1">
      <alignment horizontal="center" vertical="center" wrapText="1"/>
    </xf>
    <xf numFmtId="43" fontId="12" fillId="0" borderId="6" xfId="0" applyNumberFormat="1" applyFont="1" applyBorder="1" applyAlignment="1">
      <alignment horizontal="center" vertical="center"/>
    </xf>
    <xf numFmtId="43" fontId="12" fillId="0" borderId="6" xfId="1" applyFont="1" applyBorder="1" applyAlignment="1">
      <alignment horizontal="center" vertical="center"/>
    </xf>
    <xf numFmtId="0" fontId="0" fillId="0" borderId="6" xfId="0" applyBorder="1" applyAlignment="1">
      <alignment horizontal="center" vertical="center" wrapText="1"/>
    </xf>
    <xf numFmtId="4" fontId="0" fillId="0" borderId="6" xfId="0" applyNumberFormat="1" applyBorder="1" applyAlignment="1">
      <alignment horizontal="center" vertical="center" wrapText="1"/>
    </xf>
    <xf numFmtId="0" fontId="1" fillId="0" borderId="0" xfId="0" applyFont="1" applyAlignment="1">
      <alignment wrapText="1"/>
    </xf>
    <xf numFmtId="0" fontId="1" fillId="13" borderId="6" xfId="0" applyFont="1" applyFill="1" applyBorder="1" applyAlignment="1">
      <alignment horizontal="center" vertical="center" wrapText="1"/>
    </xf>
    <xf numFmtId="0" fontId="1" fillId="14" borderId="6" xfId="0" applyFont="1" applyFill="1" applyBorder="1" applyAlignment="1">
      <alignment horizontal="center" vertical="center" wrapText="1"/>
    </xf>
    <xf numFmtId="166" fontId="6" fillId="7" borderId="6" xfId="1" applyNumberFormat="1" applyFont="1" applyFill="1" applyBorder="1" applyAlignment="1">
      <alignment horizontal="center"/>
    </xf>
    <xf numFmtId="0" fontId="0" fillId="0" borderId="34" xfId="0" applyBorder="1"/>
    <xf numFmtId="0" fontId="0" fillId="0" borderId="33" xfId="0" applyBorder="1"/>
    <xf numFmtId="0" fontId="0" fillId="0" borderId="34" xfId="0" applyBorder="1" applyAlignment="1">
      <alignment horizontal="center" vertical="center"/>
    </xf>
    <xf numFmtId="0" fontId="0" fillId="0" borderId="31" xfId="0" applyBorder="1" applyAlignment="1">
      <alignment horizontal="center" vertical="center"/>
    </xf>
    <xf numFmtId="0" fontId="13" fillId="0" borderId="34" xfId="0" applyFont="1" applyBorder="1" applyAlignment="1">
      <alignment horizontal="center" vertical="center"/>
    </xf>
    <xf numFmtId="0" fontId="0" fillId="11" borderId="34" xfId="0" applyFill="1" applyBorder="1" applyAlignment="1">
      <alignment horizontal="center" vertical="center"/>
    </xf>
    <xf numFmtId="0" fontId="5" fillId="6" borderId="35" xfId="0" applyFont="1" applyFill="1" applyBorder="1" applyAlignment="1">
      <alignment horizontal="center" vertical="center"/>
    </xf>
    <xf numFmtId="4" fontId="3" fillId="0" borderId="6" xfId="0" applyNumberFormat="1" applyFont="1" applyBorder="1" applyAlignment="1">
      <alignment horizontal="center" vertical="center"/>
    </xf>
    <xf numFmtId="167" fontId="3" fillId="0" borderId="6" xfId="0" applyNumberFormat="1" applyFont="1" applyBorder="1" applyAlignment="1">
      <alignment horizontal="center" vertical="center"/>
    </xf>
    <xf numFmtId="0" fontId="6" fillId="7" borderId="6" xfId="0" applyFont="1" applyFill="1" applyBorder="1" applyAlignment="1">
      <alignment horizontal="center" vertical="center"/>
    </xf>
    <xf numFmtId="43" fontId="6" fillId="7" borderId="6" xfId="1" applyFont="1" applyFill="1" applyBorder="1" applyAlignment="1">
      <alignment horizontal="center" vertical="center"/>
    </xf>
    <xf numFmtId="0" fontId="6" fillId="0" borderId="6" xfId="0" applyFont="1" applyBorder="1" applyAlignment="1">
      <alignment horizontal="center" vertical="center"/>
    </xf>
    <xf numFmtId="43" fontId="6" fillId="0" borderId="6" xfId="1" applyFont="1" applyBorder="1" applyAlignment="1">
      <alignment horizontal="center" vertical="center"/>
    </xf>
    <xf numFmtId="0" fontId="0" fillId="18" borderId="34" xfId="0" applyFill="1" applyBorder="1" applyAlignment="1">
      <alignment horizontal="center" vertical="center"/>
    </xf>
    <xf numFmtId="4" fontId="11" fillId="11" borderId="6" xfId="2" applyNumberFormat="1" applyFont="1" applyFill="1" applyBorder="1" applyAlignment="1">
      <alignment horizontal="center" vertical="center"/>
    </xf>
    <xf numFmtId="4" fontId="0" fillId="18" borderId="6" xfId="0" applyNumberFormat="1" applyFill="1" applyBorder="1" applyAlignment="1">
      <alignment horizontal="center"/>
    </xf>
    <xf numFmtId="4" fontId="1" fillId="11" borderId="6" xfId="0" applyNumberFormat="1" applyFont="1" applyFill="1" applyBorder="1"/>
    <xf numFmtId="4" fontId="1" fillId="12" borderId="6" xfId="0" applyNumberFormat="1" applyFont="1" applyFill="1" applyBorder="1" applyAlignment="1">
      <alignment horizontal="center" vertical="center" wrapText="1"/>
    </xf>
    <xf numFmtId="4" fontId="1" fillId="12" borderId="24" xfId="0" applyNumberFormat="1" applyFont="1" applyFill="1" applyBorder="1" applyAlignment="1">
      <alignment horizontal="center" vertical="center" wrapText="1"/>
    </xf>
    <xf numFmtId="0" fontId="1" fillId="0" borderId="36" xfId="0" applyFont="1" applyBorder="1" applyAlignment="1">
      <alignment horizontal="center"/>
    </xf>
    <xf numFmtId="2" fontId="6" fillId="7" borderId="6" xfId="1" applyNumberFormat="1" applyFont="1" applyFill="1" applyBorder="1" applyAlignment="1">
      <alignment horizontal="center" vertical="center"/>
    </xf>
    <xf numFmtId="2" fontId="6" fillId="7" borderId="6" xfId="0" applyNumberFormat="1" applyFont="1" applyFill="1" applyBorder="1" applyAlignment="1">
      <alignment horizontal="center" vertical="center"/>
    </xf>
    <xf numFmtId="0" fontId="6" fillId="7" borderId="6" xfId="1" applyNumberFormat="1" applyFont="1" applyFill="1" applyBorder="1" applyAlignment="1">
      <alignment horizontal="center" vertical="center"/>
    </xf>
    <xf numFmtId="3" fontId="3" fillId="0" borderId="6" xfId="0" applyNumberFormat="1" applyFont="1" applyBorder="1" applyAlignment="1">
      <alignment horizontal="center" vertical="center"/>
    </xf>
    <xf numFmtId="43" fontId="6" fillId="0" borderId="6" xfId="1" applyFont="1" applyFill="1" applyBorder="1" applyAlignment="1">
      <alignment horizontal="center" vertical="center"/>
    </xf>
    <xf numFmtId="0" fontId="0" fillId="15" borderId="17" xfId="0" applyFill="1" applyBorder="1" applyAlignment="1">
      <alignment horizontal="center" vertical="center"/>
    </xf>
    <xf numFmtId="0" fontId="1" fillId="15" borderId="10" xfId="0" applyFont="1" applyFill="1" applyBorder="1" applyAlignment="1">
      <alignment horizontal="center" vertical="center"/>
    </xf>
    <xf numFmtId="0" fontId="1" fillId="15" borderId="12" xfId="0" applyFont="1" applyFill="1" applyBorder="1" applyAlignment="1">
      <alignment horizontal="center" vertical="center"/>
    </xf>
    <xf numFmtId="2" fontId="6" fillId="15" borderId="6" xfId="1" applyNumberFormat="1" applyFont="1" applyFill="1" applyBorder="1" applyAlignment="1">
      <alignment horizontal="center" vertical="center"/>
    </xf>
    <xf numFmtId="0" fontId="6" fillId="0" borderId="6" xfId="1" applyNumberFormat="1" applyFont="1" applyFill="1" applyBorder="1" applyAlignment="1">
      <alignment horizontal="center" vertical="center"/>
    </xf>
    <xf numFmtId="43" fontId="12" fillId="11" borderId="6" xfId="0" applyNumberFormat="1" applyFont="1" applyFill="1" applyBorder="1" applyAlignment="1">
      <alignment horizontal="center" vertical="center"/>
    </xf>
    <xf numFmtId="9" fontId="0" fillId="0" borderId="0" xfId="3" applyFont="1"/>
    <xf numFmtId="0" fontId="0" fillId="19" borderId="0" xfId="0" applyFill="1"/>
    <xf numFmtId="0" fontId="12" fillId="0" borderId="6" xfId="0" applyFont="1" applyBorder="1" applyAlignment="1">
      <alignment horizontal="center" vertical="center"/>
    </xf>
    <xf numFmtId="9" fontId="0" fillId="0" borderId="6" xfId="3" applyFont="1" applyBorder="1" applyAlignment="1">
      <alignment horizontal="center" vertical="center" wrapText="1"/>
    </xf>
    <xf numFmtId="4" fontId="0" fillId="12" borderId="0" xfId="0" applyNumberFormat="1" applyFill="1"/>
    <xf numFmtId="0" fontId="0" fillId="0" borderId="19" xfId="0" applyBorder="1" applyAlignment="1">
      <alignment horizontal="center" vertical="center" wrapText="1"/>
    </xf>
    <xf numFmtId="0" fontId="1" fillId="4" borderId="31" xfId="0" applyFont="1" applyFill="1" applyBorder="1" applyAlignment="1">
      <alignment horizontal="center" vertical="center"/>
    </xf>
    <xf numFmtId="0" fontId="0" fillId="0" borderId="41" xfId="0" applyBorder="1"/>
    <xf numFmtId="0" fontId="0" fillId="0" borderId="42" xfId="0" applyBorder="1"/>
    <xf numFmtId="0" fontId="0" fillId="0" borderId="43" xfId="0" applyBorder="1"/>
    <xf numFmtId="0" fontId="0" fillId="0" borderId="44" xfId="0" applyBorder="1"/>
    <xf numFmtId="0" fontId="0" fillId="0" borderId="47" xfId="0" applyBorder="1"/>
    <xf numFmtId="0" fontId="0" fillId="0" borderId="48" xfId="0" applyBorder="1"/>
    <xf numFmtId="0" fontId="0" fillId="0" borderId="49" xfId="0" applyBorder="1"/>
    <xf numFmtId="0" fontId="1" fillId="15" borderId="0" xfId="0" applyFont="1" applyFill="1" applyAlignment="1">
      <alignment horizontal="center" vertical="center"/>
    </xf>
    <xf numFmtId="0" fontId="1" fillId="0" borderId="0" xfId="0" applyFont="1" applyAlignment="1">
      <alignment vertical="center"/>
    </xf>
    <xf numFmtId="0" fontId="0" fillId="0" borderId="0" xfId="0" applyAlignment="1">
      <alignment vertical="center"/>
    </xf>
    <xf numFmtId="0" fontId="0" fillId="0" borderId="41" xfId="0" applyBorder="1" applyAlignment="1">
      <alignment horizontal="center" vertical="center"/>
    </xf>
    <xf numFmtId="0" fontId="1" fillId="0" borderId="0" xfId="0" applyFont="1" applyAlignment="1">
      <alignment horizontal="center"/>
    </xf>
    <xf numFmtId="0" fontId="5" fillId="6" borderId="53" xfId="0" applyFont="1" applyFill="1" applyBorder="1" applyAlignment="1">
      <alignment horizontal="center" vertical="center" wrapText="1"/>
    </xf>
    <xf numFmtId="0" fontId="5" fillId="6" borderId="55" xfId="0" applyFont="1" applyFill="1" applyBorder="1" applyAlignment="1">
      <alignment horizontal="center" vertical="center" wrapText="1"/>
    </xf>
    <xf numFmtId="0" fontId="6" fillId="7" borderId="56" xfId="0" applyFont="1" applyFill="1" applyBorder="1" applyAlignment="1">
      <alignment horizontal="center"/>
    </xf>
    <xf numFmtId="0" fontId="6" fillId="0" borderId="58" xfId="0" applyFont="1" applyBorder="1" applyAlignment="1">
      <alignment horizontal="center"/>
    </xf>
    <xf numFmtId="166" fontId="6" fillId="7" borderId="59" xfId="1" applyNumberFormat="1" applyFont="1" applyFill="1" applyBorder="1" applyAlignment="1">
      <alignment horizontal="center"/>
    </xf>
    <xf numFmtId="0" fontId="6" fillId="7" borderId="23" xfId="0" applyFont="1" applyFill="1" applyBorder="1" applyAlignment="1">
      <alignment horizontal="center"/>
    </xf>
    <xf numFmtId="0" fontId="6" fillId="0" borderId="62" xfId="0" applyFont="1" applyBorder="1" applyAlignment="1">
      <alignment horizontal="center"/>
    </xf>
    <xf numFmtId="0" fontId="0" fillId="22" borderId="6" xfId="0" applyFill="1" applyBorder="1"/>
    <xf numFmtId="0" fontId="0" fillId="22" borderId="59" xfId="0" applyFill="1" applyBorder="1"/>
    <xf numFmtId="0" fontId="0" fillId="22" borderId="24" xfId="0" applyFill="1" applyBorder="1"/>
    <xf numFmtId="0" fontId="1" fillId="0" borderId="0" xfId="0" applyFont="1" applyAlignment="1">
      <alignment horizontal="left"/>
    </xf>
    <xf numFmtId="0" fontId="1" fillId="0" borderId="0" xfId="0" applyFont="1"/>
    <xf numFmtId="0" fontId="16" fillId="0" borderId="0" xfId="0" applyFont="1"/>
    <xf numFmtId="0" fontId="0" fillId="0" borderId="0" xfId="0" applyAlignment="1">
      <alignment horizontal="left"/>
    </xf>
    <xf numFmtId="0" fontId="6" fillId="23" borderId="6" xfId="0" applyFont="1" applyFill="1" applyBorder="1" applyAlignment="1">
      <alignment horizontal="center"/>
    </xf>
    <xf numFmtId="0" fontId="6" fillId="23" borderId="59" xfId="0" applyFont="1" applyFill="1" applyBorder="1" applyAlignment="1">
      <alignment horizontal="center"/>
    </xf>
    <xf numFmtId="166" fontId="6" fillId="24" borderId="21" xfId="1" applyNumberFormat="1" applyFont="1" applyFill="1" applyBorder="1" applyAlignment="1">
      <alignment horizontal="center"/>
    </xf>
    <xf numFmtId="166" fontId="6" fillId="25" borderId="60" xfId="1" applyNumberFormat="1" applyFont="1" applyFill="1" applyBorder="1" applyAlignment="1">
      <alignment horizontal="center"/>
    </xf>
    <xf numFmtId="166" fontId="0" fillId="26" borderId="57" xfId="0" applyNumberFormat="1" applyFill="1" applyBorder="1"/>
    <xf numFmtId="166" fontId="0" fillId="26" borderId="53" xfId="0" applyNumberFormat="1" applyFill="1" applyBorder="1"/>
    <xf numFmtId="0" fontId="1" fillId="0" borderId="0" xfId="0" applyFont="1" applyAlignment="1">
      <alignment horizontal="left" vertical="center"/>
    </xf>
    <xf numFmtId="166" fontId="0" fillId="0" borderId="0" xfId="0" applyNumberFormat="1"/>
    <xf numFmtId="166" fontId="0" fillId="0" borderId="68" xfId="0" applyNumberFormat="1" applyBorder="1" applyAlignment="1">
      <alignment horizontal="center" vertical="center"/>
    </xf>
    <xf numFmtId="166" fontId="0" fillId="0" borderId="69" xfId="0" applyNumberFormat="1" applyBorder="1" applyAlignment="1">
      <alignment horizontal="center" vertical="center"/>
    </xf>
    <xf numFmtId="0" fontId="1" fillId="0" borderId="31" xfId="0" applyFont="1" applyBorder="1"/>
    <xf numFmtId="166" fontId="0" fillId="0" borderId="34" xfId="0" applyNumberFormat="1" applyBorder="1"/>
    <xf numFmtId="0" fontId="1" fillId="0" borderId="34" xfId="0" applyFont="1" applyBorder="1"/>
    <xf numFmtId="166" fontId="0" fillId="0" borderId="33" xfId="0" applyNumberFormat="1" applyBorder="1"/>
    <xf numFmtId="0" fontId="6" fillId="7" borderId="19" xfId="0" applyFont="1" applyFill="1" applyBorder="1" applyAlignment="1">
      <alignment horizontal="center"/>
    </xf>
    <xf numFmtId="0" fontId="6" fillId="0" borderId="13" xfId="0" applyFont="1" applyBorder="1" applyAlignment="1">
      <alignment horizontal="center"/>
    </xf>
    <xf numFmtId="0" fontId="1" fillId="0" borderId="10" xfId="0" applyFont="1" applyBorder="1" applyAlignment="1">
      <alignment horizontal="center"/>
    </xf>
    <xf numFmtId="0" fontId="1" fillId="0" borderId="12" xfId="0" applyFont="1" applyBorder="1" applyAlignment="1">
      <alignment horizontal="center"/>
    </xf>
    <xf numFmtId="166" fontId="0" fillId="0" borderId="20" xfId="0" applyNumberFormat="1" applyBorder="1"/>
    <xf numFmtId="166" fontId="0" fillId="0" borderId="15" xfId="0" applyNumberFormat="1" applyBorder="1"/>
    <xf numFmtId="0" fontId="1" fillId="0" borderId="40" xfId="0" applyFont="1" applyBorder="1" applyAlignment="1">
      <alignment wrapText="1"/>
    </xf>
    <xf numFmtId="166" fontId="0" fillId="0" borderId="40" xfId="0" applyNumberFormat="1" applyBorder="1" applyAlignment="1">
      <alignment horizontal="center" vertical="center"/>
    </xf>
    <xf numFmtId="0" fontId="17" fillId="27" borderId="6" xfId="0" applyFont="1" applyFill="1" applyBorder="1" applyAlignment="1">
      <alignment horizontal="center" vertical="center"/>
    </xf>
    <xf numFmtId="0" fontId="19" fillId="0" borderId="6" xfId="0" applyFont="1" applyBorder="1" applyAlignment="1">
      <alignment horizontal="center" vertical="center"/>
    </xf>
    <xf numFmtId="0" fontId="20" fillId="0" borderId="6" xfId="0" applyFont="1" applyBorder="1" applyAlignment="1">
      <alignment horizontal="center" vertical="center" wrapText="1"/>
    </xf>
    <xf numFmtId="0" fontId="20" fillId="0" borderId="6" xfId="0" applyFont="1" applyBorder="1" applyAlignment="1">
      <alignment horizontal="center" vertical="center"/>
    </xf>
    <xf numFmtId="0" fontId="21" fillId="0" borderId="0" xfId="0" applyFont="1" applyAlignment="1">
      <alignment horizontal="center" vertical="center"/>
    </xf>
    <xf numFmtId="0" fontId="18" fillId="0" borderId="0" xfId="0" applyFont="1" applyAlignment="1">
      <alignment horizontal="center" vertical="center"/>
    </xf>
    <xf numFmtId="0" fontId="0" fillId="0" borderId="6" xfId="0" applyBorder="1"/>
    <xf numFmtId="0" fontId="21" fillId="0" borderId="6" xfId="0" applyFont="1" applyBorder="1" applyAlignment="1">
      <alignment vertical="center"/>
    </xf>
    <xf numFmtId="0" fontId="21" fillId="0" borderId="6" xfId="0" applyFont="1" applyBorder="1" applyAlignment="1">
      <alignment horizontal="center" vertical="center"/>
    </xf>
    <xf numFmtId="0" fontId="25" fillId="0" borderId="6" xfId="0" applyFont="1" applyBorder="1" applyAlignment="1">
      <alignment vertical="center"/>
    </xf>
    <xf numFmtId="0" fontId="24" fillId="0" borderId="6" xfId="0" applyFont="1" applyBorder="1" applyAlignment="1">
      <alignment vertical="center"/>
    </xf>
    <xf numFmtId="0" fontId="23" fillId="0" borderId="6" xfId="0" applyFont="1" applyBorder="1" applyAlignment="1">
      <alignment horizontal="center" vertical="center"/>
    </xf>
    <xf numFmtId="3" fontId="0" fillId="0" borderId="6" xfId="0" applyNumberFormat="1" applyBorder="1"/>
    <xf numFmtId="4" fontId="21" fillId="0" borderId="6" xfId="0" applyNumberFormat="1" applyFont="1" applyBorder="1" applyAlignment="1">
      <alignment horizontal="center" vertical="center"/>
    </xf>
    <xf numFmtId="0" fontId="0" fillId="0" borderId="0" xfId="0" applyAlignment="1">
      <alignment horizontal="left" vertical="top" wrapText="1"/>
    </xf>
    <xf numFmtId="0" fontId="4" fillId="5" borderId="6" xfId="0" applyFont="1" applyFill="1" applyBorder="1" applyAlignment="1">
      <alignment horizontal="center" vertical="center"/>
    </xf>
    <xf numFmtId="0" fontId="1" fillId="2" borderId="0" xfId="0" applyFont="1" applyFill="1" applyAlignment="1">
      <alignment horizontal="center" vertical="center"/>
    </xf>
    <xf numFmtId="0" fontId="1" fillId="0" borderId="6" xfId="0" applyFont="1" applyBorder="1" applyAlignment="1">
      <alignment horizontal="center" vertical="center"/>
    </xf>
    <xf numFmtId="0" fontId="5" fillId="6" borderId="24" xfId="0" applyFont="1" applyFill="1" applyBorder="1" applyAlignment="1">
      <alignment horizontal="center" vertical="center"/>
    </xf>
    <xf numFmtId="0" fontId="5" fillId="6" borderId="17" xfId="0" applyFont="1" applyFill="1" applyBorder="1" applyAlignment="1">
      <alignment horizontal="center" vertical="center"/>
    </xf>
    <xf numFmtId="0" fontId="0" fillId="0" borderId="6" xfId="0" applyBorder="1" applyAlignment="1">
      <alignment horizontal="center" vertical="center"/>
    </xf>
    <xf numFmtId="0" fontId="1" fillId="4" borderId="0" xfId="0" applyFont="1" applyFill="1" applyAlignment="1">
      <alignment horizontal="center" vertic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5" fillId="17" borderId="24" xfId="0" applyFont="1" applyFill="1" applyBorder="1" applyAlignment="1">
      <alignment horizontal="center" vertical="center"/>
    </xf>
    <xf numFmtId="0" fontId="5" fillId="17" borderId="17" xfId="0" applyFont="1" applyFill="1" applyBorder="1" applyAlignment="1">
      <alignment horizontal="center" vertical="center"/>
    </xf>
    <xf numFmtId="0" fontId="0" fillId="0" borderId="20" xfId="0" applyBorder="1" applyAlignment="1">
      <alignment horizontal="center" vertical="center"/>
    </xf>
    <xf numFmtId="0" fontId="0" fillId="0" borderId="15" xfId="0" applyBorder="1" applyAlignment="1">
      <alignment horizontal="center" vertical="center"/>
    </xf>
    <xf numFmtId="0" fontId="1" fillId="0" borderId="16" xfId="0" applyFont="1" applyBorder="1" applyAlignment="1">
      <alignment horizontal="center" vertical="center"/>
    </xf>
    <xf numFmtId="0" fontId="1" fillId="0" borderId="13" xfId="0" applyFont="1" applyBorder="1" applyAlignment="1">
      <alignment horizontal="center" vertical="center"/>
    </xf>
    <xf numFmtId="0" fontId="21" fillId="0" borderId="6" xfId="0" applyFont="1" applyBorder="1" applyAlignment="1">
      <alignment horizontal="center" vertical="center" wrapText="1"/>
    </xf>
    <xf numFmtId="0" fontId="21" fillId="0" borderId="6"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0" xfId="0" applyFont="1" applyAlignment="1">
      <alignment horizontal="center"/>
    </xf>
    <xf numFmtId="0" fontId="10" fillId="4" borderId="31" xfId="0" applyFont="1" applyFill="1" applyBorder="1" applyAlignment="1">
      <alignment horizontal="center"/>
    </xf>
    <xf numFmtId="0" fontId="10" fillId="4" borderId="32" xfId="0" applyFont="1" applyFill="1" applyBorder="1" applyAlignment="1">
      <alignment horizontal="center"/>
    </xf>
    <xf numFmtId="0" fontId="10" fillId="4" borderId="33" xfId="0" applyFont="1" applyFill="1" applyBorder="1" applyAlignment="1">
      <alignment horizontal="center"/>
    </xf>
    <xf numFmtId="0" fontId="15" fillId="21" borderId="50" xfId="0" applyFont="1" applyFill="1" applyBorder="1" applyAlignment="1">
      <alignment horizontal="center" vertical="center"/>
    </xf>
    <xf numFmtId="0" fontId="15" fillId="21" borderId="51"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1" fillId="11" borderId="31" xfId="0" applyFont="1" applyFill="1" applyBorder="1" applyAlignment="1">
      <alignment horizontal="center"/>
    </xf>
    <xf numFmtId="0" fontId="1" fillId="11" borderId="32" xfId="0" applyFont="1" applyFill="1" applyBorder="1" applyAlignment="1">
      <alignment horizontal="center"/>
    </xf>
    <xf numFmtId="0" fontId="1" fillId="11" borderId="33" xfId="0" applyFont="1" applyFill="1" applyBorder="1" applyAlignment="1">
      <alignment horizontal="center"/>
    </xf>
    <xf numFmtId="0" fontId="0" fillId="0" borderId="37" xfId="0" applyBorder="1" applyAlignment="1">
      <alignment horizontal="center" vertical="center" wrapText="1"/>
    </xf>
    <xf numFmtId="0" fontId="0" fillId="0" borderId="45" xfId="0" applyBorder="1" applyAlignment="1">
      <alignment horizontal="center" vertical="center" wrapText="1"/>
    </xf>
    <xf numFmtId="0" fontId="0" fillId="0" borderId="38" xfId="0" applyBorder="1" applyAlignment="1">
      <alignment horizontal="center" vertical="center" wrapText="1"/>
    </xf>
    <xf numFmtId="0" fontId="0" fillId="0" borderId="44" xfId="0" applyBorder="1" applyAlignment="1">
      <alignment horizontal="center" vertical="center" wrapText="1"/>
    </xf>
    <xf numFmtId="0" fontId="0" fillId="0" borderId="39" xfId="0" applyBorder="1" applyAlignment="1">
      <alignment horizontal="center" vertical="center" wrapText="1"/>
    </xf>
    <xf numFmtId="0" fontId="0" fillId="0" borderId="46" xfId="0"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1" fillId="15" borderId="0" xfId="0" applyFont="1" applyFill="1" applyAlignment="1">
      <alignment horizontal="center" vertical="center"/>
    </xf>
    <xf numFmtId="0" fontId="10" fillId="4" borderId="0" xfId="0" applyFont="1" applyFill="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 fillId="0" borderId="8" xfId="0" applyFont="1" applyBorder="1" applyAlignment="1">
      <alignment horizontal="center"/>
    </xf>
    <xf numFmtId="0" fontId="5" fillId="6" borderId="52" xfId="0" applyFont="1" applyFill="1" applyBorder="1" applyAlignment="1">
      <alignment horizontal="center" vertical="center"/>
    </xf>
    <xf numFmtId="0" fontId="5" fillId="6" borderId="54" xfId="0" applyFont="1" applyFill="1" applyBorder="1" applyAlignment="1">
      <alignment horizontal="center" vertical="center"/>
    </xf>
    <xf numFmtId="0" fontId="5" fillId="6" borderId="61" xfId="0" applyFont="1" applyFill="1" applyBorder="1" applyAlignment="1">
      <alignment horizontal="center" vertical="center"/>
    </xf>
    <xf numFmtId="0" fontId="5" fillId="6" borderId="25" xfId="0" applyFont="1" applyFill="1" applyBorder="1" applyAlignment="1">
      <alignment horizontal="center" vertical="center"/>
    </xf>
    <xf numFmtId="0" fontId="1" fillId="20" borderId="63" xfId="0" applyFont="1" applyFill="1" applyBorder="1" applyAlignment="1">
      <alignment horizontal="center"/>
    </xf>
    <xf numFmtId="0" fontId="1" fillId="20" borderId="64" xfId="0" applyFont="1" applyFill="1" applyBorder="1" applyAlignment="1">
      <alignment horizontal="center"/>
    </xf>
    <xf numFmtId="0" fontId="1" fillId="20" borderId="65" xfId="0" applyFont="1" applyFill="1" applyBorder="1" applyAlignment="1">
      <alignment horizontal="center"/>
    </xf>
    <xf numFmtId="0" fontId="1" fillId="16" borderId="54" xfId="0" applyFont="1" applyFill="1" applyBorder="1" applyAlignment="1">
      <alignment horizontal="center"/>
    </xf>
    <xf numFmtId="0" fontId="1" fillId="16" borderId="17" xfId="0" applyFont="1" applyFill="1" applyBorder="1" applyAlignment="1">
      <alignment horizontal="center"/>
    </xf>
    <xf numFmtId="0" fontId="1" fillId="16" borderId="66" xfId="0" applyFont="1" applyFill="1" applyBorder="1" applyAlignment="1">
      <alignment horizontal="center"/>
    </xf>
    <xf numFmtId="0" fontId="1" fillId="16" borderId="25" xfId="0" applyFont="1" applyFill="1" applyBorder="1" applyAlignment="1">
      <alignment horizontal="center"/>
    </xf>
    <xf numFmtId="0" fontId="9" fillId="9" borderId="21" xfId="0" applyFont="1" applyFill="1" applyBorder="1" applyAlignment="1">
      <alignment horizontal="center"/>
    </xf>
    <xf numFmtId="0" fontId="9" fillId="9" borderId="22" xfId="0" applyFont="1" applyFill="1" applyBorder="1" applyAlignment="1">
      <alignment horizontal="center"/>
    </xf>
    <xf numFmtId="0" fontId="9" fillId="9" borderId="6" xfId="0" applyFont="1" applyFill="1" applyBorder="1" applyAlignment="1">
      <alignment horizontal="center"/>
    </xf>
    <xf numFmtId="0" fontId="9" fillId="9" borderId="24" xfId="0" applyFont="1" applyFill="1" applyBorder="1" applyAlignment="1">
      <alignment horizontal="center"/>
    </xf>
    <xf numFmtId="0" fontId="1" fillId="0" borderId="6" xfId="0" applyFont="1" applyBorder="1" applyAlignment="1">
      <alignment horizontal="center"/>
    </xf>
    <xf numFmtId="4" fontId="1" fillId="12" borderId="24" xfId="0" applyNumberFormat="1" applyFont="1" applyFill="1" applyBorder="1" applyAlignment="1">
      <alignment horizontal="center" vertical="center" wrapText="1"/>
    </xf>
    <xf numFmtId="4" fontId="1" fillId="12" borderId="17" xfId="0" applyNumberFormat="1" applyFont="1" applyFill="1" applyBorder="1" applyAlignment="1">
      <alignment horizontal="center" vertical="center" wrapText="1"/>
    </xf>
    <xf numFmtId="0" fontId="1" fillId="0" borderId="21" xfId="0" applyFont="1" applyBorder="1" applyAlignment="1">
      <alignment horizontal="center"/>
    </xf>
    <xf numFmtId="0" fontId="1" fillId="0" borderId="23" xfId="0" applyFont="1" applyBorder="1" applyAlignment="1">
      <alignment horizontal="center"/>
    </xf>
    <xf numFmtId="4" fontId="0" fillId="12" borderId="24" xfId="0" applyNumberFormat="1" applyFill="1" applyBorder="1" applyAlignment="1">
      <alignment horizontal="center" vertical="center" wrapText="1"/>
    </xf>
    <xf numFmtId="4" fontId="0" fillId="12" borderId="17" xfId="0" applyNumberFormat="1" applyFill="1" applyBorder="1" applyAlignment="1">
      <alignment horizontal="center" vertical="center" wrapText="1"/>
    </xf>
    <xf numFmtId="0" fontId="1" fillId="0" borderId="26" xfId="0" applyFont="1" applyBorder="1" applyAlignment="1">
      <alignment horizontal="center"/>
    </xf>
    <xf numFmtId="0" fontId="1" fillId="0" borderId="25" xfId="0" applyFont="1" applyBorder="1" applyAlignment="1">
      <alignment horizontal="center"/>
    </xf>
    <xf numFmtId="4" fontId="1" fillId="12" borderId="24" xfId="0" applyNumberFormat="1" applyFont="1" applyFill="1" applyBorder="1" applyAlignment="1">
      <alignment horizontal="center" vertical="center"/>
    </xf>
    <xf numFmtId="4" fontId="1" fillId="12" borderId="17" xfId="0" applyNumberFormat="1" applyFont="1" applyFill="1" applyBorder="1" applyAlignment="1">
      <alignment horizontal="center" vertical="center"/>
    </xf>
    <xf numFmtId="0" fontId="9" fillId="9" borderId="21" xfId="0" applyFont="1" applyFill="1" applyBorder="1" applyAlignment="1">
      <alignment horizontal="center" vertical="center"/>
    </xf>
    <xf numFmtId="0" fontId="9" fillId="9" borderId="22" xfId="0" applyFont="1" applyFill="1" applyBorder="1" applyAlignment="1">
      <alignment horizontal="center" vertical="center"/>
    </xf>
    <xf numFmtId="4" fontId="1" fillId="12" borderId="6" xfId="0" applyNumberFormat="1" applyFont="1" applyFill="1" applyBorder="1" applyAlignment="1">
      <alignment horizontal="center" vertical="center" wrapText="1"/>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b="0" i="0">
                <a:effectLst/>
              </a:rPr>
              <a:t>Comparison of Total Water Footprint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'Comparacion HH'!$B$3:$B$6</c:f>
              <c:strCache>
                <c:ptCount val="4"/>
                <c:pt idx="0">
                  <c:v>ESPOL (2023)</c:v>
                </c:pt>
                <c:pt idx="1">
                  <c:v>Universidad Politecnica Salesiana Quito Campus (2016)</c:v>
                </c:pt>
                <c:pt idx="2">
                  <c:v>Universidad Politecnica Salesiana Cuenca Campus (2019)</c:v>
                </c:pt>
                <c:pt idx="3">
                  <c:v>Pontificia Universidad Catolica del Peru Campus (2014)</c:v>
                </c:pt>
              </c:strCache>
            </c:strRef>
          </c:cat>
          <c:val>
            <c:numRef>
              <c:f>'Comparacion HH'!$R$3:$R$6</c:f>
              <c:numCache>
                <c:formatCode>#,##0.00</c:formatCode>
                <c:ptCount val="4"/>
                <c:pt idx="0">
                  <c:v>75.109105953159116</c:v>
                </c:pt>
                <c:pt idx="1">
                  <c:v>14741.635525627615</c:v>
                </c:pt>
                <c:pt idx="2">
                  <c:v>45.957222317152102</c:v>
                </c:pt>
                <c:pt idx="3">
                  <c:v>436.71355951552272</c:v>
                </c:pt>
              </c:numCache>
            </c:numRef>
          </c:val>
          <c:extLst>
            <c:ext xmlns:c16="http://schemas.microsoft.com/office/drawing/2014/chart" uri="{C3380CC4-5D6E-409C-BE32-E72D297353CC}">
              <c16:uniqueId val="{00000000-F79E-45D0-B7FC-A2D5FBDCF78B}"/>
            </c:ext>
          </c:extLst>
        </c:ser>
        <c:dLbls>
          <c:dLblPos val="outEnd"/>
          <c:showLegendKey val="0"/>
          <c:showVal val="1"/>
          <c:showCatName val="0"/>
          <c:showSerName val="0"/>
          <c:showPercent val="0"/>
          <c:showBubbleSize val="0"/>
        </c:dLbls>
        <c:gapWidth val="182"/>
        <c:axId val="1793188128"/>
        <c:axId val="1793190528"/>
      </c:barChart>
      <c:catAx>
        <c:axId val="17931881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3190528"/>
        <c:crosses val="autoZero"/>
        <c:auto val="1"/>
        <c:lblAlgn val="ctr"/>
        <c:lblOffset val="100"/>
        <c:noMultiLvlLbl val="0"/>
      </c:catAx>
      <c:valAx>
        <c:axId val="1793190528"/>
        <c:scaling>
          <c:orientation val="minMax"/>
          <c:max val="15000"/>
          <c:min val="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3188128"/>
        <c:crosses val="autoZero"/>
        <c:crossBetween val="between"/>
        <c:majorUnit val="5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15241</xdr:colOff>
      <xdr:row>24</xdr:row>
      <xdr:rowOff>15241</xdr:rowOff>
    </xdr:from>
    <xdr:to>
      <xdr:col>5</xdr:col>
      <xdr:colOff>601981</xdr:colOff>
      <xdr:row>26</xdr:row>
      <xdr:rowOff>1801</xdr:rowOff>
    </xdr:to>
    <xdr:pic>
      <xdr:nvPicPr>
        <xdr:cNvPr id="2" name="Imagen 1">
          <a:extLst>
            <a:ext uri="{FF2B5EF4-FFF2-40B4-BE49-F238E27FC236}">
              <a16:creationId xmlns:a16="http://schemas.microsoft.com/office/drawing/2014/main" id="{3389D671-8CF7-4031-A256-DBEC7A3F7CAB}"/>
            </a:ext>
          </a:extLst>
        </xdr:cNvPr>
        <xdr:cNvPicPr>
          <a:picLocks noChangeAspect="1"/>
        </xdr:cNvPicPr>
      </xdr:nvPicPr>
      <xdr:blipFill>
        <a:blip xmlns:r="http://schemas.openxmlformats.org/officeDocument/2006/relationships" r:embed="rId1"/>
        <a:stretch>
          <a:fillRect/>
        </a:stretch>
      </xdr:blipFill>
      <xdr:spPr>
        <a:xfrm>
          <a:off x="807721" y="4831081"/>
          <a:ext cx="3810000" cy="367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157403</xdr:colOff>
      <xdr:row>31</xdr:row>
      <xdr:rowOff>36286</xdr:rowOff>
    </xdr:from>
    <xdr:to>
      <xdr:col>15</xdr:col>
      <xdr:colOff>385730</xdr:colOff>
      <xdr:row>48</xdr:row>
      <xdr:rowOff>4571</xdr:rowOff>
    </xdr:to>
    <xdr:pic>
      <xdr:nvPicPr>
        <xdr:cNvPr id="2" name="Imagen 1">
          <a:extLst>
            <a:ext uri="{FF2B5EF4-FFF2-40B4-BE49-F238E27FC236}">
              <a16:creationId xmlns:a16="http://schemas.microsoft.com/office/drawing/2014/main" id="{0E38562D-6ECC-4ED1-99DC-BED91BC27AF7}"/>
            </a:ext>
          </a:extLst>
        </xdr:cNvPr>
        <xdr:cNvPicPr>
          <a:picLocks noChangeAspect="1"/>
        </xdr:cNvPicPr>
      </xdr:nvPicPr>
      <xdr:blipFill>
        <a:blip xmlns:r="http://schemas.openxmlformats.org/officeDocument/2006/relationships" r:embed="rId1"/>
        <a:stretch>
          <a:fillRect/>
        </a:stretch>
      </xdr:blipFill>
      <xdr:spPr>
        <a:xfrm>
          <a:off x="8158403" y="3335746"/>
          <a:ext cx="4547446" cy="3077244"/>
        </a:xfrm>
        <a:prstGeom prst="rect">
          <a:avLst/>
        </a:prstGeom>
      </xdr:spPr>
    </xdr:pic>
    <xdr:clientData/>
  </xdr:twoCellAnchor>
  <xdr:twoCellAnchor>
    <xdr:from>
      <xdr:col>12</xdr:col>
      <xdr:colOff>609223</xdr:colOff>
      <xdr:row>34</xdr:row>
      <xdr:rowOff>100013</xdr:rowOff>
    </xdr:from>
    <xdr:to>
      <xdr:col>12</xdr:col>
      <xdr:colOff>609223</xdr:colOff>
      <xdr:row>46</xdr:row>
      <xdr:rowOff>114300</xdr:rowOff>
    </xdr:to>
    <xdr:cxnSp macro="">
      <xdr:nvCxnSpPr>
        <xdr:cNvPr id="3" name="Conector recto 2">
          <a:extLst>
            <a:ext uri="{FF2B5EF4-FFF2-40B4-BE49-F238E27FC236}">
              <a16:creationId xmlns:a16="http://schemas.microsoft.com/office/drawing/2014/main" id="{9917DB93-1573-40FE-8D73-D1C9BF1226D1}"/>
            </a:ext>
          </a:extLst>
        </xdr:cNvPr>
        <xdr:cNvCxnSpPr/>
      </xdr:nvCxnSpPr>
      <xdr:spPr>
        <a:xfrm flipV="1">
          <a:off x="10058023" y="3948113"/>
          <a:ext cx="0" cy="220884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11</xdr:col>
      <xdr:colOff>33910</xdr:colOff>
      <xdr:row>39</xdr:row>
      <xdr:rowOff>175890</xdr:rowOff>
    </xdr:from>
    <xdr:to>
      <xdr:col>13</xdr:col>
      <xdr:colOff>88191</xdr:colOff>
      <xdr:row>39</xdr:row>
      <xdr:rowOff>177477</xdr:rowOff>
    </xdr:to>
    <xdr:cxnSp macro="">
      <xdr:nvCxnSpPr>
        <xdr:cNvPr id="4" name="Conector recto 3">
          <a:extLst>
            <a:ext uri="{FF2B5EF4-FFF2-40B4-BE49-F238E27FC236}">
              <a16:creationId xmlns:a16="http://schemas.microsoft.com/office/drawing/2014/main" id="{C0AA7677-1AAA-460C-8805-46FA7F0A374C}"/>
            </a:ext>
          </a:extLst>
        </xdr:cNvPr>
        <xdr:cNvCxnSpPr/>
      </xdr:nvCxnSpPr>
      <xdr:spPr>
        <a:xfrm flipH="1" flipV="1">
          <a:off x="9094090" y="4938390"/>
          <a:ext cx="1235381" cy="158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17</xdr:col>
      <xdr:colOff>39584</xdr:colOff>
      <xdr:row>31</xdr:row>
      <xdr:rowOff>29688</xdr:rowOff>
    </xdr:from>
    <xdr:to>
      <xdr:col>22</xdr:col>
      <xdr:colOff>360272</xdr:colOff>
      <xdr:row>48</xdr:row>
      <xdr:rowOff>3953</xdr:rowOff>
    </xdr:to>
    <xdr:pic>
      <xdr:nvPicPr>
        <xdr:cNvPr id="5" name="Imagen 4">
          <a:extLst>
            <a:ext uri="{FF2B5EF4-FFF2-40B4-BE49-F238E27FC236}">
              <a16:creationId xmlns:a16="http://schemas.microsoft.com/office/drawing/2014/main" id="{3C693309-0893-4479-BE97-F90655B1D95B}"/>
            </a:ext>
          </a:extLst>
        </xdr:cNvPr>
        <xdr:cNvPicPr>
          <a:picLocks noChangeAspect="1"/>
        </xdr:cNvPicPr>
      </xdr:nvPicPr>
      <xdr:blipFill>
        <a:blip xmlns:r="http://schemas.openxmlformats.org/officeDocument/2006/relationships" r:embed="rId1"/>
        <a:stretch>
          <a:fillRect/>
        </a:stretch>
      </xdr:blipFill>
      <xdr:spPr>
        <a:xfrm>
          <a:off x="13450784" y="3329148"/>
          <a:ext cx="4549790" cy="3083224"/>
        </a:xfrm>
        <a:prstGeom prst="rect">
          <a:avLst/>
        </a:prstGeom>
      </xdr:spPr>
    </xdr:pic>
    <xdr:clientData/>
  </xdr:twoCellAnchor>
  <xdr:twoCellAnchor>
    <xdr:from>
      <xdr:col>19</xdr:col>
      <xdr:colOff>111662</xdr:colOff>
      <xdr:row>34</xdr:row>
      <xdr:rowOff>67016</xdr:rowOff>
    </xdr:from>
    <xdr:to>
      <xdr:col>19</xdr:col>
      <xdr:colOff>111662</xdr:colOff>
      <xdr:row>46</xdr:row>
      <xdr:rowOff>81303</xdr:rowOff>
    </xdr:to>
    <xdr:cxnSp macro="">
      <xdr:nvCxnSpPr>
        <xdr:cNvPr id="6" name="Conector recto 5">
          <a:extLst>
            <a:ext uri="{FF2B5EF4-FFF2-40B4-BE49-F238E27FC236}">
              <a16:creationId xmlns:a16="http://schemas.microsoft.com/office/drawing/2014/main" id="{5B562FE3-0727-43A5-9954-3840B6F1DCD4}"/>
            </a:ext>
          </a:extLst>
        </xdr:cNvPr>
        <xdr:cNvCxnSpPr/>
      </xdr:nvCxnSpPr>
      <xdr:spPr>
        <a:xfrm flipV="1">
          <a:off x="15374522" y="3915116"/>
          <a:ext cx="0" cy="220884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17</xdr:col>
      <xdr:colOff>967418</xdr:colOff>
      <xdr:row>39</xdr:row>
      <xdr:rowOff>176498</xdr:rowOff>
    </xdr:from>
    <xdr:to>
      <xdr:col>19</xdr:col>
      <xdr:colOff>119175</xdr:colOff>
      <xdr:row>39</xdr:row>
      <xdr:rowOff>184180</xdr:rowOff>
    </xdr:to>
    <xdr:cxnSp macro="">
      <xdr:nvCxnSpPr>
        <xdr:cNvPr id="7" name="Conector recto 6">
          <a:extLst>
            <a:ext uri="{FF2B5EF4-FFF2-40B4-BE49-F238E27FC236}">
              <a16:creationId xmlns:a16="http://schemas.microsoft.com/office/drawing/2014/main" id="{FA2B7BC1-B757-4F50-9F18-96C32AF71B39}"/>
            </a:ext>
          </a:extLst>
        </xdr:cNvPr>
        <xdr:cNvCxnSpPr/>
      </xdr:nvCxnSpPr>
      <xdr:spPr>
        <a:xfrm>
          <a:off x="14378618" y="4938998"/>
          <a:ext cx="1003417" cy="7682"/>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24</xdr:col>
      <xdr:colOff>0</xdr:colOff>
      <xdr:row>31</xdr:row>
      <xdr:rowOff>0</xdr:rowOff>
    </xdr:from>
    <xdr:to>
      <xdr:col>29</xdr:col>
      <xdr:colOff>592833</xdr:colOff>
      <xdr:row>47</xdr:row>
      <xdr:rowOff>152394</xdr:rowOff>
    </xdr:to>
    <xdr:pic>
      <xdr:nvPicPr>
        <xdr:cNvPr id="8" name="Imagen 7">
          <a:extLst>
            <a:ext uri="{FF2B5EF4-FFF2-40B4-BE49-F238E27FC236}">
              <a16:creationId xmlns:a16="http://schemas.microsoft.com/office/drawing/2014/main" id="{EBFAC39F-B4C7-4D4B-A385-6B6DC42F71CB}"/>
            </a:ext>
          </a:extLst>
        </xdr:cNvPr>
        <xdr:cNvPicPr>
          <a:picLocks noChangeAspect="1"/>
        </xdr:cNvPicPr>
      </xdr:nvPicPr>
      <xdr:blipFill>
        <a:blip xmlns:r="http://schemas.openxmlformats.org/officeDocument/2006/relationships" r:embed="rId1"/>
        <a:stretch>
          <a:fillRect/>
        </a:stretch>
      </xdr:blipFill>
      <xdr:spPr>
        <a:xfrm>
          <a:off x="19225260" y="3299460"/>
          <a:ext cx="4555233" cy="3078473"/>
        </a:xfrm>
        <a:prstGeom prst="rect">
          <a:avLst/>
        </a:prstGeom>
      </xdr:spPr>
    </xdr:pic>
    <xdr:clientData/>
  </xdr:twoCellAnchor>
  <xdr:twoCellAnchor>
    <xdr:from>
      <xdr:col>26</xdr:col>
      <xdr:colOff>377863</xdr:colOff>
      <xdr:row>34</xdr:row>
      <xdr:rowOff>63550</xdr:rowOff>
    </xdr:from>
    <xdr:to>
      <xdr:col>26</xdr:col>
      <xdr:colOff>377863</xdr:colOff>
      <xdr:row>46</xdr:row>
      <xdr:rowOff>77837</xdr:rowOff>
    </xdr:to>
    <xdr:cxnSp macro="">
      <xdr:nvCxnSpPr>
        <xdr:cNvPr id="9" name="Conector recto 8">
          <a:extLst>
            <a:ext uri="{FF2B5EF4-FFF2-40B4-BE49-F238E27FC236}">
              <a16:creationId xmlns:a16="http://schemas.microsoft.com/office/drawing/2014/main" id="{F7D7A465-AAE5-450C-A60A-C422414CD32E}"/>
            </a:ext>
          </a:extLst>
        </xdr:cNvPr>
        <xdr:cNvCxnSpPr/>
      </xdr:nvCxnSpPr>
      <xdr:spPr>
        <a:xfrm flipV="1">
          <a:off x="21188083" y="3911650"/>
          <a:ext cx="0" cy="2208847"/>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151214</xdr:colOff>
      <xdr:row>39</xdr:row>
      <xdr:rowOff>156108</xdr:rowOff>
    </xdr:from>
    <xdr:to>
      <xdr:col>26</xdr:col>
      <xdr:colOff>376553</xdr:colOff>
      <xdr:row>39</xdr:row>
      <xdr:rowOff>165003</xdr:rowOff>
    </xdr:to>
    <xdr:cxnSp macro="">
      <xdr:nvCxnSpPr>
        <xdr:cNvPr id="10" name="Conector recto 9">
          <a:extLst>
            <a:ext uri="{FF2B5EF4-FFF2-40B4-BE49-F238E27FC236}">
              <a16:creationId xmlns:a16="http://schemas.microsoft.com/office/drawing/2014/main" id="{B7B53AEB-D7F9-488F-9861-221E3E6CC6C7}"/>
            </a:ext>
          </a:extLst>
        </xdr:cNvPr>
        <xdr:cNvCxnSpPr/>
      </xdr:nvCxnSpPr>
      <xdr:spPr>
        <a:xfrm flipH="1" flipV="1">
          <a:off x="20168954" y="4918608"/>
          <a:ext cx="1017819" cy="8895"/>
        </a:xfrm>
        <a:prstGeom prst="line">
          <a:avLst/>
        </a:prstGeom>
      </xdr:spPr>
      <xdr:style>
        <a:lnRef idx="2">
          <a:schemeClr val="accent1"/>
        </a:lnRef>
        <a:fillRef idx="0">
          <a:schemeClr val="accent1"/>
        </a:fillRef>
        <a:effectRef idx="1">
          <a:schemeClr val="accent1"/>
        </a:effectRef>
        <a:fontRef idx="minor">
          <a:schemeClr val="tx1"/>
        </a:fontRef>
      </xdr:style>
    </xdr:cxnSp>
    <xdr:clientData/>
  </xdr:twoCellAnchor>
  <xdr:oneCellAnchor>
    <xdr:from>
      <xdr:col>22</xdr:col>
      <xdr:colOff>160117</xdr:colOff>
      <xdr:row>21</xdr:row>
      <xdr:rowOff>963</xdr:rowOff>
    </xdr:from>
    <xdr:ext cx="917752" cy="173766"/>
    <mc:AlternateContent xmlns:mc="http://schemas.openxmlformats.org/markup-compatibility/2006" xmlns:a14="http://schemas.microsoft.com/office/drawing/2010/main">
      <mc:Choice Requires="a14">
        <xdr:sp macro="" textlink="">
          <xdr:nvSpPr>
            <xdr:cNvPr id="11" name="CuadroTexto 10">
              <a:extLst>
                <a:ext uri="{FF2B5EF4-FFF2-40B4-BE49-F238E27FC236}">
                  <a16:creationId xmlns:a16="http://schemas.microsoft.com/office/drawing/2014/main" id="{7D43819C-D690-4672-80B1-EE16AEC1A0B0}"/>
                </a:ext>
              </a:extLst>
            </xdr:cNvPr>
            <xdr:cNvSpPr txBox="1"/>
          </xdr:nvSpPr>
          <xdr:spPr>
            <a:xfrm>
              <a:off x="17800417" y="1471623"/>
              <a:ext cx="91775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sSub>
                      <m:sSubPr>
                        <m:ctrlPr>
                          <a:rPr lang="es-EC" sz="1100" b="0" i="1" kern="1200">
                            <a:latin typeface="Cambria Math" panose="02040503050406030204" pitchFamily="18" charset="0"/>
                          </a:rPr>
                        </m:ctrlPr>
                      </m:sSubPr>
                      <m:e>
                        <m:r>
                          <a:rPr lang="es-EC" sz="1100" b="0" i="1" kern="1200">
                            <a:latin typeface="Cambria Math" panose="02040503050406030204" pitchFamily="18" charset="0"/>
                          </a:rPr>
                          <m:t>𝐸</m:t>
                        </m:r>
                      </m:e>
                      <m:sub>
                        <m:r>
                          <a:rPr lang="es-EC" sz="1100" b="0" i="1" kern="1200">
                            <a:latin typeface="Cambria Math" panose="02040503050406030204" pitchFamily="18" charset="0"/>
                          </a:rPr>
                          <m:t>𝑡𝑐</m:t>
                        </m:r>
                      </m:sub>
                    </m:sSub>
                    <m:r>
                      <a:rPr lang="es-EC" sz="1100" b="0" i="1" kern="1200">
                        <a:latin typeface="Cambria Math" panose="02040503050406030204" pitchFamily="18" charset="0"/>
                      </a:rPr>
                      <m:t>=</m:t>
                    </m:r>
                    <m:r>
                      <a:rPr lang="es-EC" sz="1100" b="0" i="1" kern="1200">
                        <a:latin typeface="Cambria Math" panose="02040503050406030204" pitchFamily="18" charset="0"/>
                      </a:rPr>
                      <m:t>𝐾𝑐</m:t>
                    </m:r>
                    <m:r>
                      <a:rPr lang="es-EC" sz="1100" b="0" i="1" kern="1200">
                        <a:latin typeface="Cambria Math" panose="02040503050406030204" pitchFamily="18" charset="0"/>
                      </a:rPr>
                      <m:t>∗</m:t>
                    </m:r>
                    <m:r>
                      <a:rPr lang="es-EC" sz="1100" b="0" i="1" kern="1200">
                        <a:latin typeface="Cambria Math" panose="02040503050406030204" pitchFamily="18" charset="0"/>
                      </a:rPr>
                      <m:t>𝐸𝑡𝑜</m:t>
                    </m:r>
                  </m:oMath>
                </m:oMathPara>
              </a14:m>
              <a:endParaRPr lang="es-EC" sz="1100" kern="1200"/>
            </a:p>
          </xdr:txBody>
        </xdr:sp>
      </mc:Choice>
      <mc:Fallback xmlns="">
        <xdr:sp macro="" textlink="">
          <xdr:nvSpPr>
            <xdr:cNvPr id="11" name="CuadroTexto 10">
              <a:extLst>
                <a:ext uri="{FF2B5EF4-FFF2-40B4-BE49-F238E27FC236}">
                  <a16:creationId xmlns:a16="http://schemas.microsoft.com/office/drawing/2014/main" id="{7D43819C-D690-4672-80B1-EE16AEC1A0B0}"/>
                </a:ext>
              </a:extLst>
            </xdr:cNvPr>
            <xdr:cNvSpPr txBox="1"/>
          </xdr:nvSpPr>
          <xdr:spPr>
            <a:xfrm>
              <a:off x="17800417" y="1471623"/>
              <a:ext cx="917752" cy="1737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b="0" i="0" kern="1200">
                  <a:latin typeface="Cambria Math" panose="02040503050406030204" pitchFamily="18" charset="0"/>
                </a:rPr>
                <a:t>𝐸_𝑡𝑐=𝐾𝑐∗𝐸𝑡𝑜</a:t>
              </a:r>
              <a:endParaRPr lang="es-EC" sz="1100" kern="1200"/>
            </a:p>
          </xdr:txBody>
        </xdr:sp>
      </mc:Fallback>
    </mc:AlternateContent>
    <xdr:clientData/>
  </xdr:oneCellAnchor>
  <xdr:twoCellAnchor editAs="oneCell">
    <xdr:from>
      <xdr:col>0</xdr:col>
      <xdr:colOff>1</xdr:colOff>
      <xdr:row>57</xdr:row>
      <xdr:rowOff>1</xdr:rowOff>
    </xdr:from>
    <xdr:to>
      <xdr:col>5</xdr:col>
      <xdr:colOff>225193</xdr:colOff>
      <xdr:row>74</xdr:row>
      <xdr:rowOff>62416</xdr:rowOff>
    </xdr:to>
    <xdr:pic>
      <xdr:nvPicPr>
        <xdr:cNvPr id="12" name="Imagen 11">
          <a:extLst>
            <a:ext uri="{FF2B5EF4-FFF2-40B4-BE49-F238E27FC236}">
              <a16:creationId xmlns:a16="http://schemas.microsoft.com/office/drawing/2014/main" id="{F546A43B-EF4B-4D3F-8139-4DFC748E9D6F}"/>
            </a:ext>
          </a:extLst>
        </xdr:cNvPr>
        <xdr:cNvPicPr>
          <a:picLocks noChangeAspect="1"/>
        </xdr:cNvPicPr>
      </xdr:nvPicPr>
      <xdr:blipFill>
        <a:blip xmlns:r="http://schemas.openxmlformats.org/officeDocument/2006/relationships" r:embed="rId2"/>
        <a:stretch>
          <a:fillRect/>
        </a:stretch>
      </xdr:blipFill>
      <xdr:spPr>
        <a:xfrm>
          <a:off x="1" y="8061961"/>
          <a:ext cx="4986374" cy="3171376"/>
        </a:xfrm>
        <a:prstGeom prst="rect">
          <a:avLst/>
        </a:prstGeom>
      </xdr:spPr>
    </xdr:pic>
    <xdr:clientData/>
  </xdr:twoCellAnchor>
  <xdr:twoCellAnchor editAs="oneCell">
    <xdr:from>
      <xdr:col>7</xdr:col>
      <xdr:colOff>1</xdr:colOff>
      <xdr:row>57</xdr:row>
      <xdr:rowOff>1</xdr:rowOff>
    </xdr:from>
    <xdr:to>
      <xdr:col>13</xdr:col>
      <xdr:colOff>127324</xdr:colOff>
      <xdr:row>74</xdr:row>
      <xdr:rowOff>47628</xdr:rowOff>
    </xdr:to>
    <xdr:pic>
      <xdr:nvPicPr>
        <xdr:cNvPr id="13" name="Imagen 12">
          <a:extLst>
            <a:ext uri="{FF2B5EF4-FFF2-40B4-BE49-F238E27FC236}">
              <a16:creationId xmlns:a16="http://schemas.microsoft.com/office/drawing/2014/main" id="{38F2B3CB-79D1-4322-B7B9-9C3C6BE0D489}"/>
            </a:ext>
          </a:extLst>
        </xdr:cNvPr>
        <xdr:cNvPicPr>
          <a:picLocks noChangeAspect="1"/>
        </xdr:cNvPicPr>
      </xdr:nvPicPr>
      <xdr:blipFill>
        <a:blip xmlns:r="http://schemas.openxmlformats.org/officeDocument/2006/relationships" r:embed="rId3"/>
        <a:stretch>
          <a:fillRect/>
        </a:stretch>
      </xdr:blipFill>
      <xdr:spPr>
        <a:xfrm>
          <a:off x="5623561" y="8061961"/>
          <a:ext cx="4897442" cy="3156588"/>
        </a:xfrm>
        <a:prstGeom prst="rect">
          <a:avLst/>
        </a:prstGeom>
      </xdr:spPr>
    </xdr:pic>
    <xdr:clientData/>
  </xdr:twoCellAnchor>
  <xdr:twoCellAnchor editAs="oneCell">
    <xdr:from>
      <xdr:col>22</xdr:col>
      <xdr:colOff>0</xdr:colOff>
      <xdr:row>57</xdr:row>
      <xdr:rowOff>0</xdr:rowOff>
    </xdr:from>
    <xdr:to>
      <xdr:col>31</xdr:col>
      <xdr:colOff>264475</xdr:colOff>
      <xdr:row>72</xdr:row>
      <xdr:rowOff>42227</xdr:rowOff>
    </xdr:to>
    <xdr:pic>
      <xdr:nvPicPr>
        <xdr:cNvPr id="14" name="Imagen 13">
          <a:extLst>
            <a:ext uri="{FF2B5EF4-FFF2-40B4-BE49-F238E27FC236}">
              <a16:creationId xmlns:a16="http://schemas.microsoft.com/office/drawing/2014/main" id="{D20597F1-EF19-4CFD-BE48-AB79E812DC38}"/>
            </a:ext>
          </a:extLst>
        </xdr:cNvPr>
        <xdr:cNvPicPr>
          <a:picLocks noChangeAspect="1"/>
        </xdr:cNvPicPr>
      </xdr:nvPicPr>
      <xdr:blipFill>
        <a:blip xmlns:r="http://schemas.openxmlformats.org/officeDocument/2006/relationships" r:embed="rId4"/>
        <a:stretch>
          <a:fillRect/>
        </a:stretch>
      </xdr:blipFill>
      <xdr:spPr>
        <a:xfrm>
          <a:off x="17640300" y="8061960"/>
          <a:ext cx="7396795" cy="2785427"/>
        </a:xfrm>
        <a:prstGeom prst="rect">
          <a:avLst/>
        </a:prstGeom>
      </xdr:spPr>
    </xdr:pic>
    <xdr:clientData/>
  </xdr:twoCellAnchor>
  <xdr:twoCellAnchor editAs="oneCell">
    <xdr:from>
      <xdr:col>14</xdr:col>
      <xdr:colOff>16307</xdr:colOff>
      <xdr:row>57</xdr:row>
      <xdr:rowOff>755</xdr:rowOff>
    </xdr:from>
    <xdr:to>
      <xdr:col>20</xdr:col>
      <xdr:colOff>483281</xdr:colOff>
      <xdr:row>74</xdr:row>
      <xdr:rowOff>48776</xdr:rowOff>
    </xdr:to>
    <xdr:pic>
      <xdr:nvPicPr>
        <xdr:cNvPr id="15" name="Imagen 14">
          <a:extLst>
            <a:ext uri="{FF2B5EF4-FFF2-40B4-BE49-F238E27FC236}">
              <a16:creationId xmlns:a16="http://schemas.microsoft.com/office/drawing/2014/main" id="{C37C6C06-F45B-4101-85A2-92A9F4AEB715}"/>
            </a:ext>
          </a:extLst>
        </xdr:cNvPr>
        <xdr:cNvPicPr>
          <a:picLocks noChangeAspect="1"/>
        </xdr:cNvPicPr>
      </xdr:nvPicPr>
      <xdr:blipFill>
        <a:blip xmlns:r="http://schemas.openxmlformats.org/officeDocument/2006/relationships" r:embed="rId5"/>
        <a:stretch>
          <a:fillRect/>
        </a:stretch>
      </xdr:blipFill>
      <xdr:spPr>
        <a:xfrm>
          <a:off x="11050067" y="8062715"/>
          <a:ext cx="5765536" cy="3156982"/>
        </a:xfrm>
        <a:prstGeom prst="rect">
          <a:avLst/>
        </a:prstGeom>
      </xdr:spPr>
    </xdr:pic>
    <xdr:clientData/>
  </xdr:twoCellAnchor>
  <xdr:oneCellAnchor>
    <xdr:from>
      <xdr:col>2</xdr:col>
      <xdr:colOff>1031095</xdr:colOff>
      <xdr:row>132</xdr:row>
      <xdr:rowOff>20822</xdr:rowOff>
    </xdr:from>
    <xdr:ext cx="2418162" cy="535211"/>
    <mc:AlternateContent xmlns:mc="http://schemas.openxmlformats.org/markup-compatibility/2006" xmlns:a14="http://schemas.microsoft.com/office/drawing/2010/main">
      <mc:Choice Requires="a14">
        <xdr:sp macro="" textlink="">
          <xdr:nvSpPr>
            <xdr:cNvPr id="32" name="CuadroTexto 15">
              <a:extLst>
                <a:ext uri="{FF2B5EF4-FFF2-40B4-BE49-F238E27FC236}">
                  <a16:creationId xmlns:a16="http://schemas.microsoft.com/office/drawing/2014/main" id="{8C6B6037-FD28-4681-9356-24406266FA78}"/>
                </a:ext>
              </a:extLst>
            </xdr:cNvPr>
            <xdr:cNvSpPr txBox="1"/>
          </xdr:nvSpPr>
          <xdr:spPr>
            <a:xfrm>
              <a:off x="2822825" y="23045579"/>
              <a:ext cx="2418162" cy="535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
                    <m:r>
                      <a:rPr lang="es-EC" sz="1100" b="0" i="1" kern="1200">
                        <a:latin typeface="Cambria Math" panose="02040503050406030204" pitchFamily="18" charset="0"/>
                      </a:rPr>
                      <m:t>𝐻𝐻</m:t>
                    </m:r>
                    <m:r>
                      <a:rPr lang="es-EC" sz="1100" b="0" i="1" kern="1200">
                        <a:latin typeface="Cambria Math" panose="02040503050406030204" pitchFamily="18" charset="0"/>
                      </a:rPr>
                      <m:t>=</m:t>
                    </m:r>
                    <m:f>
                      <m:fPr>
                        <m:ctrlPr>
                          <a:rPr lang="es-EC" sz="1100" b="0" i="1" kern="1200">
                            <a:latin typeface="Cambria Math" panose="02040503050406030204" pitchFamily="18" charset="0"/>
                          </a:rPr>
                        </m:ctrlPr>
                      </m:fPr>
                      <m:num>
                        <m:r>
                          <a:rPr lang="es-EC" sz="1100" b="0" i="1" kern="1200">
                            <a:latin typeface="Cambria Math" panose="02040503050406030204" pitchFamily="18" charset="0"/>
                          </a:rPr>
                          <m:t>𝑈𝐴𝐶</m:t>
                        </m:r>
                        <m:d>
                          <m:dPr>
                            <m:begChr m:val="["/>
                            <m:endChr m:val="]"/>
                            <m:ctrlPr>
                              <a:rPr lang="es-EC" sz="1100" b="0" i="1" kern="1200">
                                <a:latin typeface="Cambria Math" panose="02040503050406030204" pitchFamily="18" charset="0"/>
                              </a:rPr>
                            </m:ctrlPr>
                          </m:dPr>
                          <m:e>
                            <m:f>
                              <m:fPr>
                                <m:type m:val="skw"/>
                                <m:ctrlPr>
                                  <a:rPr lang="es-EC" sz="1100" b="0" i="1" kern="1200">
                                    <a:latin typeface="Cambria Math" panose="02040503050406030204" pitchFamily="18" charset="0"/>
                                  </a:rPr>
                                </m:ctrlPr>
                              </m:fPr>
                              <m:num>
                                <m:sSup>
                                  <m:sSupPr>
                                    <m:ctrlPr>
                                      <a:rPr lang="es-EC" sz="1100" b="0" i="1" kern="1200">
                                        <a:latin typeface="Cambria Math" panose="02040503050406030204" pitchFamily="18" charset="0"/>
                                      </a:rPr>
                                    </m:ctrlPr>
                                  </m:sSupPr>
                                  <m:e>
                                    <m:r>
                                      <a:rPr lang="es-EC" sz="1100" b="0" i="1" kern="1200">
                                        <a:latin typeface="Cambria Math" panose="02040503050406030204" pitchFamily="18" charset="0"/>
                                      </a:rPr>
                                      <m:t>𝑚</m:t>
                                    </m:r>
                                  </m:e>
                                  <m:sup>
                                    <m:r>
                                      <a:rPr lang="es-EC" sz="1100" b="0" i="1" kern="1200">
                                        <a:latin typeface="Cambria Math" panose="02040503050406030204" pitchFamily="18" charset="0"/>
                                      </a:rPr>
                                      <m:t>3</m:t>
                                    </m:r>
                                  </m:sup>
                                </m:sSup>
                              </m:num>
                              <m:den>
                                <m:r>
                                  <a:rPr lang="es-EC" sz="1100" b="0" i="1" kern="1200">
                                    <a:latin typeface="Cambria Math" panose="02040503050406030204" pitchFamily="18" charset="0"/>
                                  </a:rPr>
                                  <m:t>ℎ𝑎</m:t>
                                </m:r>
                              </m:den>
                            </m:f>
                          </m:e>
                        </m:d>
                      </m:num>
                      <m:den>
                        <m:r>
                          <a:rPr lang="es-EC" sz="1100" b="0" i="1" kern="1200">
                            <a:latin typeface="Cambria Math" panose="02040503050406030204" pitchFamily="18" charset="0"/>
                          </a:rPr>
                          <m:t>𝑅𝑒𝑛𝑑𝑖𝑚𝑖𝑒𝑛𝑡𝑜</m:t>
                        </m:r>
                        <m:r>
                          <a:rPr lang="es-EC" sz="1100" b="0" i="1" kern="1200">
                            <a:latin typeface="Cambria Math" panose="02040503050406030204" pitchFamily="18" charset="0"/>
                          </a:rPr>
                          <m:t> </m:t>
                        </m:r>
                        <m:r>
                          <a:rPr lang="es-EC" sz="1100" b="0" i="1" kern="1200">
                            <a:latin typeface="Cambria Math" panose="02040503050406030204" pitchFamily="18" charset="0"/>
                          </a:rPr>
                          <m:t>𝑐𝑢𝑙𝑡𝑖𝑣𝑜</m:t>
                        </m:r>
                        <m:r>
                          <a:rPr lang="es-EC" sz="1100" b="0" i="1" kern="1200">
                            <a:latin typeface="Cambria Math" panose="02040503050406030204" pitchFamily="18" charset="0"/>
                          </a:rPr>
                          <m:t> </m:t>
                        </m:r>
                        <m:d>
                          <m:dPr>
                            <m:begChr m:val="["/>
                            <m:endChr m:val="]"/>
                            <m:ctrlPr>
                              <a:rPr lang="es-EC" sz="1100" b="0" i="1">
                                <a:solidFill>
                                  <a:schemeClr val="tx1"/>
                                </a:solidFill>
                                <a:effectLst/>
                                <a:latin typeface="Cambria Math" panose="02040503050406030204" pitchFamily="18" charset="0"/>
                                <a:ea typeface="+mn-ea"/>
                                <a:cs typeface="+mn-cs"/>
                              </a:rPr>
                            </m:ctrlPr>
                          </m:dPr>
                          <m:e>
                            <m:f>
                              <m:fPr>
                                <m:type m:val="skw"/>
                                <m:ctrlPr>
                                  <a:rPr lang="es-EC" sz="1100" b="0" i="1">
                                    <a:solidFill>
                                      <a:schemeClr val="tx1"/>
                                    </a:solidFill>
                                    <a:effectLst/>
                                    <a:latin typeface="Cambria Math" panose="02040503050406030204" pitchFamily="18" charset="0"/>
                                    <a:ea typeface="+mn-ea"/>
                                    <a:cs typeface="+mn-cs"/>
                                  </a:rPr>
                                </m:ctrlPr>
                              </m:fPr>
                              <m:num>
                                <m:r>
                                  <a:rPr lang="es-EC" sz="1100" b="0" i="1">
                                    <a:solidFill>
                                      <a:schemeClr val="tx1"/>
                                    </a:solidFill>
                                    <a:effectLst/>
                                    <a:latin typeface="Cambria Math" panose="02040503050406030204" pitchFamily="18" charset="0"/>
                                    <a:ea typeface="+mn-ea"/>
                                    <a:cs typeface="+mn-cs"/>
                                  </a:rPr>
                                  <m:t>𝑡𝑜𝑛</m:t>
                                </m:r>
                              </m:num>
                              <m:den>
                                <m:r>
                                  <a:rPr lang="es-EC" sz="1100" b="0" i="1">
                                    <a:solidFill>
                                      <a:schemeClr val="tx1"/>
                                    </a:solidFill>
                                    <a:effectLst/>
                                    <a:latin typeface="Cambria Math" panose="02040503050406030204" pitchFamily="18" charset="0"/>
                                    <a:ea typeface="+mn-ea"/>
                                    <a:cs typeface="+mn-cs"/>
                                  </a:rPr>
                                  <m:t>ℎ𝑎</m:t>
                                </m:r>
                              </m:den>
                            </m:f>
                          </m:e>
                        </m:d>
                        <m:r>
                          <a:rPr lang="es-EC" sz="1100" b="0" i="1" kern="1200">
                            <a:latin typeface="Cambria Math" panose="02040503050406030204" pitchFamily="18" charset="0"/>
                          </a:rPr>
                          <m:t> </m:t>
                        </m:r>
                      </m:den>
                    </m:f>
                  </m:oMath>
                </m:oMathPara>
              </a14:m>
              <a:endParaRPr lang="es-EC" sz="1100" kern="1200"/>
            </a:p>
          </xdr:txBody>
        </xdr:sp>
      </mc:Choice>
      <mc:Fallback xmlns="">
        <xdr:sp macro="" textlink="">
          <xdr:nvSpPr>
            <xdr:cNvPr id="16" name="CuadroTexto 15">
              <a:extLst>
                <a:ext uri="{FF2B5EF4-FFF2-40B4-BE49-F238E27FC236}">
                  <a16:creationId xmlns:a16="http://schemas.microsoft.com/office/drawing/2014/main" id="{8C6B6037-FD28-4681-9356-24406266FA78}"/>
                </a:ext>
              </a:extLst>
            </xdr:cNvPr>
            <xdr:cNvSpPr txBox="1"/>
          </xdr:nvSpPr>
          <xdr:spPr>
            <a:xfrm>
              <a:off x="2822825" y="23045579"/>
              <a:ext cx="2418162" cy="535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EC" sz="1100" b="0" i="0" kern="1200">
                  <a:latin typeface="Cambria Math" panose="02040503050406030204" pitchFamily="18" charset="0"/>
                </a:rPr>
                <a:t>𝐻𝐻=𝑈𝐴𝐶[𝑚^3⁄ℎ𝑎]/(𝑅𝑒𝑛𝑑𝑖𝑚𝑖𝑒𝑛𝑡𝑜 𝑐𝑢𝑙𝑡𝑖𝑣𝑜 </a:t>
              </a:r>
              <a:r>
                <a:rPr lang="es-EC" sz="1100" b="0" i="0" kern="1200">
                  <a:solidFill>
                    <a:schemeClr val="tx1"/>
                  </a:solidFill>
                  <a:effectLst/>
                  <a:latin typeface="Cambria Math" panose="02040503050406030204" pitchFamily="18" charset="0"/>
                  <a:ea typeface="+mn-ea"/>
                  <a:cs typeface="+mn-cs"/>
                </a:rPr>
                <a:t>[</a:t>
              </a:r>
              <a:r>
                <a:rPr lang="es-EC" sz="1100" b="0" i="0">
                  <a:solidFill>
                    <a:schemeClr val="tx1"/>
                  </a:solidFill>
                  <a:effectLst/>
                  <a:latin typeface="Cambria Math" panose="02040503050406030204" pitchFamily="18" charset="0"/>
                  <a:ea typeface="+mn-ea"/>
                  <a:cs typeface="+mn-cs"/>
                </a:rPr>
                <a:t>𝑡𝑜𝑛⁄ℎ𝑎]</a:t>
              </a:r>
              <a:r>
                <a:rPr lang="es-EC" sz="1100" b="0" i="0" kern="1200">
                  <a:solidFill>
                    <a:schemeClr val="tx1"/>
                  </a:solidFill>
                  <a:effectLst/>
                  <a:latin typeface="Cambria Math" panose="02040503050406030204" pitchFamily="18" charset="0"/>
                  <a:ea typeface="+mn-ea"/>
                  <a:cs typeface="+mn-cs"/>
                </a:rPr>
                <a:t> </a:t>
              </a:r>
              <a:r>
                <a:rPr lang="es-EC" sz="1100" b="0" i="0" kern="1200">
                  <a:latin typeface="Cambria Math" panose="02040503050406030204" pitchFamily="18" charset="0"/>
                </a:rPr>
                <a:t> )</a:t>
              </a:r>
              <a:endParaRPr lang="es-EC" sz="1100" kern="1200"/>
            </a:p>
          </xdr:txBody>
        </xdr:sp>
      </mc:Fallback>
    </mc:AlternateContent>
    <xdr:clientData/>
  </xdr:oneCellAnchor>
  <xdr:twoCellAnchor editAs="oneCell">
    <xdr:from>
      <xdr:col>8</xdr:col>
      <xdr:colOff>433504</xdr:colOff>
      <xdr:row>89</xdr:row>
      <xdr:rowOff>171451</xdr:rowOff>
    </xdr:from>
    <xdr:to>
      <xdr:col>11</xdr:col>
      <xdr:colOff>276225</xdr:colOff>
      <xdr:row>91</xdr:row>
      <xdr:rowOff>219</xdr:rowOff>
    </xdr:to>
    <xdr:pic>
      <xdr:nvPicPr>
        <xdr:cNvPr id="48" name="Imagen 16">
          <a:extLst>
            <a:ext uri="{FF2B5EF4-FFF2-40B4-BE49-F238E27FC236}">
              <a16:creationId xmlns:a16="http://schemas.microsoft.com/office/drawing/2014/main" id="{0ADE78FA-5189-8B64-9BEB-B81A668F5E31}"/>
            </a:ext>
          </a:extLst>
        </xdr:cNvPr>
        <xdr:cNvPicPr>
          <a:picLocks noChangeAspect="1"/>
        </xdr:cNvPicPr>
      </xdr:nvPicPr>
      <xdr:blipFill>
        <a:blip xmlns:r="http://schemas.openxmlformats.org/officeDocument/2006/relationships" r:embed="rId6"/>
        <a:stretch>
          <a:fillRect/>
        </a:stretch>
      </xdr:blipFill>
      <xdr:spPr>
        <a:xfrm>
          <a:off x="7843954" y="14344651"/>
          <a:ext cx="2414471" cy="228818"/>
        </a:xfrm>
        <a:prstGeom prst="rect">
          <a:avLst/>
        </a:prstGeom>
      </xdr:spPr>
    </xdr:pic>
    <xdr:clientData/>
  </xdr:twoCellAnchor>
  <xdr:twoCellAnchor editAs="oneCell">
    <xdr:from>
      <xdr:col>18</xdr:col>
      <xdr:colOff>139848</xdr:colOff>
      <xdr:row>82</xdr:row>
      <xdr:rowOff>11281</xdr:rowOff>
    </xdr:from>
    <xdr:to>
      <xdr:col>18</xdr:col>
      <xdr:colOff>674186</xdr:colOff>
      <xdr:row>82</xdr:row>
      <xdr:rowOff>190351</xdr:rowOff>
    </xdr:to>
    <xdr:pic>
      <xdr:nvPicPr>
        <xdr:cNvPr id="65" name="Imagen 21">
          <a:extLst>
            <a:ext uri="{FF2B5EF4-FFF2-40B4-BE49-F238E27FC236}">
              <a16:creationId xmlns:a16="http://schemas.microsoft.com/office/drawing/2014/main" id="{64D29A5E-DFAD-200A-C05A-DDAFB071766F}"/>
            </a:ext>
          </a:extLst>
        </xdr:cNvPr>
        <xdr:cNvPicPr>
          <a:picLocks noChangeAspect="1"/>
        </xdr:cNvPicPr>
      </xdr:nvPicPr>
      <xdr:blipFill>
        <a:blip xmlns:r="http://schemas.openxmlformats.org/officeDocument/2006/relationships" r:embed="rId7"/>
        <a:stretch>
          <a:fillRect/>
        </a:stretch>
      </xdr:blipFill>
      <xdr:spPr>
        <a:xfrm>
          <a:off x="16249798" y="12958931"/>
          <a:ext cx="534338" cy="179070"/>
        </a:xfrm>
        <a:prstGeom prst="rect">
          <a:avLst/>
        </a:prstGeom>
      </xdr:spPr>
    </xdr:pic>
    <xdr:clientData/>
  </xdr:twoCellAnchor>
  <xdr:oneCellAnchor>
    <xdr:from>
      <xdr:col>20</xdr:col>
      <xdr:colOff>127001</xdr:colOff>
      <xdr:row>82</xdr:row>
      <xdr:rowOff>0</xdr:rowOff>
    </xdr:from>
    <xdr:ext cx="533479" cy="179070"/>
    <xdr:pic>
      <xdr:nvPicPr>
        <xdr:cNvPr id="58" name="Imagen 22">
          <a:extLst>
            <a:ext uri="{FF2B5EF4-FFF2-40B4-BE49-F238E27FC236}">
              <a16:creationId xmlns:a16="http://schemas.microsoft.com/office/drawing/2014/main" id="{B459A7CD-61E9-4BB9-B392-4C4619175A3B}"/>
            </a:ext>
          </a:extLst>
        </xdr:cNvPr>
        <xdr:cNvPicPr>
          <a:picLocks noChangeAspect="1"/>
        </xdr:cNvPicPr>
      </xdr:nvPicPr>
      <xdr:blipFill>
        <a:blip xmlns:r="http://schemas.openxmlformats.org/officeDocument/2006/relationships" r:embed="rId7"/>
        <a:stretch>
          <a:fillRect/>
        </a:stretch>
      </xdr:blipFill>
      <xdr:spPr>
        <a:xfrm>
          <a:off x="4093883" y="17077765"/>
          <a:ext cx="533479" cy="179070"/>
        </a:xfrm>
        <a:prstGeom prst="rect">
          <a:avLst/>
        </a:prstGeom>
      </xdr:spPr>
    </xdr:pic>
    <xdr:clientData/>
  </xdr:oneCellAnchor>
  <xdr:oneCellAnchor>
    <xdr:from>
      <xdr:col>18</xdr:col>
      <xdr:colOff>159408</xdr:colOff>
      <xdr:row>91</xdr:row>
      <xdr:rowOff>22249</xdr:rowOff>
    </xdr:from>
    <xdr:ext cx="490353" cy="178122"/>
    <xdr:pic>
      <xdr:nvPicPr>
        <xdr:cNvPr id="59" name="Imagen 23">
          <a:extLst>
            <a:ext uri="{FF2B5EF4-FFF2-40B4-BE49-F238E27FC236}">
              <a16:creationId xmlns:a16="http://schemas.microsoft.com/office/drawing/2014/main" id="{89671104-1A0B-1941-AEAE-545C2AC4B0FD}"/>
            </a:ext>
          </a:extLst>
        </xdr:cNvPr>
        <xdr:cNvPicPr>
          <a:picLocks noChangeAspect="1"/>
        </xdr:cNvPicPr>
      </xdr:nvPicPr>
      <xdr:blipFill>
        <a:blip xmlns:r="http://schemas.openxmlformats.org/officeDocument/2006/relationships" r:embed="rId8"/>
        <a:stretch>
          <a:fillRect/>
        </a:stretch>
      </xdr:blipFill>
      <xdr:spPr>
        <a:xfrm>
          <a:off x="6781188" y="18333109"/>
          <a:ext cx="490353" cy="172061"/>
        </a:xfrm>
        <a:prstGeom prst="rect">
          <a:avLst/>
        </a:prstGeom>
      </xdr:spPr>
    </xdr:pic>
    <xdr:clientData/>
  </xdr:oneCellAnchor>
  <xdr:oneCellAnchor>
    <xdr:from>
      <xdr:col>20</xdr:col>
      <xdr:colOff>273130</xdr:colOff>
      <xdr:row>91</xdr:row>
      <xdr:rowOff>26670</xdr:rowOff>
    </xdr:from>
    <xdr:ext cx="245030" cy="147018"/>
    <xdr:pic>
      <xdr:nvPicPr>
        <xdr:cNvPr id="60" name="Imagen 24">
          <a:extLst>
            <a:ext uri="{FF2B5EF4-FFF2-40B4-BE49-F238E27FC236}">
              <a16:creationId xmlns:a16="http://schemas.microsoft.com/office/drawing/2014/main" id="{899CB52E-E817-8BEA-DF30-3F2058C5BE9A}"/>
            </a:ext>
          </a:extLst>
        </xdr:cNvPr>
        <xdr:cNvPicPr>
          <a:picLocks noChangeAspect="1"/>
        </xdr:cNvPicPr>
      </xdr:nvPicPr>
      <xdr:blipFill>
        <a:blip xmlns:r="http://schemas.openxmlformats.org/officeDocument/2006/relationships" r:embed="rId9"/>
        <a:stretch>
          <a:fillRect/>
        </a:stretch>
      </xdr:blipFill>
      <xdr:spPr>
        <a:xfrm>
          <a:off x="8479870" y="18337530"/>
          <a:ext cx="245030" cy="147018"/>
        </a:xfrm>
        <a:prstGeom prst="rect">
          <a:avLst/>
        </a:prstGeom>
      </xdr:spPr>
    </xdr:pic>
    <xdr:clientData/>
  </xdr:oneCellAnchor>
  <xdr:oneCellAnchor>
    <xdr:from>
      <xdr:col>13</xdr:col>
      <xdr:colOff>260498</xdr:colOff>
      <xdr:row>82</xdr:row>
      <xdr:rowOff>11281</xdr:rowOff>
    </xdr:from>
    <xdr:ext cx="533479" cy="179070"/>
    <xdr:pic>
      <xdr:nvPicPr>
        <xdr:cNvPr id="66" name="Imagen 16">
          <a:extLst>
            <a:ext uri="{FF2B5EF4-FFF2-40B4-BE49-F238E27FC236}">
              <a16:creationId xmlns:a16="http://schemas.microsoft.com/office/drawing/2014/main" id="{40EC76BD-B17C-4312-8B84-D77F7109F99B}"/>
            </a:ext>
          </a:extLst>
        </xdr:cNvPr>
        <xdr:cNvPicPr>
          <a:picLocks noChangeAspect="1"/>
        </xdr:cNvPicPr>
      </xdr:nvPicPr>
      <xdr:blipFill>
        <a:blip xmlns:r="http://schemas.openxmlformats.org/officeDocument/2006/relationships" r:embed="rId7"/>
        <a:stretch>
          <a:fillRect/>
        </a:stretch>
      </xdr:blipFill>
      <xdr:spPr>
        <a:xfrm>
          <a:off x="11665098" y="12958931"/>
          <a:ext cx="533479" cy="179070"/>
        </a:xfrm>
        <a:prstGeom prst="rect">
          <a:avLst/>
        </a:prstGeom>
      </xdr:spPr>
    </xdr:pic>
    <xdr:clientData/>
  </xdr:oneCellAnchor>
  <xdr:oneCellAnchor>
    <xdr:from>
      <xdr:col>15</xdr:col>
      <xdr:colOff>127001</xdr:colOff>
      <xdr:row>82</xdr:row>
      <xdr:rowOff>0</xdr:rowOff>
    </xdr:from>
    <xdr:ext cx="533479" cy="179070"/>
    <xdr:pic>
      <xdr:nvPicPr>
        <xdr:cNvPr id="62" name="Imagen 17">
          <a:extLst>
            <a:ext uri="{FF2B5EF4-FFF2-40B4-BE49-F238E27FC236}">
              <a16:creationId xmlns:a16="http://schemas.microsoft.com/office/drawing/2014/main" id="{2D116CF0-C550-4F90-B5CA-A4E2B0412C07}"/>
            </a:ext>
          </a:extLst>
        </xdr:cNvPr>
        <xdr:cNvPicPr>
          <a:picLocks noChangeAspect="1"/>
        </xdr:cNvPicPr>
      </xdr:nvPicPr>
      <xdr:blipFill>
        <a:blip xmlns:r="http://schemas.openxmlformats.org/officeDocument/2006/relationships" r:embed="rId7"/>
        <a:stretch>
          <a:fillRect/>
        </a:stretch>
      </xdr:blipFill>
      <xdr:spPr>
        <a:xfrm>
          <a:off x="17838352" y="12665676"/>
          <a:ext cx="533479" cy="17907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495300</xdr:colOff>
      <xdr:row>13</xdr:row>
      <xdr:rowOff>76200</xdr:rowOff>
    </xdr:from>
    <xdr:to>
      <xdr:col>11</xdr:col>
      <xdr:colOff>114300</xdr:colOff>
      <xdr:row>22</xdr:row>
      <xdr:rowOff>85725</xdr:rowOff>
    </xdr:to>
    <xdr:pic>
      <xdr:nvPicPr>
        <xdr:cNvPr id="12" name="Imagen 1">
          <a:extLst>
            <a:ext uri="{FF2B5EF4-FFF2-40B4-BE49-F238E27FC236}">
              <a16:creationId xmlns:a16="http://schemas.microsoft.com/office/drawing/2014/main" id="{48A76898-13C1-1BB5-248D-2720B14D9E55}"/>
            </a:ext>
          </a:extLst>
        </xdr:cNvPr>
        <xdr:cNvPicPr>
          <a:picLocks noChangeAspect="1"/>
        </xdr:cNvPicPr>
      </xdr:nvPicPr>
      <xdr:blipFill>
        <a:blip xmlns:r="http://schemas.openxmlformats.org/officeDocument/2006/relationships" r:embed="rId1"/>
        <a:stretch>
          <a:fillRect/>
        </a:stretch>
      </xdr:blipFill>
      <xdr:spPr>
        <a:xfrm>
          <a:off x="2857500" y="2600325"/>
          <a:ext cx="4476750" cy="1800225"/>
        </a:xfrm>
        <a:prstGeom prst="rect">
          <a:avLst/>
        </a:prstGeom>
      </xdr:spPr>
    </xdr:pic>
    <xdr:clientData/>
  </xdr:twoCellAnchor>
  <xdr:twoCellAnchor editAs="oneCell">
    <xdr:from>
      <xdr:col>8</xdr:col>
      <xdr:colOff>28575</xdr:colOff>
      <xdr:row>1</xdr:row>
      <xdr:rowOff>66675</xdr:rowOff>
    </xdr:from>
    <xdr:to>
      <xdr:col>15</xdr:col>
      <xdr:colOff>257175</xdr:colOff>
      <xdr:row>4</xdr:row>
      <xdr:rowOff>76200</xdr:rowOff>
    </xdr:to>
    <xdr:pic>
      <xdr:nvPicPr>
        <xdr:cNvPr id="11" name="Imagen 2">
          <a:extLst>
            <a:ext uri="{FF2B5EF4-FFF2-40B4-BE49-F238E27FC236}">
              <a16:creationId xmlns:a16="http://schemas.microsoft.com/office/drawing/2014/main" id="{E0760D03-5771-4751-AE31-E6CF414CE648}"/>
            </a:ext>
            <a:ext uri="{147F2762-F138-4A5C-976F-8EAC2B608ADB}">
              <a16:predDERef xmlns:a16="http://schemas.microsoft.com/office/drawing/2014/main" pred="{48A76898-13C1-1BB5-248D-2720B14D9E55}"/>
            </a:ext>
          </a:extLst>
        </xdr:cNvPr>
        <xdr:cNvPicPr>
          <a:picLocks noChangeAspect="1"/>
        </xdr:cNvPicPr>
      </xdr:nvPicPr>
      <xdr:blipFill>
        <a:blip xmlns:r="http://schemas.openxmlformats.org/officeDocument/2006/relationships" r:embed="rId2"/>
        <a:stretch>
          <a:fillRect/>
        </a:stretch>
      </xdr:blipFill>
      <xdr:spPr>
        <a:xfrm>
          <a:off x="5476875" y="266700"/>
          <a:ext cx="4438650" cy="561975"/>
        </a:xfrm>
        <a:prstGeom prst="rect">
          <a:avLst/>
        </a:prstGeom>
      </xdr:spPr>
    </xdr:pic>
    <xdr:clientData/>
  </xdr:twoCellAnchor>
  <xdr:twoCellAnchor>
    <xdr:from>
      <xdr:col>0</xdr:col>
      <xdr:colOff>581025</xdr:colOff>
      <xdr:row>46</xdr:row>
      <xdr:rowOff>152400</xdr:rowOff>
    </xdr:from>
    <xdr:to>
      <xdr:col>9</xdr:col>
      <xdr:colOff>47625</xdr:colOff>
      <xdr:row>51</xdr:row>
      <xdr:rowOff>152400</xdr:rowOff>
    </xdr:to>
    <xdr:sp macro="" textlink="">
      <xdr:nvSpPr>
        <xdr:cNvPr id="4" name="CuadroTexto 3">
          <a:extLst>
            <a:ext uri="{FF2B5EF4-FFF2-40B4-BE49-F238E27FC236}">
              <a16:creationId xmlns:a16="http://schemas.microsoft.com/office/drawing/2014/main" id="{051F6FC6-1B47-9B16-ED7F-D71DEC944469}"/>
            </a:ext>
            <a:ext uri="{147F2762-F138-4A5C-976F-8EAC2B608ADB}">
              <a16:predDERef xmlns:a16="http://schemas.microsoft.com/office/drawing/2014/main" pred="{E0760D03-5771-4751-AE31-E6CF414CE648}"/>
            </a:ext>
          </a:extLst>
        </xdr:cNvPr>
        <xdr:cNvSpPr txBox="1"/>
      </xdr:nvSpPr>
      <xdr:spPr>
        <a:xfrm>
          <a:off x="10467975" y="3409950"/>
          <a:ext cx="4953000" cy="952500"/>
        </a:xfrm>
        <a:prstGeom prst="rect">
          <a:avLst/>
        </a:prstGeom>
        <a:solidFill>
          <a:schemeClr val="accent6">
            <a:lumMod val="20000"/>
            <a:lumOff val="80000"/>
          </a:schemeClr>
        </a:solidFill>
        <a:ln w="9525" cmpd="sng">
          <a:solidFill>
            <a:schemeClr val="lt1">
              <a:shade val="50000"/>
            </a:schemeClr>
          </a:solidFill>
        </a:ln>
      </xdr:spPr>
      <xdr:txBody>
        <a:bodyPr spcFirstLastPara="0" vertOverflow="clip" horzOverflow="clip" wrap="square" lIns="91440" tIns="45720" rIns="91440" bIns="45720" rtlCol="0" anchor="ctr">
          <a:noAutofit/>
        </a:bodyPr>
        <a:lstStyle/>
        <a:p>
          <a:pPr marL="0" indent="0" algn="ctr"/>
          <a:r>
            <a:rPr lang="en-US" sz="1200" b="1">
              <a:latin typeface="+mn-lt"/>
              <a:ea typeface="+mn-lt"/>
              <a:cs typeface="+mn-lt"/>
            </a:rPr>
            <a:t>No toda la precipitación se convierte en agua disponible para las plantas. Parte del agua se pierde por escorrentía, infiltración en el suelo, evaporación, entre otros procesos. Para una estimación razonable, consideraremos que aproximadamente el 70% de la precipitación es utilizable para las plantas.</a:t>
          </a:r>
        </a:p>
      </xdr:txBody>
    </xdr:sp>
    <xdr:clientData/>
  </xdr:twoCellAnchor>
  <xdr:twoCellAnchor>
    <xdr:from>
      <xdr:col>0</xdr:col>
      <xdr:colOff>590550</xdr:colOff>
      <xdr:row>54</xdr:row>
      <xdr:rowOff>180975</xdr:rowOff>
    </xdr:from>
    <xdr:to>
      <xdr:col>8</xdr:col>
      <xdr:colOff>133350</xdr:colOff>
      <xdr:row>57</xdr:row>
      <xdr:rowOff>104775</xdr:rowOff>
    </xdr:to>
    <xdr:sp macro="" textlink="">
      <xdr:nvSpPr>
        <xdr:cNvPr id="5" name="CuadroTexto 4">
          <a:extLst>
            <a:ext uri="{FF2B5EF4-FFF2-40B4-BE49-F238E27FC236}">
              <a16:creationId xmlns:a16="http://schemas.microsoft.com/office/drawing/2014/main" id="{6E47F88C-9D16-4265-BA2B-6D29FCC612A8}"/>
            </a:ext>
            <a:ext uri="{147F2762-F138-4A5C-976F-8EAC2B608ADB}">
              <a16:predDERef xmlns:a16="http://schemas.microsoft.com/office/drawing/2014/main" pred="{051F6FC6-1B47-9B16-ED7F-D71DEC944469}"/>
            </a:ext>
          </a:extLst>
        </xdr:cNvPr>
        <xdr:cNvSpPr txBox="1"/>
      </xdr:nvSpPr>
      <xdr:spPr>
        <a:xfrm>
          <a:off x="10477500" y="4962525"/>
          <a:ext cx="4419600" cy="495300"/>
        </a:xfrm>
        <a:prstGeom prst="rect">
          <a:avLst/>
        </a:prstGeom>
        <a:solidFill>
          <a:schemeClr val="accent6">
            <a:lumMod val="20000"/>
            <a:lumOff val="80000"/>
          </a:schemeClr>
        </a:solidFill>
        <a:ln w="9525" cmpd="sng">
          <a:solidFill>
            <a:schemeClr val="lt1">
              <a:shade val="50000"/>
            </a:schemeClr>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l"/>
          <a:r>
            <a:rPr lang="en-US" sz="1200" b="1">
              <a:latin typeface="+mn-lt"/>
              <a:ea typeface="+mn-lt"/>
              <a:cs typeface="+mn-lt"/>
            </a:rPr>
            <a:t>Sabemos que las plantas, incluyendo el césped, incorporan alrededor del 75% del agua disponible en sus tejidos.</a:t>
          </a:r>
        </a:p>
      </xdr:txBody>
    </xdr:sp>
    <xdr:clientData/>
  </xdr:twoCellAnchor>
  <xdr:twoCellAnchor editAs="oneCell">
    <xdr:from>
      <xdr:col>9</xdr:col>
      <xdr:colOff>438150</xdr:colOff>
      <xdr:row>4</xdr:row>
      <xdr:rowOff>66675</xdr:rowOff>
    </xdr:from>
    <xdr:to>
      <xdr:col>15</xdr:col>
      <xdr:colOff>142875</xdr:colOff>
      <xdr:row>6</xdr:row>
      <xdr:rowOff>123825</xdr:rowOff>
    </xdr:to>
    <xdr:pic>
      <xdr:nvPicPr>
        <xdr:cNvPr id="10" name="Imagen 5">
          <a:extLst>
            <a:ext uri="{FF2B5EF4-FFF2-40B4-BE49-F238E27FC236}">
              <a16:creationId xmlns:a16="http://schemas.microsoft.com/office/drawing/2014/main" id="{E3762EAF-75A7-E9EF-F09D-2D29542947DB}"/>
            </a:ext>
            <a:ext uri="{147F2762-F138-4A5C-976F-8EAC2B608ADB}">
              <a16:predDERef xmlns:a16="http://schemas.microsoft.com/office/drawing/2014/main" pred="{6E47F88C-9D16-4265-BA2B-6D29FCC612A8}"/>
            </a:ext>
          </a:extLst>
        </xdr:cNvPr>
        <xdr:cNvPicPr>
          <a:picLocks noChangeAspect="1"/>
        </xdr:cNvPicPr>
      </xdr:nvPicPr>
      <xdr:blipFill>
        <a:blip xmlns:r="http://schemas.openxmlformats.org/officeDocument/2006/relationships" r:embed="rId3"/>
        <a:stretch>
          <a:fillRect/>
        </a:stretch>
      </xdr:blipFill>
      <xdr:spPr>
        <a:xfrm>
          <a:off x="6477000" y="819150"/>
          <a:ext cx="3324225" cy="419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464821</xdr:colOff>
      <xdr:row>1</xdr:row>
      <xdr:rowOff>22860</xdr:rowOff>
    </xdr:from>
    <xdr:to>
      <xdr:col>7</xdr:col>
      <xdr:colOff>238126</xdr:colOff>
      <xdr:row>3</xdr:row>
      <xdr:rowOff>39277</xdr:rowOff>
    </xdr:to>
    <xdr:pic>
      <xdr:nvPicPr>
        <xdr:cNvPr id="5" name="Imagen 1">
          <a:extLst>
            <a:ext uri="{FF2B5EF4-FFF2-40B4-BE49-F238E27FC236}">
              <a16:creationId xmlns:a16="http://schemas.microsoft.com/office/drawing/2014/main" id="{398701AD-68D8-E9B7-5E08-925857ADD6D2}"/>
            </a:ext>
          </a:extLst>
        </xdr:cNvPr>
        <xdr:cNvPicPr>
          <a:picLocks noChangeAspect="1"/>
        </xdr:cNvPicPr>
      </xdr:nvPicPr>
      <xdr:blipFill>
        <a:blip xmlns:r="http://schemas.openxmlformats.org/officeDocument/2006/relationships" r:embed="rId1"/>
        <a:stretch>
          <a:fillRect/>
        </a:stretch>
      </xdr:blipFill>
      <xdr:spPr>
        <a:xfrm>
          <a:off x="1074421" y="1356360"/>
          <a:ext cx="4040505" cy="389797"/>
        </a:xfrm>
        <a:prstGeom prst="rect">
          <a:avLst/>
        </a:prstGeom>
      </xdr:spPr>
    </xdr:pic>
    <xdr:clientData/>
  </xdr:twoCellAnchor>
  <xdr:twoCellAnchor>
    <xdr:from>
      <xdr:col>19</xdr:col>
      <xdr:colOff>384810</xdr:colOff>
      <xdr:row>9</xdr:row>
      <xdr:rowOff>194310</xdr:rowOff>
    </xdr:from>
    <xdr:to>
      <xdr:col>20</xdr:col>
      <xdr:colOff>95250</xdr:colOff>
      <xdr:row>14</xdr:row>
      <xdr:rowOff>19050</xdr:rowOff>
    </xdr:to>
    <xdr:sp macro="" textlink="">
      <xdr:nvSpPr>
        <xdr:cNvPr id="2" name="Flecha: a la derecha 1">
          <a:extLst>
            <a:ext uri="{FF2B5EF4-FFF2-40B4-BE49-F238E27FC236}">
              <a16:creationId xmlns:a16="http://schemas.microsoft.com/office/drawing/2014/main" id="{1767C278-95E1-4098-74FE-90C228F2B893}"/>
            </a:ext>
          </a:extLst>
        </xdr:cNvPr>
        <xdr:cNvSpPr/>
      </xdr:nvSpPr>
      <xdr:spPr>
        <a:xfrm rot="3191436">
          <a:off x="13868400" y="2621280"/>
          <a:ext cx="815340" cy="32004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C" sz="1100"/>
        </a:p>
      </xdr:txBody>
    </xdr:sp>
    <xdr:clientData/>
  </xdr:twoCellAnchor>
  <xdr:twoCellAnchor>
    <xdr:from>
      <xdr:col>19</xdr:col>
      <xdr:colOff>129540</xdr:colOff>
      <xdr:row>23</xdr:row>
      <xdr:rowOff>53341</xdr:rowOff>
    </xdr:from>
    <xdr:to>
      <xdr:col>20</xdr:col>
      <xdr:colOff>335280</xdr:colOff>
      <xdr:row>24</xdr:row>
      <xdr:rowOff>175261</xdr:rowOff>
    </xdr:to>
    <xdr:sp macro="" textlink="">
      <xdr:nvSpPr>
        <xdr:cNvPr id="3" name="Flecha: a la derecha 2">
          <a:extLst>
            <a:ext uri="{FF2B5EF4-FFF2-40B4-BE49-F238E27FC236}">
              <a16:creationId xmlns:a16="http://schemas.microsoft.com/office/drawing/2014/main" id="{9019DE22-358B-4416-9E54-EE1789029300}"/>
            </a:ext>
          </a:extLst>
        </xdr:cNvPr>
        <xdr:cNvSpPr/>
      </xdr:nvSpPr>
      <xdr:spPr>
        <a:xfrm rot="19428492">
          <a:off x="13860780" y="5013961"/>
          <a:ext cx="815340" cy="32004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C"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733425</xdr:colOff>
      <xdr:row>3</xdr:row>
      <xdr:rowOff>19051</xdr:rowOff>
    </xdr:from>
    <xdr:to>
      <xdr:col>5</xdr:col>
      <xdr:colOff>552450</xdr:colOff>
      <xdr:row>13</xdr:row>
      <xdr:rowOff>100752</xdr:rowOff>
    </xdr:to>
    <xdr:pic>
      <xdr:nvPicPr>
        <xdr:cNvPr id="2" name="Imagen 1">
          <a:extLst>
            <a:ext uri="{FF2B5EF4-FFF2-40B4-BE49-F238E27FC236}">
              <a16:creationId xmlns:a16="http://schemas.microsoft.com/office/drawing/2014/main" id="{DF52F0FF-58D9-4FCF-91EE-BABC93F387E2}"/>
            </a:ext>
          </a:extLst>
        </xdr:cNvPr>
        <xdr:cNvPicPr>
          <a:picLocks noChangeAspect="1"/>
        </xdr:cNvPicPr>
      </xdr:nvPicPr>
      <xdr:blipFill rotWithShape="1">
        <a:blip xmlns:r="http://schemas.openxmlformats.org/officeDocument/2006/relationships" r:embed="rId1"/>
        <a:srcRect l="237" t="1719" r="3910" b="1399"/>
        <a:stretch/>
      </xdr:blipFill>
      <xdr:spPr>
        <a:xfrm>
          <a:off x="733425" y="590551"/>
          <a:ext cx="3629025" cy="2453426"/>
        </a:xfrm>
        <a:prstGeom prst="rect">
          <a:avLst/>
        </a:prstGeom>
      </xdr:spPr>
    </xdr:pic>
    <xdr:clientData/>
  </xdr:twoCellAnchor>
  <xdr:twoCellAnchor editAs="oneCell">
    <xdr:from>
      <xdr:col>11</xdr:col>
      <xdr:colOff>209549</xdr:colOff>
      <xdr:row>1</xdr:row>
      <xdr:rowOff>76200</xdr:rowOff>
    </xdr:from>
    <xdr:to>
      <xdr:col>18</xdr:col>
      <xdr:colOff>392580</xdr:colOff>
      <xdr:row>13</xdr:row>
      <xdr:rowOff>9525</xdr:rowOff>
    </xdr:to>
    <xdr:pic>
      <xdr:nvPicPr>
        <xdr:cNvPr id="3" name="Imagen 2">
          <a:extLst>
            <a:ext uri="{FF2B5EF4-FFF2-40B4-BE49-F238E27FC236}">
              <a16:creationId xmlns:a16="http://schemas.microsoft.com/office/drawing/2014/main" id="{58B51057-6B23-82F8-7905-099F783D7EDA}"/>
            </a:ext>
          </a:extLst>
        </xdr:cNvPr>
        <xdr:cNvPicPr>
          <a:picLocks noChangeAspect="1"/>
        </xdr:cNvPicPr>
      </xdr:nvPicPr>
      <xdr:blipFill>
        <a:blip xmlns:r="http://schemas.openxmlformats.org/officeDocument/2006/relationships" r:embed="rId2"/>
        <a:stretch>
          <a:fillRect/>
        </a:stretch>
      </xdr:blipFill>
      <xdr:spPr>
        <a:xfrm>
          <a:off x="9048749" y="266700"/>
          <a:ext cx="5517031" cy="2686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139095</xdr:colOff>
      <xdr:row>11</xdr:row>
      <xdr:rowOff>72570</xdr:rowOff>
    </xdr:from>
    <xdr:to>
      <xdr:col>10</xdr:col>
      <xdr:colOff>689429</xdr:colOff>
      <xdr:row>32</xdr:row>
      <xdr:rowOff>96761</xdr:rowOff>
    </xdr:to>
    <xdr:graphicFrame macro="">
      <xdr:nvGraphicFramePr>
        <xdr:cNvPr id="3" name="Gráfico 2">
          <a:extLst>
            <a:ext uri="{FF2B5EF4-FFF2-40B4-BE49-F238E27FC236}">
              <a16:creationId xmlns:a16="http://schemas.microsoft.com/office/drawing/2014/main" id="{906DA118-A1FA-2124-632E-0DA973C8C31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42800-5BD8-4A44-A974-393EDDA13285}">
  <dimension ref="B2:N37"/>
  <sheetViews>
    <sheetView topLeftCell="A21" workbookViewId="0">
      <selection activeCell="B4" sqref="B4"/>
    </sheetView>
  </sheetViews>
  <sheetFormatPr baseColWidth="10" defaultRowHeight="14.4" x14ac:dyDescent="0.3"/>
  <cols>
    <col min="2" max="2" width="12.33203125" customWidth="1"/>
  </cols>
  <sheetData>
    <row r="2" spans="2:10" s="1" customFormat="1" x14ac:dyDescent="0.3">
      <c r="B2" s="158" t="s">
        <v>155</v>
      </c>
      <c r="C2"/>
      <c r="D2"/>
      <c r="E2"/>
      <c r="F2"/>
      <c r="G2"/>
      <c r="H2"/>
      <c r="I2"/>
      <c r="J2"/>
    </row>
    <row r="3" spans="2:10" s="1" customFormat="1" x14ac:dyDescent="0.3">
      <c r="B3" s="159" t="s">
        <v>353</v>
      </c>
      <c r="C3"/>
      <c r="D3"/>
      <c r="E3"/>
      <c r="F3"/>
      <c r="G3"/>
      <c r="H3"/>
      <c r="I3"/>
      <c r="J3"/>
    </row>
    <row r="4" spans="2:10" s="1" customFormat="1" x14ac:dyDescent="0.3">
      <c r="B4" t="s">
        <v>354</v>
      </c>
      <c r="C4"/>
      <c r="D4"/>
      <c r="E4"/>
      <c r="F4"/>
      <c r="G4"/>
      <c r="H4"/>
      <c r="I4"/>
      <c r="J4"/>
    </row>
    <row r="5" spans="2:10" s="1" customFormat="1" x14ac:dyDescent="0.3">
      <c r="B5" s="159" t="s">
        <v>355</v>
      </c>
      <c r="C5"/>
      <c r="D5"/>
      <c r="E5"/>
      <c r="F5"/>
      <c r="G5"/>
      <c r="H5"/>
      <c r="I5"/>
      <c r="J5"/>
    </row>
    <row r="6" spans="2:10" s="1" customFormat="1" x14ac:dyDescent="0.3">
      <c r="B6" t="s">
        <v>356</v>
      </c>
      <c r="C6"/>
      <c r="D6"/>
      <c r="E6"/>
      <c r="F6"/>
      <c r="G6"/>
      <c r="H6"/>
      <c r="I6"/>
      <c r="J6"/>
    </row>
    <row r="7" spans="2:10" s="1" customFormat="1" x14ac:dyDescent="0.3">
      <c r="B7" s="159" t="s">
        <v>357</v>
      </c>
      <c r="C7"/>
      <c r="D7"/>
      <c r="E7"/>
      <c r="F7"/>
      <c r="G7"/>
      <c r="H7"/>
      <c r="I7"/>
      <c r="J7"/>
    </row>
    <row r="8" spans="2:10" s="1" customFormat="1" x14ac:dyDescent="0.3">
      <c r="B8" t="s">
        <v>358</v>
      </c>
      <c r="C8"/>
      <c r="D8"/>
      <c r="E8"/>
      <c r="F8"/>
      <c r="G8"/>
      <c r="H8"/>
      <c r="I8"/>
      <c r="J8"/>
    </row>
    <row r="9" spans="2:10" s="1" customFormat="1" x14ac:dyDescent="0.3">
      <c r="B9" s="159" t="s">
        <v>359</v>
      </c>
      <c r="C9"/>
      <c r="D9"/>
      <c r="E9"/>
      <c r="F9"/>
      <c r="G9"/>
      <c r="H9"/>
      <c r="I9"/>
      <c r="J9"/>
    </row>
    <row r="10" spans="2:10" s="1" customFormat="1" x14ac:dyDescent="0.3">
      <c r="B10" t="s">
        <v>360</v>
      </c>
      <c r="C10"/>
      <c r="D10"/>
      <c r="E10"/>
      <c r="F10"/>
      <c r="G10"/>
      <c r="H10"/>
      <c r="I10"/>
      <c r="J10"/>
    </row>
    <row r="12" spans="2:10" x14ac:dyDescent="0.3">
      <c r="B12" s="157" t="s">
        <v>362</v>
      </c>
    </row>
    <row r="18" spans="2:14" ht="15" customHeight="1" x14ac:dyDescent="0.3">
      <c r="B18" s="157" t="s">
        <v>361</v>
      </c>
      <c r="C18" s="157"/>
      <c r="D18" s="157"/>
      <c r="E18" s="157"/>
      <c r="F18" s="157"/>
      <c r="G18" s="157"/>
      <c r="H18" s="157"/>
      <c r="I18" s="157"/>
      <c r="J18" s="157"/>
      <c r="K18" s="157"/>
      <c r="L18" s="157"/>
      <c r="M18" s="157"/>
      <c r="N18" s="157"/>
    </row>
    <row r="19" spans="2:14" ht="28.2" customHeight="1" x14ac:dyDescent="0.3">
      <c r="B19" s="167" t="s">
        <v>365</v>
      </c>
      <c r="C19" s="197" t="s">
        <v>368</v>
      </c>
      <c r="D19" s="197"/>
      <c r="E19" s="197"/>
      <c r="F19" s="197"/>
      <c r="G19" s="197"/>
      <c r="H19" s="197"/>
      <c r="I19" s="197"/>
      <c r="J19" s="197"/>
      <c r="K19" s="197"/>
      <c r="L19" s="197"/>
      <c r="M19" s="197"/>
      <c r="N19" s="197"/>
    </row>
    <row r="20" spans="2:14" ht="15" customHeight="1" x14ac:dyDescent="0.3">
      <c r="B20" s="157" t="s">
        <v>355</v>
      </c>
      <c r="C20" s="160"/>
      <c r="D20" s="157"/>
      <c r="E20" s="157"/>
      <c r="F20" s="157"/>
      <c r="G20" s="157"/>
      <c r="H20" s="157"/>
      <c r="I20" s="157"/>
      <c r="J20" s="157"/>
      <c r="K20" s="157"/>
      <c r="L20" s="157"/>
      <c r="M20" s="157"/>
      <c r="N20" s="157"/>
    </row>
    <row r="21" spans="2:14" ht="31.2" customHeight="1" x14ac:dyDescent="0.3">
      <c r="B21" s="197" t="s">
        <v>366</v>
      </c>
      <c r="C21" s="197"/>
      <c r="D21" s="197"/>
      <c r="E21" s="197"/>
      <c r="F21" s="197"/>
      <c r="G21" s="197"/>
      <c r="H21" s="197"/>
      <c r="I21" s="197"/>
      <c r="J21" s="197"/>
      <c r="K21" s="197"/>
      <c r="L21" s="197"/>
      <c r="M21" s="197"/>
      <c r="N21" s="197"/>
    </row>
    <row r="22" spans="2:14" ht="15" customHeight="1" x14ac:dyDescent="0.3">
      <c r="B22" t="s">
        <v>367</v>
      </c>
    </row>
    <row r="23" spans="2:14" ht="15" customHeight="1" x14ac:dyDescent="0.3">
      <c r="B23" s="158" t="s">
        <v>357</v>
      </c>
    </row>
    <row r="24" spans="2:14" ht="15" customHeight="1" x14ac:dyDescent="0.3">
      <c r="B24" t="s">
        <v>369</v>
      </c>
    </row>
    <row r="25" spans="2:14" ht="15" customHeight="1" x14ac:dyDescent="0.3"/>
    <row r="26" spans="2:14" ht="15" customHeight="1" x14ac:dyDescent="0.3"/>
    <row r="27" spans="2:14" ht="15" customHeight="1" x14ac:dyDescent="0.3">
      <c r="B27" t="s">
        <v>370</v>
      </c>
    </row>
    <row r="28" spans="2:14" ht="15" customHeight="1" x14ac:dyDescent="0.3">
      <c r="B28" s="158" t="s">
        <v>359</v>
      </c>
    </row>
    <row r="29" spans="2:14" ht="15" customHeight="1" x14ac:dyDescent="0.3">
      <c r="B29" t="s">
        <v>371</v>
      </c>
    </row>
    <row r="30" spans="2:14" x14ac:dyDescent="0.3">
      <c r="B30" t="s">
        <v>372</v>
      </c>
    </row>
    <row r="31" spans="2:14" x14ac:dyDescent="0.3">
      <c r="B31" s="158" t="s">
        <v>376</v>
      </c>
    </row>
    <row r="32" spans="2:14" x14ac:dyDescent="0.3">
      <c r="B32" s="158"/>
    </row>
    <row r="34" spans="2:2" x14ac:dyDescent="0.3">
      <c r="B34" s="157" t="s">
        <v>363</v>
      </c>
    </row>
    <row r="37" spans="2:2" x14ac:dyDescent="0.3">
      <c r="B37" s="157" t="s">
        <v>364</v>
      </c>
    </row>
  </sheetData>
  <mergeCells count="2">
    <mergeCell ref="B21:N21"/>
    <mergeCell ref="C19:N19"/>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6B3F8-83D6-46BE-8501-9AC4ADB5D88C}">
  <dimension ref="B2:K55"/>
  <sheetViews>
    <sheetView topLeftCell="A39" workbookViewId="0">
      <selection activeCell="D56" sqref="D56"/>
    </sheetView>
  </sheetViews>
  <sheetFormatPr baseColWidth="10" defaultColWidth="11.44140625" defaultRowHeight="14.4" x14ac:dyDescent="0.3"/>
  <cols>
    <col min="2" max="2" width="41.88671875" customWidth="1"/>
    <col min="3" max="3" width="15.88671875" customWidth="1"/>
    <col min="4" max="4" width="25.6640625" customWidth="1"/>
    <col min="5" max="5" width="24.88671875" customWidth="1"/>
    <col min="8" max="8" width="17" customWidth="1"/>
  </cols>
  <sheetData>
    <row r="2" spans="2:11" ht="15.6" x14ac:dyDescent="0.3">
      <c r="B2" s="264" t="s">
        <v>220</v>
      </c>
      <c r="C2" s="264"/>
      <c r="D2" s="264"/>
      <c r="E2" s="264"/>
      <c r="F2" s="264"/>
      <c r="G2" s="264"/>
    </row>
    <row r="3" spans="2:11" x14ac:dyDescent="0.3">
      <c r="B3" s="58" t="s">
        <v>221</v>
      </c>
      <c r="C3" s="58" t="s">
        <v>222</v>
      </c>
      <c r="D3" s="58" t="s">
        <v>222</v>
      </c>
      <c r="E3" s="58" t="s">
        <v>240</v>
      </c>
      <c r="F3" s="273" t="s">
        <v>224</v>
      </c>
      <c r="G3" s="274"/>
      <c r="I3" s="116" t="s">
        <v>173</v>
      </c>
      <c r="J3" s="116" t="s">
        <v>226</v>
      </c>
    </row>
    <row r="4" spans="2:11" x14ac:dyDescent="0.3">
      <c r="B4" s="39" t="s">
        <v>225</v>
      </c>
      <c r="C4" s="40">
        <v>86</v>
      </c>
      <c r="D4" s="40">
        <v>86</v>
      </c>
      <c r="E4" s="40">
        <v>19</v>
      </c>
      <c r="F4" s="40">
        <f>E4*D4</f>
        <v>1634</v>
      </c>
      <c r="G4" s="38" t="s">
        <v>226</v>
      </c>
    </row>
    <row r="5" spans="2:11" x14ac:dyDescent="0.3">
      <c r="B5" s="39" t="s">
        <v>227</v>
      </c>
      <c r="C5" s="40">
        <v>23</v>
      </c>
      <c r="D5" s="40">
        <v>23</v>
      </c>
      <c r="E5" s="40">
        <v>15</v>
      </c>
      <c r="F5" s="40">
        <f t="shared" ref="F5:F15" si="0">E5*D5</f>
        <v>345</v>
      </c>
      <c r="G5" s="38" t="s">
        <v>226</v>
      </c>
      <c r="H5" t="s">
        <v>243</v>
      </c>
      <c r="I5">
        <v>540</v>
      </c>
      <c r="J5">
        <f>I5/100</f>
        <v>5.4</v>
      </c>
      <c r="K5" t="s">
        <v>244</v>
      </c>
    </row>
    <row r="6" spans="2:11" x14ac:dyDescent="0.3">
      <c r="B6" s="39" t="s">
        <v>228</v>
      </c>
      <c r="C6" s="112">
        <v>168</v>
      </c>
      <c r="D6" s="112">
        <f>168*25</f>
        <v>4200</v>
      </c>
      <c r="E6" s="40">
        <v>19</v>
      </c>
      <c r="F6" s="40">
        <f t="shared" si="0"/>
        <v>79800</v>
      </c>
      <c r="G6" s="38" t="s">
        <v>226</v>
      </c>
      <c r="H6" t="s">
        <v>245</v>
      </c>
      <c r="I6">
        <v>506</v>
      </c>
      <c r="J6">
        <f>I6/100</f>
        <v>5.0599999999999996</v>
      </c>
      <c r="K6" t="s">
        <v>244</v>
      </c>
    </row>
    <row r="7" spans="2:11" x14ac:dyDescent="0.3">
      <c r="B7" s="39" t="s">
        <v>229</v>
      </c>
      <c r="C7" s="40">
        <v>299</v>
      </c>
      <c r="D7" s="40">
        <v>299</v>
      </c>
      <c r="E7" s="40">
        <v>1000</v>
      </c>
      <c r="F7" s="40">
        <f t="shared" si="0"/>
        <v>299000</v>
      </c>
      <c r="G7" s="38" t="s">
        <v>226</v>
      </c>
      <c r="H7" t="s">
        <v>323</v>
      </c>
    </row>
    <row r="8" spans="2:11" x14ac:dyDescent="0.3">
      <c r="B8" s="39" t="s">
        <v>230</v>
      </c>
      <c r="C8" s="41">
        <v>25785</v>
      </c>
      <c r="D8" s="41">
        <v>25785</v>
      </c>
      <c r="E8" s="41">
        <v>3.7</v>
      </c>
      <c r="F8" s="41">
        <f t="shared" si="0"/>
        <v>95404.5</v>
      </c>
      <c r="G8" s="38" t="s">
        <v>226</v>
      </c>
      <c r="H8" t="s">
        <v>324</v>
      </c>
    </row>
    <row r="9" spans="2:11" x14ac:dyDescent="0.3">
      <c r="B9" s="39" t="s">
        <v>231</v>
      </c>
      <c r="C9" s="41">
        <v>347</v>
      </c>
      <c r="D9" s="41">
        <v>347</v>
      </c>
      <c r="E9" s="41">
        <v>3.7</v>
      </c>
      <c r="F9" s="41">
        <f t="shared" si="0"/>
        <v>1283.9000000000001</v>
      </c>
      <c r="G9" s="38" t="s">
        <v>226</v>
      </c>
      <c r="H9" t="s">
        <v>325</v>
      </c>
    </row>
    <row r="10" spans="2:11" x14ac:dyDescent="0.3">
      <c r="B10" s="39" t="s">
        <v>232</v>
      </c>
      <c r="C10" s="41">
        <v>420</v>
      </c>
      <c r="D10" s="41">
        <v>420</v>
      </c>
      <c r="E10" s="41">
        <v>3.7</v>
      </c>
      <c r="F10" s="41">
        <f t="shared" si="0"/>
        <v>1554</v>
      </c>
      <c r="G10" s="38" t="s">
        <v>226</v>
      </c>
      <c r="H10" s="38" t="s">
        <v>249</v>
      </c>
    </row>
    <row r="11" spans="2:11" x14ac:dyDescent="0.3">
      <c r="B11" s="39" t="s">
        <v>233</v>
      </c>
      <c r="C11" s="41">
        <v>120</v>
      </c>
      <c r="D11" s="41">
        <v>120</v>
      </c>
      <c r="E11" s="41">
        <v>3.7</v>
      </c>
      <c r="F11" s="41">
        <f t="shared" si="0"/>
        <v>444</v>
      </c>
      <c r="G11" s="38" t="s">
        <v>226</v>
      </c>
      <c r="H11" s="38" t="s">
        <v>250</v>
      </c>
    </row>
    <row r="12" spans="2:11" x14ac:dyDescent="0.3">
      <c r="B12" s="39" t="s">
        <v>234</v>
      </c>
      <c r="C12" s="41">
        <v>10</v>
      </c>
      <c r="D12" s="41">
        <v>10</v>
      </c>
      <c r="E12" s="41">
        <v>3.7</v>
      </c>
      <c r="F12" s="41">
        <f t="shared" si="0"/>
        <v>37</v>
      </c>
      <c r="G12" s="38" t="s">
        <v>226</v>
      </c>
      <c r="H12" s="38" t="s">
        <v>251</v>
      </c>
    </row>
    <row r="13" spans="2:11" x14ac:dyDescent="0.3">
      <c r="B13" s="39" t="s">
        <v>235</v>
      </c>
      <c r="C13" s="41">
        <v>27</v>
      </c>
      <c r="D13" s="41">
        <v>27</v>
      </c>
      <c r="E13" s="41">
        <v>3.7</v>
      </c>
      <c r="F13" s="41">
        <f t="shared" si="0"/>
        <v>99.9</v>
      </c>
      <c r="G13" s="38" t="s">
        <v>226</v>
      </c>
      <c r="H13" s="38" t="s">
        <v>252</v>
      </c>
    </row>
    <row r="14" spans="2:11" x14ac:dyDescent="0.3">
      <c r="B14" s="42" t="s">
        <v>236</v>
      </c>
      <c r="C14" s="43">
        <v>167</v>
      </c>
      <c r="D14" s="43">
        <v>167</v>
      </c>
      <c r="E14" s="41">
        <v>3.7</v>
      </c>
      <c r="F14" s="41">
        <f t="shared" si="0"/>
        <v>617.9</v>
      </c>
      <c r="G14" s="38" t="s">
        <v>226</v>
      </c>
      <c r="H14" s="38" t="s">
        <v>253</v>
      </c>
    </row>
    <row r="15" spans="2:11" x14ac:dyDescent="0.3">
      <c r="B15" s="39" t="s">
        <v>237</v>
      </c>
      <c r="C15" s="41">
        <v>577</v>
      </c>
      <c r="D15" s="41">
        <v>577</v>
      </c>
      <c r="E15" s="44">
        <v>3.7</v>
      </c>
      <c r="F15" s="41">
        <f t="shared" si="0"/>
        <v>2134.9</v>
      </c>
      <c r="G15" s="38" t="s">
        <v>226</v>
      </c>
      <c r="H15" s="38" t="s">
        <v>255</v>
      </c>
    </row>
    <row r="16" spans="2:11" x14ac:dyDescent="0.3">
      <c r="B16" s="45"/>
      <c r="C16" s="46"/>
      <c r="D16" s="46"/>
      <c r="E16" s="279" t="s">
        <v>238</v>
      </c>
      <c r="F16" s="67">
        <f>SUM(F4:F15)</f>
        <v>482355.10000000009</v>
      </c>
      <c r="G16" s="68" t="s">
        <v>226</v>
      </c>
      <c r="H16" s="38" t="s">
        <v>256</v>
      </c>
    </row>
    <row r="17" spans="2:7" x14ac:dyDescent="0.3">
      <c r="B17" s="45"/>
      <c r="C17" s="46"/>
      <c r="D17" s="46"/>
      <c r="E17" s="267"/>
      <c r="F17" s="69">
        <f>F16/1000</f>
        <v>482.35510000000011</v>
      </c>
      <c r="G17" s="68" t="s">
        <v>194</v>
      </c>
    </row>
    <row r="18" spans="2:7" ht="15.6" x14ac:dyDescent="0.3">
      <c r="B18" s="264" t="s">
        <v>239</v>
      </c>
      <c r="C18" s="264"/>
      <c r="D18" s="264"/>
      <c r="E18" s="264"/>
      <c r="F18" s="264"/>
      <c r="G18" s="45"/>
    </row>
    <row r="19" spans="2:7" x14ac:dyDescent="0.3">
      <c r="B19" s="8" t="s">
        <v>221</v>
      </c>
      <c r="C19" s="8" t="s">
        <v>222</v>
      </c>
      <c r="D19" s="8" t="s">
        <v>240</v>
      </c>
      <c r="E19" s="200" t="s">
        <v>224</v>
      </c>
      <c r="F19" s="200"/>
    </row>
    <row r="20" spans="2:7" x14ac:dyDescent="0.3">
      <c r="B20" s="9" t="s">
        <v>241</v>
      </c>
      <c r="C20" s="48">
        <v>12102</v>
      </c>
      <c r="D20" s="48">
        <v>10</v>
      </c>
      <c r="E20" s="48">
        <f>C20*D20</f>
        <v>121020</v>
      </c>
      <c r="F20" s="9" t="s">
        <v>226</v>
      </c>
    </row>
    <row r="21" spans="2:7" x14ac:dyDescent="0.3">
      <c r="B21" s="9" t="s">
        <v>242</v>
      </c>
      <c r="C21" s="48">
        <v>6129</v>
      </c>
      <c r="D21" s="49">
        <v>10</v>
      </c>
      <c r="E21" s="49">
        <f>C21*D21</f>
        <v>61290</v>
      </c>
      <c r="F21" s="9" t="s">
        <v>226</v>
      </c>
    </row>
    <row r="22" spans="2:7" x14ac:dyDescent="0.3">
      <c r="B22" s="1"/>
      <c r="C22" s="50"/>
      <c r="D22" s="275" t="s">
        <v>238</v>
      </c>
      <c r="E22" s="71">
        <f>E20+E21</f>
        <v>182310</v>
      </c>
      <c r="F22" s="64" t="s">
        <v>226</v>
      </c>
    </row>
    <row r="23" spans="2:7" x14ac:dyDescent="0.3">
      <c r="B23" s="1"/>
      <c r="C23" s="50"/>
      <c r="D23" s="276"/>
      <c r="E23" s="71">
        <f>E22/1000</f>
        <v>182.31</v>
      </c>
      <c r="F23" s="64" t="s">
        <v>194</v>
      </c>
    </row>
    <row r="25" spans="2:7" ht="15.6" x14ac:dyDescent="0.3">
      <c r="B25" s="264" t="s">
        <v>246</v>
      </c>
      <c r="C25" s="264"/>
      <c r="D25" s="264"/>
      <c r="E25" s="264"/>
      <c r="F25" s="264"/>
    </row>
    <row r="26" spans="2:7" x14ac:dyDescent="0.3">
      <c r="B26" s="51" t="s">
        <v>247</v>
      </c>
      <c r="C26" s="51" t="s">
        <v>248</v>
      </c>
      <c r="D26" s="51" t="s">
        <v>240</v>
      </c>
      <c r="E26" s="266" t="s">
        <v>224</v>
      </c>
      <c r="F26" s="266"/>
    </row>
    <row r="27" spans="2:7" x14ac:dyDescent="0.3">
      <c r="B27" s="38" t="s">
        <v>249</v>
      </c>
      <c r="C27" s="47">
        <f>Bienes!M7</f>
        <v>161.14285714285714</v>
      </c>
      <c r="D27" s="40">
        <v>8900</v>
      </c>
      <c r="E27" s="40">
        <f>C27*D27</f>
        <v>1434171.4285714286</v>
      </c>
      <c r="F27" s="38" t="s">
        <v>226</v>
      </c>
    </row>
    <row r="28" spans="2:7" x14ac:dyDescent="0.3">
      <c r="B28" s="38" t="s">
        <v>250</v>
      </c>
      <c r="C28" s="47">
        <f>Bienes!N7</f>
        <v>187.88888888888889</v>
      </c>
      <c r="D28" s="40">
        <v>450</v>
      </c>
      <c r="E28" s="40">
        <f>C28*D28</f>
        <v>84550</v>
      </c>
      <c r="F28" s="38" t="s">
        <v>226</v>
      </c>
    </row>
    <row r="29" spans="2:7" x14ac:dyDescent="0.3">
      <c r="B29" s="38" t="s">
        <v>251</v>
      </c>
      <c r="C29" s="47">
        <f>Bienes!O7</f>
        <v>239.2</v>
      </c>
      <c r="D29" s="40">
        <v>1500</v>
      </c>
      <c r="E29" s="40">
        <f>C29*D29</f>
        <v>358800</v>
      </c>
      <c r="F29" s="38" t="s">
        <v>226</v>
      </c>
    </row>
    <row r="30" spans="2:7" x14ac:dyDescent="0.3">
      <c r="B30" s="38" t="s">
        <v>252</v>
      </c>
      <c r="C30" s="47">
        <f>Bienes!P7</f>
        <v>326.42857142857144</v>
      </c>
      <c r="D30" s="40">
        <v>555</v>
      </c>
      <c r="E30" s="40">
        <f>C30*D30</f>
        <v>181167.85714285716</v>
      </c>
      <c r="F30" s="38" t="s">
        <v>226</v>
      </c>
    </row>
    <row r="31" spans="2:7" x14ac:dyDescent="0.3">
      <c r="B31" s="38" t="s">
        <v>253</v>
      </c>
      <c r="C31" s="47">
        <f>Bienes!Q7</f>
        <v>254.93333333333334</v>
      </c>
      <c r="D31" s="40">
        <v>180</v>
      </c>
      <c r="E31" s="40">
        <f>C31*D31</f>
        <v>45888</v>
      </c>
      <c r="F31" s="38" t="s">
        <v>226</v>
      </c>
    </row>
    <row r="32" spans="2:7" x14ac:dyDescent="0.3">
      <c r="B32" s="45"/>
      <c r="C32" s="46"/>
      <c r="D32" s="267" t="s">
        <v>238</v>
      </c>
      <c r="E32" s="70">
        <f>SUM(E27:E31)</f>
        <v>2104577.2857142859</v>
      </c>
      <c r="F32" s="68" t="s">
        <v>226</v>
      </c>
    </row>
    <row r="33" spans="2:6" x14ac:dyDescent="0.3">
      <c r="B33" s="45"/>
      <c r="C33" s="46"/>
      <c r="D33" s="268"/>
      <c r="E33" s="70">
        <f>E32/1000</f>
        <v>2104.5772857142861</v>
      </c>
      <c r="F33" s="68" t="s">
        <v>194</v>
      </c>
    </row>
    <row r="35" spans="2:6" ht="15.6" x14ac:dyDescent="0.3">
      <c r="B35" s="264" t="s">
        <v>254</v>
      </c>
      <c r="C35" s="264"/>
      <c r="D35" s="264"/>
      <c r="E35" s="264"/>
      <c r="F35" s="264"/>
    </row>
    <row r="36" spans="2:6" x14ac:dyDescent="0.3">
      <c r="B36" s="51" t="s">
        <v>247</v>
      </c>
      <c r="C36" s="52" t="s">
        <v>248</v>
      </c>
      <c r="D36" s="51" t="s">
        <v>240</v>
      </c>
      <c r="E36" s="269" t="s">
        <v>224</v>
      </c>
      <c r="F36" s="270"/>
    </row>
    <row r="37" spans="2:6" x14ac:dyDescent="0.3">
      <c r="B37" s="38" t="s">
        <v>255</v>
      </c>
      <c r="C37" s="47">
        <f>Bienes!K7</f>
        <v>308.25</v>
      </c>
      <c r="D37" s="40">
        <f>Bienes!K9</f>
        <v>37800</v>
      </c>
      <c r="E37" s="40">
        <f>C37*D37</f>
        <v>11651850</v>
      </c>
      <c r="F37" s="38" t="s">
        <v>226</v>
      </c>
    </row>
    <row r="38" spans="2:6" x14ac:dyDescent="0.3">
      <c r="B38" s="38" t="s">
        <v>256</v>
      </c>
      <c r="C38" s="47">
        <f>Bienes!L7</f>
        <v>3.875</v>
      </c>
      <c r="D38" s="40">
        <f>Bienes!L9</f>
        <v>400</v>
      </c>
      <c r="E38" s="40">
        <f>C38*D38</f>
        <v>1550</v>
      </c>
      <c r="F38" s="38" t="s">
        <v>226</v>
      </c>
    </row>
    <row r="39" spans="2:6" x14ac:dyDescent="0.3">
      <c r="B39" s="45"/>
      <c r="C39" s="46"/>
      <c r="D39" s="271" t="s">
        <v>238</v>
      </c>
      <c r="E39" s="65">
        <f>SUM(E37:E38)</f>
        <v>11653400</v>
      </c>
      <c r="F39" s="66" t="s">
        <v>226</v>
      </c>
    </row>
    <row r="40" spans="2:6" x14ac:dyDescent="0.3">
      <c r="B40" s="45"/>
      <c r="C40" s="46"/>
      <c r="D40" s="272"/>
      <c r="E40" s="65">
        <f>E39/1000</f>
        <v>11653.4</v>
      </c>
      <c r="F40" s="66" t="s">
        <v>194</v>
      </c>
    </row>
    <row r="42" spans="2:6" ht="15.6" x14ac:dyDescent="0.3">
      <c r="B42" s="262" t="s">
        <v>257</v>
      </c>
      <c r="C42" s="263"/>
      <c r="D42" s="263"/>
      <c r="E42" s="263"/>
    </row>
    <row r="43" spans="2:6" ht="31.2" x14ac:dyDescent="0.3">
      <c r="B43" s="53" t="s">
        <v>117</v>
      </c>
      <c r="C43" s="54" t="s">
        <v>258</v>
      </c>
      <c r="D43" s="54" t="s">
        <v>259</v>
      </c>
      <c r="E43" s="54" t="s">
        <v>260</v>
      </c>
    </row>
    <row r="44" spans="2:6" ht="15.6" x14ac:dyDescent="0.3">
      <c r="B44" s="55">
        <v>2023</v>
      </c>
      <c r="C44" s="56">
        <v>12436200</v>
      </c>
      <c r="D44" s="56">
        <f>C44/277.78</f>
        <v>44769.961840305281</v>
      </c>
      <c r="E44" s="57">
        <f>+D44*22.3</f>
        <v>998370.14903880784</v>
      </c>
    </row>
    <row r="46" spans="2:6" ht="15.6" x14ac:dyDescent="0.3">
      <c r="B46" s="264" t="s">
        <v>261</v>
      </c>
      <c r="C46" s="265"/>
    </row>
    <row r="47" spans="2:6" ht="28.5" customHeight="1" x14ac:dyDescent="0.3">
      <c r="B47" s="62" t="s">
        <v>262</v>
      </c>
      <c r="C47" s="54" t="s">
        <v>263</v>
      </c>
      <c r="D47" s="61"/>
      <c r="E47" s="61"/>
    </row>
    <row r="48" spans="2:6" ht="15.6" x14ac:dyDescent="0.3">
      <c r="B48" s="59" t="s">
        <v>264</v>
      </c>
      <c r="C48" s="63">
        <f>F17</f>
        <v>482.35510000000011</v>
      </c>
    </row>
    <row r="49" spans="2:4" ht="15.6" x14ac:dyDescent="0.3">
      <c r="B49" s="55" t="s">
        <v>265</v>
      </c>
      <c r="C49" s="60">
        <f>E23</f>
        <v>182.31</v>
      </c>
    </row>
    <row r="50" spans="2:4" x14ac:dyDescent="0.3">
      <c r="B50" s="9" t="s">
        <v>266</v>
      </c>
      <c r="C50" s="60">
        <f>E33</f>
        <v>2104.5772857142861</v>
      </c>
    </row>
    <row r="51" spans="2:4" x14ac:dyDescent="0.3">
      <c r="B51" s="9" t="s">
        <v>267</v>
      </c>
      <c r="C51" s="60">
        <f>E40</f>
        <v>11653.4</v>
      </c>
    </row>
    <row r="52" spans="2:4" x14ac:dyDescent="0.3">
      <c r="B52" s="9" t="s">
        <v>268</v>
      </c>
      <c r="C52" s="60">
        <f>E44</f>
        <v>998370.14903880784</v>
      </c>
    </row>
    <row r="53" spans="2:4" x14ac:dyDescent="0.3">
      <c r="B53" s="64" t="s">
        <v>25</v>
      </c>
      <c r="C53" s="113">
        <f>SUM(C48:C52)</f>
        <v>1012792.7914245222</v>
      </c>
    </row>
    <row r="55" spans="2:4" x14ac:dyDescent="0.3">
      <c r="D55">
        <f>(C52/C53)*100</f>
        <v>98.575953293918246</v>
      </c>
    </row>
  </sheetData>
  <mergeCells count="14">
    <mergeCell ref="B2:G2"/>
    <mergeCell ref="B46:C46"/>
    <mergeCell ref="D39:D40"/>
    <mergeCell ref="E36:F36"/>
    <mergeCell ref="B42:E42"/>
    <mergeCell ref="B35:F35"/>
    <mergeCell ref="E16:E17"/>
    <mergeCell ref="F3:G3"/>
    <mergeCell ref="E19:F19"/>
    <mergeCell ref="D22:D23"/>
    <mergeCell ref="D32:D33"/>
    <mergeCell ref="E26:F26"/>
    <mergeCell ref="B25:F25"/>
    <mergeCell ref="B18:F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D21CF-EBFE-4CA8-9602-35D5254F7126}">
  <dimension ref="B2:S14"/>
  <sheetViews>
    <sheetView zoomScale="63" workbookViewId="0">
      <selection activeCell="N3" sqref="N3"/>
    </sheetView>
  </sheetViews>
  <sheetFormatPr baseColWidth="10" defaultColWidth="11.44140625" defaultRowHeight="14.4" x14ac:dyDescent="0.3"/>
  <cols>
    <col min="2" max="2" width="11.44140625" style="93"/>
    <col min="8" max="8" width="13.88671875" bestFit="1" customWidth="1"/>
    <col min="9" max="9" width="17.5546875" customWidth="1"/>
    <col min="10" max="12" width="12.6640625" customWidth="1"/>
    <col min="13" max="13" width="11.44140625" style="87"/>
    <col min="14" max="14" width="13.88671875" bestFit="1" customWidth="1"/>
    <col min="15" max="17" width="17.88671875" customWidth="1"/>
    <col min="18" max="18" width="11.44140625" customWidth="1"/>
    <col min="19" max="19" width="13.88671875" style="87" customWidth="1"/>
  </cols>
  <sheetData>
    <row r="2" spans="2:19" ht="43.2" x14ac:dyDescent="0.3">
      <c r="B2" s="94" t="s">
        <v>326</v>
      </c>
      <c r="C2" s="94" t="s">
        <v>327</v>
      </c>
      <c r="D2" s="94" t="s">
        <v>328</v>
      </c>
      <c r="E2" s="94" t="s">
        <v>329</v>
      </c>
      <c r="F2" s="94" t="s">
        <v>330</v>
      </c>
      <c r="G2" s="94" t="s">
        <v>331</v>
      </c>
      <c r="H2" s="94" t="s">
        <v>332</v>
      </c>
      <c r="I2" s="94" t="s">
        <v>333</v>
      </c>
      <c r="J2" s="94" t="s">
        <v>334</v>
      </c>
      <c r="K2" s="94" t="s">
        <v>335</v>
      </c>
      <c r="L2" s="94" t="s">
        <v>336</v>
      </c>
      <c r="M2" s="94" t="s">
        <v>337</v>
      </c>
      <c r="N2" s="94" t="s">
        <v>338</v>
      </c>
      <c r="O2" s="94" t="s">
        <v>339</v>
      </c>
      <c r="P2" s="94" t="s">
        <v>340</v>
      </c>
      <c r="Q2" s="94" t="s">
        <v>341</v>
      </c>
      <c r="R2" s="94" t="s">
        <v>342</v>
      </c>
      <c r="S2" s="94" t="s">
        <v>343</v>
      </c>
    </row>
    <row r="3" spans="2:19" ht="57.6" x14ac:dyDescent="0.3">
      <c r="B3" s="95" t="s">
        <v>378</v>
      </c>
      <c r="C3" s="91" t="s">
        <v>344</v>
      </c>
      <c r="D3" s="91">
        <v>2023</v>
      </c>
      <c r="E3" s="91">
        <v>20804</v>
      </c>
      <c r="F3" s="92">
        <f>'Huella Hídrica Azul'!P102</f>
        <v>114294.52229999998</v>
      </c>
      <c r="G3" s="92">
        <f>'Huella hidrica verde'!B65</f>
        <v>220844.10652500004</v>
      </c>
      <c r="H3" s="92">
        <f>'Huella hidrica gris'!V22</f>
        <v>214638.42</v>
      </c>
      <c r="I3" s="92">
        <f t="shared" ref="I3:I6" si="0">SUM(F3:H3)</f>
        <v>549777.04882500006</v>
      </c>
      <c r="J3" s="131">
        <f>F3/I3</f>
        <v>0.20789249486546166</v>
      </c>
      <c r="K3" s="131">
        <f>G3/I3</f>
        <v>0.40169757358368208</v>
      </c>
      <c r="L3" s="131">
        <f>H3/I3</f>
        <v>0.39040993155085624</v>
      </c>
      <c r="M3" s="91" t="s">
        <v>345</v>
      </c>
      <c r="N3" s="92">
        <f>'HH Indirecta'!C53</f>
        <v>1012792.7914245222</v>
      </c>
      <c r="O3" s="92">
        <f>N3+I3</f>
        <v>1562569.8402495221</v>
      </c>
      <c r="P3" s="131">
        <f>I3/O3</f>
        <v>0.35184158471739591</v>
      </c>
      <c r="Q3" s="131">
        <f>N3/O3</f>
        <v>0.64815841528260409</v>
      </c>
      <c r="R3" s="92">
        <f t="shared" ref="R3:R6" si="1">O3/E3</f>
        <v>75.109105953159116</v>
      </c>
      <c r="S3" s="91" t="s">
        <v>346</v>
      </c>
    </row>
    <row r="4" spans="2:19" ht="86.4" x14ac:dyDescent="0.3">
      <c r="B4" s="95" t="s">
        <v>402</v>
      </c>
      <c r="C4" s="91" t="s">
        <v>344</v>
      </c>
      <c r="D4" s="91">
        <v>2016</v>
      </c>
      <c r="E4" s="91">
        <v>7648</v>
      </c>
      <c r="F4" s="92">
        <v>2302.1999999999998</v>
      </c>
      <c r="G4" s="92">
        <v>5676.48</v>
      </c>
      <c r="H4" s="92">
        <v>23382.82</v>
      </c>
      <c r="I4" s="92">
        <f t="shared" si="0"/>
        <v>31361.5</v>
      </c>
      <c r="J4" s="131">
        <f t="shared" ref="J4:J6" si="2">F4/I4</f>
        <v>7.3408478548538811E-2</v>
      </c>
      <c r="K4" s="131">
        <f t="shared" ref="K4:K6" si="3">G4/I4</f>
        <v>0.18100154648215167</v>
      </c>
      <c r="L4" s="131">
        <f t="shared" ref="L4:L6" si="4">H4/I4</f>
        <v>0.74558997496930945</v>
      </c>
      <c r="M4" s="91" t="s">
        <v>347</v>
      </c>
      <c r="N4" s="92">
        <v>11312667.82</v>
      </c>
      <c r="O4" s="92">
        <v>112744028.5</v>
      </c>
      <c r="P4" s="131">
        <f t="shared" ref="P4:P6" si="5">I4/O4</f>
        <v>2.7816550833998271E-4</v>
      </c>
      <c r="Q4" s="131">
        <f t="shared" ref="Q4:Q6" si="6">N4/O4</f>
        <v>0.10033939686659325</v>
      </c>
      <c r="R4" s="92">
        <f t="shared" si="1"/>
        <v>14741.635525627615</v>
      </c>
      <c r="S4" s="91" t="s">
        <v>348</v>
      </c>
    </row>
    <row r="5" spans="2:19" ht="86.4" x14ac:dyDescent="0.3">
      <c r="B5" s="95" t="s">
        <v>403</v>
      </c>
      <c r="C5" s="91" t="s">
        <v>344</v>
      </c>
      <c r="D5" s="91">
        <v>2019</v>
      </c>
      <c r="E5" s="91">
        <v>7725</v>
      </c>
      <c r="F5" s="92">
        <v>13722.68</v>
      </c>
      <c r="G5" s="92">
        <v>16.149999999999999</v>
      </c>
      <c r="H5" s="92">
        <v>118644.3124</v>
      </c>
      <c r="I5" s="92">
        <f t="shared" si="0"/>
        <v>132383.14239999998</v>
      </c>
      <c r="J5" s="131">
        <f t="shared" si="2"/>
        <v>0.10365881751421548</v>
      </c>
      <c r="K5" s="131">
        <f t="shared" si="3"/>
        <v>1.219943846868527E-4</v>
      </c>
      <c r="L5" s="131">
        <f t="shared" si="4"/>
        <v>0.8962191881010978</v>
      </c>
      <c r="M5" s="91" t="s">
        <v>347</v>
      </c>
      <c r="N5" s="92">
        <v>222636.4</v>
      </c>
      <c r="O5" s="92">
        <f>N5+I5</f>
        <v>355019.54239999998</v>
      </c>
      <c r="P5" s="131">
        <f t="shared" si="5"/>
        <v>0.37288973306952239</v>
      </c>
      <c r="Q5" s="131">
        <f t="shared" si="6"/>
        <v>0.62711026693047756</v>
      </c>
      <c r="R5" s="92">
        <f t="shared" si="1"/>
        <v>45.957222317152102</v>
      </c>
      <c r="S5" s="91" t="s">
        <v>349</v>
      </c>
    </row>
    <row r="6" spans="2:19" ht="86.4" x14ac:dyDescent="0.3">
      <c r="B6" s="95" t="s">
        <v>404</v>
      </c>
      <c r="C6" s="91" t="s">
        <v>350</v>
      </c>
      <c r="D6" s="91">
        <v>2014</v>
      </c>
      <c r="E6" s="91">
        <v>35915</v>
      </c>
      <c r="F6" s="92">
        <v>4635</v>
      </c>
      <c r="G6" s="92">
        <v>267.79000000000002</v>
      </c>
      <c r="H6" s="92">
        <v>12283826.699999999</v>
      </c>
      <c r="I6" s="92">
        <f t="shared" si="0"/>
        <v>12288729.489999998</v>
      </c>
      <c r="J6" s="131">
        <f t="shared" si="2"/>
        <v>3.7717487424324456E-4</v>
      </c>
      <c r="K6" s="131">
        <f t="shared" si="3"/>
        <v>2.1791512313613477E-5</v>
      </c>
      <c r="L6" s="131">
        <f t="shared" si="4"/>
        <v>0.99960103361344321</v>
      </c>
      <c r="M6" s="91" t="s">
        <v>351</v>
      </c>
      <c r="N6" s="92">
        <v>3395838</v>
      </c>
      <c r="O6" s="92">
        <f>I6+N6</f>
        <v>15684567.489999998</v>
      </c>
      <c r="P6" s="131">
        <f t="shared" si="5"/>
        <v>0.78349176653005681</v>
      </c>
      <c r="Q6" s="131">
        <f t="shared" si="6"/>
        <v>0.21650823346994316</v>
      </c>
      <c r="R6" s="92">
        <f t="shared" si="1"/>
        <v>436.71355951552272</v>
      </c>
      <c r="S6" s="91" t="s">
        <v>352</v>
      </c>
    </row>
    <row r="12" spans="2:19" x14ac:dyDescent="0.3">
      <c r="O12">
        <f>(I3/O3)*100</f>
        <v>35.184158471739593</v>
      </c>
    </row>
    <row r="13" spans="2:19" x14ac:dyDescent="0.3">
      <c r="O13">
        <f>(N3/O3)*100</f>
        <v>64.815841528260407</v>
      </c>
    </row>
    <row r="14" spans="2:19" x14ac:dyDescent="0.3">
      <c r="O14">
        <f>SUM(O12:O13)</f>
        <v>100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9751-F312-44E4-80C0-F6716DB80E32}">
  <dimension ref="A12:AI148"/>
  <sheetViews>
    <sheetView topLeftCell="A81" zoomScale="69" zoomScaleNormal="25" workbookViewId="0">
      <selection activeCell="H93" sqref="H93"/>
    </sheetView>
  </sheetViews>
  <sheetFormatPr baseColWidth="10" defaultColWidth="11.5546875" defaultRowHeight="14.4" x14ac:dyDescent="0.3"/>
  <cols>
    <col min="1" max="1" width="11.5546875" style="1"/>
    <col min="2" max="2" width="14.5546875" style="1" bestFit="1" customWidth="1"/>
    <col min="3" max="3" width="16.33203125" style="1" customWidth="1"/>
    <col min="4" max="4" width="15.33203125" style="1" bestFit="1" customWidth="1"/>
    <col min="5" max="5" width="11.6640625" style="1" bestFit="1" customWidth="1"/>
    <col min="6" max="6" width="12" style="1" bestFit="1" customWidth="1"/>
    <col min="7" max="7" width="15.109375" style="1" bestFit="1" customWidth="1"/>
    <col min="8" max="10" width="11.5546875" style="1"/>
    <col min="11" max="11" width="15.44140625" style="1" bestFit="1" customWidth="1"/>
    <col min="12" max="12" width="5.6640625" style="1" customWidth="1"/>
    <col min="13" max="13" width="14.88671875" style="1" customWidth="1"/>
    <col min="14" max="14" width="16.6640625" style="1" customWidth="1"/>
    <col min="15" max="15" width="14.6640625" style="1" customWidth="1"/>
    <col min="16" max="16" width="12.44140625" style="1" bestFit="1" customWidth="1"/>
    <col min="17" max="17" width="11.5546875" style="1"/>
    <col min="18" max="18" width="15.44140625" style="1" bestFit="1" customWidth="1"/>
    <col min="19" max="22" width="11.5546875" style="1"/>
    <col min="23" max="23" width="22.6640625" style="1" customWidth="1"/>
    <col min="24" max="32" width="11.5546875" style="1"/>
    <col min="33" max="33" width="18.33203125" style="1" bestFit="1" customWidth="1"/>
    <col min="34" max="16384" width="11.5546875" style="1"/>
  </cols>
  <sheetData>
    <row r="12" spans="1:34" x14ac:dyDescent="0.3">
      <c r="B12"/>
      <c r="C12"/>
      <c r="D12"/>
      <c r="E12"/>
      <c r="F12"/>
      <c r="G12"/>
      <c r="H12"/>
      <c r="I12"/>
      <c r="J12"/>
    </row>
    <row r="14" spans="1:34" ht="15" thickBot="1" x14ac:dyDescent="0.35"/>
    <row r="15" spans="1:34" x14ac:dyDescent="0.3">
      <c r="A15" s="199" t="s">
        <v>0</v>
      </c>
      <c r="B15" s="199"/>
      <c r="C15" s="199"/>
      <c r="D15" s="199"/>
      <c r="E15" s="199"/>
      <c r="F15" s="199"/>
      <c r="G15" s="199"/>
      <c r="H15" s="199"/>
      <c r="I15" s="2"/>
      <c r="J15" s="3"/>
      <c r="K15" s="4"/>
      <c r="L15" s="4"/>
      <c r="M15" s="4"/>
      <c r="N15" s="4"/>
      <c r="O15" s="4"/>
      <c r="P15" s="4"/>
      <c r="Q15" s="4"/>
      <c r="R15" s="4"/>
      <c r="S15" s="4"/>
      <c r="T15" s="4"/>
      <c r="U15" s="4"/>
      <c r="V15" s="4"/>
      <c r="W15" s="4"/>
      <c r="X15" s="4"/>
      <c r="Y15" s="4"/>
      <c r="Z15" s="4"/>
      <c r="AA15" s="4"/>
      <c r="AB15" s="4"/>
      <c r="AC15" s="4"/>
      <c r="AD15" s="4"/>
      <c r="AE15" s="5"/>
      <c r="AG15" s="199" t="s">
        <v>1</v>
      </c>
      <c r="AH15" s="199"/>
    </row>
    <row r="16" spans="1:34" ht="15" thickBot="1" x14ac:dyDescent="0.35">
      <c r="J16" s="6"/>
      <c r="AE16" s="7"/>
    </row>
    <row r="17" spans="1:35" x14ac:dyDescent="0.3">
      <c r="A17" s="1" t="s">
        <v>2</v>
      </c>
      <c r="B17" s="200" t="s">
        <v>3</v>
      </c>
      <c r="C17" s="200"/>
      <c r="D17" s="200"/>
      <c r="J17" s="6"/>
      <c r="AE17" s="7"/>
      <c r="AG17" s="17" t="s">
        <v>4</v>
      </c>
      <c r="AH17" s="18" t="s">
        <v>5</v>
      </c>
      <c r="AI17" s="74" t="s">
        <v>6</v>
      </c>
    </row>
    <row r="18" spans="1:35" x14ac:dyDescent="0.3">
      <c r="B18" s="9" t="s">
        <v>7</v>
      </c>
      <c r="C18" s="9" t="s">
        <v>8</v>
      </c>
      <c r="D18" s="9" t="s">
        <v>9</v>
      </c>
      <c r="J18" s="6"/>
      <c r="AE18" s="7"/>
      <c r="AG18" s="20" t="s">
        <v>10</v>
      </c>
      <c r="AH18" s="9">
        <v>4240</v>
      </c>
      <c r="AI18" s="209" t="s">
        <v>11</v>
      </c>
    </row>
    <row r="19" spans="1:35" x14ac:dyDescent="0.3">
      <c r="B19" s="9">
        <v>0.85</v>
      </c>
      <c r="C19" s="9">
        <v>0.9</v>
      </c>
      <c r="D19" s="9">
        <v>0.9</v>
      </c>
      <c r="J19" s="6"/>
      <c r="R19" s="8" t="s">
        <v>12</v>
      </c>
      <c r="S19" s="9"/>
      <c r="T19" s="8" t="s">
        <v>7</v>
      </c>
      <c r="U19" s="8" t="s">
        <v>13</v>
      </c>
      <c r="V19" s="8" t="s">
        <v>14</v>
      </c>
      <c r="AE19" s="7"/>
      <c r="AG19" s="20" t="s">
        <v>15</v>
      </c>
      <c r="AH19" s="9">
        <v>1964</v>
      </c>
      <c r="AI19" s="209"/>
    </row>
    <row r="20" spans="1:35" x14ac:dyDescent="0.3">
      <c r="J20" s="6"/>
      <c r="R20" s="10">
        <v>44927</v>
      </c>
      <c r="S20" s="9"/>
      <c r="T20" s="9"/>
      <c r="U20" s="9"/>
      <c r="V20" s="9"/>
      <c r="AE20" s="7"/>
      <c r="AG20" s="20" t="s">
        <v>16</v>
      </c>
      <c r="AH20" s="9">
        <v>691</v>
      </c>
      <c r="AI20" s="209"/>
    </row>
    <row r="21" spans="1:35" x14ac:dyDescent="0.3">
      <c r="A21" s="1" t="s">
        <v>17</v>
      </c>
      <c r="B21" s="200" t="s">
        <v>18</v>
      </c>
      <c r="C21" s="200"/>
      <c r="D21" s="200"/>
      <c r="E21" s="200"/>
      <c r="F21" s="200"/>
      <c r="J21" s="6"/>
      <c r="R21" s="9" t="s">
        <v>19</v>
      </c>
      <c r="S21" s="9"/>
      <c r="T21" s="9" t="s">
        <v>20</v>
      </c>
      <c r="U21" s="9" t="s">
        <v>21</v>
      </c>
      <c r="V21" s="9" t="s">
        <v>22</v>
      </c>
      <c r="AE21" s="7"/>
      <c r="AG21" s="20" t="s">
        <v>23</v>
      </c>
      <c r="AH21" s="9">
        <v>4060</v>
      </c>
      <c r="AI21" s="209"/>
    </row>
    <row r="22" spans="1:35" x14ac:dyDescent="0.3">
      <c r="B22" s="9" t="s">
        <v>7</v>
      </c>
      <c r="C22" s="9" t="s">
        <v>24</v>
      </c>
      <c r="D22" s="9" t="s">
        <v>13</v>
      </c>
      <c r="E22" s="9" t="s">
        <v>14</v>
      </c>
      <c r="F22" s="9" t="s">
        <v>25</v>
      </c>
      <c r="J22" s="6"/>
      <c r="R22" s="9" t="s">
        <v>26</v>
      </c>
      <c r="S22" s="9"/>
      <c r="T22" s="9" t="s">
        <v>26</v>
      </c>
      <c r="U22" s="9" t="s">
        <v>26</v>
      </c>
      <c r="V22" s="9" t="s">
        <v>26</v>
      </c>
      <c r="AE22" s="7"/>
      <c r="AG22" s="20" t="s">
        <v>27</v>
      </c>
      <c r="AH22" s="9">
        <v>3959</v>
      </c>
      <c r="AI22" s="209"/>
    </row>
    <row r="23" spans="1:35" x14ac:dyDescent="0.3">
      <c r="B23" s="9">
        <v>10</v>
      </c>
      <c r="C23" s="9">
        <v>20</v>
      </c>
      <c r="D23" s="9">
        <v>30</v>
      </c>
      <c r="E23" s="9">
        <v>15</v>
      </c>
      <c r="F23" s="9">
        <f>SUM(B23:E23)</f>
        <v>75</v>
      </c>
      <c r="J23" s="6"/>
      <c r="R23" s="9"/>
      <c r="S23" s="9"/>
      <c r="T23" s="9">
        <v>4.0599999999999996</v>
      </c>
      <c r="U23" s="9">
        <v>3.91</v>
      </c>
      <c r="V23" s="9">
        <v>4.1500000000000004</v>
      </c>
      <c r="AE23" s="7"/>
      <c r="AG23" s="20" t="s">
        <v>28</v>
      </c>
      <c r="AH23" s="9">
        <v>2755</v>
      </c>
      <c r="AI23" s="209"/>
    </row>
    <row r="24" spans="1:35" x14ac:dyDescent="0.3">
      <c r="J24" s="6"/>
      <c r="R24" s="8" t="s">
        <v>29</v>
      </c>
      <c r="S24" s="9">
        <f>B19</f>
        <v>0.85</v>
      </c>
      <c r="T24" s="9">
        <f>T23*S24</f>
        <v>3.4509999999999996</v>
      </c>
      <c r="U24" s="9"/>
      <c r="V24" s="9"/>
      <c r="AE24" s="7"/>
      <c r="AG24" s="20" t="s">
        <v>30</v>
      </c>
      <c r="AH24" s="9">
        <v>992</v>
      </c>
      <c r="AI24" s="209"/>
    </row>
    <row r="25" spans="1:35" x14ac:dyDescent="0.3">
      <c r="A25" s="1" t="s">
        <v>31</v>
      </c>
      <c r="B25" s="200" t="s">
        <v>32</v>
      </c>
      <c r="C25" s="200"/>
      <c r="E25" s="200" t="s">
        <v>33</v>
      </c>
      <c r="F25" s="200"/>
      <c r="G25" s="1" t="s">
        <v>34</v>
      </c>
      <c r="J25" s="6"/>
      <c r="R25" s="8" t="s">
        <v>35</v>
      </c>
      <c r="S25" s="9">
        <f>C19</f>
        <v>0.9</v>
      </c>
      <c r="T25" s="9"/>
      <c r="U25" s="9">
        <f>U23*S25</f>
        <v>3.5190000000000001</v>
      </c>
      <c r="V25" s="9"/>
      <c r="AE25" s="7"/>
      <c r="AG25" s="20" t="s">
        <v>36</v>
      </c>
      <c r="AH25" s="9">
        <v>7457</v>
      </c>
      <c r="AI25" s="209"/>
    </row>
    <row r="26" spans="1:35" x14ac:dyDescent="0.3">
      <c r="B26" s="9" t="s">
        <v>7</v>
      </c>
      <c r="C26" s="9" t="s">
        <v>37</v>
      </c>
      <c r="E26" s="203">
        <v>0.1</v>
      </c>
      <c r="F26" s="203"/>
      <c r="J26" s="6"/>
      <c r="R26" s="8" t="s">
        <v>38</v>
      </c>
      <c r="S26" s="9">
        <f>D19</f>
        <v>0.9</v>
      </c>
      <c r="T26" s="9"/>
      <c r="U26" s="9"/>
      <c r="V26" s="9">
        <f>V23*S26</f>
        <v>3.7350000000000003</v>
      </c>
      <c r="AE26" s="7"/>
      <c r="AG26" s="20" t="s">
        <v>39</v>
      </c>
      <c r="AH26" s="9">
        <v>5833</v>
      </c>
      <c r="AI26" s="209"/>
    </row>
    <row r="27" spans="1:35" x14ac:dyDescent="0.3">
      <c r="B27" s="9">
        <v>0.5</v>
      </c>
      <c r="C27" s="9">
        <v>1</v>
      </c>
      <c r="J27" s="6"/>
      <c r="R27" s="9"/>
      <c r="S27" s="11" t="s">
        <v>40</v>
      </c>
      <c r="T27" s="12">
        <f>T24</f>
        <v>3.4509999999999996</v>
      </c>
      <c r="U27" s="12">
        <f>U25</f>
        <v>3.5190000000000001</v>
      </c>
      <c r="V27" s="12">
        <f>V26</f>
        <v>3.7350000000000003</v>
      </c>
      <c r="W27" s="1" t="s">
        <v>41</v>
      </c>
      <c r="AE27" s="7"/>
      <c r="AG27" s="20" t="s">
        <v>42</v>
      </c>
      <c r="AH27" s="9">
        <v>1492</v>
      </c>
      <c r="AI27" s="209"/>
    </row>
    <row r="28" spans="1:35" x14ac:dyDescent="0.3">
      <c r="J28" s="6"/>
      <c r="AE28" s="7"/>
      <c r="AG28" s="20" t="s">
        <v>43</v>
      </c>
      <c r="AH28" s="9">
        <v>412</v>
      </c>
      <c r="AI28" s="209"/>
    </row>
    <row r="29" spans="1:35" x14ac:dyDescent="0.3">
      <c r="A29" s="1" t="s">
        <v>31</v>
      </c>
      <c r="B29" s="200" t="s">
        <v>44</v>
      </c>
      <c r="C29" s="200"/>
      <c r="D29" s="200"/>
      <c r="J29" s="6"/>
      <c r="AE29" s="7"/>
      <c r="AG29" s="20" t="s">
        <v>45</v>
      </c>
      <c r="AH29" s="9">
        <v>1150</v>
      </c>
      <c r="AI29" s="209"/>
    </row>
    <row r="30" spans="1:35" x14ac:dyDescent="0.3">
      <c r="B30" s="9" t="s">
        <v>7</v>
      </c>
      <c r="C30" s="9" t="s">
        <v>46</v>
      </c>
      <c r="D30" s="9" t="s">
        <v>9</v>
      </c>
      <c r="E30" s="9" t="s">
        <v>47</v>
      </c>
      <c r="J30" s="6"/>
      <c r="AE30" s="7"/>
      <c r="AG30" s="20" t="s">
        <v>48</v>
      </c>
      <c r="AH30" s="9">
        <v>1577</v>
      </c>
      <c r="AI30" s="209"/>
    </row>
    <row r="31" spans="1:35" x14ac:dyDescent="0.3">
      <c r="B31" s="9">
        <v>0.48</v>
      </c>
      <c r="C31" s="9">
        <v>0.46</v>
      </c>
      <c r="D31" s="9">
        <v>0.45</v>
      </c>
      <c r="E31" s="9">
        <v>0.4</v>
      </c>
      <c r="J31" s="6"/>
      <c r="K31" s="204" t="s">
        <v>7</v>
      </c>
      <c r="L31" s="204"/>
      <c r="M31" s="204"/>
      <c r="N31" s="204"/>
      <c r="O31" s="204"/>
      <c r="P31" s="204"/>
      <c r="R31" s="204" t="s">
        <v>46</v>
      </c>
      <c r="S31" s="204"/>
      <c r="T31" s="204"/>
      <c r="U31" s="204"/>
      <c r="V31" s="204"/>
      <c r="W31" s="204"/>
      <c r="Y31" s="204" t="s">
        <v>9</v>
      </c>
      <c r="Z31" s="204"/>
      <c r="AA31" s="204"/>
      <c r="AB31" s="204"/>
      <c r="AC31" s="204"/>
      <c r="AD31" s="204"/>
      <c r="AE31" s="7"/>
      <c r="AG31" s="20" t="s">
        <v>49</v>
      </c>
      <c r="AH31" s="9">
        <v>2200</v>
      </c>
      <c r="AI31" s="209"/>
    </row>
    <row r="32" spans="1:35" x14ac:dyDescent="0.3">
      <c r="J32" s="6"/>
      <c r="AE32" s="7"/>
      <c r="AG32" s="20" t="s">
        <v>50</v>
      </c>
      <c r="AH32" s="9">
        <v>1672</v>
      </c>
      <c r="AI32" s="209"/>
    </row>
    <row r="33" spans="1:35" x14ac:dyDescent="0.3">
      <c r="A33" s="1" t="s">
        <v>51</v>
      </c>
      <c r="B33" s="200" t="s">
        <v>52</v>
      </c>
      <c r="C33" s="200"/>
      <c r="J33" s="6"/>
      <c r="AE33" s="7"/>
      <c r="AG33" s="20" t="s">
        <v>53</v>
      </c>
      <c r="AH33" s="9">
        <v>9800</v>
      </c>
      <c r="AI33" s="209"/>
    </row>
    <row r="34" spans="1:35" x14ac:dyDescent="0.3">
      <c r="B34" s="9" t="s">
        <v>54</v>
      </c>
      <c r="C34" s="9">
        <v>0.8</v>
      </c>
      <c r="J34" s="6"/>
      <c r="AE34" s="7"/>
      <c r="AG34" s="20" t="s">
        <v>55</v>
      </c>
      <c r="AH34" s="9">
        <v>110</v>
      </c>
      <c r="AI34" s="209"/>
    </row>
    <row r="35" spans="1:35" x14ac:dyDescent="0.3">
      <c r="J35" s="6"/>
      <c r="AE35" s="7"/>
      <c r="AG35" s="20" t="s">
        <v>56</v>
      </c>
      <c r="AH35" s="9">
        <v>1481</v>
      </c>
      <c r="AI35" s="209"/>
    </row>
    <row r="36" spans="1:35" x14ac:dyDescent="0.3">
      <c r="J36" s="6"/>
      <c r="AE36" s="7"/>
      <c r="AG36" s="20" t="s">
        <v>57</v>
      </c>
      <c r="AH36" s="9">
        <v>700</v>
      </c>
      <c r="AI36" s="209"/>
    </row>
    <row r="37" spans="1:35" x14ac:dyDescent="0.3">
      <c r="A37" s="199" t="s">
        <v>58</v>
      </c>
      <c r="B37" s="199"/>
      <c r="C37" s="199"/>
      <c r="D37" s="199"/>
      <c r="E37" s="199"/>
      <c r="F37" s="199"/>
      <c r="G37" s="199"/>
      <c r="H37" s="199"/>
      <c r="I37" s="2"/>
      <c r="J37" s="13"/>
      <c r="AE37" s="7"/>
      <c r="AG37" s="20" t="s">
        <v>59</v>
      </c>
      <c r="AH37" s="9">
        <v>560</v>
      </c>
      <c r="AI37" s="209"/>
    </row>
    <row r="38" spans="1:35" x14ac:dyDescent="0.3">
      <c r="J38" s="6"/>
      <c r="AE38" s="7"/>
      <c r="AG38" s="20" t="s">
        <v>60</v>
      </c>
      <c r="AH38" s="9">
        <v>6870</v>
      </c>
      <c r="AI38" s="209"/>
    </row>
    <row r="39" spans="1:35" x14ac:dyDescent="0.3">
      <c r="A39" s="1" t="s">
        <v>19</v>
      </c>
      <c r="B39" s="1" t="s">
        <v>61</v>
      </c>
      <c r="C39" s="1" t="s">
        <v>62</v>
      </c>
      <c r="D39" s="1" t="s">
        <v>63</v>
      </c>
      <c r="E39" s="1" t="s">
        <v>64</v>
      </c>
      <c r="F39" s="1" t="s">
        <v>65</v>
      </c>
      <c r="G39" s="1" t="s">
        <v>66</v>
      </c>
      <c r="H39" s="1" t="s">
        <v>67</v>
      </c>
      <c r="J39" s="6"/>
      <c r="AE39" s="7"/>
      <c r="AG39" s="20" t="s">
        <v>68</v>
      </c>
      <c r="AH39" s="9">
        <v>3492</v>
      </c>
      <c r="AI39" s="209"/>
    </row>
    <row r="40" spans="1:35" x14ac:dyDescent="0.3">
      <c r="B40" s="1" t="s">
        <v>69</v>
      </c>
      <c r="C40" s="1" t="s">
        <v>69</v>
      </c>
      <c r="D40" s="1" t="s">
        <v>70</v>
      </c>
      <c r="E40" s="1" t="s">
        <v>71</v>
      </c>
      <c r="F40" s="1" t="s">
        <v>72</v>
      </c>
      <c r="G40" s="1" t="s">
        <v>73</v>
      </c>
      <c r="H40" s="1" t="s">
        <v>41</v>
      </c>
      <c r="J40" s="6"/>
      <c r="AE40" s="7"/>
      <c r="AG40" s="20" t="s">
        <v>74</v>
      </c>
      <c r="AH40" s="9">
        <v>4112</v>
      </c>
      <c r="AI40" s="209"/>
    </row>
    <row r="41" spans="1:35" x14ac:dyDescent="0.3">
      <c r="A41" s="1" t="s">
        <v>20</v>
      </c>
      <c r="B41" s="1">
        <v>22.4</v>
      </c>
      <c r="C41" s="1">
        <v>30.9</v>
      </c>
      <c r="D41" s="1">
        <v>75</v>
      </c>
      <c r="E41" s="1">
        <v>242</v>
      </c>
      <c r="F41" s="1">
        <v>3.8</v>
      </c>
      <c r="G41" s="1">
        <v>15.1</v>
      </c>
      <c r="H41" s="1">
        <v>4.0599999999999996</v>
      </c>
      <c r="J41" s="6"/>
      <c r="AE41" s="7"/>
      <c r="AG41" s="20" t="s">
        <v>75</v>
      </c>
      <c r="AH41" s="9">
        <v>480</v>
      </c>
      <c r="AI41" s="209"/>
    </row>
    <row r="42" spans="1:35" x14ac:dyDescent="0.3">
      <c r="A42" s="1" t="s">
        <v>21</v>
      </c>
      <c r="B42" s="1">
        <v>22.8</v>
      </c>
      <c r="C42" s="1">
        <v>30.7</v>
      </c>
      <c r="D42" s="1">
        <v>80</v>
      </c>
      <c r="E42" s="1">
        <v>207</v>
      </c>
      <c r="F42" s="1">
        <v>4.3</v>
      </c>
      <c r="G42" s="1">
        <v>16.2</v>
      </c>
      <c r="H42" s="1">
        <v>3.91</v>
      </c>
      <c r="J42" s="6"/>
      <c r="AE42" s="7"/>
      <c r="AG42" s="20" t="s">
        <v>76</v>
      </c>
      <c r="AH42" s="9">
        <v>11570</v>
      </c>
      <c r="AI42" s="209"/>
    </row>
    <row r="43" spans="1:35" x14ac:dyDescent="0.3">
      <c r="A43" s="1" t="s">
        <v>22</v>
      </c>
      <c r="B43" s="1">
        <v>23</v>
      </c>
      <c r="C43" s="1">
        <v>31.3</v>
      </c>
      <c r="D43" s="1">
        <v>80</v>
      </c>
      <c r="E43" s="1">
        <v>225</v>
      </c>
      <c r="F43" s="1">
        <v>4.8</v>
      </c>
      <c r="G43" s="1">
        <v>17</v>
      </c>
      <c r="H43" s="1">
        <v>4.1500000000000004</v>
      </c>
      <c r="J43" s="6"/>
      <c r="AE43" s="7"/>
      <c r="AG43" s="20" t="s">
        <v>77</v>
      </c>
      <c r="AH43" s="9">
        <v>6000</v>
      </c>
      <c r="AI43" s="209"/>
    </row>
    <row r="44" spans="1:35" ht="15" thickBot="1" x14ac:dyDescent="0.35">
      <c r="A44" s="1" t="s">
        <v>78</v>
      </c>
      <c r="B44" s="1">
        <v>22.9</v>
      </c>
      <c r="C44" s="1">
        <v>31.3</v>
      </c>
      <c r="D44" s="1">
        <v>77</v>
      </c>
      <c r="E44" s="1">
        <v>233</v>
      </c>
      <c r="F44" s="1">
        <v>5.0999999999999996</v>
      </c>
      <c r="G44" s="1">
        <v>16.8</v>
      </c>
      <c r="H44" s="1">
        <v>4.24</v>
      </c>
      <c r="J44" s="6"/>
      <c r="AE44" s="7"/>
      <c r="AG44" s="22" t="s">
        <v>79</v>
      </c>
      <c r="AH44" s="23">
        <v>10800</v>
      </c>
      <c r="AI44" s="210"/>
    </row>
    <row r="45" spans="1:35" x14ac:dyDescent="0.3">
      <c r="A45" s="1" t="s">
        <v>80</v>
      </c>
      <c r="B45" s="1">
        <v>22.1</v>
      </c>
      <c r="C45" s="1">
        <v>30.8</v>
      </c>
      <c r="D45" s="1">
        <v>76</v>
      </c>
      <c r="E45" s="1">
        <v>233</v>
      </c>
      <c r="F45" s="1">
        <v>5.4</v>
      </c>
      <c r="G45" s="1">
        <v>16.2</v>
      </c>
      <c r="H45" s="1">
        <v>4.13</v>
      </c>
      <c r="J45" s="6"/>
      <c r="AE45" s="7"/>
      <c r="AG45" s="211" t="s">
        <v>25</v>
      </c>
      <c r="AH45" s="122">
        <f>SUM(AH18:AH44)</f>
        <v>96429</v>
      </c>
      <c r="AI45" s="19" t="s">
        <v>11</v>
      </c>
    </row>
    <row r="46" spans="1:35" ht="15" thickBot="1" x14ac:dyDescent="0.35">
      <c r="A46" s="1" t="s">
        <v>81</v>
      </c>
      <c r="B46" s="1">
        <v>21.1</v>
      </c>
      <c r="C46" s="1">
        <v>29.2</v>
      </c>
      <c r="D46" s="1">
        <v>77</v>
      </c>
      <c r="E46" s="1">
        <v>259</v>
      </c>
      <c r="F46" s="1">
        <v>4.3</v>
      </c>
      <c r="G46" s="1">
        <v>14.1</v>
      </c>
      <c r="H46" s="1">
        <v>3.66</v>
      </c>
      <c r="J46" s="6"/>
      <c r="AE46" s="7"/>
      <c r="AG46" s="212"/>
      <c r="AH46" s="23">
        <f>AH45/10000</f>
        <v>9.6428999999999991</v>
      </c>
      <c r="AI46" s="24" t="s">
        <v>82</v>
      </c>
    </row>
    <row r="47" spans="1:35" x14ac:dyDescent="0.3">
      <c r="A47" s="1" t="s">
        <v>83</v>
      </c>
      <c r="B47" s="1">
        <v>20.3</v>
      </c>
      <c r="C47" s="1">
        <v>28.6</v>
      </c>
      <c r="D47" s="1">
        <v>76</v>
      </c>
      <c r="E47" s="1">
        <v>302</v>
      </c>
      <c r="F47" s="1">
        <v>4.4000000000000004</v>
      </c>
      <c r="G47" s="1">
        <v>14.4</v>
      </c>
      <c r="H47" s="1">
        <v>3.79</v>
      </c>
      <c r="J47" s="6"/>
      <c r="AE47" s="7"/>
    </row>
    <row r="48" spans="1:35" x14ac:dyDescent="0.3">
      <c r="A48" s="1" t="s">
        <v>84</v>
      </c>
      <c r="B48" s="1">
        <v>19.899999999999999</v>
      </c>
      <c r="C48" s="1">
        <v>29.4</v>
      </c>
      <c r="D48" s="1">
        <v>75</v>
      </c>
      <c r="E48" s="1">
        <v>346</v>
      </c>
      <c r="F48" s="1">
        <v>4.8</v>
      </c>
      <c r="G48" s="1">
        <v>15.9</v>
      </c>
      <c r="H48" s="1">
        <v>4.3</v>
      </c>
      <c r="J48" s="6"/>
      <c r="AE48" s="7"/>
    </row>
    <row r="49" spans="1:31" x14ac:dyDescent="0.3">
      <c r="A49" s="1" t="s">
        <v>85</v>
      </c>
      <c r="B49" s="1">
        <v>20.2</v>
      </c>
      <c r="C49" s="1">
        <v>30</v>
      </c>
      <c r="D49" s="1">
        <v>74</v>
      </c>
      <c r="E49" s="1">
        <v>337</v>
      </c>
      <c r="F49" s="1">
        <v>5.4</v>
      </c>
      <c r="G49" s="1">
        <v>17.600000000000001</v>
      </c>
      <c r="H49" s="1">
        <v>4.67</v>
      </c>
      <c r="J49" s="6"/>
      <c r="AE49" s="7"/>
    </row>
    <row r="50" spans="1:31" ht="15" thickBot="1" x14ac:dyDescent="0.35">
      <c r="A50" s="1" t="s">
        <v>86</v>
      </c>
      <c r="B50" s="1">
        <v>20.7</v>
      </c>
      <c r="C50" s="1">
        <v>29.8</v>
      </c>
      <c r="D50" s="1">
        <v>73</v>
      </c>
      <c r="E50" s="1">
        <v>354</v>
      </c>
      <c r="F50" s="1">
        <v>4.4000000000000004</v>
      </c>
      <c r="G50" s="1">
        <v>16.3</v>
      </c>
      <c r="H50" s="1">
        <v>4.6100000000000003</v>
      </c>
      <c r="J50" s="14"/>
      <c r="K50" s="15"/>
      <c r="L50" s="15"/>
      <c r="M50" s="15"/>
      <c r="N50" s="15"/>
      <c r="O50" s="15"/>
      <c r="P50" s="15"/>
      <c r="Q50" s="15"/>
      <c r="R50" s="15"/>
      <c r="S50" s="15"/>
      <c r="T50" s="15"/>
      <c r="U50" s="15"/>
      <c r="V50" s="15"/>
      <c r="W50" s="15"/>
      <c r="X50" s="15"/>
      <c r="Y50" s="15"/>
      <c r="Z50" s="15"/>
      <c r="AA50" s="15"/>
      <c r="AB50" s="15"/>
      <c r="AC50" s="15"/>
      <c r="AD50" s="15"/>
      <c r="AE50" s="16"/>
    </row>
    <row r="51" spans="1:31" x14ac:dyDescent="0.3">
      <c r="A51" s="1" t="s">
        <v>87</v>
      </c>
      <c r="B51" s="1">
        <v>21.1</v>
      </c>
      <c r="C51" s="1">
        <v>30.2</v>
      </c>
      <c r="D51" s="1">
        <v>71</v>
      </c>
      <c r="E51" s="1">
        <v>328</v>
      </c>
      <c r="F51" s="1">
        <v>4.2</v>
      </c>
      <c r="G51" s="1">
        <v>15.7</v>
      </c>
      <c r="H51" s="1">
        <v>4.59</v>
      </c>
    </row>
    <row r="52" spans="1:31" x14ac:dyDescent="0.3">
      <c r="A52" s="1" t="s">
        <v>88</v>
      </c>
      <c r="B52" s="1">
        <v>22</v>
      </c>
      <c r="C52" s="1">
        <v>31</v>
      </c>
      <c r="D52" s="1">
        <v>69</v>
      </c>
      <c r="E52" s="1">
        <v>311</v>
      </c>
      <c r="F52" s="1">
        <v>4.7</v>
      </c>
      <c r="G52" s="1">
        <v>16.2</v>
      </c>
      <c r="H52" s="1">
        <v>4.8</v>
      </c>
    </row>
    <row r="54" spans="1:31" x14ac:dyDescent="0.3">
      <c r="A54" s="1" t="s">
        <v>89</v>
      </c>
      <c r="B54" s="1">
        <v>21.5</v>
      </c>
      <c r="C54" s="1">
        <v>30.3</v>
      </c>
      <c r="D54" s="1">
        <v>75</v>
      </c>
      <c r="E54" s="1">
        <v>282</v>
      </c>
      <c r="F54" s="1">
        <v>4.5999999999999996</v>
      </c>
      <c r="G54" s="1">
        <v>16</v>
      </c>
      <c r="H54" s="1">
        <v>4.24</v>
      </c>
    </row>
    <row r="56" spans="1:31" x14ac:dyDescent="0.3">
      <c r="A56" s="199" t="s">
        <v>90</v>
      </c>
      <c r="B56" s="199"/>
      <c r="C56" s="199"/>
      <c r="D56" s="199"/>
      <c r="E56" s="199"/>
      <c r="F56" s="199"/>
      <c r="H56" s="199" t="s">
        <v>91</v>
      </c>
      <c r="I56" s="199"/>
      <c r="J56" s="199"/>
      <c r="K56" s="199"/>
      <c r="L56" s="199"/>
      <c r="M56" s="199"/>
      <c r="O56" s="199" t="s">
        <v>92</v>
      </c>
      <c r="P56" s="199"/>
      <c r="Q56" s="199"/>
      <c r="R56" s="199"/>
      <c r="S56" s="199"/>
      <c r="T56" s="199"/>
      <c r="U56" s="199"/>
      <c r="W56" s="199" t="s">
        <v>93</v>
      </c>
      <c r="X56" s="199"/>
      <c r="Y56" s="199"/>
      <c r="Z56" s="199"/>
      <c r="AA56" s="199"/>
      <c r="AB56" s="199"/>
      <c r="AC56" s="199"/>
      <c r="AD56" s="199"/>
      <c r="AE56" s="199"/>
    </row>
    <row r="77" spans="1:24" x14ac:dyDescent="0.3">
      <c r="A77" s="199" t="s">
        <v>94</v>
      </c>
      <c r="B77" s="199"/>
      <c r="C77" s="199"/>
      <c r="D77" s="199"/>
      <c r="E77" s="199"/>
      <c r="F77" s="199"/>
      <c r="G77" s="199"/>
      <c r="H77" s="199"/>
      <c r="I77" s="2"/>
      <c r="J77" s="2"/>
      <c r="M77" s="199" t="s">
        <v>95</v>
      </c>
      <c r="N77" s="199"/>
      <c r="O77" s="199"/>
      <c r="P77" s="199"/>
      <c r="Q77" s="199"/>
      <c r="R77" s="199"/>
      <c r="S77" s="199"/>
      <c r="T77" s="199"/>
      <c r="U77" s="199"/>
      <c r="V77" s="199"/>
      <c r="W77" s="199"/>
      <c r="X77" s="199"/>
    </row>
    <row r="78" spans="1:24" ht="15" thickBot="1" x14ac:dyDescent="0.35"/>
    <row r="79" spans="1:24" x14ac:dyDescent="0.3">
      <c r="A79" s="72" t="s">
        <v>19</v>
      </c>
      <c r="B79" s="73" t="s">
        <v>96</v>
      </c>
      <c r="C79" s="73" t="s">
        <v>97</v>
      </c>
      <c r="D79" s="73" t="s">
        <v>3</v>
      </c>
      <c r="E79" s="73" t="s">
        <v>98</v>
      </c>
      <c r="F79" s="73" t="s">
        <v>98</v>
      </c>
      <c r="G79" s="73" t="s">
        <v>99</v>
      </c>
      <c r="H79" s="74" t="s">
        <v>100</v>
      </c>
      <c r="I79" s="2"/>
      <c r="J79" s="203" t="s">
        <v>101</v>
      </c>
      <c r="K79" s="203"/>
      <c r="M79" s="204" t="s">
        <v>102</v>
      </c>
      <c r="N79" s="204"/>
      <c r="O79" s="204"/>
      <c r="P79" s="204"/>
      <c r="R79" s="204" t="s">
        <v>103</v>
      </c>
      <c r="S79" s="204"/>
      <c r="T79" s="204"/>
      <c r="U79" s="204"/>
      <c r="W79" s="204" t="s">
        <v>104</v>
      </c>
      <c r="X79" s="204"/>
    </row>
    <row r="80" spans="1:24" ht="15" thickBot="1" x14ac:dyDescent="0.35">
      <c r="A80" s="20"/>
      <c r="B80" s="9"/>
      <c r="C80" s="9"/>
      <c r="D80" s="9" t="s">
        <v>105</v>
      </c>
      <c r="E80" s="9" t="s">
        <v>41</v>
      </c>
      <c r="F80" s="9" t="s">
        <v>106</v>
      </c>
      <c r="G80" s="9" t="s">
        <v>106</v>
      </c>
      <c r="H80" s="21" t="s">
        <v>106</v>
      </c>
      <c r="I80" s="2"/>
      <c r="J80" s="9" t="s">
        <v>107</v>
      </c>
      <c r="K80" s="9" t="s">
        <v>108</v>
      </c>
    </row>
    <row r="81" spans="1:24" ht="15.6" x14ac:dyDescent="0.3">
      <c r="A81" s="20" t="s">
        <v>109</v>
      </c>
      <c r="B81" s="9">
        <v>1</v>
      </c>
      <c r="C81" s="9" t="s">
        <v>110</v>
      </c>
      <c r="D81" s="9">
        <v>0.85</v>
      </c>
      <c r="E81" s="9">
        <v>3.66</v>
      </c>
      <c r="F81" s="9">
        <v>36.6</v>
      </c>
      <c r="G81" s="9">
        <v>41.7</v>
      </c>
      <c r="H81" s="21">
        <v>0</v>
      </c>
      <c r="J81" s="9" t="s">
        <v>111</v>
      </c>
      <c r="K81" s="9" t="s">
        <v>112</v>
      </c>
      <c r="M81" s="205" t="s">
        <v>113</v>
      </c>
      <c r="N81" s="206"/>
      <c r="O81" s="206"/>
      <c r="P81" s="206"/>
      <c r="R81" s="205" t="s">
        <v>113</v>
      </c>
      <c r="S81" s="205"/>
      <c r="T81" s="205"/>
      <c r="U81" s="205"/>
      <c r="W81" s="123" t="s">
        <v>114</v>
      </c>
      <c r="X81" s="124" t="s">
        <v>115</v>
      </c>
    </row>
    <row r="82" spans="1:24" ht="31.2" x14ac:dyDescent="0.3">
      <c r="A82" s="20" t="s">
        <v>109</v>
      </c>
      <c r="B82" s="9">
        <v>2</v>
      </c>
      <c r="C82" s="9" t="s">
        <v>116</v>
      </c>
      <c r="D82" s="9">
        <v>0.86</v>
      </c>
      <c r="E82" s="9">
        <v>3.48</v>
      </c>
      <c r="F82" s="9">
        <v>34.799999999999997</v>
      </c>
      <c r="G82" s="9">
        <v>61</v>
      </c>
      <c r="H82" s="21">
        <v>0</v>
      </c>
      <c r="J82" s="9"/>
      <c r="K82" s="9"/>
      <c r="M82" s="207" t="s">
        <v>117</v>
      </c>
      <c r="N82" s="26" t="s">
        <v>118</v>
      </c>
      <c r="O82" s="201" t="s">
        <v>119</v>
      </c>
      <c r="P82" s="26" t="s">
        <v>120</v>
      </c>
      <c r="R82" s="207" t="s">
        <v>117</v>
      </c>
      <c r="S82" s="26" t="s">
        <v>118</v>
      </c>
      <c r="T82" s="201" t="s">
        <v>119</v>
      </c>
      <c r="U82" s="26" t="s">
        <v>120</v>
      </c>
      <c r="W82" s="133" t="s">
        <v>121</v>
      </c>
      <c r="X82" s="21" t="s">
        <v>122</v>
      </c>
    </row>
    <row r="83" spans="1:24" ht="16.2" thickBot="1" x14ac:dyDescent="0.35">
      <c r="A83" s="20" t="s">
        <v>109</v>
      </c>
      <c r="B83" s="9">
        <v>3</v>
      </c>
      <c r="C83" s="9" t="s">
        <v>123</v>
      </c>
      <c r="D83" s="9">
        <v>0.87</v>
      </c>
      <c r="E83" s="9">
        <v>3.51</v>
      </c>
      <c r="F83" s="9">
        <v>38.6</v>
      </c>
      <c r="G83" s="9">
        <v>58.8</v>
      </c>
      <c r="H83" s="21">
        <v>0</v>
      </c>
      <c r="J83" s="9" t="s">
        <v>124</v>
      </c>
      <c r="K83" s="9" t="s">
        <v>125</v>
      </c>
      <c r="M83" s="208"/>
      <c r="N83" s="27"/>
      <c r="O83" s="202"/>
      <c r="P83" s="27"/>
      <c r="R83" s="207"/>
      <c r="S83" s="27"/>
      <c r="T83" s="201"/>
      <c r="U83" s="27"/>
      <c r="W83" s="22" t="s">
        <v>126</v>
      </c>
      <c r="X83" s="24" t="s">
        <v>127</v>
      </c>
    </row>
    <row r="84" spans="1:24" ht="15.6" x14ac:dyDescent="0.3">
      <c r="A84" s="20" t="s">
        <v>128</v>
      </c>
      <c r="B84" s="9">
        <v>1</v>
      </c>
      <c r="C84" s="9" t="s">
        <v>123</v>
      </c>
      <c r="D84" s="9">
        <v>0.88</v>
      </c>
      <c r="E84" s="9">
        <v>3.49</v>
      </c>
      <c r="F84" s="9">
        <v>34.9</v>
      </c>
      <c r="G84" s="9">
        <v>53.2</v>
      </c>
      <c r="H84" s="21">
        <v>0</v>
      </c>
      <c r="J84" s="9" t="s">
        <v>129</v>
      </c>
      <c r="K84" s="9" t="s">
        <v>130</v>
      </c>
      <c r="M84" s="106">
        <v>2018</v>
      </c>
      <c r="N84" s="117">
        <v>338849</v>
      </c>
      <c r="O84" s="118">
        <v>0.1</v>
      </c>
      <c r="P84" s="107">
        <f t="shared" ref="P84:P88" si="0">N84*O84</f>
        <v>33884.9</v>
      </c>
      <c r="R84" s="106">
        <v>2018</v>
      </c>
      <c r="S84" s="107" t="s">
        <v>131</v>
      </c>
      <c r="T84" s="106" t="s">
        <v>132</v>
      </c>
      <c r="U84" s="107" t="s">
        <v>133</v>
      </c>
    </row>
    <row r="85" spans="1:24" ht="15.6" x14ac:dyDescent="0.3">
      <c r="A85" s="20" t="s">
        <v>128</v>
      </c>
      <c r="B85" s="9">
        <v>2</v>
      </c>
      <c r="C85" s="9" t="s">
        <v>123</v>
      </c>
      <c r="D85" s="9">
        <v>0.88</v>
      </c>
      <c r="E85" s="9">
        <v>3.44</v>
      </c>
      <c r="F85" s="9">
        <v>34.4</v>
      </c>
      <c r="G85" s="9">
        <v>52.9</v>
      </c>
      <c r="H85" s="21">
        <v>0</v>
      </c>
      <c r="M85" s="106">
        <v>2019</v>
      </c>
      <c r="N85" s="117">
        <v>278899</v>
      </c>
      <c r="O85" s="118">
        <v>0.1</v>
      </c>
      <c r="P85" s="119">
        <f t="shared" si="0"/>
        <v>27889.9</v>
      </c>
      <c r="R85" s="106">
        <v>2019</v>
      </c>
      <c r="S85" s="107" t="s">
        <v>134</v>
      </c>
      <c r="T85" s="106" t="s">
        <v>132</v>
      </c>
      <c r="U85" s="107" t="s">
        <v>135</v>
      </c>
    </row>
    <row r="86" spans="1:24" ht="15.6" x14ac:dyDescent="0.3">
      <c r="A86" s="20" t="s">
        <v>128</v>
      </c>
      <c r="B86" s="9">
        <v>3</v>
      </c>
      <c r="C86" s="9" t="s">
        <v>123</v>
      </c>
      <c r="D86" s="9">
        <v>0.88</v>
      </c>
      <c r="E86" s="9">
        <v>3.51</v>
      </c>
      <c r="F86" s="9">
        <v>28.1</v>
      </c>
      <c r="G86" s="9">
        <v>57.1</v>
      </c>
      <c r="H86" s="21">
        <v>0</v>
      </c>
      <c r="M86" s="106">
        <v>2020</v>
      </c>
      <c r="N86" s="117">
        <v>215564</v>
      </c>
      <c r="O86" s="118">
        <v>0.1</v>
      </c>
      <c r="P86" s="119">
        <f t="shared" si="0"/>
        <v>21556.400000000001</v>
      </c>
      <c r="R86" s="106">
        <v>2020</v>
      </c>
      <c r="S86" s="107" t="s">
        <v>136</v>
      </c>
      <c r="T86" s="106" t="s">
        <v>132</v>
      </c>
      <c r="U86" s="107" t="s">
        <v>137</v>
      </c>
    </row>
    <row r="87" spans="1:24" ht="15.6" x14ac:dyDescent="0.3">
      <c r="A87" s="20" t="s">
        <v>138</v>
      </c>
      <c r="B87" s="9">
        <v>1</v>
      </c>
      <c r="C87" s="9" t="s">
        <v>14</v>
      </c>
      <c r="D87" s="9">
        <v>0.88</v>
      </c>
      <c r="E87" s="9">
        <v>3.6</v>
      </c>
      <c r="F87" s="9">
        <v>36</v>
      </c>
      <c r="G87" s="9">
        <v>65.900000000000006</v>
      </c>
      <c r="H87" s="21">
        <v>0</v>
      </c>
      <c r="M87" s="106">
        <v>2021</v>
      </c>
      <c r="N87" s="117">
        <v>229460</v>
      </c>
      <c r="O87" s="118">
        <v>0.1</v>
      </c>
      <c r="P87" s="119">
        <f t="shared" si="0"/>
        <v>22946</v>
      </c>
      <c r="R87" s="106">
        <v>2021</v>
      </c>
      <c r="S87" s="107" t="s">
        <v>139</v>
      </c>
      <c r="T87" s="106" t="s">
        <v>132</v>
      </c>
      <c r="U87" s="107" t="s">
        <v>140</v>
      </c>
    </row>
    <row r="88" spans="1:24" ht="15.6" x14ac:dyDescent="0.3">
      <c r="A88" s="20" t="s">
        <v>138</v>
      </c>
      <c r="B88" s="9">
        <v>2</v>
      </c>
      <c r="C88" s="9" t="s">
        <v>14</v>
      </c>
      <c r="D88" s="9">
        <v>0.88</v>
      </c>
      <c r="E88" s="9">
        <v>3.67</v>
      </c>
      <c r="F88" s="9">
        <v>22</v>
      </c>
      <c r="G88" s="9">
        <v>43</v>
      </c>
      <c r="H88" s="21">
        <v>0</v>
      </c>
      <c r="M88" s="106">
        <v>2022</v>
      </c>
      <c r="N88" s="117">
        <v>185429</v>
      </c>
      <c r="O88" s="118">
        <v>0.1</v>
      </c>
      <c r="P88" s="119">
        <f t="shared" si="0"/>
        <v>18542.900000000001</v>
      </c>
      <c r="R88" s="106">
        <v>2022</v>
      </c>
      <c r="S88" s="107" t="s">
        <v>141</v>
      </c>
      <c r="T88" s="106" t="s">
        <v>132</v>
      </c>
      <c r="U88" s="107" t="s">
        <v>142</v>
      </c>
    </row>
    <row r="89" spans="1:24" ht="15.6" x14ac:dyDescent="0.3">
      <c r="A89" s="20" t="s">
        <v>138</v>
      </c>
      <c r="B89" s="9">
        <v>2</v>
      </c>
      <c r="C89" s="9" t="s">
        <v>110</v>
      </c>
      <c r="D89" s="9">
        <v>0.85</v>
      </c>
      <c r="E89" s="9">
        <v>3.53</v>
      </c>
      <c r="F89" s="9">
        <v>14.1</v>
      </c>
      <c r="G89" s="9">
        <v>28.7</v>
      </c>
      <c r="H89" s="21">
        <v>0</v>
      </c>
      <c r="M89" s="108">
        <v>2023</v>
      </c>
      <c r="N89" s="125">
        <v>257052</v>
      </c>
      <c r="O89" s="118">
        <v>0.1</v>
      </c>
      <c r="P89" s="126">
        <f>N89*O89</f>
        <v>25705.200000000001</v>
      </c>
      <c r="R89" s="108">
        <v>2023</v>
      </c>
      <c r="S89" s="109" t="s">
        <v>143</v>
      </c>
      <c r="T89" s="106" t="s">
        <v>132</v>
      </c>
      <c r="U89" s="121" t="s">
        <v>144</v>
      </c>
    </row>
    <row r="90" spans="1:24" x14ac:dyDescent="0.3">
      <c r="A90" s="20" t="s">
        <v>138</v>
      </c>
      <c r="B90" s="9">
        <v>3</v>
      </c>
      <c r="C90" s="9" t="s">
        <v>116</v>
      </c>
      <c r="D90" s="9">
        <v>0.85</v>
      </c>
      <c r="E90" s="9">
        <v>3.56</v>
      </c>
      <c r="F90" s="9">
        <v>39.200000000000003</v>
      </c>
      <c r="G90" s="9">
        <v>59.1</v>
      </c>
      <c r="H90" s="21">
        <v>0</v>
      </c>
    </row>
    <row r="91" spans="1:24" ht="15.6" x14ac:dyDescent="0.3">
      <c r="A91" s="20" t="s">
        <v>145</v>
      </c>
      <c r="B91" s="9">
        <v>1</v>
      </c>
      <c r="C91" s="9" t="s">
        <v>116</v>
      </c>
      <c r="D91" s="9">
        <v>0.87</v>
      </c>
      <c r="E91" s="9">
        <v>3.66</v>
      </c>
      <c r="F91" s="9">
        <v>36.6</v>
      </c>
      <c r="G91" s="9">
        <v>43.7</v>
      </c>
      <c r="H91" s="21">
        <v>0</v>
      </c>
      <c r="M91" s="183" t="s">
        <v>146</v>
      </c>
      <c r="N91" s="183" t="s">
        <v>147</v>
      </c>
      <c r="O91" s="183" t="s">
        <v>148</v>
      </c>
      <c r="P91" s="183" t="s">
        <v>377</v>
      </c>
      <c r="R91" s="85" t="s">
        <v>146</v>
      </c>
      <c r="S91" s="85" t="s">
        <v>147</v>
      </c>
      <c r="T91" s="85" t="s">
        <v>148</v>
      </c>
      <c r="U91" s="85" t="s">
        <v>120</v>
      </c>
    </row>
    <row r="92" spans="1:24" ht="15.6" x14ac:dyDescent="0.3">
      <c r="A92" s="20" t="s">
        <v>145</v>
      </c>
      <c r="B92" s="9">
        <v>2</v>
      </c>
      <c r="C92" s="9" t="s">
        <v>123</v>
      </c>
      <c r="D92" s="9">
        <v>0.89</v>
      </c>
      <c r="E92" s="9">
        <v>3.76</v>
      </c>
      <c r="F92" s="9">
        <v>37.6</v>
      </c>
      <c r="G92" s="9">
        <v>32.799999999999997</v>
      </c>
      <c r="H92" s="21">
        <v>4.8</v>
      </c>
      <c r="M92" s="29" t="s">
        <v>149</v>
      </c>
      <c r="N92" s="29" t="s">
        <v>172</v>
      </c>
      <c r="O92" s="29" t="s">
        <v>82</v>
      </c>
      <c r="P92" s="29" t="s">
        <v>194</v>
      </c>
      <c r="R92" s="29" t="s">
        <v>149</v>
      </c>
      <c r="S92" s="29"/>
      <c r="T92" s="29" t="s">
        <v>82</v>
      </c>
      <c r="U92" s="29"/>
    </row>
    <row r="93" spans="1:24" ht="15.6" x14ac:dyDescent="0.3">
      <c r="A93" s="20" t="s">
        <v>145</v>
      </c>
      <c r="B93" s="9">
        <v>3</v>
      </c>
      <c r="C93" s="9" t="s">
        <v>123</v>
      </c>
      <c r="D93" s="9">
        <v>0.89</v>
      </c>
      <c r="E93" s="9">
        <v>3.73</v>
      </c>
      <c r="F93" s="9">
        <v>37.299999999999997</v>
      </c>
      <c r="G93" s="9">
        <v>25.1</v>
      </c>
      <c r="H93" s="21">
        <v>12.2</v>
      </c>
      <c r="M93" s="28">
        <f>H121</f>
        <v>918.69999999999993</v>
      </c>
      <c r="N93" s="104">
        <f>M93*10000/1000</f>
        <v>9187</v>
      </c>
      <c r="O93" s="28">
        <f>AH46</f>
        <v>9.6428999999999991</v>
      </c>
      <c r="P93" s="104">
        <f>N93*O93</f>
        <v>88589.322299999985</v>
      </c>
      <c r="R93" s="28" t="s">
        <v>150</v>
      </c>
      <c r="S93" s="105" t="s">
        <v>151</v>
      </c>
      <c r="T93" s="28" t="s">
        <v>152</v>
      </c>
      <c r="U93" s="120" t="s">
        <v>153</v>
      </c>
    </row>
    <row r="94" spans="1:24" x14ac:dyDescent="0.3">
      <c r="A94" s="20" t="s">
        <v>154</v>
      </c>
      <c r="B94" s="9">
        <v>1</v>
      </c>
      <c r="C94" s="9" t="s">
        <v>123</v>
      </c>
      <c r="D94" s="9">
        <v>0.89</v>
      </c>
      <c r="E94" s="9">
        <v>3.7</v>
      </c>
      <c r="F94" s="9">
        <v>37</v>
      </c>
      <c r="G94" s="9">
        <v>16</v>
      </c>
      <c r="H94" s="21">
        <v>21</v>
      </c>
    </row>
    <row r="95" spans="1:24" ht="15.6" x14ac:dyDescent="0.3">
      <c r="A95" s="20" t="s">
        <v>154</v>
      </c>
      <c r="B95" s="9">
        <v>2</v>
      </c>
      <c r="C95" s="9" t="s">
        <v>14</v>
      </c>
      <c r="D95" s="9">
        <v>0.89</v>
      </c>
      <c r="E95" s="9">
        <v>3.67</v>
      </c>
      <c r="F95" s="9">
        <v>36.700000000000003</v>
      </c>
      <c r="G95" s="9">
        <v>7</v>
      </c>
      <c r="H95" s="21">
        <v>29.6</v>
      </c>
      <c r="M95" s="198" t="s">
        <v>155</v>
      </c>
      <c r="N95" s="198"/>
      <c r="O95" s="198"/>
      <c r="P95" s="198"/>
    </row>
    <row r="96" spans="1:24" ht="15.6" x14ac:dyDescent="0.3">
      <c r="A96" s="20" t="s">
        <v>154</v>
      </c>
      <c r="B96" s="9">
        <v>3</v>
      </c>
      <c r="C96" s="9" t="s">
        <v>14</v>
      </c>
      <c r="D96" s="9">
        <v>0.89</v>
      </c>
      <c r="E96" s="9">
        <v>3.53</v>
      </c>
      <c r="F96" s="9">
        <v>35.299999999999997</v>
      </c>
      <c r="G96" s="9">
        <v>5.5</v>
      </c>
      <c r="H96" s="21">
        <v>29.2</v>
      </c>
      <c r="M96" s="29" t="s">
        <v>117</v>
      </c>
      <c r="N96" s="29" t="s">
        <v>156</v>
      </c>
      <c r="O96" s="88" t="s">
        <v>157</v>
      </c>
      <c r="P96" s="29" t="s">
        <v>158</v>
      </c>
    </row>
    <row r="97" spans="1:16" x14ac:dyDescent="0.3">
      <c r="A97" s="20" t="s">
        <v>154</v>
      </c>
      <c r="B97" s="9">
        <v>3</v>
      </c>
      <c r="C97" s="9" t="s">
        <v>110</v>
      </c>
      <c r="D97" s="9">
        <v>0.85</v>
      </c>
      <c r="E97" s="9">
        <v>3.37</v>
      </c>
      <c r="F97" s="9">
        <v>6.7</v>
      </c>
      <c r="G97" s="9">
        <v>1.1000000000000001</v>
      </c>
      <c r="H97" s="21">
        <v>6.7</v>
      </c>
      <c r="M97" s="130">
        <f>M84</f>
        <v>2018</v>
      </c>
      <c r="N97" s="89">
        <f t="shared" ref="N97:N101" si="1">P84</f>
        <v>33884.9</v>
      </c>
      <c r="O97" s="90">
        <f t="shared" ref="O97:O101" si="2">$P$93</f>
        <v>88589.322299999985</v>
      </c>
      <c r="P97" s="89">
        <f t="shared" ref="P97:P101" si="3">N97+O97</f>
        <v>122474.22229999999</v>
      </c>
    </row>
    <row r="98" spans="1:16" x14ac:dyDescent="0.3">
      <c r="A98" s="20" t="s">
        <v>159</v>
      </c>
      <c r="B98" s="9">
        <v>1</v>
      </c>
      <c r="C98" s="9" t="s">
        <v>116</v>
      </c>
      <c r="D98" s="9">
        <v>0.85</v>
      </c>
      <c r="E98" s="9">
        <v>3.24</v>
      </c>
      <c r="F98" s="9">
        <v>32.4</v>
      </c>
      <c r="G98" s="9">
        <v>6</v>
      </c>
      <c r="H98" s="21">
        <v>26.4</v>
      </c>
      <c r="M98" s="130">
        <f t="shared" ref="M98:M101" si="4">M85</f>
        <v>2019</v>
      </c>
      <c r="N98" s="89">
        <f t="shared" si="1"/>
        <v>27889.9</v>
      </c>
      <c r="O98" s="90">
        <f t="shared" si="2"/>
        <v>88589.322299999985</v>
      </c>
      <c r="P98" s="89">
        <f t="shared" si="3"/>
        <v>116479.22229999999</v>
      </c>
    </row>
    <row r="99" spans="1:16" x14ac:dyDescent="0.3">
      <c r="A99" s="20" t="s">
        <v>159</v>
      </c>
      <c r="B99" s="9">
        <v>2</v>
      </c>
      <c r="C99" s="9" t="s">
        <v>116</v>
      </c>
      <c r="D99" s="9">
        <v>0.87</v>
      </c>
      <c r="E99" s="9">
        <v>3.17</v>
      </c>
      <c r="F99" s="9">
        <v>31.7</v>
      </c>
      <c r="G99" s="9">
        <v>4.2</v>
      </c>
      <c r="H99" s="21">
        <v>27.6</v>
      </c>
      <c r="M99" s="130">
        <f t="shared" si="4"/>
        <v>2020</v>
      </c>
      <c r="N99" s="89">
        <f t="shared" si="1"/>
        <v>21556.400000000001</v>
      </c>
      <c r="O99" s="90">
        <f t="shared" si="2"/>
        <v>88589.322299999985</v>
      </c>
      <c r="P99" s="89">
        <f t="shared" si="3"/>
        <v>110145.72229999999</v>
      </c>
    </row>
    <row r="100" spans="1:16" x14ac:dyDescent="0.3">
      <c r="A100" s="20" t="s">
        <v>159</v>
      </c>
      <c r="B100" s="9">
        <v>3</v>
      </c>
      <c r="C100" s="9" t="s">
        <v>123</v>
      </c>
      <c r="D100" s="9">
        <v>0.89</v>
      </c>
      <c r="E100" s="9">
        <v>3.3</v>
      </c>
      <c r="F100" s="9">
        <v>33</v>
      </c>
      <c r="G100" s="9">
        <v>2.8</v>
      </c>
      <c r="H100" s="21">
        <v>30.2</v>
      </c>
      <c r="M100" s="130">
        <f t="shared" si="4"/>
        <v>2021</v>
      </c>
      <c r="N100" s="89">
        <f t="shared" si="1"/>
        <v>22946</v>
      </c>
      <c r="O100" s="90">
        <f t="shared" si="2"/>
        <v>88589.322299999985</v>
      </c>
      <c r="P100" s="89">
        <f t="shared" si="3"/>
        <v>111535.32229999999</v>
      </c>
    </row>
    <row r="101" spans="1:16" x14ac:dyDescent="0.3">
      <c r="A101" s="20" t="s">
        <v>160</v>
      </c>
      <c r="B101" s="9">
        <v>1</v>
      </c>
      <c r="C101" s="9" t="s">
        <v>123</v>
      </c>
      <c r="D101" s="9">
        <v>0.9</v>
      </c>
      <c r="E101" s="9">
        <v>3.36</v>
      </c>
      <c r="F101" s="9">
        <v>33.6</v>
      </c>
      <c r="G101" s="9">
        <v>0.1</v>
      </c>
      <c r="H101" s="21">
        <v>33.5</v>
      </c>
      <c r="M101" s="130">
        <f t="shared" si="4"/>
        <v>2022</v>
      </c>
      <c r="N101" s="89">
        <f t="shared" si="1"/>
        <v>18542.900000000001</v>
      </c>
      <c r="O101" s="90">
        <f t="shared" si="2"/>
        <v>88589.322299999985</v>
      </c>
      <c r="P101" s="89">
        <f t="shared" si="3"/>
        <v>107132.22229999999</v>
      </c>
    </row>
    <row r="102" spans="1:16" x14ac:dyDescent="0.3">
      <c r="A102" s="20" t="s">
        <v>160</v>
      </c>
      <c r="B102" s="9">
        <v>2</v>
      </c>
      <c r="C102" s="9" t="s">
        <v>123</v>
      </c>
      <c r="D102" s="9">
        <v>0.9</v>
      </c>
      <c r="E102" s="9">
        <v>3.4</v>
      </c>
      <c r="F102" s="9">
        <v>34</v>
      </c>
      <c r="G102" s="9">
        <v>0</v>
      </c>
      <c r="H102" s="21">
        <v>34</v>
      </c>
      <c r="M102" s="130">
        <f>M89</f>
        <v>2023</v>
      </c>
      <c r="N102" s="89">
        <f>P89</f>
        <v>25705.200000000001</v>
      </c>
      <c r="O102" s="90">
        <f>$P$93</f>
        <v>88589.322299999985</v>
      </c>
      <c r="P102" s="127">
        <f>N102+O102</f>
        <v>114294.52229999998</v>
      </c>
    </row>
    <row r="103" spans="1:16" x14ac:dyDescent="0.3">
      <c r="A103" s="20" t="s">
        <v>160</v>
      </c>
      <c r="B103" s="9">
        <v>3</v>
      </c>
      <c r="C103" s="9" t="s">
        <v>14</v>
      </c>
      <c r="D103" s="9">
        <v>0.9</v>
      </c>
      <c r="E103" s="9">
        <v>3.57</v>
      </c>
      <c r="F103" s="9">
        <v>39.200000000000003</v>
      </c>
      <c r="G103" s="9">
        <v>0</v>
      </c>
      <c r="H103" s="21">
        <v>39.200000000000003</v>
      </c>
    </row>
    <row r="104" spans="1:16" x14ac:dyDescent="0.3">
      <c r="A104" s="20" t="s">
        <v>161</v>
      </c>
      <c r="B104" s="9">
        <v>1</v>
      </c>
      <c r="C104" s="9" t="s">
        <v>14</v>
      </c>
      <c r="D104" s="9">
        <v>0.91</v>
      </c>
      <c r="E104" s="9">
        <v>3.75</v>
      </c>
      <c r="F104" s="9">
        <v>37.5</v>
      </c>
      <c r="G104" s="9">
        <v>0</v>
      </c>
      <c r="H104" s="21">
        <v>37.5</v>
      </c>
    </row>
    <row r="105" spans="1:16" x14ac:dyDescent="0.3">
      <c r="A105" s="20" t="s">
        <v>161</v>
      </c>
      <c r="B105" s="9">
        <v>2</v>
      </c>
      <c r="C105" s="9" t="s">
        <v>14</v>
      </c>
      <c r="D105" s="9">
        <v>0.91</v>
      </c>
      <c r="E105" s="9">
        <v>3.91</v>
      </c>
      <c r="F105" s="9">
        <v>7.8</v>
      </c>
      <c r="G105" s="9">
        <v>0</v>
      </c>
      <c r="H105" s="21">
        <v>7.8</v>
      </c>
    </row>
    <row r="106" spans="1:16" x14ac:dyDescent="0.3">
      <c r="A106" s="20" t="s">
        <v>161</v>
      </c>
      <c r="B106" s="9">
        <v>2</v>
      </c>
      <c r="C106" s="9" t="s">
        <v>110</v>
      </c>
      <c r="D106" s="9">
        <v>0.85</v>
      </c>
      <c r="E106" s="9">
        <v>3.65</v>
      </c>
      <c r="F106" s="9">
        <v>32.9</v>
      </c>
      <c r="G106" s="9">
        <v>0</v>
      </c>
      <c r="H106" s="21">
        <v>32.9</v>
      </c>
    </row>
    <row r="107" spans="1:16" x14ac:dyDescent="0.3">
      <c r="A107" s="20" t="s">
        <v>161</v>
      </c>
      <c r="B107" s="9">
        <v>3</v>
      </c>
      <c r="C107" s="9" t="s">
        <v>116</v>
      </c>
      <c r="D107" s="9">
        <v>0.87</v>
      </c>
      <c r="E107" s="9">
        <v>3.83</v>
      </c>
      <c r="F107" s="9">
        <v>42.1</v>
      </c>
      <c r="G107" s="9">
        <v>0</v>
      </c>
      <c r="H107" s="21">
        <v>42.1</v>
      </c>
    </row>
    <row r="108" spans="1:16" x14ac:dyDescent="0.3">
      <c r="A108" s="20" t="s">
        <v>162</v>
      </c>
      <c r="B108" s="9">
        <v>1</v>
      </c>
      <c r="C108" s="9" t="s">
        <v>116</v>
      </c>
      <c r="D108" s="9">
        <v>0.9</v>
      </c>
      <c r="E108" s="9">
        <v>4.08</v>
      </c>
      <c r="F108" s="9">
        <v>40.799999999999997</v>
      </c>
      <c r="G108" s="9">
        <v>0</v>
      </c>
      <c r="H108" s="21">
        <v>40.799999999999997</v>
      </c>
    </row>
    <row r="109" spans="1:16" x14ac:dyDescent="0.3">
      <c r="A109" s="20" t="s">
        <v>162</v>
      </c>
      <c r="B109" s="9">
        <v>2</v>
      </c>
      <c r="C109" s="9" t="s">
        <v>123</v>
      </c>
      <c r="D109" s="9">
        <v>0.91</v>
      </c>
      <c r="E109" s="9">
        <v>4.26</v>
      </c>
      <c r="F109" s="9">
        <v>42.6</v>
      </c>
      <c r="G109" s="9">
        <v>0</v>
      </c>
      <c r="H109" s="21">
        <v>42.6</v>
      </c>
    </row>
    <row r="110" spans="1:16" x14ac:dyDescent="0.3">
      <c r="A110" s="20" t="s">
        <v>162</v>
      </c>
      <c r="B110" s="9">
        <v>3</v>
      </c>
      <c r="C110" s="9" t="s">
        <v>123</v>
      </c>
      <c r="D110" s="9">
        <v>0.91</v>
      </c>
      <c r="E110" s="9">
        <v>4.24</v>
      </c>
      <c r="F110" s="9">
        <v>42.4</v>
      </c>
      <c r="G110" s="9">
        <v>0</v>
      </c>
      <c r="H110" s="21">
        <v>42.4</v>
      </c>
    </row>
    <row r="111" spans="1:16" x14ac:dyDescent="0.3">
      <c r="A111" s="20" t="s">
        <v>163</v>
      </c>
      <c r="B111" s="9">
        <v>1</v>
      </c>
      <c r="C111" s="9" t="s">
        <v>123</v>
      </c>
      <c r="D111" s="9">
        <v>0.91</v>
      </c>
      <c r="E111" s="9">
        <v>4.22</v>
      </c>
      <c r="F111" s="9">
        <v>42.2</v>
      </c>
      <c r="G111" s="9">
        <v>0</v>
      </c>
      <c r="H111" s="21">
        <v>42.2</v>
      </c>
    </row>
    <row r="112" spans="1:16" x14ac:dyDescent="0.3">
      <c r="A112" s="20" t="s">
        <v>163</v>
      </c>
      <c r="B112" s="9">
        <v>2</v>
      </c>
      <c r="C112" s="9" t="s">
        <v>14</v>
      </c>
      <c r="D112" s="9">
        <v>0.91</v>
      </c>
      <c r="E112" s="9">
        <v>4.2</v>
      </c>
      <c r="F112" s="9">
        <v>42</v>
      </c>
      <c r="G112" s="9">
        <v>0</v>
      </c>
      <c r="H112" s="21">
        <v>42</v>
      </c>
    </row>
    <row r="113" spans="1:8" x14ac:dyDescent="0.3">
      <c r="A113" s="20" t="s">
        <v>163</v>
      </c>
      <c r="B113" s="9">
        <v>3</v>
      </c>
      <c r="C113" s="9" t="s">
        <v>14</v>
      </c>
      <c r="D113" s="9">
        <v>0.91</v>
      </c>
      <c r="E113" s="9">
        <v>4.1900000000000004</v>
      </c>
      <c r="F113" s="9">
        <v>21</v>
      </c>
      <c r="G113" s="9">
        <v>0</v>
      </c>
      <c r="H113" s="21">
        <v>21</v>
      </c>
    </row>
    <row r="114" spans="1:8" x14ac:dyDescent="0.3">
      <c r="A114" s="20" t="s">
        <v>163</v>
      </c>
      <c r="B114" s="9">
        <v>3</v>
      </c>
      <c r="C114" s="9" t="s">
        <v>110</v>
      </c>
      <c r="D114" s="9">
        <v>0.85</v>
      </c>
      <c r="E114" s="9">
        <v>3.91</v>
      </c>
      <c r="F114" s="9">
        <v>27.4</v>
      </c>
      <c r="G114" s="9">
        <v>0</v>
      </c>
      <c r="H114" s="21">
        <v>27.4</v>
      </c>
    </row>
    <row r="115" spans="1:8" x14ac:dyDescent="0.3">
      <c r="A115" s="20" t="s">
        <v>164</v>
      </c>
      <c r="B115" s="9">
        <v>1</v>
      </c>
      <c r="C115" s="9" t="s">
        <v>116</v>
      </c>
      <c r="D115" s="9">
        <v>0.86</v>
      </c>
      <c r="E115" s="9">
        <v>3.94</v>
      </c>
      <c r="F115" s="9">
        <v>39.4</v>
      </c>
      <c r="G115" s="9">
        <v>0</v>
      </c>
      <c r="H115" s="21">
        <v>39.4</v>
      </c>
    </row>
    <row r="116" spans="1:8" x14ac:dyDescent="0.3">
      <c r="A116" s="20" t="s">
        <v>164</v>
      </c>
      <c r="B116" s="9">
        <v>2</v>
      </c>
      <c r="C116" s="9" t="s">
        <v>116</v>
      </c>
      <c r="D116" s="9">
        <v>0.88</v>
      </c>
      <c r="E116" s="9">
        <v>4.0599999999999996</v>
      </c>
      <c r="F116" s="9">
        <v>40.6</v>
      </c>
      <c r="G116" s="9">
        <v>0</v>
      </c>
      <c r="H116" s="21">
        <v>40.6</v>
      </c>
    </row>
    <row r="117" spans="1:8" x14ac:dyDescent="0.3">
      <c r="A117" s="20" t="s">
        <v>164</v>
      </c>
      <c r="B117" s="9">
        <v>3</v>
      </c>
      <c r="C117" s="9" t="s">
        <v>123</v>
      </c>
      <c r="D117" s="9">
        <v>0.9</v>
      </c>
      <c r="E117" s="9">
        <v>4.21</v>
      </c>
      <c r="F117" s="9">
        <v>42.1</v>
      </c>
      <c r="G117" s="9">
        <v>0.1</v>
      </c>
      <c r="H117" s="21">
        <v>42</v>
      </c>
    </row>
    <row r="118" spans="1:8" x14ac:dyDescent="0.3">
      <c r="A118" s="20" t="s">
        <v>165</v>
      </c>
      <c r="B118" s="9">
        <v>1</v>
      </c>
      <c r="C118" s="9" t="s">
        <v>123</v>
      </c>
      <c r="D118" s="9">
        <v>0.9</v>
      </c>
      <c r="E118" s="9">
        <v>4.34</v>
      </c>
      <c r="F118" s="9">
        <v>43.4</v>
      </c>
      <c r="G118" s="9">
        <v>0</v>
      </c>
      <c r="H118" s="21">
        <v>43.4</v>
      </c>
    </row>
    <row r="119" spans="1:8" x14ac:dyDescent="0.3">
      <c r="A119" s="20" t="s">
        <v>165</v>
      </c>
      <c r="B119" s="9">
        <v>2</v>
      </c>
      <c r="C119" s="9" t="s">
        <v>123</v>
      </c>
      <c r="D119" s="9">
        <v>0.9</v>
      </c>
      <c r="E119" s="9">
        <v>4.43</v>
      </c>
      <c r="F119" s="9">
        <v>44.3</v>
      </c>
      <c r="G119" s="9">
        <v>0</v>
      </c>
      <c r="H119" s="21">
        <v>44.3</v>
      </c>
    </row>
    <row r="120" spans="1:8" ht="15" thickBot="1" x14ac:dyDescent="0.35">
      <c r="A120" s="22" t="s">
        <v>165</v>
      </c>
      <c r="B120" s="23">
        <v>3</v>
      </c>
      <c r="C120" s="23" t="s">
        <v>14</v>
      </c>
      <c r="D120" s="23">
        <v>0.9</v>
      </c>
      <c r="E120" s="23">
        <v>4.17</v>
      </c>
      <c r="F120" s="75">
        <v>45.9</v>
      </c>
      <c r="G120" s="75">
        <v>9.9</v>
      </c>
      <c r="H120" s="76">
        <v>35.9</v>
      </c>
    </row>
    <row r="121" spans="1:8" ht="15" thickBot="1" x14ac:dyDescent="0.35">
      <c r="F121" s="77">
        <f>SUM(F81:F120)</f>
        <v>1384.2000000000003</v>
      </c>
      <c r="G121" s="78">
        <f t="shared" ref="G121:H121" si="5">SUM(G81:G120)</f>
        <v>675.7</v>
      </c>
      <c r="H121" s="79">
        <f t="shared" si="5"/>
        <v>918.69999999999993</v>
      </c>
    </row>
    <row r="126" spans="1:8" ht="56.4" customHeight="1" x14ac:dyDescent="0.3">
      <c r="G126" s="25" t="s">
        <v>166</v>
      </c>
    </row>
    <row r="127" spans="1:8" x14ac:dyDescent="0.3">
      <c r="G127" s="1" t="s">
        <v>167</v>
      </c>
      <c r="H127" s="1" t="s">
        <v>158</v>
      </c>
    </row>
    <row r="129" spans="2:8" ht="15.6" x14ac:dyDescent="0.3">
      <c r="B129" s="83" t="s">
        <v>168</v>
      </c>
      <c r="C129" s="84" t="s">
        <v>169</v>
      </c>
      <c r="D129" s="84" t="s">
        <v>146</v>
      </c>
      <c r="E129" s="84" t="s">
        <v>170</v>
      </c>
      <c r="F129" s="83" t="s">
        <v>147</v>
      </c>
      <c r="G129" s="84" t="s">
        <v>167</v>
      </c>
      <c r="H129" s="84" t="s">
        <v>158</v>
      </c>
    </row>
    <row r="130" spans="2:8" ht="15.6" x14ac:dyDescent="0.3">
      <c r="B130" s="30" t="s">
        <v>171</v>
      </c>
      <c r="C130" s="30" t="s">
        <v>149</v>
      </c>
      <c r="D130" s="30" t="s">
        <v>149</v>
      </c>
      <c r="E130" s="30" t="s">
        <v>172</v>
      </c>
      <c r="F130" s="30" t="s">
        <v>172</v>
      </c>
      <c r="G130" s="30" t="s">
        <v>173</v>
      </c>
      <c r="H130" s="30" t="s">
        <v>173</v>
      </c>
    </row>
    <row r="131" spans="2:8" ht="16.2" thickBot="1" x14ac:dyDescent="0.35">
      <c r="B131" s="80">
        <f>17.5</f>
        <v>17.5</v>
      </c>
      <c r="C131" s="81">
        <f>G121</f>
        <v>675.7</v>
      </c>
      <c r="D131" s="81">
        <f>H121</f>
        <v>918.69999999999993</v>
      </c>
      <c r="E131" s="81">
        <f>(C131*10000)/1000</f>
        <v>6757</v>
      </c>
      <c r="F131" s="81">
        <f>(D131*10000)/1000</f>
        <v>9187</v>
      </c>
      <c r="G131" s="81">
        <f>E131*AH46</f>
        <v>65157.075299999997</v>
      </c>
      <c r="H131" s="82">
        <f>F131*AH46</f>
        <v>88589.322299999985</v>
      </c>
    </row>
    <row r="147" ht="14.4" customHeight="1" x14ac:dyDescent="0.3"/>
    <row r="148" ht="14.4" customHeight="1" x14ac:dyDescent="0.3"/>
  </sheetData>
  <mergeCells count="32">
    <mergeCell ref="AG15:AH15"/>
    <mergeCell ref="AI18:AI44"/>
    <mergeCell ref="AG45:AG46"/>
    <mergeCell ref="Y31:AD31"/>
    <mergeCell ref="R81:U81"/>
    <mergeCell ref="R82:R83"/>
    <mergeCell ref="T82:T83"/>
    <mergeCell ref="A77:H77"/>
    <mergeCell ref="K31:P31"/>
    <mergeCell ref="R31:W31"/>
    <mergeCell ref="B33:C33"/>
    <mergeCell ref="A56:F56"/>
    <mergeCell ref="H56:M56"/>
    <mergeCell ref="O56:U56"/>
    <mergeCell ref="W56:AE56"/>
    <mergeCell ref="M82:M83"/>
    <mergeCell ref="R79:U79"/>
    <mergeCell ref="W79:X79"/>
    <mergeCell ref="M77:X77"/>
    <mergeCell ref="M95:P95"/>
    <mergeCell ref="A37:H37"/>
    <mergeCell ref="A15:H15"/>
    <mergeCell ref="B17:D17"/>
    <mergeCell ref="B21:F21"/>
    <mergeCell ref="B25:C25"/>
    <mergeCell ref="E25:F25"/>
    <mergeCell ref="O82:O83"/>
    <mergeCell ref="J79:K79"/>
    <mergeCell ref="M79:P79"/>
    <mergeCell ref="M81:P81"/>
    <mergeCell ref="E26:F26"/>
    <mergeCell ref="B29:D29"/>
  </mergeCells>
  <phoneticPr fontId="14"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FA4D0-2DFB-486D-9FF4-8FEF76E5A9DF}">
  <dimension ref="A1:V66"/>
  <sheetViews>
    <sheetView tabSelected="1" topLeftCell="A45" workbookViewId="0">
      <selection activeCell="B66" sqref="B66"/>
    </sheetView>
  </sheetViews>
  <sheetFormatPr baseColWidth="10" defaultColWidth="8.88671875" defaultRowHeight="14.4" x14ac:dyDescent="0.3"/>
  <cols>
    <col min="6" max="6" width="14.5546875" customWidth="1"/>
    <col min="8" max="8" width="14" customWidth="1"/>
    <col min="15" max="15" width="10" customWidth="1"/>
    <col min="19" max="19" width="9.5546875" customWidth="1"/>
    <col min="21" max="21" width="10.109375" bestFit="1" customWidth="1"/>
    <col min="23" max="23" width="36.5546875" bestFit="1" customWidth="1"/>
  </cols>
  <sheetData>
    <row r="1" spans="1:19" ht="15.6" x14ac:dyDescent="0.3">
      <c r="A1" s="222">
        <v>1</v>
      </c>
      <c r="B1" s="135"/>
      <c r="C1" s="135"/>
      <c r="D1" s="135"/>
      <c r="E1" s="219" t="s">
        <v>174</v>
      </c>
      <c r="F1" s="220"/>
      <c r="G1" s="220"/>
      <c r="H1" s="220"/>
      <c r="I1" s="220"/>
      <c r="J1" s="220"/>
      <c r="K1" s="220"/>
      <c r="L1" s="221"/>
      <c r="M1" s="135"/>
      <c r="N1" s="135"/>
      <c r="O1" s="135"/>
      <c r="P1" s="135"/>
      <c r="Q1" s="135"/>
      <c r="R1" s="135"/>
      <c r="S1" s="136"/>
    </row>
    <row r="2" spans="1:19" x14ac:dyDescent="0.3">
      <c r="A2" s="223"/>
      <c r="S2" s="138"/>
    </row>
    <row r="3" spans="1:19" ht="14.4" customHeight="1" x14ac:dyDescent="0.3">
      <c r="A3" s="137"/>
      <c r="B3" s="245" t="s">
        <v>175</v>
      </c>
      <c r="C3" s="246"/>
      <c r="D3" s="246"/>
      <c r="E3" s="247"/>
      <c r="F3" s="98">
        <v>32.299999999999997</v>
      </c>
      <c r="R3" s="235" t="s">
        <v>176</v>
      </c>
      <c r="S3" s="236"/>
    </row>
    <row r="4" spans="1:19" ht="14.4" customHeight="1" x14ac:dyDescent="0.3">
      <c r="A4" s="137"/>
      <c r="R4" s="237"/>
      <c r="S4" s="238"/>
    </row>
    <row r="5" spans="1:19" ht="14.4" customHeight="1" x14ac:dyDescent="0.3">
      <c r="A5" s="137"/>
      <c r="B5" s="245" t="s">
        <v>177</v>
      </c>
      <c r="C5" s="246"/>
      <c r="D5" s="246"/>
      <c r="E5" s="247"/>
      <c r="F5" s="97">
        <v>23.1</v>
      </c>
      <c r="R5" s="237"/>
      <c r="S5" s="238"/>
    </row>
    <row r="6" spans="1:19" ht="14.4" customHeight="1" x14ac:dyDescent="0.3">
      <c r="A6" s="137"/>
      <c r="R6" s="237"/>
      <c r="S6" s="238"/>
    </row>
    <row r="7" spans="1:19" ht="14.4" customHeight="1" x14ac:dyDescent="0.3">
      <c r="A7" s="137"/>
      <c r="B7" s="245" t="s">
        <v>178</v>
      </c>
      <c r="C7" s="246"/>
      <c r="D7" s="246"/>
      <c r="E7" s="247"/>
      <c r="F7" s="97">
        <f>27.7</f>
        <v>27.7</v>
      </c>
      <c r="G7" t="s">
        <v>179</v>
      </c>
      <c r="R7" s="237"/>
      <c r="S7" s="238"/>
    </row>
    <row r="8" spans="1:19" ht="21" customHeight="1" x14ac:dyDescent="0.3">
      <c r="A8" s="137"/>
      <c r="I8" s="134" t="s">
        <v>67</v>
      </c>
      <c r="J8" s="99">
        <v>3.64</v>
      </c>
      <c r="K8" t="s">
        <v>180</v>
      </c>
      <c r="M8" s="232" t="s">
        <v>181</v>
      </c>
      <c r="N8" s="233"/>
      <c r="O8" s="233"/>
      <c r="P8" s="234"/>
      <c r="R8" s="239"/>
      <c r="S8" s="240"/>
    </row>
    <row r="9" spans="1:19" x14ac:dyDescent="0.3">
      <c r="A9" s="137"/>
      <c r="B9" s="245" t="s">
        <v>182</v>
      </c>
      <c r="C9" s="246"/>
      <c r="D9" s="246"/>
      <c r="E9" s="247"/>
      <c r="F9" s="97">
        <v>18.07</v>
      </c>
      <c r="G9" t="s">
        <v>183</v>
      </c>
      <c r="S9" s="138"/>
    </row>
    <row r="10" spans="1:19" x14ac:dyDescent="0.3">
      <c r="A10" s="137"/>
      <c r="F10" t="s">
        <v>179</v>
      </c>
      <c r="S10" s="138"/>
    </row>
    <row r="11" spans="1:19" x14ac:dyDescent="0.3">
      <c r="A11" s="137"/>
      <c r="P11" s="140"/>
      <c r="Q11" s="140"/>
      <c r="R11" s="140"/>
      <c r="S11" s="141"/>
    </row>
    <row r="12" spans="1:19" x14ac:dyDescent="0.3">
      <c r="A12" s="222">
        <v>2</v>
      </c>
      <c r="B12" s="135"/>
      <c r="C12" s="135"/>
      <c r="D12" s="135"/>
      <c r="E12" s="135"/>
      <c r="F12" s="135"/>
      <c r="G12" s="135"/>
      <c r="H12" s="135"/>
      <c r="I12" s="135"/>
      <c r="J12" s="135"/>
      <c r="K12" s="135"/>
      <c r="L12" s="135"/>
      <c r="M12" s="135"/>
      <c r="N12" s="135"/>
      <c r="O12" s="136"/>
    </row>
    <row r="13" spans="1:19" ht="15.6" x14ac:dyDescent="0.3">
      <c r="A13" s="223"/>
      <c r="E13" s="244" t="s">
        <v>184</v>
      </c>
      <c r="F13" s="244"/>
      <c r="G13" s="244"/>
      <c r="H13" s="244"/>
      <c r="I13" s="244"/>
      <c r="J13" s="244"/>
      <c r="K13" s="244"/>
      <c r="L13" s="244"/>
      <c r="O13" s="138"/>
    </row>
    <row r="14" spans="1:19" x14ac:dyDescent="0.3">
      <c r="A14" s="137"/>
      <c r="O14" s="138"/>
    </row>
    <row r="15" spans="1:19" x14ac:dyDescent="0.3">
      <c r="A15" s="137"/>
      <c r="O15" s="138"/>
    </row>
    <row r="16" spans="1:19" x14ac:dyDescent="0.3">
      <c r="A16" s="137"/>
      <c r="O16" s="138"/>
    </row>
    <row r="17" spans="1:15" ht="21" customHeight="1" x14ac:dyDescent="0.3">
      <c r="A17" s="137"/>
      <c r="O17" s="138"/>
    </row>
    <row r="18" spans="1:15" x14ac:dyDescent="0.3">
      <c r="A18" s="137"/>
      <c r="O18" s="138"/>
    </row>
    <row r="19" spans="1:15" x14ac:dyDescent="0.3">
      <c r="A19" s="137"/>
      <c r="O19" s="138"/>
    </row>
    <row r="20" spans="1:15" x14ac:dyDescent="0.3">
      <c r="A20" s="137"/>
      <c r="O20" s="138"/>
    </row>
    <row r="21" spans="1:15" x14ac:dyDescent="0.3">
      <c r="A21" s="137"/>
      <c r="O21" s="138"/>
    </row>
    <row r="22" spans="1:15" x14ac:dyDescent="0.3">
      <c r="A22" s="137"/>
      <c r="O22" s="138"/>
    </row>
    <row r="23" spans="1:15" x14ac:dyDescent="0.3">
      <c r="A23" s="137"/>
      <c r="O23" s="138"/>
    </row>
    <row r="24" spans="1:15" x14ac:dyDescent="0.3">
      <c r="A24" s="137"/>
      <c r="B24" s="243" t="s">
        <v>184</v>
      </c>
      <c r="C24" s="243"/>
      <c r="D24" s="243"/>
      <c r="E24" s="142" t="s">
        <v>185</v>
      </c>
      <c r="F24" s="142" t="s">
        <v>186</v>
      </c>
      <c r="G24" s="142" t="s">
        <v>185</v>
      </c>
      <c r="H24" s="142" t="s">
        <v>187</v>
      </c>
      <c r="I24" s="142" t="s">
        <v>185</v>
      </c>
      <c r="J24" s="243" t="s">
        <v>188</v>
      </c>
      <c r="K24" s="243"/>
      <c r="L24" s="243"/>
      <c r="M24" s="1"/>
      <c r="O24" s="138"/>
    </row>
    <row r="25" spans="1:15" x14ac:dyDescent="0.3">
      <c r="A25" s="137"/>
      <c r="B25" s="1"/>
      <c r="C25" s="1"/>
      <c r="D25" s="1"/>
      <c r="E25" s="1"/>
      <c r="F25" s="1"/>
      <c r="G25" s="1"/>
      <c r="H25" s="1"/>
      <c r="I25" s="1"/>
      <c r="J25" s="1"/>
      <c r="K25" s="1"/>
      <c r="L25" s="1"/>
      <c r="M25" s="1"/>
      <c r="O25" s="138"/>
    </row>
    <row r="26" spans="1:15" x14ac:dyDescent="0.3">
      <c r="A26" s="137"/>
      <c r="B26" s="144">
        <v>140</v>
      </c>
      <c r="C26" s="144" t="s">
        <v>189</v>
      </c>
      <c r="D26" s="144"/>
      <c r="E26" s="1"/>
      <c r="F26" s="242">
        <f>J8</f>
        <v>3.64</v>
      </c>
      <c r="G26" s="242"/>
      <c r="H26" s="242"/>
      <c r="I26" s="1"/>
      <c r="J26" s="1"/>
      <c r="K26" s="1"/>
      <c r="L26" s="1"/>
      <c r="M26" s="1"/>
      <c r="O26" s="138"/>
    </row>
    <row r="27" spans="1:15" x14ac:dyDescent="0.3">
      <c r="A27" s="137"/>
      <c r="B27" s="1"/>
      <c r="C27" s="1" t="s">
        <v>190</v>
      </c>
      <c r="D27" s="1"/>
      <c r="E27" s="1"/>
      <c r="F27" s="1" t="s">
        <v>191</v>
      </c>
      <c r="G27" s="1">
        <f>F26*365</f>
        <v>1328.6000000000001</v>
      </c>
      <c r="H27" s="1"/>
      <c r="I27" s="1"/>
      <c r="J27" s="1"/>
      <c r="K27" s="1"/>
      <c r="L27" s="1"/>
      <c r="M27" s="1"/>
      <c r="O27" s="138"/>
    </row>
    <row r="28" spans="1:15" x14ac:dyDescent="0.3">
      <c r="A28" s="137"/>
      <c r="B28" s="1"/>
      <c r="C28" s="1"/>
      <c r="D28" s="1"/>
      <c r="E28" s="1"/>
      <c r="F28" s="1"/>
      <c r="G28" s="1"/>
      <c r="H28" s="1"/>
      <c r="I28" s="1"/>
      <c r="J28" s="1"/>
      <c r="K28" s="1"/>
      <c r="L28" s="1"/>
      <c r="M28" s="1"/>
      <c r="O28" s="138"/>
    </row>
    <row r="29" spans="1:15" x14ac:dyDescent="0.3">
      <c r="A29" s="137"/>
      <c r="B29" s="143" t="s">
        <v>192</v>
      </c>
      <c r="C29" s="143"/>
      <c r="D29" s="143"/>
      <c r="E29" s="143"/>
      <c r="F29" s="143"/>
      <c r="G29" s="144"/>
      <c r="H29" s="1"/>
      <c r="I29" s="1"/>
      <c r="J29" s="1"/>
      <c r="K29" s="1"/>
      <c r="L29" s="1"/>
      <c r="M29" s="1"/>
      <c r="O29" s="138"/>
    </row>
    <row r="30" spans="1:15" x14ac:dyDescent="0.3">
      <c r="A30" s="137"/>
      <c r="B30" s="1"/>
      <c r="C30" s="1"/>
      <c r="D30" s="1"/>
      <c r="E30" s="1"/>
      <c r="F30" s="1"/>
      <c r="G30" s="1"/>
      <c r="H30" s="1"/>
      <c r="I30" s="1"/>
      <c r="J30" s="1"/>
      <c r="K30" s="1"/>
      <c r="L30" s="1"/>
      <c r="M30" s="1"/>
      <c r="O30" s="138"/>
    </row>
    <row r="31" spans="1:15" x14ac:dyDescent="0.3">
      <c r="A31" s="137"/>
      <c r="B31" s="1"/>
      <c r="C31" s="1">
        <f>B26/1000</f>
        <v>0.14000000000000001</v>
      </c>
      <c r="D31" s="1"/>
      <c r="E31" s="1"/>
      <c r="F31" s="242">
        <f>G27/1000</f>
        <v>1.3286000000000002</v>
      </c>
      <c r="G31" s="242"/>
      <c r="H31" s="242"/>
      <c r="I31" s="1"/>
      <c r="J31" s="1"/>
      <c r="K31" s="1"/>
      <c r="L31" s="1"/>
      <c r="M31" s="1"/>
      <c r="O31" s="138"/>
    </row>
    <row r="32" spans="1:15" x14ac:dyDescent="0.3">
      <c r="A32" s="137"/>
      <c r="B32" s="1"/>
      <c r="C32" s="1"/>
      <c r="D32" s="1"/>
      <c r="E32" s="1"/>
      <c r="F32" s="1"/>
      <c r="G32" s="1"/>
      <c r="H32" s="1"/>
      <c r="I32" s="1"/>
      <c r="J32" s="1"/>
      <c r="K32" s="1"/>
      <c r="L32" s="1"/>
      <c r="M32" s="1"/>
      <c r="O32" s="138"/>
    </row>
    <row r="33" spans="1:22" x14ac:dyDescent="0.3">
      <c r="A33" s="137"/>
      <c r="B33" s="241" t="s">
        <v>193</v>
      </c>
      <c r="C33" s="241"/>
      <c r="D33" s="241"/>
      <c r="E33" s="241"/>
      <c r="F33" s="241"/>
      <c r="G33" s="1"/>
      <c r="H33" s="1"/>
      <c r="I33" s="1"/>
      <c r="J33" s="1"/>
      <c r="K33" s="1"/>
      <c r="L33" s="1"/>
      <c r="M33" s="1"/>
      <c r="O33" s="138"/>
    </row>
    <row r="34" spans="1:22" x14ac:dyDescent="0.3">
      <c r="A34" s="137"/>
      <c r="B34" s="1"/>
      <c r="C34" s="1"/>
      <c r="D34" s="1"/>
      <c r="E34" s="1"/>
      <c r="F34" s="1"/>
      <c r="G34" s="1"/>
      <c r="H34" s="1"/>
      <c r="I34" s="1"/>
      <c r="J34" s="1"/>
      <c r="K34" s="1"/>
      <c r="L34" s="1"/>
      <c r="M34" s="1"/>
      <c r="O34" s="138"/>
    </row>
    <row r="35" spans="1:22" x14ac:dyDescent="0.3">
      <c r="A35" s="137"/>
      <c r="B35" s="1"/>
      <c r="C35" s="110">
        <f>C31*D44</f>
        <v>13500.060000000001</v>
      </c>
      <c r="D35" s="1" t="s">
        <v>194</v>
      </c>
      <c r="E35" s="1"/>
      <c r="F35" s="1"/>
      <c r="G35" s="110">
        <f>F31*D44</f>
        <v>128115.56940000002</v>
      </c>
      <c r="H35" s="1" t="s">
        <v>194</v>
      </c>
      <c r="I35" s="1"/>
      <c r="J35" s="1"/>
      <c r="K35" s="1"/>
      <c r="L35" s="1"/>
      <c r="M35" s="1"/>
      <c r="O35" s="138"/>
    </row>
    <row r="36" spans="1:22" x14ac:dyDescent="0.3">
      <c r="A36" s="137"/>
      <c r="B36" s="1"/>
      <c r="C36" s="1"/>
      <c r="D36" s="1"/>
      <c r="E36" s="1"/>
      <c r="F36" s="1"/>
      <c r="G36" s="1"/>
      <c r="H36" s="1"/>
      <c r="I36" s="1"/>
      <c r="J36" s="1"/>
      <c r="K36" s="1"/>
      <c r="L36" s="1"/>
      <c r="M36" s="1"/>
      <c r="O36" s="138"/>
    </row>
    <row r="37" spans="1:22" x14ac:dyDescent="0.3">
      <c r="A37" s="137"/>
      <c r="I37" s="1"/>
      <c r="J37" s="1"/>
      <c r="K37" s="1"/>
      <c r="L37" s="1"/>
      <c r="M37" s="1"/>
      <c r="O37" s="138"/>
    </row>
    <row r="38" spans="1:22" ht="15" thickBot="1" x14ac:dyDescent="0.35">
      <c r="A38" s="137"/>
      <c r="I38" s="1"/>
      <c r="J38" s="1"/>
      <c r="K38" s="1"/>
      <c r="L38" s="1"/>
      <c r="M38" s="1"/>
      <c r="O38" s="138"/>
    </row>
    <row r="39" spans="1:22" ht="15" thickBot="1" x14ac:dyDescent="0.35">
      <c r="A39" s="222">
        <v>3</v>
      </c>
      <c r="B39" s="135"/>
      <c r="C39" s="135"/>
      <c r="D39" s="135"/>
      <c r="E39" s="135"/>
      <c r="F39" s="135"/>
      <c r="G39" s="135"/>
      <c r="H39" s="135"/>
      <c r="I39" s="145"/>
      <c r="J39" s="145"/>
      <c r="K39" s="145"/>
      <c r="L39" s="145"/>
      <c r="M39" s="145"/>
      <c r="N39" s="135"/>
      <c r="O39" s="136"/>
      <c r="V39" s="45" t="s">
        <v>394</v>
      </c>
    </row>
    <row r="40" spans="1:22" ht="16.2" thickBot="1" x14ac:dyDescent="0.35">
      <c r="A40" s="223"/>
      <c r="B40" s="1"/>
      <c r="C40" s="1"/>
      <c r="D40" s="1"/>
      <c r="E40" s="219" t="s">
        <v>184</v>
      </c>
      <c r="F40" s="220"/>
      <c r="G40" s="220"/>
      <c r="H40" s="220"/>
      <c r="I40" s="220"/>
      <c r="J40" s="220"/>
      <c r="K40" s="220"/>
      <c r="L40" s="221"/>
      <c r="M40" s="1"/>
      <c r="O40" s="138"/>
      <c r="R40" s="189" t="s">
        <v>197</v>
      </c>
      <c r="S40" s="189"/>
      <c r="T40" s="189">
        <v>1565</v>
      </c>
      <c r="U40" s="189">
        <v>1.5649999999999999</v>
      </c>
      <c r="V40" s="1" t="s">
        <v>198</v>
      </c>
    </row>
    <row r="41" spans="1:22" x14ac:dyDescent="0.3">
      <c r="A41" s="137"/>
      <c r="O41" s="138"/>
      <c r="R41" s="189" t="s">
        <v>196</v>
      </c>
      <c r="S41" s="189"/>
      <c r="T41" s="195">
        <v>96429</v>
      </c>
      <c r="U41" s="189"/>
      <c r="V41" s="1" t="s">
        <v>11</v>
      </c>
    </row>
    <row r="42" spans="1:22" ht="16.8" x14ac:dyDescent="0.3">
      <c r="A42" s="137"/>
      <c r="B42" s="218" t="s">
        <v>195</v>
      </c>
      <c r="C42" s="218"/>
      <c r="D42" s="218"/>
      <c r="E42" s="218"/>
      <c r="F42" s="218"/>
      <c r="G42" s="218"/>
      <c r="H42" s="218"/>
      <c r="I42" s="218"/>
      <c r="J42" s="146"/>
      <c r="O42" s="138"/>
      <c r="R42" s="190" t="s">
        <v>395</v>
      </c>
      <c r="S42" s="190"/>
      <c r="T42" s="189"/>
      <c r="U42" s="196">
        <v>144643.5</v>
      </c>
      <c r="V42" s="187" t="s">
        <v>396</v>
      </c>
    </row>
    <row r="43" spans="1:22" ht="15" thickBot="1" x14ac:dyDescent="0.35">
      <c r="A43" s="137"/>
      <c r="O43" s="138"/>
      <c r="R43" s="214" t="s">
        <v>397</v>
      </c>
      <c r="S43" s="214"/>
      <c r="T43" s="213">
        <v>0.7</v>
      </c>
      <c r="U43" s="213"/>
      <c r="V43" s="188"/>
    </row>
    <row r="44" spans="1:22" ht="17.399999999999999" thickBot="1" x14ac:dyDescent="0.35">
      <c r="A44" s="137"/>
      <c r="B44" s="227" t="s">
        <v>196</v>
      </c>
      <c r="C44" s="228"/>
      <c r="D44" s="99">
        <v>96429</v>
      </c>
      <c r="E44" s="1" t="s">
        <v>11</v>
      </c>
      <c r="F44" s="1"/>
      <c r="K44">
        <v>130.4</v>
      </c>
      <c r="L44">
        <f>K44*12</f>
        <v>1564.8000000000002</v>
      </c>
      <c r="O44" s="138"/>
      <c r="R44" s="214" t="s">
        <v>398</v>
      </c>
      <c r="S44" s="214"/>
      <c r="T44" s="214"/>
      <c r="U44" s="191">
        <v>101250.5</v>
      </c>
      <c r="V44" s="187" t="s">
        <v>396</v>
      </c>
    </row>
    <row r="45" spans="1:22" ht="30" customHeight="1" thickBot="1" x14ac:dyDescent="0.35">
      <c r="A45" s="137"/>
      <c r="B45" s="1"/>
      <c r="C45" s="1"/>
      <c r="D45" s="1"/>
      <c r="E45" s="1"/>
      <c r="F45" s="1"/>
      <c r="O45" s="138"/>
      <c r="R45" s="213" t="s">
        <v>399</v>
      </c>
      <c r="S45" s="213"/>
      <c r="T45" s="213">
        <v>0.75</v>
      </c>
      <c r="U45" s="213"/>
      <c r="V45" s="188"/>
    </row>
    <row r="46" spans="1:22" ht="49.5" customHeight="1" thickBot="1" x14ac:dyDescent="0.35">
      <c r="A46" s="137"/>
      <c r="B46" s="227" t="s">
        <v>197</v>
      </c>
      <c r="C46" s="228"/>
      <c r="D46" s="100">
        <v>1565</v>
      </c>
      <c r="E46" s="101">
        <f>D46/1000</f>
        <v>1.5649999999999999</v>
      </c>
      <c r="F46" s="1" t="s">
        <v>198</v>
      </c>
      <c r="H46" s="224" t="s">
        <v>199</v>
      </c>
      <c r="I46" s="224"/>
      <c r="J46" s="224"/>
      <c r="O46" s="138"/>
      <c r="R46" s="214" t="s">
        <v>400</v>
      </c>
      <c r="S46" s="214"/>
      <c r="T46" s="214"/>
      <c r="U46" s="191">
        <v>75937.84</v>
      </c>
      <c r="V46" s="187" t="s">
        <v>396</v>
      </c>
    </row>
    <row r="47" spans="1:22" ht="16.8" x14ac:dyDescent="0.3">
      <c r="A47" s="137"/>
      <c r="O47" s="138"/>
      <c r="R47" s="192" t="s">
        <v>401</v>
      </c>
      <c r="S47" s="193"/>
      <c r="T47" s="189"/>
      <c r="U47" s="194">
        <v>105095.3</v>
      </c>
      <c r="V47" s="187" t="s">
        <v>396</v>
      </c>
    </row>
    <row r="48" spans="1:22" x14ac:dyDescent="0.3">
      <c r="A48" s="137"/>
      <c r="O48" s="138"/>
    </row>
    <row r="49" spans="1:15" x14ac:dyDescent="0.3">
      <c r="A49" s="137"/>
      <c r="K49" s="225" t="s">
        <v>200</v>
      </c>
      <c r="L49" s="225"/>
      <c r="O49" s="138"/>
    </row>
    <row r="50" spans="1:15" x14ac:dyDescent="0.3">
      <c r="A50" s="137"/>
      <c r="K50" s="224">
        <v>0.7</v>
      </c>
      <c r="L50" s="224"/>
      <c r="O50" s="138"/>
    </row>
    <row r="51" spans="1:15" x14ac:dyDescent="0.3">
      <c r="A51" s="137"/>
      <c r="K51" s="224"/>
      <c r="L51" s="224"/>
      <c r="O51" s="138"/>
    </row>
    <row r="52" spans="1:15" x14ac:dyDescent="0.3">
      <c r="A52" s="137"/>
      <c r="O52" s="138"/>
    </row>
    <row r="53" spans="1:15" x14ac:dyDescent="0.3">
      <c r="A53" s="137"/>
      <c r="O53" s="138"/>
    </row>
    <row r="54" spans="1:15" x14ac:dyDescent="0.3">
      <c r="A54" s="137"/>
      <c r="B54" s="229" t="s">
        <v>201</v>
      </c>
      <c r="C54" s="230"/>
      <c r="D54" s="231"/>
      <c r="E54" s="97">
        <f>D44*E46</f>
        <v>150911.38500000001</v>
      </c>
      <c r="F54" t="s">
        <v>194</v>
      </c>
      <c r="G54" s="229" t="s">
        <v>202</v>
      </c>
      <c r="H54" s="231"/>
      <c r="I54" s="97">
        <f>E54*K50</f>
        <v>105637.96950000001</v>
      </c>
      <c r="J54" t="s">
        <v>194</v>
      </c>
      <c r="O54" s="138"/>
    </row>
    <row r="55" spans="1:15" x14ac:dyDescent="0.3">
      <c r="A55" s="137"/>
      <c r="K55" s="226" t="s">
        <v>203</v>
      </c>
      <c r="L55" s="226"/>
      <c r="O55" s="138"/>
    </row>
    <row r="56" spans="1:15" x14ac:dyDescent="0.3">
      <c r="A56" s="137"/>
      <c r="K56" s="226"/>
      <c r="L56" s="226"/>
      <c r="O56" s="138"/>
    </row>
    <row r="57" spans="1:15" x14ac:dyDescent="0.3">
      <c r="A57" s="137"/>
      <c r="K57" s="224">
        <v>0.75</v>
      </c>
      <c r="L57" s="224"/>
      <c r="O57" s="138"/>
    </row>
    <row r="58" spans="1:15" x14ac:dyDescent="0.3">
      <c r="A58" s="137"/>
      <c r="K58" s="224"/>
      <c r="L58" s="224"/>
      <c r="O58" s="138"/>
    </row>
    <row r="59" spans="1:15" x14ac:dyDescent="0.3">
      <c r="A59" s="137"/>
      <c r="O59" s="138"/>
    </row>
    <row r="60" spans="1:15" x14ac:dyDescent="0.3">
      <c r="A60" s="137"/>
      <c r="B60" s="215" t="s">
        <v>204</v>
      </c>
      <c r="C60" s="216"/>
      <c r="D60" s="217"/>
      <c r="E60" s="97">
        <f>I54*K57</f>
        <v>79228.477125000005</v>
      </c>
      <c r="F60" t="s">
        <v>194</v>
      </c>
      <c r="G60" t="s">
        <v>205</v>
      </c>
      <c r="O60" s="138"/>
    </row>
    <row r="61" spans="1:15" x14ac:dyDescent="0.3">
      <c r="A61" s="137"/>
      <c r="O61" s="138"/>
    </row>
    <row r="62" spans="1:15" x14ac:dyDescent="0.3">
      <c r="A62" s="137"/>
      <c r="O62" s="138"/>
    </row>
    <row r="63" spans="1:15" x14ac:dyDescent="0.3">
      <c r="A63" s="137"/>
      <c r="B63" s="143" t="s">
        <v>206</v>
      </c>
      <c r="C63" s="143"/>
      <c r="D63" s="143"/>
      <c r="E63" s="143"/>
      <c r="F63" s="143"/>
      <c r="G63" s="144"/>
      <c r="H63" s="144"/>
      <c r="O63" s="138"/>
    </row>
    <row r="64" spans="1:15" x14ac:dyDescent="0.3">
      <c r="A64" s="137"/>
      <c r="B64" s="1"/>
      <c r="C64" s="1"/>
      <c r="D64" s="1"/>
      <c r="E64" s="1"/>
      <c r="F64" s="1"/>
      <c r="G64" s="1"/>
      <c r="H64" s="1"/>
      <c r="O64" s="138"/>
    </row>
    <row r="65" spans="1:15" x14ac:dyDescent="0.3">
      <c r="A65" s="137"/>
      <c r="B65" s="102">
        <f>C35+G35+E60</f>
        <v>220844.10652500004</v>
      </c>
      <c r="C65" s="1" t="s">
        <v>194</v>
      </c>
      <c r="D65" s="1"/>
      <c r="E65" s="1"/>
      <c r="F65" s="1"/>
      <c r="G65" s="1"/>
      <c r="H65" s="1"/>
      <c r="O65" s="138"/>
    </row>
    <row r="66" spans="1:15" x14ac:dyDescent="0.3">
      <c r="A66" s="139"/>
      <c r="B66" s="140"/>
      <c r="C66" s="140"/>
      <c r="D66" s="140"/>
      <c r="E66" s="140"/>
      <c r="F66" s="140"/>
      <c r="G66" s="140"/>
      <c r="H66" s="140"/>
      <c r="I66" s="140"/>
      <c r="J66" s="140"/>
      <c r="K66" s="140"/>
      <c r="L66" s="140"/>
      <c r="M66" s="140"/>
      <c r="N66" s="140"/>
      <c r="O66" s="141"/>
    </row>
  </sheetData>
  <mergeCells count="34">
    <mergeCell ref="M8:P8"/>
    <mergeCell ref="R3:S8"/>
    <mergeCell ref="B33:F33"/>
    <mergeCell ref="F31:H31"/>
    <mergeCell ref="B24:D24"/>
    <mergeCell ref="J24:L24"/>
    <mergeCell ref="F26:H26"/>
    <mergeCell ref="E13:L13"/>
    <mergeCell ref="B3:E3"/>
    <mergeCell ref="B5:E5"/>
    <mergeCell ref="B7:E7"/>
    <mergeCell ref="B9:E9"/>
    <mergeCell ref="B60:D60"/>
    <mergeCell ref="B42:I42"/>
    <mergeCell ref="E40:L40"/>
    <mergeCell ref="A1:A2"/>
    <mergeCell ref="A12:A13"/>
    <mergeCell ref="A39:A40"/>
    <mergeCell ref="K50:L51"/>
    <mergeCell ref="K49:L49"/>
    <mergeCell ref="K57:L58"/>
    <mergeCell ref="K55:L56"/>
    <mergeCell ref="B44:C44"/>
    <mergeCell ref="B46:C46"/>
    <mergeCell ref="H46:J46"/>
    <mergeCell ref="B54:D54"/>
    <mergeCell ref="G54:H54"/>
    <mergeCell ref="E1:L1"/>
    <mergeCell ref="T43:U43"/>
    <mergeCell ref="T45:U45"/>
    <mergeCell ref="R45:S45"/>
    <mergeCell ref="R43:S43"/>
    <mergeCell ref="R46:T46"/>
    <mergeCell ref="R44:T4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40E0-C3F1-4A47-8A6C-4FC7B140DA36}">
  <dimension ref="B2:V28"/>
  <sheetViews>
    <sheetView workbookViewId="0">
      <selection activeCell="U15" sqref="U15:V15"/>
    </sheetView>
  </sheetViews>
  <sheetFormatPr baseColWidth="10" defaultColWidth="8.88671875" defaultRowHeight="15" customHeight="1" x14ac:dyDescent="0.3"/>
  <cols>
    <col min="3" max="3" width="13.6640625" bestFit="1" customWidth="1"/>
    <col min="5" max="5" width="13" customWidth="1"/>
    <col min="9" max="9" width="12.6640625" customWidth="1"/>
    <col min="11" max="11" width="10.109375" customWidth="1"/>
    <col min="13" max="13" width="10.109375" customWidth="1"/>
    <col min="17" max="17" width="15.44140625" customWidth="1"/>
    <col min="19" max="19" width="18.5546875" bestFit="1" customWidth="1"/>
    <col min="22" max="22" width="12.6640625" customWidth="1"/>
  </cols>
  <sheetData>
    <row r="2" spans="2:22" ht="15" customHeight="1" x14ac:dyDescent="0.3">
      <c r="J2" s="158"/>
    </row>
    <row r="3" spans="2:22" ht="14.4" x14ac:dyDescent="0.3">
      <c r="J3" s="181"/>
      <c r="K3" s="182"/>
    </row>
    <row r="4" spans="2:22" ht="15" customHeight="1" x14ac:dyDescent="0.3">
      <c r="J4" s="87"/>
    </row>
    <row r="5" spans="2:22" ht="14.4" x14ac:dyDescent="0.3"/>
    <row r="6" spans="2:22" thickBot="1" x14ac:dyDescent="0.35">
      <c r="B6" s="255" t="s">
        <v>207</v>
      </c>
      <c r="C6" s="256"/>
      <c r="D6" s="256"/>
      <c r="E6" s="256"/>
      <c r="F6" s="256"/>
      <c r="G6" s="256"/>
      <c r="H6" s="256"/>
      <c r="I6" s="256"/>
      <c r="J6" s="256"/>
      <c r="K6" s="256"/>
      <c r="L6" s="256"/>
      <c r="M6" s="256"/>
      <c r="N6" s="256"/>
      <c r="O6" s="256"/>
      <c r="P6" s="256"/>
      <c r="Q6" s="257"/>
    </row>
    <row r="7" spans="2:22" thickBot="1" x14ac:dyDescent="0.35">
      <c r="B7" s="258" t="s">
        <v>208</v>
      </c>
      <c r="C7" s="259"/>
      <c r="D7" s="259"/>
      <c r="E7" s="259"/>
      <c r="F7" s="259"/>
      <c r="G7" s="259"/>
      <c r="H7" s="259"/>
      <c r="I7" s="260"/>
      <c r="J7" s="261" t="s">
        <v>209</v>
      </c>
      <c r="K7" s="259"/>
      <c r="L7" s="259"/>
      <c r="M7" s="259"/>
      <c r="N7" s="259"/>
      <c r="O7" s="259"/>
      <c r="P7" s="259"/>
      <c r="Q7" s="260"/>
    </row>
    <row r="8" spans="2:22" ht="23.4" customHeight="1" x14ac:dyDescent="0.3">
      <c r="B8" s="251" t="s">
        <v>117</v>
      </c>
      <c r="C8" s="26" t="s">
        <v>210</v>
      </c>
      <c r="D8" s="30" t="s">
        <v>211</v>
      </c>
      <c r="E8" s="26" t="s">
        <v>212</v>
      </c>
      <c r="F8" s="30" t="s">
        <v>213</v>
      </c>
      <c r="G8" s="30" t="s">
        <v>214</v>
      </c>
      <c r="H8" s="30" t="s">
        <v>215</v>
      </c>
      <c r="I8" s="147" t="s">
        <v>216</v>
      </c>
      <c r="J8" s="253" t="s">
        <v>117</v>
      </c>
      <c r="K8" s="26" t="s">
        <v>210</v>
      </c>
      <c r="L8" s="30" t="s">
        <v>211</v>
      </c>
      <c r="M8" s="26" t="s">
        <v>212</v>
      </c>
      <c r="N8" s="30" t="s">
        <v>213</v>
      </c>
      <c r="O8" s="30" t="s">
        <v>214</v>
      </c>
      <c r="P8" s="30" t="s">
        <v>215</v>
      </c>
      <c r="Q8" s="147" t="s">
        <v>216</v>
      </c>
      <c r="S8" s="248" t="s">
        <v>373</v>
      </c>
      <c r="T8" s="158"/>
    </row>
    <row r="9" spans="2:22" ht="15.75" customHeight="1" x14ac:dyDescent="0.3">
      <c r="B9" s="252"/>
      <c r="C9" s="27" t="s">
        <v>217</v>
      </c>
      <c r="D9" s="86" t="s">
        <v>218</v>
      </c>
      <c r="E9" s="27" t="s">
        <v>217</v>
      </c>
      <c r="F9" s="103" t="s">
        <v>218</v>
      </c>
      <c r="G9" s="103" t="s">
        <v>218</v>
      </c>
      <c r="H9" s="103" t="s">
        <v>218</v>
      </c>
      <c r="I9" s="148" t="s">
        <v>217</v>
      </c>
      <c r="J9" s="254"/>
      <c r="K9" s="27" t="s">
        <v>217</v>
      </c>
      <c r="L9" s="86" t="s">
        <v>218</v>
      </c>
      <c r="M9" s="27" t="s">
        <v>217</v>
      </c>
      <c r="N9" s="103" t="s">
        <v>218</v>
      </c>
      <c r="O9" s="103" t="s">
        <v>218</v>
      </c>
      <c r="P9" s="103" t="s">
        <v>218</v>
      </c>
      <c r="Q9" s="148" t="s">
        <v>217</v>
      </c>
      <c r="S9" s="249"/>
    </row>
    <row r="10" spans="2:22" ht="15.6" x14ac:dyDescent="0.3">
      <c r="B10" s="149">
        <v>2018</v>
      </c>
      <c r="C10" s="96">
        <f t="shared" ref="C10:C14" si="0">0.8*E10</f>
        <v>271079.2</v>
      </c>
      <c r="D10" s="161">
        <v>298</v>
      </c>
      <c r="E10" s="163">
        <v>338849</v>
      </c>
      <c r="F10" s="154">
        <v>0</v>
      </c>
      <c r="G10" s="154">
        <v>200</v>
      </c>
      <c r="H10" s="154">
        <v>40</v>
      </c>
      <c r="I10" s="165">
        <f>((C10*D10)-(E10*F10))/(G10-H10)</f>
        <v>504885.01000000007</v>
      </c>
      <c r="J10" s="152">
        <v>2018</v>
      </c>
      <c r="K10" s="96">
        <f t="shared" ref="K10:K15" si="1">0.8*M10</f>
        <v>271079.2</v>
      </c>
      <c r="L10" s="161">
        <v>105</v>
      </c>
      <c r="M10" s="163">
        <v>338849</v>
      </c>
      <c r="N10" s="154">
        <v>0</v>
      </c>
      <c r="O10" s="154">
        <v>100</v>
      </c>
      <c r="P10" s="154">
        <v>20</v>
      </c>
      <c r="Q10" s="165">
        <f t="shared" ref="Q10:Q15" si="2">(K10*L10-M10*N10)/(O10-P10)</f>
        <v>355791.45</v>
      </c>
      <c r="S10" s="169">
        <f>MAX(I10,Q10)</f>
        <v>504885.01000000007</v>
      </c>
    </row>
    <row r="11" spans="2:22" ht="15.6" x14ac:dyDescent="0.3">
      <c r="B11" s="149">
        <v>2019</v>
      </c>
      <c r="C11" s="96">
        <f t="shared" si="0"/>
        <v>223119.2</v>
      </c>
      <c r="D11" s="161">
        <v>298</v>
      </c>
      <c r="E11" s="163">
        <v>278899</v>
      </c>
      <c r="F11" s="154">
        <v>0</v>
      </c>
      <c r="G11" s="154">
        <v>200</v>
      </c>
      <c r="H11" s="154">
        <v>40</v>
      </c>
      <c r="I11" s="165">
        <f>((C11*D11)-(E11*F11))/(G11-H11)</f>
        <v>415559.51</v>
      </c>
      <c r="J11" s="152">
        <v>2019</v>
      </c>
      <c r="K11" s="96">
        <f t="shared" si="1"/>
        <v>223119.2</v>
      </c>
      <c r="L11" s="161">
        <v>105</v>
      </c>
      <c r="M11" s="163">
        <v>278899</v>
      </c>
      <c r="N11" s="154">
        <v>0</v>
      </c>
      <c r="O11" s="154">
        <v>100</v>
      </c>
      <c r="P11" s="154">
        <v>20</v>
      </c>
      <c r="Q11" s="165">
        <f t="shared" si="2"/>
        <v>292843.95</v>
      </c>
      <c r="S11" s="169">
        <f t="shared" ref="S11:S15" si="3">MAX(I11,Q11)</f>
        <v>415559.51</v>
      </c>
      <c r="T11" s="168"/>
    </row>
    <row r="12" spans="2:22" ht="15.6" x14ac:dyDescent="0.3">
      <c r="B12" s="149">
        <v>2020</v>
      </c>
      <c r="C12" s="96">
        <f t="shared" si="0"/>
        <v>172451.20000000001</v>
      </c>
      <c r="D12" s="161">
        <v>298</v>
      </c>
      <c r="E12" s="163">
        <v>215564</v>
      </c>
      <c r="F12" s="154">
        <v>0</v>
      </c>
      <c r="G12" s="154">
        <v>200</v>
      </c>
      <c r="H12" s="154">
        <v>40</v>
      </c>
      <c r="I12" s="165">
        <f t="shared" ref="I12:I14" si="4">(C12*D12-E12*F12)/(G12-H12)</f>
        <v>321190.36</v>
      </c>
      <c r="J12" s="152">
        <v>2020</v>
      </c>
      <c r="K12" s="96">
        <f t="shared" si="1"/>
        <v>172451.20000000001</v>
      </c>
      <c r="L12" s="161">
        <v>105</v>
      </c>
      <c r="M12" s="163">
        <v>215564</v>
      </c>
      <c r="N12" s="154">
        <v>0</v>
      </c>
      <c r="O12" s="154">
        <v>100</v>
      </c>
      <c r="P12" s="154">
        <v>20</v>
      </c>
      <c r="Q12" s="165">
        <f t="shared" si="2"/>
        <v>226342.2</v>
      </c>
      <c r="S12" s="169">
        <f t="shared" si="3"/>
        <v>321190.36</v>
      </c>
    </row>
    <row r="13" spans="2:22" ht="15.6" x14ac:dyDescent="0.3">
      <c r="B13" s="149">
        <v>2021</v>
      </c>
      <c r="C13" s="96">
        <f t="shared" si="0"/>
        <v>183568</v>
      </c>
      <c r="D13" s="161">
        <v>298</v>
      </c>
      <c r="E13" s="163">
        <v>229460</v>
      </c>
      <c r="F13" s="154">
        <v>0</v>
      </c>
      <c r="G13" s="154">
        <v>200</v>
      </c>
      <c r="H13" s="154">
        <v>40</v>
      </c>
      <c r="I13" s="165">
        <f t="shared" si="4"/>
        <v>341895.4</v>
      </c>
      <c r="J13" s="152">
        <v>2021</v>
      </c>
      <c r="K13" s="96">
        <f t="shared" si="1"/>
        <v>183568</v>
      </c>
      <c r="L13" s="161">
        <v>105</v>
      </c>
      <c r="M13" s="163">
        <v>229460</v>
      </c>
      <c r="N13" s="154">
        <v>0</v>
      </c>
      <c r="O13" s="154">
        <v>100</v>
      </c>
      <c r="P13" s="154">
        <v>20</v>
      </c>
      <c r="Q13" s="165">
        <f t="shared" si="2"/>
        <v>240933</v>
      </c>
      <c r="S13" s="169">
        <f t="shared" si="3"/>
        <v>341895.4</v>
      </c>
    </row>
    <row r="14" spans="2:22" ht="15.6" x14ac:dyDescent="0.3">
      <c r="B14" s="149">
        <v>2022</v>
      </c>
      <c r="C14" s="96">
        <f t="shared" si="0"/>
        <v>148343.20000000001</v>
      </c>
      <c r="D14" s="161">
        <v>298</v>
      </c>
      <c r="E14" s="163">
        <v>185429</v>
      </c>
      <c r="F14" s="154">
        <v>0</v>
      </c>
      <c r="G14" s="154">
        <v>200</v>
      </c>
      <c r="H14" s="154">
        <v>40</v>
      </c>
      <c r="I14" s="165">
        <f t="shared" si="4"/>
        <v>276289.21000000002</v>
      </c>
      <c r="J14" s="152">
        <v>2022</v>
      </c>
      <c r="K14" s="96">
        <f t="shared" si="1"/>
        <v>148343.20000000001</v>
      </c>
      <c r="L14" s="161">
        <v>105</v>
      </c>
      <c r="M14" s="163">
        <v>185429</v>
      </c>
      <c r="N14" s="154">
        <v>0</v>
      </c>
      <c r="O14" s="154">
        <v>100</v>
      </c>
      <c r="P14" s="154">
        <v>20</v>
      </c>
      <c r="Q14" s="165">
        <f t="shared" si="2"/>
        <v>194700.45</v>
      </c>
      <c r="S14" s="169">
        <f t="shared" si="3"/>
        <v>276289.21000000002</v>
      </c>
    </row>
    <row r="15" spans="2:22" ht="16.2" thickBot="1" x14ac:dyDescent="0.35">
      <c r="B15" s="150">
        <v>2023</v>
      </c>
      <c r="C15" s="151">
        <f>0.8*E15</f>
        <v>205641.60000000001</v>
      </c>
      <c r="D15" s="162">
        <v>298</v>
      </c>
      <c r="E15" s="164">
        <v>257052</v>
      </c>
      <c r="F15" s="155">
        <v>0</v>
      </c>
      <c r="G15" s="155">
        <v>200</v>
      </c>
      <c r="H15" s="156">
        <v>40</v>
      </c>
      <c r="I15" s="166">
        <f>(C15*D15-E15*F15)/(G15-H15)</f>
        <v>383007.48000000004</v>
      </c>
      <c r="J15" s="153">
        <v>2023</v>
      </c>
      <c r="K15" s="151">
        <f t="shared" si="1"/>
        <v>205641.60000000001</v>
      </c>
      <c r="L15" s="162">
        <v>105</v>
      </c>
      <c r="M15" s="164">
        <v>257052</v>
      </c>
      <c r="N15" s="155">
        <v>0</v>
      </c>
      <c r="O15" s="155">
        <v>100</v>
      </c>
      <c r="P15" s="156">
        <v>20</v>
      </c>
      <c r="Q15" s="166">
        <f t="shared" si="2"/>
        <v>269904.59999999998</v>
      </c>
      <c r="S15" s="170">
        <f t="shared" si="3"/>
        <v>383007.48000000004</v>
      </c>
      <c r="U15" s="250" t="s">
        <v>375</v>
      </c>
      <c r="V15" s="250"/>
    </row>
    <row r="16" spans="2:22" thickBot="1" x14ac:dyDescent="0.35">
      <c r="H16" s="173"/>
      <c r="I16" s="174"/>
      <c r="P16" s="173"/>
      <c r="Q16" s="174"/>
      <c r="S16" s="1"/>
      <c r="U16" s="177" t="s">
        <v>117</v>
      </c>
      <c r="V16" s="178" t="s">
        <v>374</v>
      </c>
    </row>
    <row r="17" spans="2:22" ht="16.2" thickBot="1" x14ac:dyDescent="0.35">
      <c r="S17" s="1"/>
      <c r="U17" s="175">
        <v>2018</v>
      </c>
      <c r="V17" s="179">
        <f>AVERAGE(S10,S22)</f>
        <v>282938.91500000004</v>
      </c>
    </row>
    <row r="18" spans="2:22" ht="14.4" customHeight="1" thickBot="1" x14ac:dyDescent="0.35">
      <c r="B18" s="255" t="s">
        <v>219</v>
      </c>
      <c r="C18" s="256"/>
      <c r="D18" s="256"/>
      <c r="E18" s="256"/>
      <c r="F18" s="256"/>
      <c r="G18" s="256"/>
      <c r="H18" s="256"/>
      <c r="I18" s="256"/>
      <c r="J18" s="256"/>
      <c r="K18" s="256"/>
      <c r="L18" s="256"/>
      <c r="M18" s="256"/>
      <c r="N18" s="256"/>
      <c r="O18" s="256"/>
      <c r="P18" s="256"/>
      <c r="Q18" s="257"/>
      <c r="S18" s="1"/>
      <c r="U18" s="175">
        <v>2019</v>
      </c>
      <c r="V18" s="179">
        <f t="shared" ref="V18:V22" si="5">AVERAGE(S11,S23)</f>
        <v>232880.66500000001</v>
      </c>
    </row>
    <row r="19" spans="2:22" ht="16.2" thickBot="1" x14ac:dyDescent="0.35">
      <c r="B19" s="258" t="s">
        <v>208</v>
      </c>
      <c r="C19" s="259"/>
      <c r="D19" s="259"/>
      <c r="E19" s="259"/>
      <c r="F19" s="259"/>
      <c r="G19" s="259"/>
      <c r="H19" s="259"/>
      <c r="I19" s="260"/>
      <c r="J19" s="261" t="s">
        <v>209</v>
      </c>
      <c r="K19" s="259"/>
      <c r="L19" s="259"/>
      <c r="M19" s="259"/>
      <c r="N19" s="259"/>
      <c r="O19" s="259"/>
      <c r="P19" s="259"/>
      <c r="Q19" s="260"/>
      <c r="S19" s="1"/>
      <c r="U19" s="175">
        <v>2020</v>
      </c>
      <c r="V19" s="179">
        <f t="shared" si="5"/>
        <v>179995.94</v>
      </c>
    </row>
    <row r="20" spans="2:22" ht="15.6" x14ac:dyDescent="0.3">
      <c r="B20" s="251" t="s">
        <v>117</v>
      </c>
      <c r="C20" s="26" t="s">
        <v>210</v>
      </c>
      <c r="D20" s="30" t="s">
        <v>211</v>
      </c>
      <c r="E20" s="26" t="s">
        <v>212</v>
      </c>
      <c r="F20" s="30" t="s">
        <v>213</v>
      </c>
      <c r="G20" s="30" t="s">
        <v>214</v>
      </c>
      <c r="H20" s="30" t="s">
        <v>215</v>
      </c>
      <c r="I20" s="147" t="s">
        <v>216</v>
      </c>
      <c r="J20" s="253" t="s">
        <v>117</v>
      </c>
      <c r="K20" s="26" t="s">
        <v>210</v>
      </c>
      <c r="L20" s="30" t="s">
        <v>211</v>
      </c>
      <c r="M20" s="26" t="s">
        <v>212</v>
      </c>
      <c r="N20" s="30" t="s">
        <v>213</v>
      </c>
      <c r="O20" s="30" t="s">
        <v>214</v>
      </c>
      <c r="P20" s="30" t="s">
        <v>215</v>
      </c>
      <c r="Q20" s="147" t="s">
        <v>216</v>
      </c>
      <c r="S20" s="248" t="s">
        <v>373</v>
      </c>
      <c r="U20" s="175">
        <v>2021</v>
      </c>
      <c r="V20" s="179">
        <f t="shared" si="5"/>
        <v>191599.1</v>
      </c>
    </row>
    <row r="21" spans="2:22" ht="15.6" x14ac:dyDescent="0.3">
      <c r="B21" s="252"/>
      <c r="C21" s="27" t="s">
        <v>217</v>
      </c>
      <c r="D21" s="86" t="s">
        <v>218</v>
      </c>
      <c r="E21" s="27" t="s">
        <v>217</v>
      </c>
      <c r="F21" s="103" t="s">
        <v>218</v>
      </c>
      <c r="G21" s="103" t="s">
        <v>218</v>
      </c>
      <c r="H21" s="103" t="s">
        <v>218</v>
      </c>
      <c r="I21" s="148" t="s">
        <v>217</v>
      </c>
      <c r="J21" s="254"/>
      <c r="K21" s="27" t="s">
        <v>217</v>
      </c>
      <c r="L21" s="86" t="s">
        <v>218</v>
      </c>
      <c r="M21" s="27" t="s">
        <v>217</v>
      </c>
      <c r="N21" s="103" t="s">
        <v>218</v>
      </c>
      <c r="O21" s="103" t="s">
        <v>218</v>
      </c>
      <c r="P21" s="103" t="s">
        <v>218</v>
      </c>
      <c r="Q21" s="148" t="s">
        <v>217</v>
      </c>
      <c r="S21" s="249"/>
      <c r="U21" s="175">
        <v>2022</v>
      </c>
      <c r="V21" s="179">
        <f t="shared" si="5"/>
        <v>154833.21500000003</v>
      </c>
    </row>
    <row r="22" spans="2:22" ht="16.2" thickBot="1" x14ac:dyDescent="0.35">
      <c r="B22" s="149">
        <v>2018</v>
      </c>
      <c r="C22" s="96">
        <f t="shared" ref="C22:C26" si="6">0.8*E22</f>
        <v>271079.2</v>
      </c>
      <c r="D22" s="161">
        <v>36</v>
      </c>
      <c r="E22" s="163">
        <v>338849</v>
      </c>
      <c r="F22" s="154">
        <v>0</v>
      </c>
      <c r="G22" s="154">
        <v>200</v>
      </c>
      <c r="H22" s="154">
        <v>40</v>
      </c>
      <c r="I22" s="165">
        <f>((C22*D22)-(E22*F22))/(G22-H22)</f>
        <v>60992.820000000007</v>
      </c>
      <c r="J22" s="152">
        <v>2018</v>
      </c>
      <c r="K22" s="96">
        <f t="shared" ref="K22:K27" si="7">0.8*M22</f>
        <v>271079.2</v>
      </c>
      <c r="L22" s="161">
        <v>18</v>
      </c>
      <c r="M22" s="163">
        <v>338849</v>
      </c>
      <c r="N22" s="154">
        <v>0</v>
      </c>
      <c r="O22" s="154">
        <v>100</v>
      </c>
      <c r="P22" s="154">
        <v>20</v>
      </c>
      <c r="Q22" s="165">
        <f>(K22*L22-M22*N22)/(O22-P22)</f>
        <v>60992.820000000007</v>
      </c>
      <c r="S22" s="169">
        <f>MAX(I22,Q22)</f>
        <v>60992.820000000007</v>
      </c>
      <c r="U22" s="176">
        <v>2023</v>
      </c>
      <c r="V22" s="180">
        <f t="shared" si="5"/>
        <v>214638.42</v>
      </c>
    </row>
    <row r="23" spans="2:22" ht="15.6" x14ac:dyDescent="0.3">
      <c r="B23" s="149">
        <v>2019</v>
      </c>
      <c r="C23" s="96">
        <f t="shared" si="6"/>
        <v>223119.2</v>
      </c>
      <c r="D23" s="161">
        <v>36</v>
      </c>
      <c r="E23" s="163">
        <v>278899</v>
      </c>
      <c r="F23" s="154">
        <v>0</v>
      </c>
      <c r="G23" s="154">
        <v>200</v>
      </c>
      <c r="H23" s="154">
        <v>40</v>
      </c>
      <c r="I23" s="165">
        <f>((C23*D23)-(E23*F23))/(G23-H23)</f>
        <v>50201.82</v>
      </c>
      <c r="J23" s="152">
        <v>2019</v>
      </c>
      <c r="K23" s="96">
        <f t="shared" si="7"/>
        <v>223119.2</v>
      </c>
      <c r="L23" s="161">
        <v>18</v>
      </c>
      <c r="M23" s="163">
        <v>278899</v>
      </c>
      <c r="N23" s="154">
        <v>0</v>
      </c>
      <c r="O23" s="154">
        <v>100</v>
      </c>
      <c r="P23" s="154">
        <v>20</v>
      </c>
      <c r="Q23" s="165">
        <f t="shared" ref="Q23:Q27" si="8">(K23*L23-M23*N23)/(O23-P23)</f>
        <v>50201.82</v>
      </c>
      <c r="S23" s="169">
        <f t="shared" ref="S23:S27" si="9">MAX(I23,Q23)</f>
        <v>50201.82</v>
      </c>
      <c r="T23" s="168"/>
      <c r="V23" s="168"/>
    </row>
    <row r="24" spans="2:22" ht="15.6" x14ac:dyDescent="0.3">
      <c r="B24" s="149">
        <v>2020</v>
      </c>
      <c r="C24" s="96">
        <f t="shared" si="6"/>
        <v>172451.20000000001</v>
      </c>
      <c r="D24" s="161">
        <v>36</v>
      </c>
      <c r="E24" s="163">
        <v>215564</v>
      </c>
      <c r="F24" s="154">
        <v>0</v>
      </c>
      <c r="G24" s="154">
        <v>200</v>
      </c>
      <c r="H24" s="154">
        <v>40</v>
      </c>
      <c r="I24" s="165">
        <f t="shared" ref="I24:I26" si="10">(C24*D24-E24*F24)/(G24-H24)</f>
        <v>38801.520000000004</v>
      </c>
      <c r="J24" s="152">
        <v>2020</v>
      </c>
      <c r="K24" s="96">
        <f t="shared" si="7"/>
        <v>172451.20000000001</v>
      </c>
      <c r="L24" s="161">
        <v>18</v>
      </c>
      <c r="M24" s="163">
        <v>215564</v>
      </c>
      <c r="N24" s="154">
        <v>0</v>
      </c>
      <c r="O24" s="154">
        <v>100</v>
      </c>
      <c r="P24" s="154">
        <v>20</v>
      </c>
      <c r="Q24" s="165">
        <f t="shared" si="8"/>
        <v>38801.520000000004</v>
      </c>
      <c r="S24" s="169">
        <f t="shared" si="9"/>
        <v>38801.520000000004</v>
      </c>
    </row>
    <row r="25" spans="2:22" ht="15.6" x14ac:dyDescent="0.3">
      <c r="B25" s="149">
        <v>2021</v>
      </c>
      <c r="C25" s="96">
        <f t="shared" si="6"/>
        <v>183568</v>
      </c>
      <c r="D25" s="161">
        <v>36</v>
      </c>
      <c r="E25" s="163">
        <v>229460</v>
      </c>
      <c r="F25" s="154">
        <v>0</v>
      </c>
      <c r="G25" s="154">
        <v>200</v>
      </c>
      <c r="H25" s="154">
        <v>40</v>
      </c>
      <c r="I25" s="165">
        <f t="shared" si="10"/>
        <v>41302.800000000003</v>
      </c>
      <c r="J25" s="152">
        <v>2021</v>
      </c>
      <c r="K25" s="96">
        <f t="shared" si="7"/>
        <v>183568</v>
      </c>
      <c r="L25" s="161">
        <v>18</v>
      </c>
      <c r="M25" s="163">
        <v>229460</v>
      </c>
      <c r="N25" s="154">
        <v>0</v>
      </c>
      <c r="O25" s="154">
        <v>100</v>
      </c>
      <c r="P25" s="154">
        <v>20</v>
      </c>
      <c r="Q25" s="165">
        <f t="shared" si="8"/>
        <v>41302.800000000003</v>
      </c>
      <c r="S25" s="169">
        <f t="shared" si="9"/>
        <v>41302.800000000003</v>
      </c>
    </row>
    <row r="26" spans="2:22" ht="15.6" x14ac:dyDescent="0.3">
      <c r="B26" s="149">
        <v>2022</v>
      </c>
      <c r="C26" s="96">
        <f t="shared" si="6"/>
        <v>148343.20000000001</v>
      </c>
      <c r="D26" s="161">
        <v>36</v>
      </c>
      <c r="E26" s="163">
        <v>185429</v>
      </c>
      <c r="F26" s="154">
        <v>0</v>
      </c>
      <c r="G26" s="154">
        <v>200</v>
      </c>
      <c r="H26" s="154">
        <v>40</v>
      </c>
      <c r="I26" s="165">
        <f t="shared" si="10"/>
        <v>33377.22</v>
      </c>
      <c r="J26" s="152">
        <v>2022</v>
      </c>
      <c r="K26" s="96">
        <f t="shared" si="7"/>
        <v>148343.20000000001</v>
      </c>
      <c r="L26" s="161">
        <v>18</v>
      </c>
      <c r="M26" s="163">
        <v>185429</v>
      </c>
      <c r="N26" s="154">
        <v>0</v>
      </c>
      <c r="O26" s="154">
        <v>100</v>
      </c>
      <c r="P26" s="154">
        <v>20</v>
      </c>
      <c r="Q26" s="165">
        <f t="shared" si="8"/>
        <v>33377.22</v>
      </c>
      <c r="S26" s="169">
        <f t="shared" si="9"/>
        <v>33377.22</v>
      </c>
    </row>
    <row r="27" spans="2:22" ht="16.2" thickBot="1" x14ac:dyDescent="0.35">
      <c r="B27" s="150">
        <v>2023</v>
      </c>
      <c r="C27" s="151">
        <f>0.8*E27</f>
        <v>205641.60000000001</v>
      </c>
      <c r="D27" s="162">
        <v>36</v>
      </c>
      <c r="E27" s="164">
        <v>257052</v>
      </c>
      <c r="F27" s="155">
        <v>0</v>
      </c>
      <c r="G27" s="155">
        <v>200</v>
      </c>
      <c r="H27" s="156">
        <v>40</v>
      </c>
      <c r="I27" s="166">
        <f>(C27*D27-E27*F27)/(G27-H27)</f>
        <v>46269.36</v>
      </c>
      <c r="J27" s="153">
        <v>2023</v>
      </c>
      <c r="K27" s="151">
        <f t="shared" si="7"/>
        <v>205641.60000000001</v>
      </c>
      <c r="L27" s="162">
        <v>18</v>
      </c>
      <c r="M27" s="164">
        <v>257052</v>
      </c>
      <c r="N27" s="155">
        <v>0</v>
      </c>
      <c r="O27" s="155">
        <v>100</v>
      </c>
      <c r="P27" s="156">
        <v>20</v>
      </c>
      <c r="Q27" s="166">
        <f t="shared" si="8"/>
        <v>46269.36</v>
      </c>
      <c r="S27" s="170">
        <f t="shared" si="9"/>
        <v>46269.36</v>
      </c>
    </row>
    <row r="28" spans="2:22" thickBot="1" x14ac:dyDescent="0.35">
      <c r="H28" s="171"/>
      <c r="I28" s="172"/>
      <c r="P28" s="173"/>
      <c r="Q28" s="174"/>
    </row>
  </sheetData>
  <mergeCells count="13">
    <mergeCell ref="B6:Q6"/>
    <mergeCell ref="B8:B9"/>
    <mergeCell ref="B7:I7"/>
    <mergeCell ref="J7:Q7"/>
    <mergeCell ref="J8:J9"/>
    <mergeCell ref="S8:S9"/>
    <mergeCell ref="S20:S21"/>
    <mergeCell ref="U15:V15"/>
    <mergeCell ref="B20:B21"/>
    <mergeCell ref="J20:J21"/>
    <mergeCell ref="B18:Q18"/>
    <mergeCell ref="B19:I19"/>
    <mergeCell ref="J19:Q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C8222-D1E9-4D47-A9AA-C7F2723C0784}">
  <dimension ref="B2:K53"/>
  <sheetViews>
    <sheetView topLeftCell="A21" workbookViewId="0">
      <selection activeCell="C53" sqref="C53"/>
    </sheetView>
  </sheetViews>
  <sheetFormatPr baseColWidth="10" defaultColWidth="11.44140625" defaultRowHeight="14.4" x14ac:dyDescent="0.3"/>
  <cols>
    <col min="2" max="2" width="41.88671875" customWidth="1"/>
    <col min="3" max="3" width="15.88671875" customWidth="1"/>
    <col min="4" max="4" width="25.6640625" customWidth="1"/>
    <col min="5" max="5" width="24.88671875" customWidth="1"/>
  </cols>
  <sheetData>
    <row r="2" spans="2:7" ht="15.6" x14ac:dyDescent="0.3">
      <c r="B2" s="264" t="s">
        <v>220</v>
      </c>
      <c r="C2" s="264"/>
      <c r="D2" s="264"/>
      <c r="E2" s="264"/>
      <c r="F2" s="264"/>
      <c r="G2" s="264"/>
    </row>
    <row r="3" spans="2:7" x14ac:dyDescent="0.3">
      <c r="B3" s="58" t="s">
        <v>221</v>
      </c>
      <c r="C3" s="58" t="s">
        <v>222</v>
      </c>
      <c r="D3" s="58" t="s">
        <v>222</v>
      </c>
      <c r="E3" s="58" t="s">
        <v>223</v>
      </c>
      <c r="F3" s="273" t="s">
        <v>224</v>
      </c>
      <c r="G3" s="274"/>
    </row>
    <row r="4" spans="2:7" x14ac:dyDescent="0.3">
      <c r="B4" s="39" t="s">
        <v>225</v>
      </c>
      <c r="C4" s="112">
        <v>86</v>
      </c>
      <c r="D4" s="112">
        <f>C4*12</f>
        <v>1032</v>
      </c>
      <c r="E4" s="40">
        <v>5.0599999999999996</v>
      </c>
      <c r="F4" s="40">
        <f t="shared" ref="F4:F15" si="0">E4*D4</f>
        <v>5221.9199999999992</v>
      </c>
      <c r="G4" s="38" t="s">
        <v>226</v>
      </c>
    </row>
    <row r="5" spans="2:7" x14ac:dyDescent="0.3">
      <c r="B5" s="39" t="s">
        <v>227</v>
      </c>
      <c r="C5" s="40">
        <v>23</v>
      </c>
      <c r="D5" s="40">
        <v>23</v>
      </c>
      <c r="E5" s="40">
        <v>5.0599999999999996</v>
      </c>
      <c r="F5" s="40">
        <f t="shared" si="0"/>
        <v>116.38</v>
      </c>
      <c r="G5" s="38" t="s">
        <v>226</v>
      </c>
    </row>
    <row r="6" spans="2:7" x14ac:dyDescent="0.3">
      <c r="B6" s="39" t="s">
        <v>228</v>
      </c>
      <c r="C6" s="112">
        <v>168</v>
      </c>
      <c r="D6" s="112">
        <f>168*25</f>
        <v>4200</v>
      </c>
      <c r="E6" s="40">
        <v>5.0599999999999996</v>
      </c>
      <c r="F6" s="40">
        <f t="shared" si="0"/>
        <v>21252</v>
      </c>
      <c r="G6" s="38" t="s">
        <v>226</v>
      </c>
    </row>
    <row r="7" spans="2:7" x14ac:dyDescent="0.3">
      <c r="B7" s="39" t="s">
        <v>229</v>
      </c>
      <c r="C7" s="112">
        <v>299</v>
      </c>
      <c r="D7" s="112">
        <f>299*100</f>
        <v>29900</v>
      </c>
      <c r="E7" s="40">
        <v>5.4</v>
      </c>
      <c r="F7" s="40">
        <f t="shared" si="0"/>
        <v>161460</v>
      </c>
      <c r="G7" s="38" t="s">
        <v>226</v>
      </c>
    </row>
    <row r="8" spans="2:7" x14ac:dyDescent="0.3">
      <c r="B8" s="39" t="s">
        <v>230</v>
      </c>
      <c r="C8" s="41">
        <v>25785</v>
      </c>
      <c r="D8" s="41">
        <v>25785</v>
      </c>
      <c r="E8" s="41">
        <v>3.7</v>
      </c>
      <c r="F8" s="41">
        <f t="shared" si="0"/>
        <v>95404.5</v>
      </c>
      <c r="G8" s="38" t="s">
        <v>226</v>
      </c>
    </row>
    <row r="9" spans="2:7" x14ac:dyDescent="0.3">
      <c r="B9" s="39" t="s">
        <v>231</v>
      </c>
      <c r="C9" s="41">
        <v>347</v>
      </c>
      <c r="D9" s="41">
        <v>347</v>
      </c>
      <c r="E9" s="41">
        <v>3.7</v>
      </c>
      <c r="F9" s="41">
        <f t="shared" si="0"/>
        <v>1283.9000000000001</v>
      </c>
      <c r="G9" s="38" t="s">
        <v>226</v>
      </c>
    </row>
    <row r="10" spans="2:7" x14ac:dyDescent="0.3">
      <c r="B10" s="39" t="s">
        <v>232</v>
      </c>
      <c r="C10" s="41">
        <v>420</v>
      </c>
      <c r="D10" s="41">
        <v>420</v>
      </c>
      <c r="E10" s="41">
        <v>3.7</v>
      </c>
      <c r="F10" s="41">
        <f t="shared" si="0"/>
        <v>1554</v>
      </c>
      <c r="G10" s="38" t="s">
        <v>226</v>
      </c>
    </row>
    <row r="11" spans="2:7" x14ac:dyDescent="0.3">
      <c r="B11" s="39" t="s">
        <v>233</v>
      </c>
      <c r="C11" s="41">
        <v>120</v>
      </c>
      <c r="D11" s="41">
        <v>120</v>
      </c>
      <c r="E11" s="41">
        <v>3.7</v>
      </c>
      <c r="F11" s="41">
        <f t="shared" si="0"/>
        <v>444</v>
      </c>
      <c r="G11" s="38" t="s">
        <v>226</v>
      </c>
    </row>
    <row r="12" spans="2:7" x14ac:dyDescent="0.3">
      <c r="B12" s="39" t="s">
        <v>234</v>
      </c>
      <c r="C12" s="41">
        <v>10</v>
      </c>
      <c r="D12" s="41">
        <v>10</v>
      </c>
      <c r="E12" s="41">
        <v>3.7</v>
      </c>
      <c r="F12" s="41">
        <f t="shared" si="0"/>
        <v>37</v>
      </c>
      <c r="G12" s="38" t="s">
        <v>226</v>
      </c>
    </row>
    <row r="13" spans="2:7" x14ac:dyDescent="0.3">
      <c r="B13" s="39" t="s">
        <v>235</v>
      </c>
      <c r="C13" s="41">
        <v>27</v>
      </c>
      <c r="D13" s="41">
        <v>27</v>
      </c>
      <c r="E13" s="41">
        <v>3.7</v>
      </c>
      <c r="F13" s="41">
        <f t="shared" si="0"/>
        <v>99.9</v>
      </c>
      <c r="G13" s="38" t="s">
        <v>226</v>
      </c>
    </row>
    <row r="14" spans="2:7" x14ac:dyDescent="0.3">
      <c r="B14" s="42" t="s">
        <v>236</v>
      </c>
      <c r="C14" s="43">
        <v>167</v>
      </c>
      <c r="D14" s="43">
        <v>167</v>
      </c>
      <c r="E14" s="41">
        <v>3.7</v>
      </c>
      <c r="F14" s="41">
        <f t="shared" si="0"/>
        <v>617.9</v>
      </c>
      <c r="G14" s="38" t="s">
        <v>226</v>
      </c>
    </row>
    <row r="15" spans="2:7" x14ac:dyDescent="0.3">
      <c r="B15" s="39" t="s">
        <v>237</v>
      </c>
      <c r="C15" s="41">
        <v>577</v>
      </c>
      <c r="D15" s="41">
        <v>577</v>
      </c>
      <c r="E15" s="44">
        <v>3.7</v>
      </c>
      <c r="F15" s="41">
        <f t="shared" si="0"/>
        <v>2134.9</v>
      </c>
      <c r="G15" s="38" t="s">
        <v>226</v>
      </c>
    </row>
    <row r="16" spans="2:7" x14ac:dyDescent="0.3">
      <c r="B16" s="45"/>
      <c r="C16" s="46"/>
      <c r="D16" s="46"/>
      <c r="E16" s="114" t="s">
        <v>238</v>
      </c>
      <c r="F16" s="67">
        <f>SUM(F4:F15)</f>
        <v>289626.40000000008</v>
      </c>
      <c r="G16" s="68" t="s">
        <v>226</v>
      </c>
    </row>
    <row r="17" spans="2:11" x14ac:dyDescent="0.3">
      <c r="B17" s="45"/>
      <c r="C17" s="46"/>
      <c r="D17" s="46"/>
      <c r="E17" s="115"/>
      <c r="F17" s="69">
        <f>F16/1000</f>
        <v>289.6264000000001</v>
      </c>
      <c r="G17" s="68" t="s">
        <v>194</v>
      </c>
    </row>
    <row r="18" spans="2:11" ht="15.6" x14ac:dyDescent="0.3">
      <c r="B18" s="264" t="s">
        <v>239</v>
      </c>
      <c r="C18" s="264"/>
      <c r="D18" s="264"/>
      <c r="E18" s="264"/>
      <c r="F18" s="264"/>
      <c r="G18" s="45"/>
    </row>
    <row r="19" spans="2:11" x14ac:dyDescent="0.3">
      <c r="B19" s="8" t="s">
        <v>221</v>
      </c>
      <c r="C19" s="8" t="s">
        <v>222</v>
      </c>
      <c r="D19" s="8" t="s">
        <v>240</v>
      </c>
      <c r="E19" s="200" t="s">
        <v>224</v>
      </c>
      <c r="F19" s="200"/>
      <c r="I19" s="116" t="s">
        <v>173</v>
      </c>
      <c r="J19" s="116" t="s">
        <v>226</v>
      </c>
    </row>
    <row r="20" spans="2:11" x14ac:dyDescent="0.3">
      <c r="B20" s="9" t="s">
        <v>241</v>
      </c>
      <c r="C20" s="48">
        <v>12102</v>
      </c>
      <c r="D20" s="48">
        <v>10</v>
      </c>
      <c r="E20" s="48">
        <f>C20*D20</f>
        <v>121020</v>
      </c>
      <c r="F20" s="9" t="s">
        <v>226</v>
      </c>
    </row>
    <row r="21" spans="2:11" x14ac:dyDescent="0.3">
      <c r="B21" s="9" t="s">
        <v>242</v>
      </c>
      <c r="C21" s="48">
        <v>6129</v>
      </c>
      <c r="D21" s="49">
        <v>10</v>
      </c>
      <c r="E21" s="49">
        <f>C21*D21</f>
        <v>61290</v>
      </c>
      <c r="F21" s="9" t="s">
        <v>226</v>
      </c>
      <c r="H21" t="s">
        <v>243</v>
      </c>
      <c r="I21">
        <v>540</v>
      </c>
      <c r="J21">
        <f>I21/100</f>
        <v>5.4</v>
      </c>
      <c r="K21" t="s">
        <v>244</v>
      </c>
    </row>
    <row r="22" spans="2:11" x14ac:dyDescent="0.3">
      <c r="B22" s="1"/>
      <c r="C22" s="50"/>
      <c r="D22" s="275" t="s">
        <v>238</v>
      </c>
      <c r="E22" s="71">
        <f>E20+E21</f>
        <v>182310</v>
      </c>
      <c r="F22" s="64" t="s">
        <v>226</v>
      </c>
      <c r="H22" t="s">
        <v>245</v>
      </c>
      <c r="I22">
        <v>506</v>
      </c>
      <c r="J22">
        <f>I22/100</f>
        <v>5.0599999999999996</v>
      </c>
    </row>
    <row r="23" spans="2:11" x14ac:dyDescent="0.3">
      <c r="B23" s="1"/>
      <c r="C23" s="50"/>
      <c r="D23" s="276"/>
      <c r="E23" s="71">
        <f>E22/1000</f>
        <v>182.31</v>
      </c>
      <c r="F23" s="64" t="s">
        <v>194</v>
      </c>
    </row>
    <row r="25" spans="2:11" ht="15.6" x14ac:dyDescent="0.3">
      <c r="B25" s="264" t="s">
        <v>246</v>
      </c>
      <c r="C25" s="264"/>
      <c r="D25" s="264"/>
      <c r="E25" s="264"/>
      <c r="F25" s="264"/>
    </row>
    <row r="26" spans="2:11" x14ac:dyDescent="0.3">
      <c r="B26" s="51" t="s">
        <v>247</v>
      </c>
      <c r="C26" s="51" t="s">
        <v>248</v>
      </c>
      <c r="D26" s="51" t="s">
        <v>240</v>
      </c>
      <c r="E26" s="266" t="s">
        <v>224</v>
      </c>
      <c r="F26" s="266"/>
    </row>
    <row r="27" spans="2:11" x14ac:dyDescent="0.3">
      <c r="B27" s="38" t="s">
        <v>249</v>
      </c>
      <c r="C27" s="47">
        <f>Bienes!M7</f>
        <v>161.14285714285714</v>
      </c>
      <c r="D27" s="40">
        <v>8900</v>
      </c>
      <c r="E27" s="40">
        <f>C27*D27</f>
        <v>1434171.4285714286</v>
      </c>
      <c r="F27" s="38" t="s">
        <v>226</v>
      </c>
    </row>
    <row r="28" spans="2:11" x14ac:dyDescent="0.3">
      <c r="B28" s="38" t="s">
        <v>250</v>
      </c>
      <c r="C28" s="47">
        <f>Bienes!N7</f>
        <v>187.88888888888889</v>
      </c>
      <c r="D28" s="40">
        <v>450</v>
      </c>
      <c r="E28" s="40">
        <f>C28*D28</f>
        <v>84550</v>
      </c>
      <c r="F28" s="38" t="s">
        <v>226</v>
      </c>
    </row>
    <row r="29" spans="2:11" x14ac:dyDescent="0.3">
      <c r="B29" s="38" t="s">
        <v>251</v>
      </c>
      <c r="C29" s="47">
        <f>Bienes!O7</f>
        <v>239.2</v>
      </c>
      <c r="D29" s="40">
        <v>1500</v>
      </c>
      <c r="E29" s="40">
        <f>C29*D29</f>
        <v>358800</v>
      </c>
      <c r="F29" s="38" t="s">
        <v>226</v>
      </c>
    </row>
    <row r="30" spans="2:11" x14ac:dyDescent="0.3">
      <c r="B30" s="38" t="s">
        <v>252</v>
      </c>
      <c r="C30" s="47">
        <f>Bienes!P7</f>
        <v>326.42857142857144</v>
      </c>
      <c r="D30" s="40">
        <v>555</v>
      </c>
      <c r="E30" s="40">
        <f>C30*D30</f>
        <v>181167.85714285716</v>
      </c>
      <c r="F30" s="38" t="s">
        <v>226</v>
      </c>
    </row>
    <row r="31" spans="2:11" x14ac:dyDescent="0.3">
      <c r="B31" s="38" t="s">
        <v>253</v>
      </c>
      <c r="C31" s="47">
        <f>Bienes!Q7</f>
        <v>254.93333333333334</v>
      </c>
      <c r="D31" s="40">
        <v>180</v>
      </c>
      <c r="E31" s="40">
        <f>C31*D31</f>
        <v>45888</v>
      </c>
      <c r="F31" s="38" t="s">
        <v>226</v>
      </c>
    </row>
    <row r="32" spans="2:11" x14ac:dyDescent="0.3">
      <c r="B32" s="45"/>
      <c r="C32" s="46"/>
      <c r="D32" s="267" t="s">
        <v>238</v>
      </c>
      <c r="E32" s="70">
        <f>SUM(E27:E31)</f>
        <v>2104577.2857142859</v>
      </c>
      <c r="F32" s="68" t="s">
        <v>226</v>
      </c>
    </row>
    <row r="33" spans="2:6" x14ac:dyDescent="0.3">
      <c r="B33" s="45"/>
      <c r="C33" s="46"/>
      <c r="D33" s="268"/>
      <c r="E33" s="70">
        <f>E32/1000</f>
        <v>2104.5772857142861</v>
      </c>
      <c r="F33" s="68" t="s">
        <v>194</v>
      </c>
    </row>
    <row r="35" spans="2:6" ht="15.6" x14ac:dyDescent="0.3">
      <c r="B35" s="264" t="s">
        <v>254</v>
      </c>
      <c r="C35" s="264"/>
      <c r="D35" s="264"/>
      <c r="E35" s="264"/>
      <c r="F35" s="264"/>
    </row>
    <row r="36" spans="2:6" x14ac:dyDescent="0.3">
      <c r="B36" s="51" t="s">
        <v>247</v>
      </c>
      <c r="C36" s="52" t="s">
        <v>248</v>
      </c>
      <c r="D36" s="51" t="s">
        <v>240</v>
      </c>
      <c r="E36" s="269" t="s">
        <v>224</v>
      </c>
      <c r="F36" s="270"/>
    </row>
    <row r="37" spans="2:6" x14ac:dyDescent="0.3">
      <c r="B37" s="38" t="s">
        <v>255</v>
      </c>
      <c r="C37" s="47">
        <f>Bienes!K7</f>
        <v>308.25</v>
      </c>
      <c r="D37" s="40">
        <f>Bienes!K9</f>
        <v>37800</v>
      </c>
      <c r="E37" s="40">
        <f>C37*D37</f>
        <v>11651850</v>
      </c>
      <c r="F37" s="38" t="s">
        <v>226</v>
      </c>
    </row>
    <row r="38" spans="2:6" x14ac:dyDescent="0.3">
      <c r="B38" s="38" t="s">
        <v>256</v>
      </c>
      <c r="C38" s="47">
        <f>Bienes!L7</f>
        <v>3.875</v>
      </c>
      <c r="D38" s="40">
        <f>Bienes!L9</f>
        <v>400</v>
      </c>
      <c r="E38" s="40">
        <f>C38*D38</f>
        <v>1550</v>
      </c>
      <c r="F38" s="38" t="s">
        <v>226</v>
      </c>
    </row>
    <row r="39" spans="2:6" x14ac:dyDescent="0.3">
      <c r="B39" s="45"/>
      <c r="C39" s="46"/>
      <c r="D39" s="271" t="s">
        <v>238</v>
      </c>
      <c r="E39" s="65">
        <f>SUM(E37:E38)</f>
        <v>11653400</v>
      </c>
      <c r="F39" s="66" t="s">
        <v>226</v>
      </c>
    </row>
    <row r="40" spans="2:6" x14ac:dyDescent="0.3">
      <c r="B40" s="45"/>
      <c r="C40" s="46"/>
      <c r="D40" s="272"/>
      <c r="E40" s="65">
        <f>E39/1000</f>
        <v>11653.4</v>
      </c>
      <c r="F40" s="66" t="s">
        <v>194</v>
      </c>
    </row>
    <row r="42" spans="2:6" ht="15.6" x14ac:dyDescent="0.3">
      <c r="B42" s="262" t="s">
        <v>257</v>
      </c>
      <c r="C42" s="263"/>
      <c r="D42" s="263"/>
      <c r="E42" s="263"/>
    </row>
    <row r="43" spans="2:6" ht="31.2" x14ac:dyDescent="0.3">
      <c r="B43" s="53" t="s">
        <v>117</v>
      </c>
      <c r="C43" s="54" t="s">
        <v>258</v>
      </c>
      <c r="D43" s="54" t="s">
        <v>259</v>
      </c>
      <c r="E43" s="54" t="s">
        <v>260</v>
      </c>
    </row>
    <row r="44" spans="2:6" ht="15.6" x14ac:dyDescent="0.3">
      <c r="B44" s="55">
        <v>2023</v>
      </c>
      <c r="C44" s="56">
        <v>12436200</v>
      </c>
      <c r="D44" s="56">
        <f>C44/277.78</f>
        <v>44769.961840305281</v>
      </c>
      <c r="E44" s="57">
        <f>+D44*22.3</f>
        <v>998370.14903880784</v>
      </c>
    </row>
    <row r="46" spans="2:6" ht="15.6" x14ac:dyDescent="0.3">
      <c r="B46" s="264" t="s">
        <v>261</v>
      </c>
      <c r="C46" s="265"/>
    </row>
    <row r="47" spans="2:6" ht="28.5" customHeight="1" x14ac:dyDescent="0.3">
      <c r="B47" s="62" t="s">
        <v>262</v>
      </c>
      <c r="C47" s="54" t="s">
        <v>263</v>
      </c>
      <c r="D47" s="61"/>
      <c r="E47" s="61"/>
    </row>
    <row r="48" spans="2:6" ht="15.6" x14ac:dyDescent="0.3">
      <c r="B48" s="59" t="s">
        <v>264</v>
      </c>
      <c r="C48" s="63">
        <f>F17</f>
        <v>289.6264000000001</v>
      </c>
      <c r="D48" s="128">
        <f>C48/$C$53</f>
        <v>2.8602249857730155E-4</v>
      </c>
    </row>
    <row r="49" spans="2:4" ht="15.6" x14ac:dyDescent="0.3">
      <c r="B49" s="55" t="s">
        <v>265</v>
      </c>
      <c r="C49" s="60">
        <f>E23</f>
        <v>182.31</v>
      </c>
      <c r="D49" s="128">
        <f t="shared" ref="D49:D51" si="1">C49/$C$53</f>
        <v>1.8004146623245613E-4</v>
      </c>
    </row>
    <row r="50" spans="2:4" x14ac:dyDescent="0.3">
      <c r="B50" s="9" t="s">
        <v>266</v>
      </c>
      <c r="C50" s="60">
        <f>E33</f>
        <v>2104.5772857142861</v>
      </c>
      <c r="D50" s="128">
        <f t="shared" si="1"/>
        <v>2.0783894482997245E-3</v>
      </c>
    </row>
    <row r="51" spans="2:4" x14ac:dyDescent="0.3">
      <c r="B51" s="9" t="s">
        <v>267</v>
      </c>
      <c r="C51" s="60">
        <f>E40</f>
        <v>11653.4</v>
      </c>
      <c r="D51" s="128">
        <f t="shared" si="1"/>
        <v>1.1508393519792135E-2</v>
      </c>
    </row>
    <row r="52" spans="2:4" x14ac:dyDescent="0.3">
      <c r="B52" s="9" t="s">
        <v>268</v>
      </c>
      <c r="C52" s="60">
        <f>E44</f>
        <v>998370.14903880784</v>
      </c>
      <c r="D52" s="128">
        <f>C52/C53</f>
        <v>0.98594715306709846</v>
      </c>
    </row>
    <row r="53" spans="2:4" x14ac:dyDescent="0.3">
      <c r="B53" s="64" t="s">
        <v>25</v>
      </c>
      <c r="C53" s="113">
        <f>SUM(C48:C52)</f>
        <v>1012600.0627245221</v>
      </c>
    </row>
  </sheetData>
  <mergeCells count="13">
    <mergeCell ref="B2:G2"/>
    <mergeCell ref="F3:G3"/>
    <mergeCell ref="B18:F18"/>
    <mergeCell ref="E19:F19"/>
    <mergeCell ref="D22:D23"/>
    <mergeCell ref="B42:E42"/>
    <mergeCell ref="B46:C46"/>
    <mergeCell ref="B25:F25"/>
    <mergeCell ref="E26:F26"/>
    <mergeCell ref="D32:D33"/>
    <mergeCell ref="B35:F35"/>
    <mergeCell ref="E36:F36"/>
    <mergeCell ref="D39:D4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6FCC6-4EA0-4D3F-B47E-52ED80D34D78}">
  <dimension ref="B2:L15"/>
  <sheetViews>
    <sheetView topLeftCell="F1" workbookViewId="0">
      <selection activeCell="J3" sqref="J3"/>
    </sheetView>
  </sheetViews>
  <sheetFormatPr baseColWidth="10" defaultColWidth="11.44140625" defaultRowHeight="14.4" x14ac:dyDescent="0.3"/>
  <cols>
    <col min="10" max="10" width="14.109375" customWidth="1"/>
    <col min="11" max="11" width="15.5546875" bestFit="1" customWidth="1"/>
  </cols>
  <sheetData>
    <row r="2" spans="2:12" x14ac:dyDescent="0.3">
      <c r="B2" t="s">
        <v>269</v>
      </c>
    </row>
    <row r="4" spans="2:12" ht="15.6" x14ac:dyDescent="0.3">
      <c r="H4" s="277" t="s">
        <v>257</v>
      </c>
      <c r="I4" s="278"/>
      <c r="J4" s="278"/>
      <c r="K4" s="278"/>
    </row>
    <row r="5" spans="2:12" ht="46.8" x14ac:dyDescent="0.3">
      <c r="H5" s="53" t="s">
        <v>117</v>
      </c>
      <c r="I5" s="54" t="s">
        <v>258</v>
      </c>
      <c r="J5" s="54" t="s">
        <v>259</v>
      </c>
      <c r="K5" s="54" t="s">
        <v>260</v>
      </c>
    </row>
    <row r="6" spans="2:12" ht="15.6" x14ac:dyDescent="0.3">
      <c r="H6" s="55">
        <v>2019</v>
      </c>
      <c r="I6" s="56">
        <v>13083000</v>
      </c>
      <c r="J6" s="56">
        <f>I6/277.78</f>
        <v>47098.423212614303</v>
      </c>
      <c r="K6" s="57">
        <f>+J6*22.3</f>
        <v>1050294.837641299</v>
      </c>
    </row>
    <row r="7" spans="2:12" ht="15.6" x14ac:dyDescent="0.3">
      <c r="H7" s="55">
        <v>2020</v>
      </c>
      <c r="I7" s="56">
        <v>7345800</v>
      </c>
      <c r="J7" s="56">
        <f>I7/277.78</f>
        <v>26444.668442652463</v>
      </c>
      <c r="K7" s="57">
        <f t="shared" ref="K7:K9" si="0">+J7*22.3</f>
        <v>589716.10627114994</v>
      </c>
    </row>
    <row r="8" spans="2:12" ht="15.6" x14ac:dyDescent="0.3">
      <c r="H8" s="55">
        <v>2021</v>
      </c>
      <c r="I8" s="56">
        <v>6883800</v>
      </c>
      <c r="J8" s="56">
        <f t="shared" ref="J8:J9" si="1">I8/277.78</f>
        <v>24781.481748146016</v>
      </c>
      <c r="K8" s="57">
        <f t="shared" si="0"/>
        <v>552627.04298365617</v>
      </c>
    </row>
    <row r="9" spans="2:12" ht="15.6" x14ac:dyDescent="0.3">
      <c r="H9" s="55">
        <v>2022</v>
      </c>
      <c r="I9" s="56">
        <v>9710400</v>
      </c>
      <c r="J9" s="56">
        <f t="shared" si="1"/>
        <v>34957.160342717259</v>
      </c>
      <c r="K9" s="57">
        <f t="shared" si="0"/>
        <v>779544.67564259493</v>
      </c>
    </row>
    <row r="10" spans="2:12" ht="15.6" x14ac:dyDescent="0.3">
      <c r="H10" s="55">
        <v>2023</v>
      </c>
      <c r="I10" s="56">
        <v>12436200</v>
      </c>
      <c r="J10" s="56">
        <f>I10/277.78</f>
        <v>44769.961840305281</v>
      </c>
      <c r="K10" s="111">
        <f>+J10*22.3</f>
        <v>998370.14903880784</v>
      </c>
    </row>
    <row r="15" spans="2:12" x14ac:dyDescent="0.3">
      <c r="L15" s="129" t="s">
        <v>270</v>
      </c>
    </row>
  </sheetData>
  <mergeCells count="1">
    <mergeCell ref="H4:K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F2E72-2821-4E08-A1F9-4DD32243DB11}">
  <dimension ref="G11:I17"/>
  <sheetViews>
    <sheetView workbookViewId="0">
      <selection activeCell="K13" sqref="K13"/>
    </sheetView>
  </sheetViews>
  <sheetFormatPr baseColWidth="10" defaultRowHeight="14.4" x14ac:dyDescent="0.3"/>
  <cols>
    <col min="7" max="7" width="16.21875" customWidth="1"/>
    <col min="8" max="9" width="14.5546875" style="45" customWidth="1"/>
  </cols>
  <sheetData>
    <row r="11" spans="7:9" x14ac:dyDescent="0.3">
      <c r="G11" s="184" t="s">
        <v>379</v>
      </c>
      <c r="H11" s="184" t="s">
        <v>380</v>
      </c>
      <c r="I11" s="184" t="s">
        <v>381</v>
      </c>
    </row>
    <row r="12" spans="7:9" ht="14.4" customHeight="1" x14ac:dyDescent="0.3">
      <c r="G12" s="185" t="s">
        <v>382</v>
      </c>
      <c r="H12" s="186">
        <v>5.49</v>
      </c>
      <c r="I12" s="186">
        <v>5.6</v>
      </c>
    </row>
    <row r="13" spans="7:9" ht="26.4" customHeight="1" x14ac:dyDescent="0.3">
      <c r="G13" s="185" t="s">
        <v>383</v>
      </c>
      <c r="H13" s="186" t="s">
        <v>384</v>
      </c>
      <c r="I13" s="186" t="s">
        <v>384</v>
      </c>
    </row>
    <row r="14" spans="7:9" ht="14.4" customHeight="1" x14ac:dyDescent="0.3">
      <c r="G14" s="185" t="s">
        <v>385</v>
      </c>
      <c r="H14" s="186" t="s">
        <v>386</v>
      </c>
      <c r="I14" s="186" t="s">
        <v>386</v>
      </c>
    </row>
    <row r="15" spans="7:9" ht="26.4" customHeight="1" x14ac:dyDescent="0.3">
      <c r="G15" s="185" t="s">
        <v>387</v>
      </c>
      <c r="H15" s="186" t="s">
        <v>388</v>
      </c>
      <c r="I15" s="186" t="s">
        <v>389</v>
      </c>
    </row>
    <row r="16" spans="7:9" ht="14.4" customHeight="1" x14ac:dyDescent="0.3">
      <c r="G16" s="185" t="s">
        <v>390</v>
      </c>
      <c r="H16" s="186" t="s">
        <v>391</v>
      </c>
      <c r="I16" s="186" t="s">
        <v>392</v>
      </c>
    </row>
    <row r="17" spans="7:9" ht="14.4" customHeight="1" x14ac:dyDescent="0.3">
      <c r="G17" s="185" t="s">
        <v>393</v>
      </c>
      <c r="H17" s="186">
        <v>27.47</v>
      </c>
      <c r="I17" s="186">
        <v>27.47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014D1-CA70-45A4-B123-5D2E98B6DAE3}">
  <dimension ref="A1:E54"/>
  <sheetViews>
    <sheetView workbookViewId="0">
      <selection activeCell="C6" sqref="C6"/>
    </sheetView>
  </sheetViews>
  <sheetFormatPr baseColWidth="10" defaultColWidth="11.44140625" defaultRowHeight="14.4" x14ac:dyDescent="0.3"/>
  <cols>
    <col min="1" max="1" width="52.33203125" style="31" bestFit="1" customWidth="1"/>
    <col min="2" max="2" width="9.109375" style="31" bestFit="1" customWidth="1"/>
    <col min="3" max="3" width="9.6640625" style="31" bestFit="1" customWidth="1"/>
    <col min="4" max="4" width="14.33203125" style="31" bestFit="1" customWidth="1"/>
    <col min="5" max="5" width="11.6640625" style="31" bestFit="1" customWidth="1"/>
    <col min="6" max="256" width="11.44140625" style="31" bestFit="1" customWidth="1"/>
    <col min="257" max="257" width="52.33203125" style="31" bestFit="1" customWidth="1"/>
    <col min="258" max="258" width="9.88671875" style="31" bestFit="1" customWidth="1"/>
    <col min="259" max="259" width="9.6640625" style="31" bestFit="1" customWidth="1"/>
    <col min="260" max="260" width="14.33203125" style="31" bestFit="1" customWidth="1"/>
    <col min="261" max="261" width="11.6640625" style="31" bestFit="1" customWidth="1"/>
    <col min="262" max="512" width="11.44140625" style="31" bestFit="1" customWidth="1"/>
    <col min="513" max="513" width="52.33203125" style="31" bestFit="1" customWidth="1"/>
    <col min="514" max="514" width="9.88671875" style="31" bestFit="1" customWidth="1"/>
    <col min="515" max="515" width="9.6640625" style="31" bestFit="1" customWidth="1"/>
    <col min="516" max="516" width="14.33203125" style="31" bestFit="1" customWidth="1"/>
    <col min="517" max="517" width="11.6640625" style="31" bestFit="1" customWidth="1"/>
    <col min="518" max="768" width="11.44140625" style="31" bestFit="1" customWidth="1"/>
    <col min="769" max="769" width="52.33203125" style="31" bestFit="1" customWidth="1"/>
    <col min="770" max="770" width="9.88671875" style="31" bestFit="1" customWidth="1"/>
    <col min="771" max="771" width="9.6640625" style="31" bestFit="1" customWidth="1"/>
    <col min="772" max="772" width="14.33203125" style="31" bestFit="1" customWidth="1"/>
    <col min="773" max="773" width="11.6640625" style="31" bestFit="1" customWidth="1"/>
    <col min="774" max="1024" width="11.44140625" style="31" bestFit="1" customWidth="1"/>
    <col min="1025" max="1025" width="52.33203125" style="31" bestFit="1" customWidth="1"/>
    <col min="1026" max="1026" width="9.88671875" style="31" bestFit="1" customWidth="1"/>
    <col min="1027" max="1027" width="9.6640625" style="31" bestFit="1" customWidth="1"/>
    <col min="1028" max="1028" width="14.33203125" style="31" bestFit="1" customWidth="1"/>
    <col min="1029" max="1029" width="11.6640625" style="31" bestFit="1" customWidth="1"/>
    <col min="1030" max="1280" width="11.44140625" style="31" bestFit="1" customWidth="1"/>
    <col min="1281" max="1281" width="52.33203125" style="31" bestFit="1" customWidth="1"/>
    <col min="1282" max="1282" width="9.88671875" style="31" bestFit="1" customWidth="1"/>
    <col min="1283" max="1283" width="9.6640625" style="31" bestFit="1" customWidth="1"/>
    <col min="1284" max="1284" width="14.33203125" style="31" bestFit="1" customWidth="1"/>
    <col min="1285" max="1285" width="11.6640625" style="31" bestFit="1" customWidth="1"/>
    <col min="1286" max="1536" width="11.44140625" style="31" bestFit="1" customWidth="1"/>
    <col min="1537" max="1537" width="52.33203125" style="31" bestFit="1" customWidth="1"/>
    <col min="1538" max="1538" width="9.88671875" style="31" bestFit="1" customWidth="1"/>
    <col min="1539" max="1539" width="9.6640625" style="31" bestFit="1" customWidth="1"/>
    <col min="1540" max="1540" width="14.33203125" style="31" bestFit="1" customWidth="1"/>
    <col min="1541" max="1541" width="11.6640625" style="31" bestFit="1" customWidth="1"/>
    <col min="1542" max="1792" width="11.44140625" style="31" bestFit="1" customWidth="1"/>
    <col min="1793" max="1793" width="52.33203125" style="31" bestFit="1" customWidth="1"/>
    <col min="1794" max="1794" width="9.88671875" style="31" bestFit="1" customWidth="1"/>
    <col min="1795" max="1795" width="9.6640625" style="31" bestFit="1" customWidth="1"/>
    <col min="1796" max="1796" width="14.33203125" style="31" bestFit="1" customWidth="1"/>
    <col min="1797" max="1797" width="11.6640625" style="31" bestFit="1" customWidth="1"/>
    <col min="1798" max="2048" width="11.44140625" style="31" bestFit="1" customWidth="1"/>
    <col min="2049" max="2049" width="52.33203125" style="31" bestFit="1" customWidth="1"/>
    <col min="2050" max="2050" width="9.88671875" style="31" bestFit="1" customWidth="1"/>
    <col min="2051" max="2051" width="9.6640625" style="31" bestFit="1" customWidth="1"/>
    <col min="2052" max="2052" width="14.33203125" style="31" bestFit="1" customWidth="1"/>
    <col min="2053" max="2053" width="11.6640625" style="31" bestFit="1" customWidth="1"/>
    <col min="2054" max="2304" width="11.44140625" style="31" bestFit="1" customWidth="1"/>
    <col min="2305" max="2305" width="52.33203125" style="31" bestFit="1" customWidth="1"/>
    <col min="2306" max="2306" width="9.88671875" style="31" bestFit="1" customWidth="1"/>
    <col min="2307" max="2307" width="9.6640625" style="31" bestFit="1" customWidth="1"/>
    <col min="2308" max="2308" width="14.33203125" style="31" bestFit="1" customWidth="1"/>
    <col min="2309" max="2309" width="11.6640625" style="31" bestFit="1" customWidth="1"/>
    <col min="2310" max="2560" width="11.44140625" style="31" bestFit="1" customWidth="1"/>
    <col min="2561" max="2561" width="52.33203125" style="31" bestFit="1" customWidth="1"/>
    <col min="2562" max="2562" width="9.88671875" style="31" bestFit="1" customWidth="1"/>
    <col min="2563" max="2563" width="9.6640625" style="31" bestFit="1" customWidth="1"/>
    <col min="2564" max="2564" width="14.33203125" style="31" bestFit="1" customWidth="1"/>
    <col min="2565" max="2565" width="11.6640625" style="31" bestFit="1" customWidth="1"/>
    <col min="2566" max="2816" width="11.44140625" style="31" bestFit="1" customWidth="1"/>
    <col min="2817" max="2817" width="52.33203125" style="31" bestFit="1" customWidth="1"/>
    <col min="2818" max="2818" width="9.88671875" style="31" bestFit="1" customWidth="1"/>
    <col min="2819" max="2819" width="9.6640625" style="31" bestFit="1" customWidth="1"/>
    <col min="2820" max="2820" width="14.33203125" style="31" bestFit="1" customWidth="1"/>
    <col min="2821" max="2821" width="11.6640625" style="31" bestFit="1" customWidth="1"/>
    <col min="2822" max="3072" width="11.44140625" style="31" bestFit="1" customWidth="1"/>
    <col min="3073" max="3073" width="52.33203125" style="31" bestFit="1" customWidth="1"/>
    <col min="3074" max="3074" width="9.88671875" style="31" bestFit="1" customWidth="1"/>
    <col min="3075" max="3075" width="9.6640625" style="31" bestFit="1" customWidth="1"/>
    <col min="3076" max="3076" width="14.33203125" style="31" bestFit="1" customWidth="1"/>
    <col min="3077" max="3077" width="11.6640625" style="31" bestFit="1" customWidth="1"/>
    <col min="3078" max="3328" width="11.44140625" style="31" bestFit="1" customWidth="1"/>
    <col min="3329" max="3329" width="52.33203125" style="31" bestFit="1" customWidth="1"/>
    <col min="3330" max="3330" width="9.88671875" style="31" bestFit="1" customWidth="1"/>
    <col min="3331" max="3331" width="9.6640625" style="31" bestFit="1" customWidth="1"/>
    <col min="3332" max="3332" width="14.33203125" style="31" bestFit="1" customWidth="1"/>
    <col min="3333" max="3333" width="11.6640625" style="31" bestFit="1" customWidth="1"/>
    <col min="3334" max="3584" width="11.44140625" style="31" bestFit="1" customWidth="1"/>
    <col min="3585" max="3585" width="52.33203125" style="31" bestFit="1" customWidth="1"/>
    <col min="3586" max="3586" width="9.88671875" style="31" bestFit="1" customWidth="1"/>
    <col min="3587" max="3587" width="9.6640625" style="31" bestFit="1" customWidth="1"/>
    <col min="3588" max="3588" width="14.33203125" style="31" bestFit="1" customWidth="1"/>
    <col min="3589" max="3589" width="11.6640625" style="31" bestFit="1" customWidth="1"/>
    <col min="3590" max="3840" width="11.44140625" style="31" bestFit="1" customWidth="1"/>
    <col min="3841" max="3841" width="52.33203125" style="31" bestFit="1" customWidth="1"/>
    <col min="3842" max="3842" width="9.88671875" style="31" bestFit="1" customWidth="1"/>
    <col min="3843" max="3843" width="9.6640625" style="31" bestFit="1" customWidth="1"/>
    <col min="3844" max="3844" width="14.33203125" style="31" bestFit="1" customWidth="1"/>
    <col min="3845" max="3845" width="11.6640625" style="31" bestFit="1" customWidth="1"/>
    <col min="3846" max="4096" width="11.44140625" style="31" bestFit="1" customWidth="1"/>
    <col min="4097" max="4097" width="52.33203125" style="31" bestFit="1" customWidth="1"/>
    <col min="4098" max="4098" width="9.88671875" style="31" bestFit="1" customWidth="1"/>
    <col min="4099" max="4099" width="9.6640625" style="31" bestFit="1" customWidth="1"/>
    <col min="4100" max="4100" width="14.33203125" style="31" bestFit="1" customWidth="1"/>
    <col min="4101" max="4101" width="11.6640625" style="31" bestFit="1" customWidth="1"/>
    <col min="4102" max="4352" width="11.44140625" style="31" bestFit="1" customWidth="1"/>
    <col min="4353" max="4353" width="52.33203125" style="31" bestFit="1" customWidth="1"/>
    <col min="4354" max="4354" width="9.88671875" style="31" bestFit="1" customWidth="1"/>
    <col min="4355" max="4355" width="9.6640625" style="31" bestFit="1" customWidth="1"/>
    <col min="4356" max="4356" width="14.33203125" style="31" bestFit="1" customWidth="1"/>
    <col min="4357" max="4357" width="11.6640625" style="31" bestFit="1" customWidth="1"/>
    <col min="4358" max="4608" width="11.44140625" style="31" bestFit="1" customWidth="1"/>
    <col min="4609" max="4609" width="52.33203125" style="31" bestFit="1" customWidth="1"/>
    <col min="4610" max="4610" width="9.88671875" style="31" bestFit="1" customWidth="1"/>
    <col min="4611" max="4611" width="9.6640625" style="31" bestFit="1" customWidth="1"/>
    <col min="4612" max="4612" width="14.33203125" style="31" bestFit="1" customWidth="1"/>
    <col min="4613" max="4613" width="11.6640625" style="31" bestFit="1" customWidth="1"/>
    <col min="4614" max="4864" width="11.44140625" style="31" bestFit="1" customWidth="1"/>
    <col min="4865" max="4865" width="52.33203125" style="31" bestFit="1" customWidth="1"/>
    <col min="4866" max="4866" width="9.88671875" style="31" bestFit="1" customWidth="1"/>
    <col min="4867" max="4867" width="9.6640625" style="31" bestFit="1" customWidth="1"/>
    <col min="4868" max="4868" width="14.33203125" style="31" bestFit="1" customWidth="1"/>
    <col min="4869" max="4869" width="11.6640625" style="31" bestFit="1" customWidth="1"/>
    <col min="4870" max="5120" width="11.44140625" style="31" bestFit="1" customWidth="1"/>
    <col min="5121" max="5121" width="52.33203125" style="31" bestFit="1" customWidth="1"/>
    <col min="5122" max="5122" width="9.88671875" style="31" bestFit="1" customWidth="1"/>
    <col min="5123" max="5123" width="9.6640625" style="31" bestFit="1" customWidth="1"/>
    <col min="5124" max="5124" width="14.33203125" style="31" bestFit="1" customWidth="1"/>
    <col min="5125" max="5125" width="11.6640625" style="31" bestFit="1" customWidth="1"/>
    <col min="5126" max="5376" width="11.44140625" style="31" bestFit="1" customWidth="1"/>
    <col min="5377" max="5377" width="52.33203125" style="31" bestFit="1" customWidth="1"/>
    <col min="5378" max="5378" width="9.88671875" style="31" bestFit="1" customWidth="1"/>
    <col min="5379" max="5379" width="9.6640625" style="31" bestFit="1" customWidth="1"/>
    <col min="5380" max="5380" width="14.33203125" style="31" bestFit="1" customWidth="1"/>
    <col min="5381" max="5381" width="11.6640625" style="31" bestFit="1" customWidth="1"/>
    <col min="5382" max="5632" width="11.44140625" style="31" bestFit="1" customWidth="1"/>
    <col min="5633" max="5633" width="52.33203125" style="31" bestFit="1" customWidth="1"/>
    <col min="5634" max="5634" width="9.88671875" style="31" bestFit="1" customWidth="1"/>
    <col min="5635" max="5635" width="9.6640625" style="31" bestFit="1" customWidth="1"/>
    <col min="5636" max="5636" width="14.33203125" style="31" bestFit="1" customWidth="1"/>
    <col min="5637" max="5637" width="11.6640625" style="31" bestFit="1" customWidth="1"/>
    <col min="5638" max="5888" width="11.44140625" style="31" bestFit="1" customWidth="1"/>
    <col min="5889" max="5889" width="52.33203125" style="31" bestFit="1" customWidth="1"/>
    <col min="5890" max="5890" width="9.88671875" style="31" bestFit="1" customWidth="1"/>
    <col min="5891" max="5891" width="9.6640625" style="31" bestFit="1" customWidth="1"/>
    <col min="5892" max="5892" width="14.33203125" style="31" bestFit="1" customWidth="1"/>
    <col min="5893" max="5893" width="11.6640625" style="31" bestFit="1" customWidth="1"/>
    <col min="5894" max="6144" width="11.44140625" style="31" bestFit="1" customWidth="1"/>
    <col min="6145" max="6145" width="52.33203125" style="31" bestFit="1" customWidth="1"/>
    <col min="6146" max="6146" width="9.88671875" style="31" bestFit="1" customWidth="1"/>
    <col min="6147" max="6147" width="9.6640625" style="31" bestFit="1" customWidth="1"/>
    <col min="6148" max="6148" width="14.33203125" style="31" bestFit="1" customWidth="1"/>
    <col min="6149" max="6149" width="11.6640625" style="31" bestFit="1" customWidth="1"/>
    <col min="6150" max="6400" width="11.44140625" style="31" bestFit="1" customWidth="1"/>
    <col min="6401" max="6401" width="52.33203125" style="31" bestFit="1" customWidth="1"/>
    <col min="6402" max="6402" width="9.88671875" style="31" bestFit="1" customWidth="1"/>
    <col min="6403" max="6403" width="9.6640625" style="31" bestFit="1" customWidth="1"/>
    <col min="6404" max="6404" width="14.33203125" style="31" bestFit="1" customWidth="1"/>
    <col min="6405" max="6405" width="11.6640625" style="31" bestFit="1" customWidth="1"/>
    <col min="6406" max="6656" width="11.44140625" style="31" bestFit="1" customWidth="1"/>
    <col min="6657" max="6657" width="52.33203125" style="31" bestFit="1" customWidth="1"/>
    <col min="6658" max="6658" width="9.88671875" style="31" bestFit="1" customWidth="1"/>
    <col min="6659" max="6659" width="9.6640625" style="31" bestFit="1" customWidth="1"/>
    <col min="6660" max="6660" width="14.33203125" style="31" bestFit="1" customWidth="1"/>
    <col min="6661" max="6661" width="11.6640625" style="31" bestFit="1" customWidth="1"/>
    <col min="6662" max="6912" width="11.44140625" style="31" bestFit="1" customWidth="1"/>
    <col min="6913" max="6913" width="52.33203125" style="31" bestFit="1" customWidth="1"/>
    <col min="6914" max="6914" width="9.88671875" style="31" bestFit="1" customWidth="1"/>
    <col min="6915" max="6915" width="9.6640625" style="31" bestFit="1" customWidth="1"/>
    <col min="6916" max="6916" width="14.33203125" style="31" bestFit="1" customWidth="1"/>
    <col min="6917" max="6917" width="11.6640625" style="31" bestFit="1" customWidth="1"/>
    <col min="6918" max="7168" width="11.44140625" style="31" bestFit="1" customWidth="1"/>
    <col min="7169" max="7169" width="52.33203125" style="31" bestFit="1" customWidth="1"/>
    <col min="7170" max="7170" width="9.88671875" style="31" bestFit="1" customWidth="1"/>
    <col min="7171" max="7171" width="9.6640625" style="31" bestFit="1" customWidth="1"/>
    <col min="7172" max="7172" width="14.33203125" style="31" bestFit="1" customWidth="1"/>
    <col min="7173" max="7173" width="11.6640625" style="31" bestFit="1" customWidth="1"/>
    <col min="7174" max="7424" width="11.44140625" style="31" bestFit="1" customWidth="1"/>
    <col min="7425" max="7425" width="52.33203125" style="31" bestFit="1" customWidth="1"/>
    <col min="7426" max="7426" width="9.88671875" style="31" bestFit="1" customWidth="1"/>
    <col min="7427" max="7427" width="9.6640625" style="31" bestFit="1" customWidth="1"/>
    <col min="7428" max="7428" width="14.33203125" style="31" bestFit="1" customWidth="1"/>
    <col min="7429" max="7429" width="11.6640625" style="31" bestFit="1" customWidth="1"/>
    <col min="7430" max="7680" width="11.44140625" style="31" bestFit="1" customWidth="1"/>
    <col min="7681" max="7681" width="52.33203125" style="31" bestFit="1" customWidth="1"/>
    <col min="7682" max="7682" width="9.88671875" style="31" bestFit="1" customWidth="1"/>
    <col min="7683" max="7683" width="9.6640625" style="31" bestFit="1" customWidth="1"/>
    <col min="7684" max="7684" width="14.33203125" style="31" bestFit="1" customWidth="1"/>
    <col min="7685" max="7685" width="11.6640625" style="31" bestFit="1" customWidth="1"/>
    <col min="7686" max="7936" width="11.44140625" style="31" bestFit="1" customWidth="1"/>
    <col min="7937" max="7937" width="52.33203125" style="31" bestFit="1" customWidth="1"/>
    <col min="7938" max="7938" width="9.88671875" style="31" bestFit="1" customWidth="1"/>
    <col min="7939" max="7939" width="9.6640625" style="31" bestFit="1" customWidth="1"/>
    <col min="7940" max="7940" width="14.33203125" style="31" bestFit="1" customWidth="1"/>
    <col min="7941" max="7941" width="11.6640625" style="31" bestFit="1" customWidth="1"/>
    <col min="7942" max="8192" width="11.44140625" style="31" bestFit="1" customWidth="1"/>
    <col min="8193" max="8193" width="52.33203125" style="31" bestFit="1" customWidth="1"/>
    <col min="8194" max="8194" width="9.88671875" style="31" bestFit="1" customWidth="1"/>
    <col min="8195" max="8195" width="9.6640625" style="31" bestFit="1" customWidth="1"/>
    <col min="8196" max="8196" width="14.33203125" style="31" bestFit="1" customWidth="1"/>
    <col min="8197" max="8197" width="11.6640625" style="31" bestFit="1" customWidth="1"/>
    <col min="8198" max="8448" width="11.44140625" style="31" bestFit="1" customWidth="1"/>
    <col min="8449" max="8449" width="52.33203125" style="31" bestFit="1" customWidth="1"/>
    <col min="8450" max="8450" width="9.88671875" style="31" bestFit="1" customWidth="1"/>
    <col min="8451" max="8451" width="9.6640625" style="31" bestFit="1" customWidth="1"/>
    <col min="8452" max="8452" width="14.33203125" style="31" bestFit="1" customWidth="1"/>
    <col min="8453" max="8453" width="11.6640625" style="31" bestFit="1" customWidth="1"/>
    <col min="8454" max="8704" width="11.44140625" style="31" bestFit="1" customWidth="1"/>
    <col min="8705" max="8705" width="52.33203125" style="31" bestFit="1" customWidth="1"/>
    <col min="8706" max="8706" width="9.88671875" style="31" bestFit="1" customWidth="1"/>
    <col min="8707" max="8707" width="9.6640625" style="31" bestFit="1" customWidth="1"/>
    <col min="8708" max="8708" width="14.33203125" style="31" bestFit="1" customWidth="1"/>
    <col min="8709" max="8709" width="11.6640625" style="31" bestFit="1" customWidth="1"/>
    <col min="8710" max="8960" width="11.44140625" style="31" bestFit="1" customWidth="1"/>
    <col min="8961" max="8961" width="52.33203125" style="31" bestFit="1" customWidth="1"/>
    <col min="8962" max="8962" width="9.88671875" style="31" bestFit="1" customWidth="1"/>
    <col min="8963" max="8963" width="9.6640625" style="31" bestFit="1" customWidth="1"/>
    <col min="8964" max="8964" width="14.33203125" style="31" bestFit="1" customWidth="1"/>
    <col min="8965" max="8965" width="11.6640625" style="31" bestFit="1" customWidth="1"/>
    <col min="8966" max="9216" width="11.44140625" style="31" bestFit="1" customWidth="1"/>
    <col min="9217" max="9217" width="52.33203125" style="31" bestFit="1" customWidth="1"/>
    <col min="9218" max="9218" width="9.88671875" style="31" bestFit="1" customWidth="1"/>
    <col min="9219" max="9219" width="9.6640625" style="31" bestFit="1" customWidth="1"/>
    <col min="9220" max="9220" width="14.33203125" style="31" bestFit="1" customWidth="1"/>
    <col min="9221" max="9221" width="11.6640625" style="31" bestFit="1" customWidth="1"/>
    <col min="9222" max="9472" width="11.44140625" style="31" bestFit="1" customWidth="1"/>
    <col min="9473" max="9473" width="52.33203125" style="31" bestFit="1" customWidth="1"/>
    <col min="9474" max="9474" width="9.88671875" style="31" bestFit="1" customWidth="1"/>
    <col min="9475" max="9475" width="9.6640625" style="31" bestFit="1" customWidth="1"/>
    <col min="9476" max="9476" width="14.33203125" style="31" bestFit="1" customWidth="1"/>
    <col min="9477" max="9477" width="11.6640625" style="31" bestFit="1" customWidth="1"/>
    <col min="9478" max="9728" width="11.44140625" style="31" bestFit="1" customWidth="1"/>
    <col min="9729" max="9729" width="52.33203125" style="31" bestFit="1" customWidth="1"/>
    <col min="9730" max="9730" width="9.88671875" style="31" bestFit="1" customWidth="1"/>
    <col min="9731" max="9731" width="9.6640625" style="31" bestFit="1" customWidth="1"/>
    <col min="9732" max="9732" width="14.33203125" style="31" bestFit="1" customWidth="1"/>
    <col min="9733" max="9733" width="11.6640625" style="31" bestFit="1" customWidth="1"/>
    <col min="9734" max="9984" width="11.44140625" style="31" bestFit="1" customWidth="1"/>
    <col min="9985" max="9985" width="52.33203125" style="31" bestFit="1" customWidth="1"/>
    <col min="9986" max="9986" width="9.88671875" style="31" bestFit="1" customWidth="1"/>
    <col min="9987" max="9987" width="9.6640625" style="31" bestFit="1" customWidth="1"/>
    <col min="9988" max="9988" width="14.33203125" style="31" bestFit="1" customWidth="1"/>
    <col min="9989" max="9989" width="11.6640625" style="31" bestFit="1" customWidth="1"/>
    <col min="9990" max="10240" width="11.44140625" style="31" bestFit="1" customWidth="1"/>
    <col min="10241" max="10241" width="52.33203125" style="31" bestFit="1" customWidth="1"/>
    <col min="10242" max="10242" width="9.88671875" style="31" bestFit="1" customWidth="1"/>
    <col min="10243" max="10243" width="9.6640625" style="31" bestFit="1" customWidth="1"/>
    <col min="10244" max="10244" width="14.33203125" style="31" bestFit="1" customWidth="1"/>
    <col min="10245" max="10245" width="11.6640625" style="31" bestFit="1" customWidth="1"/>
    <col min="10246" max="10496" width="11.44140625" style="31" bestFit="1" customWidth="1"/>
    <col min="10497" max="10497" width="52.33203125" style="31" bestFit="1" customWidth="1"/>
    <col min="10498" max="10498" width="9.88671875" style="31" bestFit="1" customWidth="1"/>
    <col min="10499" max="10499" width="9.6640625" style="31" bestFit="1" customWidth="1"/>
    <col min="10500" max="10500" width="14.33203125" style="31" bestFit="1" customWidth="1"/>
    <col min="10501" max="10501" width="11.6640625" style="31" bestFit="1" customWidth="1"/>
    <col min="10502" max="10752" width="11.44140625" style="31" bestFit="1" customWidth="1"/>
    <col min="10753" max="10753" width="52.33203125" style="31" bestFit="1" customWidth="1"/>
    <col min="10754" max="10754" width="9.88671875" style="31" bestFit="1" customWidth="1"/>
    <col min="10755" max="10755" width="9.6640625" style="31" bestFit="1" customWidth="1"/>
    <col min="10756" max="10756" width="14.33203125" style="31" bestFit="1" customWidth="1"/>
    <col min="10757" max="10757" width="11.6640625" style="31" bestFit="1" customWidth="1"/>
    <col min="10758" max="11008" width="11.44140625" style="31" bestFit="1" customWidth="1"/>
    <col min="11009" max="11009" width="52.33203125" style="31" bestFit="1" customWidth="1"/>
    <col min="11010" max="11010" width="9.88671875" style="31" bestFit="1" customWidth="1"/>
    <col min="11011" max="11011" width="9.6640625" style="31" bestFit="1" customWidth="1"/>
    <col min="11012" max="11012" width="14.33203125" style="31" bestFit="1" customWidth="1"/>
    <col min="11013" max="11013" width="11.6640625" style="31" bestFit="1" customWidth="1"/>
    <col min="11014" max="11264" width="11.44140625" style="31" bestFit="1" customWidth="1"/>
    <col min="11265" max="11265" width="52.33203125" style="31" bestFit="1" customWidth="1"/>
    <col min="11266" max="11266" width="9.88671875" style="31" bestFit="1" customWidth="1"/>
    <col min="11267" max="11267" width="9.6640625" style="31" bestFit="1" customWidth="1"/>
    <col min="11268" max="11268" width="14.33203125" style="31" bestFit="1" customWidth="1"/>
    <col min="11269" max="11269" width="11.6640625" style="31" bestFit="1" customWidth="1"/>
    <col min="11270" max="11520" width="11.44140625" style="31" bestFit="1" customWidth="1"/>
    <col min="11521" max="11521" width="52.33203125" style="31" bestFit="1" customWidth="1"/>
    <col min="11522" max="11522" width="9.88671875" style="31" bestFit="1" customWidth="1"/>
    <col min="11523" max="11523" width="9.6640625" style="31" bestFit="1" customWidth="1"/>
    <col min="11524" max="11524" width="14.33203125" style="31" bestFit="1" customWidth="1"/>
    <col min="11525" max="11525" width="11.6640625" style="31" bestFit="1" customWidth="1"/>
    <col min="11526" max="11776" width="11.44140625" style="31" bestFit="1" customWidth="1"/>
    <col min="11777" max="11777" width="52.33203125" style="31" bestFit="1" customWidth="1"/>
    <col min="11778" max="11778" width="9.88671875" style="31" bestFit="1" customWidth="1"/>
    <col min="11779" max="11779" width="9.6640625" style="31" bestFit="1" customWidth="1"/>
    <col min="11780" max="11780" width="14.33203125" style="31" bestFit="1" customWidth="1"/>
    <col min="11781" max="11781" width="11.6640625" style="31" bestFit="1" customWidth="1"/>
    <col min="11782" max="12032" width="11.44140625" style="31" bestFit="1" customWidth="1"/>
    <col min="12033" max="12033" width="52.33203125" style="31" bestFit="1" customWidth="1"/>
    <col min="12034" max="12034" width="9.88671875" style="31" bestFit="1" customWidth="1"/>
    <col min="12035" max="12035" width="9.6640625" style="31" bestFit="1" customWidth="1"/>
    <col min="12036" max="12036" width="14.33203125" style="31" bestFit="1" customWidth="1"/>
    <col min="12037" max="12037" width="11.6640625" style="31" bestFit="1" customWidth="1"/>
    <col min="12038" max="12288" width="11.44140625" style="31" bestFit="1" customWidth="1"/>
    <col min="12289" max="12289" width="52.33203125" style="31" bestFit="1" customWidth="1"/>
    <col min="12290" max="12290" width="9.88671875" style="31" bestFit="1" customWidth="1"/>
    <col min="12291" max="12291" width="9.6640625" style="31" bestFit="1" customWidth="1"/>
    <col min="12292" max="12292" width="14.33203125" style="31" bestFit="1" customWidth="1"/>
    <col min="12293" max="12293" width="11.6640625" style="31" bestFit="1" customWidth="1"/>
    <col min="12294" max="12544" width="11.44140625" style="31" bestFit="1" customWidth="1"/>
    <col min="12545" max="12545" width="52.33203125" style="31" bestFit="1" customWidth="1"/>
    <col min="12546" max="12546" width="9.88671875" style="31" bestFit="1" customWidth="1"/>
    <col min="12547" max="12547" width="9.6640625" style="31" bestFit="1" customWidth="1"/>
    <col min="12548" max="12548" width="14.33203125" style="31" bestFit="1" customWidth="1"/>
    <col min="12549" max="12549" width="11.6640625" style="31" bestFit="1" customWidth="1"/>
    <col min="12550" max="12800" width="11.44140625" style="31" bestFit="1" customWidth="1"/>
    <col min="12801" max="12801" width="52.33203125" style="31" bestFit="1" customWidth="1"/>
    <col min="12802" max="12802" width="9.88671875" style="31" bestFit="1" customWidth="1"/>
    <col min="12803" max="12803" width="9.6640625" style="31" bestFit="1" customWidth="1"/>
    <col min="12804" max="12804" width="14.33203125" style="31" bestFit="1" customWidth="1"/>
    <col min="12805" max="12805" width="11.6640625" style="31" bestFit="1" customWidth="1"/>
    <col min="12806" max="13056" width="11.44140625" style="31" bestFit="1" customWidth="1"/>
    <col min="13057" max="13057" width="52.33203125" style="31" bestFit="1" customWidth="1"/>
    <col min="13058" max="13058" width="9.88671875" style="31" bestFit="1" customWidth="1"/>
    <col min="13059" max="13059" width="9.6640625" style="31" bestFit="1" customWidth="1"/>
    <col min="13060" max="13060" width="14.33203125" style="31" bestFit="1" customWidth="1"/>
    <col min="13061" max="13061" width="11.6640625" style="31" bestFit="1" customWidth="1"/>
    <col min="13062" max="13312" width="11.44140625" style="31" bestFit="1" customWidth="1"/>
    <col min="13313" max="13313" width="52.33203125" style="31" bestFit="1" customWidth="1"/>
    <col min="13314" max="13314" width="9.88671875" style="31" bestFit="1" customWidth="1"/>
    <col min="13315" max="13315" width="9.6640625" style="31" bestFit="1" customWidth="1"/>
    <col min="13316" max="13316" width="14.33203125" style="31" bestFit="1" customWidth="1"/>
    <col min="13317" max="13317" width="11.6640625" style="31" bestFit="1" customWidth="1"/>
    <col min="13318" max="13568" width="11.44140625" style="31" bestFit="1" customWidth="1"/>
    <col min="13569" max="13569" width="52.33203125" style="31" bestFit="1" customWidth="1"/>
    <col min="13570" max="13570" width="9.88671875" style="31" bestFit="1" customWidth="1"/>
    <col min="13571" max="13571" width="9.6640625" style="31" bestFit="1" customWidth="1"/>
    <col min="13572" max="13572" width="14.33203125" style="31" bestFit="1" customWidth="1"/>
    <col min="13573" max="13573" width="11.6640625" style="31" bestFit="1" customWidth="1"/>
    <col min="13574" max="13824" width="11.44140625" style="31" bestFit="1" customWidth="1"/>
    <col min="13825" max="13825" width="52.33203125" style="31" bestFit="1" customWidth="1"/>
    <col min="13826" max="13826" width="9.88671875" style="31" bestFit="1" customWidth="1"/>
    <col min="13827" max="13827" width="9.6640625" style="31" bestFit="1" customWidth="1"/>
    <col min="13828" max="13828" width="14.33203125" style="31" bestFit="1" customWidth="1"/>
    <col min="13829" max="13829" width="11.6640625" style="31" bestFit="1" customWidth="1"/>
    <col min="13830" max="14080" width="11.44140625" style="31" bestFit="1" customWidth="1"/>
    <col min="14081" max="14081" width="52.33203125" style="31" bestFit="1" customWidth="1"/>
    <col min="14082" max="14082" width="9.88671875" style="31" bestFit="1" customWidth="1"/>
    <col min="14083" max="14083" width="9.6640625" style="31" bestFit="1" customWidth="1"/>
    <col min="14084" max="14084" width="14.33203125" style="31" bestFit="1" customWidth="1"/>
    <col min="14085" max="14085" width="11.6640625" style="31" bestFit="1" customWidth="1"/>
    <col min="14086" max="14336" width="11.44140625" style="31" bestFit="1" customWidth="1"/>
    <col min="14337" max="14337" width="52.33203125" style="31" bestFit="1" customWidth="1"/>
    <col min="14338" max="14338" width="9.88671875" style="31" bestFit="1" customWidth="1"/>
    <col min="14339" max="14339" width="9.6640625" style="31" bestFit="1" customWidth="1"/>
    <col min="14340" max="14340" width="14.33203125" style="31" bestFit="1" customWidth="1"/>
    <col min="14341" max="14341" width="11.6640625" style="31" bestFit="1" customWidth="1"/>
    <col min="14342" max="14592" width="11.44140625" style="31" bestFit="1" customWidth="1"/>
    <col min="14593" max="14593" width="52.33203125" style="31" bestFit="1" customWidth="1"/>
    <col min="14594" max="14594" width="9.88671875" style="31" bestFit="1" customWidth="1"/>
    <col min="14595" max="14595" width="9.6640625" style="31" bestFit="1" customWidth="1"/>
    <col min="14596" max="14596" width="14.33203125" style="31" bestFit="1" customWidth="1"/>
    <col min="14597" max="14597" width="11.6640625" style="31" bestFit="1" customWidth="1"/>
    <col min="14598" max="14848" width="11.44140625" style="31" bestFit="1" customWidth="1"/>
    <col min="14849" max="14849" width="52.33203125" style="31" bestFit="1" customWidth="1"/>
    <col min="14850" max="14850" width="9.88671875" style="31" bestFit="1" customWidth="1"/>
    <col min="14851" max="14851" width="9.6640625" style="31" bestFit="1" customWidth="1"/>
    <col min="14852" max="14852" width="14.33203125" style="31" bestFit="1" customWidth="1"/>
    <col min="14853" max="14853" width="11.6640625" style="31" bestFit="1" customWidth="1"/>
    <col min="14854" max="15104" width="11.44140625" style="31" bestFit="1" customWidth="1"/>
    <col min="15105" max="15105" width="52.33203125" style="31" bestFit="1" customWidth="1"/>
    <col min="15106" max="15106" width="9.88671875" style="31" bestFit="1" customWidth="1"/>
    <col min="15107" max="15107" width="9.6640625" style="31" bestFit="1" customWidth="1"/>
    <col min="15108" max="15108" width="14.33203125" style="31" bestFit="1" customWidth="1"/>
    <col min="15109" max="15109" width="11.6640625" style="31" bestFit="1" customWidth="1"/>
    <col min="15110" max="15360" width="11.44140625" style="31" bestFit="1" customWidth="1"/>
    <col min="15361" max="15361" width="52.33203125" style="31" bestFit="1" customWidth="1"/>
    <col min="15362" max="15362" width="9.88671875" style="31" bestFit="1" customWidth="1"/>
    <col min="15363" max="15363" width="9.6640625" style="31" bestFit="1" customWidth="1"/>
    <col min="15364" max="15364" width="14.33203125" style="31" bestFit="1" customWidth="1"/>
    <col min="15365" max="15365" width="11.6640625" style="31" bestFit="1" customWidth="1"/>
    <col min="15366" max="15616" width="11.44140625" style="31" bestFit="1" customWidth="1"/>
    <col min="15617" max="15617" width="52.33203125" style="31" bestFit="1" customWidth="1"/>
    <col min="15618" max="15618" width="9.88671875" style="31" bestFit="1" customWidth="1"/>
    <col min="15619" max="15619" width="9.6640625" style="31" bestFit="1" customWidth="1"/>
    <col min="15620" max="15620" width="14.33203125" style="31" bestFit="1" customWidth="1"/>
    <col min="15621" max="15621" width="11.6640625" style="31" bestFit="1" customWidth="1"/>
    <col min="15622" max="15872" width="11.44140625" style="31" bestFit="1" customWidth="1"/>
    <col min="15873" max="15873" width="52.33203125" style="31" bestFit="1" customWidth="1"/>
    <col min="15874" max="15874" width="9.88671875" style="31" bestFit="1" customWidth="1"/>
    <col min="15875" max="15875" width="9.6640625" style="31" bestFit="1" customWidth="1"/>
    <col min="15876" max="15876" width="14.33203125" style="31" bestFit="1" customWidth="1"/>
    <col min="15877" max="15877" width="11.6640625" style="31" bestFit="1" customWidth="1"/>
    <col min="15878" max="16128" width="11.44140625" style="31" bestFit="1" customWidth="1"/>
    <col min="16129" max="16129" width="52.33203125" style="31" bestFit="1" customWidth="1"/>
    <col min="16130" max="16130" width="9.88671875" style="31" bestFit="1" customWidth="1"/>
    <col min="16131" max="16131" width="9.6640625" style="31" bestFit="1" customWidth="1"/>
    <col min="16132" max="16132" width="14.33203125" style="31" bestFit="1" customWidth="1"/>
    <col min="16133" max="16133" width="11.6640625" style="31" bestFit="1" customWidth="1"/>
    <col min="16134" max="16384" width="11.5546875" style="31"/>
  </cols>
  <sheetData>
    <row r="1" spans="1:5" x14ac:dyDescent="0.3">
      <c r="C1" s="32" t="s">
        <v>271</v>
      </c>
      <c r="D1" s="32" t="s">
        <v>272</v>
      </c>
      <c r="E1" s="32" t="s">
        <v>273</v>
      </c>
    </row>
    <row r="2" spans="1:5" x14ac:dyDescent="0.3">
      <c r="A2" s="32" t="s">
        <v>274</v>
      </c>
    </row>
    <row r="3" spans="1:5" x14ac:dyDescent="0.3">
      <c r="A3" s="32" t="s">
        <v>275</v>
      </c>
    </row>
    <row r="4" spans="1:5" x14ac:dyDescent="0.3">
      <c r="A4" s="31" t="s">
        <v>225</v>
      </c>
      <c r="B4" s="31" t="s">
        <v>276</v>
      </c>
      <c r="C4" s="33">
        <v>86</v>
      </c>
      <c r="D4" s="34">
        <v>2.6918599999999997</v>
      </c>
      <c r="E4" s="35">
        <v>231.49995999999999</v>
      </c>
    </row>
    <row r="5" spans="1:5" x14ac:dyDescent="0.3">
      <c r="A5" s="31" t="s">
        <v>227</v>
      </c>
      <c r="B5" s="31" t="s">
        <v>277</v>
      </c>
      <c r="C5" s="33">
        <v>23</v>
      </c>
      <c r="D5" s="34">
        <v>0.1</v>
      </c>
      <c r="E5" s="35">
        <v>2.2999999999999998</v>
      </c>
    </row>
    <row r="6" spans="1:5" x14ac:dyDescent="0.3">
      <c r="A6" s="31" t="s">
        <v>228</v>
      </c>
      <c r="B6" s="31" t="s">
        <v>277</v>
      </c>
      <c r="C6" s="33">
        <v>168</v>
      </c>
      <c r="D6" s="34">
        <v>2.0999999999999996</v>
      </c>
      <c r="E6" s="35">
        <v>352.8</v>
      </c>
    </row>
    <row r="7" spans="1:5" x14ac:dyDescent="0.3">
      <c r="A7" s="31" t="s">
        <v>229</v>
      </c>
      <c r="B7" s="31" t="s">
        <v>276</v>
      </c>
      <c r="C7" s="33">
        <v>299</v>
      </c>
      <c r="D7" s="34">
        <v>2.0999999999999996</v>
      </c>
      <c r="E7" s="35">
        <v>627.9</v>
      </c>
    </row>
    <row r="8" spans="1:5" x14ac:dyDescent="0.3">
      <c r="C8" s="33"/>
    </row>
    <row r="9" spans="1:5" x14ac:dyDescent="0.3">
      <c r="A9" s="32" t="s">
        <v>278</v>
      </c>
    </row>
    <row r="10" spans="1:5" x14ac:dyDescent="0.3">
      <c r="A10" s="31" t="s">
        <v>279</v>
      </c>
    </row>
    <row r="12" spans="1:5" x14ac:dyDescent="0.3">
      <c r="A12" s="32" t="s">
        <v>280</v>
      </c>
    </row>
    <row r="13" spans="1:5" x14ac:dyDescent="0.3">
      <c r="A13" s="31" t="s">
        <v>281</v>
      </c>
      <c r="B13" s="31" t="s">
        <v>276</v>
      </c>
      <c r="C13" s="33">
        <v>1308</v>
      </c>
      <c r="D13" s="34">
        <v>0.16</v>
      </c>
      <c r="E13" s="35">
        <v>209.28</v>
      </c>
    </row>
    <row r="14" spans="1:5" x14ac:dyDescent="0.3">
      <c r="A14" s="31" t="s">
        <v>282</v>
      </c>
      <c r="B14" s="31" t="s">
        <v>276</v>
      </c>
      <c r="C14" s="33">
        <v>378</v>
      </c>
      <c r="D14" s="34">
        <v>0.17674800000000002</v>
      </c>
      <c r="E14" s="35">
        <v>66.810744</v>
      </c>
    </row>
    <row r="15" spans="1:5" x14ac:dyDescent="0.3">
      <c r="A15" s="31" t="s">
        <v>283</v>
      </c>
      <c r="B15" s="31" t="s">
        <v>276</v>
      </c>
      <c r="C15" s="33">
        <v>281</v>
      </c>
      <c r="D15" s="34">
        <v>0.16847000000000001</v>
      </c>
      <c r="E15" s="35">
        <v>47.340069999999997</v>
      </c>
    </row>
    <row r="16" spans="1:5" x14ac:dyDescent="0.3">
      <c r="A16" s="31" t="s">
        <v>284</v>
      </c>
      <c r="B16" s="31" t="s">
        <v>276</v>
      </c>
      <c r="C16" s="33">
        <v>40</v>
      </c>
      <c r="D16" s="34">
        <v>0.18</v>
      </c>
      <c r="E16" s="35">
        <v>7.2</v>
      </c>
    </row>
    <row r="17" spans="1:5" x14ac:dyDescent="0.3">
      <c r="A17" s="31" t="s">
        <v>285</v>
      </c>
      <c r="B17" s="31" t="s">
        <v>276</v>
      </c>
      <c r="C17" s="33">
        <v>171</v>
      </c>
      <c r="D17" s="34">
        <v>9.9694000000000005E-2</v>
      </c>
      <c r="E17" s="35">
        <v>17.047674000000001</v>
      </c>
    </row>
    <row r="18" spans="1:5" x14ac:dyDescent="0.3">
      <c r="A18" s="31" t="s">
        <v>286</v>
      </c>
      <c r="B18" s="31" t="s">
        <v>287</v>
      </c>
      <c r="C18" s="33">
        <v>103</v>
      </c>
      <c r="D18" s="34">
        <v>1.67184</v>
      </c>
      <c r="E18" s="35">
        <v>172.19952000000001</v>
      </c>
    </row>
    <row r="19" spans="1:5" x14ac:dyDescent="0.3">
      <c r="A19" s="31" t="s">
        <v>288</v>
      </c>
      <c r="B19" s="31" t="s">
        <v>276</v>
      </c>
      <c r="C19" s="33">
        <v>6</v>
      </c>
      <c r="D19" s="34">
        <v>0.44</v>
      </c>
      <c r="E19" s="35">
        <v>2.64</v>
      </c>
    </row>
    <row r="20" spans="1:5" x14ac:dyDescent="0.3">
      <c r="A20" s="31" t="s">
        <v>230</v>
      </c>
      <c r="B20" s="31" t="s">
        <v>276</v>
      </c>
      <c r="C20" s="33">
        <v>25785</v>
      </c>
      <c r="D20" s="34">
        <v>0.4</v>
      </c>
      <c r="E20" s="35">
        <v>10314</v>
      </c>
    </row>
    <row r="21" spans="1:5" x14ac:dyDescent="0.3">
      <c r="A21" s="31" t="s">
        <v>231</v>
      </c>
      <c r="B21" s="31" t="s">
        <v>276</v>
      </c>
      <c r="C21" s="33">
        <v>347</v>
      </c>
      <c r="D21" s="34">
        <v>0.43530999999999997</v>
      </c>
      <c r="E21" s="35">
        <v>151.05257</v>
      </c>
    </row>
    <row r="22" spans="1:5" x14ac:dyDescent="0.3">
      <c r="A22" s="31" t="s">
        <v>232</v>
      </c>
      <c r="B22" s="31" t="s">
        <v>276</v>
      </c>
      <c r="C22" s="33">
        <v>420</v>
      </c>
      <c r="D22" s="34">
        <v>0.4</v>
      </c>
      <c r="E22" s="35">
        <v>168</v>
      </c>
    </row>
    <row r="23" spans="1:5" x14ac:dyDescent="0.3">
      <c r="A23" s="31" t="s">
        <v>233</v>
      </c>
      <c r="B23" s="31" t="s">
        <v>276</v>
      </c>
      <c r="C23" s="33">
        <v>120</v>
      </c>
      <c r="D23" s="34">
        <v>0.44</v>
      </c>
      <c r="E23" s="35">
        <v>52.8</v>
      </c>
    </row>
    <row r="24" spans="1:5" x14ac:dyDescent="0.3">
      <c r="A24" s="31" t="s">
        <v>234</v>
      </c>
      <c r="B24" s="31" t="s">
        <v>276</v>
      </c>
      <c r="C24" s="33">
        <v>10</v>
      </c>
      <c r="D24" s="34">
        <v>0.39799999999999996</v>
      </c>
      <c r="E24" s="35">
        <v>3.98</v>
      </c>
    </row>
    <row r="25" spans="1:5" x14ac:dyDescent="0.3">
      <c r="A25" s="31" t="s">
        <v>235</v>
      </c>
      <c r="B25" s="31" t="s">
        <v>276</v>
      </c>
      <c r="C25" s="33">
        <v>27</v>
      </c>
      <c r="D25" s="34">
        <v>0.45</v>
      </c>
      <c r="E25" s="35">
        <v>12.15</v>
      </c>
    </row>
    <row r="26" spans="1:5" x14ac:dyDescent="0.3">
      <c r="A26" s="31" t="s">
        <v>236</v>
      </c>
      <c r="B26" s="31" t="s">
        <v>276</v>
      </c>
      <c r="C26" s="33">
        <v>167</v>
      </c>
      <c r="D26" s="34">
        <v>0.43</v>
      </c>
      <c r="E26" s="35">
        <v>71.81</v>
      </c>
    </row>
    <row r="27" spans="1:5" x14ac:dyDescent="0.3">
      <c r="A27" s="31" t="s">
        <v>237</v>
      </c>
      <c r="B27" s="31" t="s">
        <v>276</v>
      </c>
      <c r="C27" s="33">
        <v>577</v>
      </c>
      <c r="D27" s="34">
        <v>0.40224799999999999</v>
      </c>
      <c r="E27" s="35">
        <v>232.09709599999999</v>
      </c>
    </row>
    <row r="29" spans="1:5" x14ac:dyDescent="0.3">
      <c r="A29" s="32" t="s">
        <v>289</v>
      </c>
    </row>
    <row r="30" spans="1:5" x14ac:dyDescent="0.3">
      <c r="A30" s="32" t="s">
        <v>290</v>
      </c>
    </row>
    <row r="31" spans="1:5" x14ac:dyDescent="0.3">
      <c r="A31" s="31" t="s">
        <v>291</v>
      </c>
      <c r="B31" s="31" t="s">
        <v>292</v>
      </c>
      <c r="C31" s="33">
        <v>76</v>
      </c>
      <c r="D31" s="34">
        <v>1.0141210000000001</v>
      </c>
      <c r="E31" s="35">
        <v>77.073195999999996</v>
      </c>
    </row>
    <row r="32" spans="1:5" x14ac:dyDescent="0.3">
      <c r="A32" s="31" t="s">
        <v>293</v>
      </c>
      <c r="B32" s="31" t="s">
        <v>292</v>
      </c>
      <c r="C32" s="33">
        <v>341</v>
      </c>
      <c r="D32" s="34">
        <v>1.2716970000000001</v>
      </c>
      <c r="E32" s="35">
        <v>433.64867700000002</v>
      </c>
    </row>
    <row r="33" spans="1:5" x14ac:dyDescent="0.3">
      <c r="A33" s="31" t="s">
        <v>294</v>
      </c>
      <c r="B33" s="31" t="s">
        <v>292</v>
      </c>
      <c r="C33" s="33">
        <v>209</v>
      </c>
      <c r="D33" s="34">
        <v>1.0079509999999998</v>
      </c>
      <c r="E33" s="35">
        <v>210.66175899999999</v>
      </c>
    </row>
    <row r="34" spans="1:5" x14ac:dyDescent="0.3">
      <c r="A34" s="31" t="s">
        <v>295</v>
      </c>
      <c r="B34" s="31" t="s">
        <v>276</v>
      </c>
      <c r="C34" s="33">
        <v>82</v>
      </c>
      <c r="D34" s="34">
        <v>1.054575</v>
      </c>
      <c r="E34" s="35">
        <v>86.475149999999999</v>
      </c>
    </row>
    <row r="35" spans="1:5" x14ac:dyDescent="0.3">
      <c r="A35" s="31" t="s">
        <v>296</v>
      </c>
      <c r="B35" s="31" t="s">
        <v>276</v>
      </c>
      <c r="C35" s="33">
        <v>580</v>
      </c>
      <c r="D35" s="34">
        <v>2.8</v>
      </c>
      <c r="E35" s="35">
        <v>1624</v>
      </c>
    </row>
    <row r="37" spans="1:5" x14ac:dyDescent="0.3">
      <c r="A37" s="32" t="s">
        <v>297</v>
      </c>
    </row>
    <row r="38" spans="1:5" x14ac:dyDescent="0.3">
      <c r="A38" s="31" t="s">
        <v>298</v>
      </c>
      <c r="B38" s="31" t="s">
        <v>276</v>
      </c>
      <c r="C38" s="33">
        <v>2045</v>
      </c>
      <c r="D38" s="34">
        <v>1.6720679999999999</v>
      </c>
      <c r="E38" s="35">
        <v>3419.3790599999998</v>
      </c>
    </row>
    <row r="39" spans="1:5" x14ac:dyDescent="0.3">
      <c r="A39" s="31" t="s">
        <v>299</v>
      </c>
      <c r="B39" s="31" t="s">
        <v>300</v>
      </c>
      <c r="C39" s="33">
        <v>2348</v>
      </c>
      <c r="D39" s="34">
        <v>1.806012</v>
      </c>
      <c r="E39" s="35">
        <v>4240.5161760000001</v>
      </c>
    </row>
    <row r="40" spans="1:5" x14ac:dyDescent="0.3">
      <c r="A40" s="31" t="s">
        <v>301</v>
      </c>
      <c r="B40" s="31" t="s">
        <v>276</v>
      </c>
      <c r="C40" s="33">
        <v>2828</v>
      </c>
      <c r="D40" s="34">
        <v>2.8803670000000001</v>
      </c>
      <c r="E40" s="35">
        <v>8145.6778760000007</v>
      </c>
    </row>
    <row r="42" spans="1:5" x14ac:dyDescent="0.3">
      <c r="A42" s="32" t="s">
        <v>302</v>
      </c>
    </row>
    <row r="43" spans="1:5" x14ac:dyDescent="0.3">
      <c r="A43" s="31" t="s">
        <v>241</v>
      </c>
      <c r="B43" s="31" t="s">
        <v>303</v>
      </c>
      <c r="C43" s="33">
        <v>12102</v>
      </c>
      <c r="D43" s="34">
        <v>1.8478219999999999</v>
      </c>
      <c r="E43" s="35">
        <v>22362.341844000002</v>
      </c>
    </row>
    <row r="44" spans="1:5" x14ac:dyDescent="0.3">
      <c r="A44" s="31" t="s">
        <v>242</v>
      </c>
      <c r="B44" s="31" t="s">
        <v>303</v>
      </c>
      <c r="C44" s="33">
        <v>6129</v>
      </c>
      <c r="D44" s="34">
        <v>2.218242</v>
      </c>
      <c r="E44" s="35">
        <v>13595.605218000002</v>
      </c>
    </row>
    <row r="46" spans="1:5" x14ac:dyDescent="0.3">
      <c r="A46" s="32" t="s">
        <v>304</v>
      </c>
    </row>
    <row r="47" spans="1:5" x14ac:dyDescent="0.3">
      <c r="A47" s="32" t="s">
        <v>305</v>
      </c>
    </row>
    <row r="48" spans="1:5" x14ac:dyDescent="0.3">
      <c r="A48" s="31" t="s">
        <v>306</v>
      </c>
      <c r="B48" s="31" t="s">
        <v>276</v>
      </c>
      <c r="C48" s="33">
        <v>4</v>
      </c>
      <c r="D48" s="34">
        <v>146.00000000000003</v>
      </c>
      <c r="E48" s="35">
        <v>584</v>
      </c>
    </row>
    <row r="49" spans="1:5" x14ac:dyDescent="0.3">
      <c r="A49" s="32" t="s">
        <v>307</v>
      </c>
    </row>
    <row r="50" spans="1:5" x14ac:dyDescent="0.3">
      <c r="A50" s="31" t="s">
        <v>308</v>
      </c>
      <c r="B50" s="31" t="s">
        <v>276</v>
      </c>
      <c r="C50" s="33">
        <v>4</v>
      </c>
      <c r="D50" s="34">
        <v>12.75</v>
      </c>
      <c r="E50" s="35">
        <v>51</v>
      </c>
    </row>
    <row r="51" spans="1:5" x14ac:dyDescent="0.3">
      <c r="A51" s="32" t="s">
        <v>309</v>
      </c>
    </row>
    <row r="52" spans="1:5" x14ac:dyDescent="0.3">
      <c r="A52" s="36" t="s">
        <v>279</v>
      </c>
    </row>
    <row r="53" spans="1:5" x14ac:dyDescent="0.3">
      <c r="A53" s="32" t="s">
        <v>310</v>
      </c>
    </row>
    <row r="54" spans="1:5" x14ac:dyDescent="0.3">
      <c r="A54" s="31" t="s">
        <v>311</v>
      </c>
      <c r="B54" s="31" t="s">
        <v>276</v>
      </c>
      <c r="C54" s="33">
        <v>41</v>
      </c>
      <c r="D54" s="34">
        <v>51.481616000000002</v>
      </c>
      <c r="E54" s="35">
        <v>2110.7462559999999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39E8E-0E76-44C5-B204-8946C63A21D0}">
  <dimension ref="B2:Q47"/>
  <sheetViews>
    <sheetView workbookViewId="0">
      <selection activeCell="K13" sqref="K13"/>
    </sheetView>
  </sheetViews>
  <sheetFormatPr baseColWidth="10" defaultColWidth="11.44140625" defaultRowHeight="14.4" x14ac:dyDescent="0.3"/>
  <cols>
    <col min="5" max="5" width="17.6640625" customWidth="1"/>
    <col min="6" max="6" width="12" customWidth="1"/>
    <col min="7" max="7" width="11.88671875" customWidth="1"/>
    <col min="8" max="8" width="15.33203125" customWidth="1"/>
    <col min="9" max="9" width="13.6640625" customWidth="1"/>
  </cols>
  <sheetData>
    <row r="2" spans="2:17" x14ac:dyDescent="0.3">
      <c r="J2" t="s">
        <v>312</v>
      </c>
      <c r="K2">
        <v>8</v>
      </c>
      <c r="L2">
        <v>8</v>
      </c>
      <c r="M2">
        <v>7</v>
      </c>
      <c r="N2">
        <v>9</v>
      </c>
      <c r="O2">
        <v>15</v>
      </c>
      <c r="P2">
        <v>7</v>
      </c>
      <c r="Q2">
        <v>15</v>
      </c>
    </row>
    <row r="3" spans="2:17" x14ac:dyDescent="0.3">
      <c r="C3" t="s">
        <v>313</v>
      </c>
      <c r="E3" t="s">
        <v>314</v>
      </c>
      <c r="K3" t="s">
        <v>313</v>
      </c>
      <c r="M3" t="s">
        <v>314</v>
      </c>
    </row>
    <row r="4" spans="2:17" x14ac:dyDescent="0.3">
      <c r="B4" t="s">
        <v>315</v>
      </c>
      <c r="C4" t="s">
        <v>316</v>
      </c>
      <c r="D4" t="s">
        <v>317</v>
      </c>
      <c r="E4" t="s">
        <v>249</v>
      </c>
      <c r="F4" t="s">
        <v>318</v>
      </c>
      <c r="G4" t="s">
        <v>251</v>
      </c>
      <c r="H4" t="s">
        <v>319</v>
      </c>
      <c r="I4" t="s">
        <v>320</v>
      </c>
      <c r="K4" t="s">
        <v>316</v>
      </c>
      <c r="L4" t="s">
        <v>317</v>
      </c>
      <c r="M4" t="s">
        <v>249</v>
      </c>
      <c r="N4" t="s">
        <v>318</v>
      </c>
      <c r="O4" t="s">
        <v>251</v>
      </c>
      <c r="P4" t="s">
        <v>319</v>
      </c>
      <c r="Q4" t="s">
        <v>320</v>
      </c>
    </row>
    <row r="5" spans="2:17" x14ac:dyDescent="0.3">
      <c r="B5">
        <v>2024</v>
      </c>
      <c r="H5" s="37">
        <v>3</v>
      </c>
    </row>
    <row r="6" spans="2:17" x14ac:dyDescent="0.3">
      <c r="B6">
        <v>2023</v>
      </c>
      <c r="C6" s="37">
        <v>12</v>
      </c>
      <c r="D6" s="37">
        <v>2</v>
      </c>
      <c r="E6" s="37"/>
      <c r="F6" s="37">
        <v>35</v>
      </c>
      <c r="G6" s="37"/>
      <c r="H6" s="37">
        <v>137</v>
      </c>
      <c r="I6" s="37">
        <v>955</v>
      </c>
      <c r="K6">
        <f>SUM(C6:C13)</f>
        <v>2466</v>
      </c>
      <c r="L6">
        <f>SUM(D6:D13)</f>
        <v>31</v>
      </c>
      <c r="M6">
        <f>E12</f>
        <v>1128</v>
      </c>
      <c r="N6">
        <f>SUM(F6:F14)</f>
        <v>1691</v>
      </c>
      <c r="O6">
        <f>SUM(G6:G20)</f>
        <v>3588</v>
      </c>
      <c r="P6">
        <f>SUM(H5:H12)</f>
        <v>2285</v>
      </c>
      <c r="Q6">
        <f>SUM(I6:I20)</f>
        <v>3824</v>
      </c>
    </row>
    <row r="7" spans="2:17" x14ac:dyDescent="0.3">
      <c r="B7">
        <v>2022</v>
      </c>
      <c r="C7" s="37">
        <v>792</v>
      </c>
      <c r="D7" s="37">
        <v>21</v>
      </c>
      <c r="E7" s="37"/>
      <c r="F7" s="37">
        <v>60</v>
      </c>
      <c r="G7" s="37"/>
      <c r="H7" s="37">
        <v>315</v>
      </c>
      <c r="I7" s="37">
        <v>434</v>
      </c>
      <c r="J7" t="s">
        <v>321</v>
      </c>
      <c r="K7">
        <f>K6/K2</f>
        <v>308.25</v>
      </c>
      <c r="L7">
        <f t="shared" ref="L7:P7" si="0">L6/L2</f>
        <v>3.875</v>
      </c>
      <c r="M7">
        <f t="shared" si="0"/>
        <v>161.14285714285714</v>
      </c>
      <c r="N7">
        <f t="shared" si="0"/>
        <v>187.88888888888889</v>
      </c>
      <c r="O7">
        <f>O6/O2</f>
        <v>239.2</v>
      </c>
      <c r="P7">
        <f t="shared" si="0"/>
        <v>326.42857142857144</v>
      </c>
      <c r="Q7">
        <f>Q6/Q2</f>
        <v>254.93333333333334</v>
      </c>
    </row>
    <row r="8" spans="2:17" x14ac:dyDescent="0.3">
      <c r="B8">
        <v>2021</v>
      </c>
      <c r="C8" s="37">
        <v>2</v>
      </c>
      <c r="D8" s="37">
        <v>1</v>
      </c>
      <c r="E8" s="37"/>
      <c r="F8" s="37">
        <v>4</v>
      </c>
      <c r="G8" s="37"/>
      <c r="H8" s="37">
        <v>10</v>
      </c>
      <c r="I8" s="37">
        <v>9</v>
      </c>
    </row>
    <row r="9" spans="2:17" x14ac:dyDescent="0.3">
      <c r="B9">
        <v>2020</v>
      </c>
      <c r="C9" s="37">
        <v>68</v>
      </c>
      <c r="D9" s="37"/>
      <c r="E9" s="37"/>
      <c r="F9" s="37"/>
      <c r="G9" s="37"/>
      <c r="H9" s="37"/>
      <c r="I9" s="37">
        <v>20</v>
      </c>
      <c r="J9" t="s">
        <v>322</v>
      </c>
      <c r="K9">
        <v>37800</v>
      </c>
      <c r="L9">
        <v>400</v>
      </c>
      <c r="M9">
        <v>8900</v>
      </c>
      <c r="N9">
        <v>450</v>
      </c>
      <c r="O9">
        <v>1500</v>
      </c>
      <c r="P9">
        <v>555</v>
      </c>
      <c r="Q9">
        <v>180</v>
      </c>
    </row>
    <row r="10" spans="2:17" x14ac:dyDescent="0.3">
      <c r="B10">
        <v>2019</v>
      </c>
      <c r="C10" s="37">
        <v>487</v>
      </c>
      <c r="D10" s="37">
        <v>3</v>
      </c>
      <c r="E10" s="37"/>
      <c r="F10" s="37">
        <v>52</v>
      </c>
      <c r="G10" s="37"/>
      <c r="H10" s="37">
        <v>705</v>
      </c>
      <c r="I10" s="37">
        <v>146</v>
      </c>
      <c r="J10" t="s">
        <v>226</v>
      </c>
    </row>
    <row r="11" spans="2:17" x14ac:dyDescent="0.3">
      <c r="B11">
        <v>2018</v>
      </c>
      <c r="C11" s="37">
        <v>115</v>
      </c>
      <c r="D11" s="37">
        <v>2</v>
      </c>
      <c r="E11" s="37"/>
      <c r="F11" s="37">
        <v>50</v>
      </c>
      <c r="G11" s="37"/>
      <c r="H11" s="37">
        <v>468</v>
      </c>
      <c r="I11" s="37">
        <v>62</v>
      </c>
      <c r="O11" s="132">
        <f>'Comparacion HH'!$R$3</f>
        <v>75.109105953159116</v>
      </c>
    </row>
    <row r="12" spans="2:17" x14ac:dyDescent="0.3">
      <c r="B12">
        <v>2017</v>
      </c>
      <c r="C12" s="37">
        <v>428</v>
      </c>
      <c r="D12" s="37">
        <v>2</v>
      </c>
      <c r="E12" s="37">
        <v>1128</v>
      </c>
      <c r="F12" s="37">
        <v>1342</v>
      </c>
      <c r="G12" s="37"/>
      <c r="H12" s="37">
        <v>647</v>
      </c>
      <c r="I12" s="37">
        <v>72</v>
      </c>
    </row>
    <row r="13" spans="2:17" x14ac:dyDescent="0.3">
      <c r="B13">
        <v>2016</v>
      </c>
      <c r="C13" s="37">
        <v>562</v>
      </c>
      <c r="D13" s="37"/>
      <c r="F13" s="37">
        <v>143</v>
      </c>
      <c r="G13" s="37"/>
      <c r="H13">
        <v>1130</v>
      </c>
      <c r="I13" s="37">
        <v>140</v>
      </c>
      <c r="L13">
        <v>50</v>
      </c>
      <c r="M13">
        <v>80</v>
      </c>
    </row>
    <row r="14" spans="2:17" x14ac:dyDescent="0.3">
      <c r="B14">
        <v>2015</v>
      </c>
      <c r="C14">
        <v>300</v>
      </c>
      <c r="D14">
        <v>11</v>
      </c>
      <c r="F14" s="37">
        <v>5</v>
      </c>
      <c r="G14" s="37">
        <v>100</v>
      </c>
      <c r="H14">
        <v>239</v>
      </c>
      <c r="I14" s="37">
        <v>119</v>
      </c>
      <c r="L14">
        <f>L13*M13</f>
        <v>4000</v>
      </c>
    </row>
    <row r="15" spans="2:17" x14ac:dyDescent="0.3">
      <c r="B15">
        <v>2014</v>
      </c>
      <c r="C15">
        <v>171</v>
      </c>
      <c r="D15">
        <v>12</v>
      </c>
      <c r="F15">
        <v>19</v>
      </c>
      <c r="G15" s="37"/>
      <c r="H15">
        <v>40</v>
      </c>
      <c r="I15" s="37">
        <v>17</v>
      </c>
      <c r="L15">
        <f>L14/15</f>
        <v>266.66666666666669</v>
      </c>
    </row>
    <row r="16" spans="2:17" x14ac:dyDescent="0.3">
      <c r="B16">
        <v>2013</v>
      </c>
      <c r="C16">
        <v>931</v>
      </c>
      <c r="D16">
        <v>21</v>
      </c>
      <c r="F16">
        <v>62</v>
      </c>
      <c r="G16" s="37"/>
      <c r="H16">
        <v>250</v>
      </c>
      <c r="I16" s="37">
        <v>217</v>
      </c>
    </row>
    <row r="17" spans="2:11" x14ac:dyDescent="0.3">
      <c r="B17">
        <v>2012</v>
      </c>
      <c r="C17">
        <v>781</v>
      </c>
      <c r="D17">
        <v>11</v>
      </c>
      <c r="F17">
        <v>76</v>
      </c>
      <c r="G17" s="37">
        <v>252</v>
      </c>
      <c r="H17">
        <v>1142</v>
      </c>
      <c r="I17" s="37">
        <v>237</v>
      </c>
      <c r="K17">
        <f>SUM(G14:G20)</f>
        <v>3588</v>
      </c>
    </row>
    <row r="18" spans="2:11" x14ac:dyDescent="0.3">
      <c r="B18">
        <v>2011</v>
      </c>
      <c r="C18">
        <v>86</v>
      </c>
      <c r="D18">
        <v>15</v>
      </c>
      <c r="F18">
        <v>115</v>
      </c>
      <c r="G18" s="37">
        <v>1733</v>
      </c>
      <c r="H18">
        <v>897</v>
      </c>
      <c r="I18" s="37">
        <v>187</v>
      </c>
    </row>
    <row r="19" spans="2:11" x14ac:dyDescent="0.3">
      <c r="B19">
        <v>2010</v>
      </c>
      <c r="C19">
        <v>168</v>
      </c>
      <c r="D19">
        <v>26</v>
      </c>
      <c r="F19">
        <v>225</v>
      </c>
      <c r="G19" s="37">
        <v>1246</v>
      </c>
      <c r="H19">
        <v>2117</v>
      </c>
      <c r="I19" s="37">
        <v>1094</v>
      </c>
    </row>
    <row r="20" spans="2:11" x14ac:dyDescent="0.3">
      <c r="B20">
        <v>2009</v>
      </c>
      <c r="C20">
        <v>25</v>
      </c>
      <c r="D20">
        <v>5</v>
      </c>
      <c r="F20">
        <v>13</v>
      </c>
      <c r="G20" s="37">
        <v>257</v>
      </c>
      <c r="H20">
        <v>164</v>
      </c>
      <c r="I20" s="37">
        <v>115</v>
      </c>
    </row>
    <row r="21" spans="2:11" x14ac:dyDescent="0.3">
      <c r="B21">
        <v>2008</v>
      </c>
      <c r="C21">
        <v>72</v>
      </c>
      <c r="D21">
        <v>4</v>
      </c>
      <c r="F21">
        <v>35</v>
      </c>
      <c r="G21">
        <v>433</v>
      </c>
      <c r="H21">
        <v>227</v>
      </c>
      <c r="I21">
        <v>256</v>
      </c>
    </row>
    <row r="22" spans="2:11" x14ac:dyDescent="0.3">
      <c r="B22">
        <v>2007</v>
      </c>
      <c r="C22">
        <v>26</v>
      </c>
      <c r="D22">
        <v>8</v>
      </c>
      <c r="F22">
        <v>54</v>
      </c>
      <c r="G22">
        <v>1118</v>
      </c>
      <c r="H22">
        <v>969</v>
      </c>
      <c r="I22">
        <v>291</v>
      </c>
    </row>
    <row r="23" spans="2:11" x14ac:dyDescent="0.3">
      <c r="B23">
        <v>2006</v>
      </c>
      <c r="C23">
        <v>45</v>
      </c>
      <c r="D23">
        <v>33</v>
      </c>
      <c r="F23">
        <v>6</v>
      </c>
      <c r="G23">
        <v>800</v>
      </c>
      <c r="H23">
        <v>379</v>
      </c>
      <c r="I23">
        <v>62</v>
      </c>
    </row>
    <row r="24" spans="2:11" x14ac:dyDescent="0.3">
      <c r="B24">
        <v>2005</v>
      </c>
      <c r="C24">
        <v>11</v>
      </c>
      <c r="D24">
        <v>2</v>
      </c>
      <c r="G24">
        <v>823</v>
      </c>
      <c r="H24">
        <v>167</v>
      </c>
      <c r="I24">
        <v>82</v>
      </c>
    </row>
    <row r="25" spans="2:11" x14ac:dyDescent="0.3">
      <c r="B25">
        <v>2004</v>
      </c>
      <c r="C25">
        <v>19</v>
      </c>
      <c r="D25">
        <v>1</v>
      </c>
      <c r="F25">
        <v>4</v>
      </c>
      <c r="G25">
        <v>577</v>
      </c>
      <c r="H25">
        <v>422</v>
      </c>
      <c r="I25">
        <v>148</v>
      </c>
    </row>
    <row r="26" spans="2:11" x14ac:dyDescent="0.3">
      <c r="B26">
        <v>2003</v>
      </c>
      <c r="C26">
        <v>9</v>
      </c>
      <c r="D26">
        <v>3</v>
      </c>
      <c r="F26">
        <v>10</v>
      </c>
      <c r="G26">
        <v>46</v>
      </c>
      <c r="H26">
        <v>406</v>
      </c>
      <c r="I26">
        <v>114</v>
      </c>
    </row>
    <row r="27" spans="2:11" x14ac:dyDescent="0.3">
      <c r="B27">
        <v>2002</v>
      </c>
      <c r="C27">
        <v>2</v>
      </c>
      <c r="D27">
        <v>4</v>
      </c>
      <c r="F27">
        <v>4</v>
      </c>
      <c r="H27">
        <v>112</v>
      </c>
      <c r="I27">
        <v>84</v>
      </c>
    </row>
    <row r="28" spans="2:11" x14ac:dyDescent="0.3">
      <c r="B28">
        <v>2001</v>
      </c>
      <c r="C28">
        <v>12</v>
      </c>
      <c r="F28">
        <v>7</v>
      </c>
      <c r="H28">
        <v>42</v>
      </c>
      <c r="I28">
        <v>127</v>
      </c>
    </row>
    <row r="29" spans="2:11" x14ac:dyDescent="0.3">
      <c r="B29">
        <v>2000</v>
      </c>
      <c r="C29">
        <v>2</v>
      </c>
      <c r="F29">
        <v>6</v>
      </c>
      <c r="G29">
        <v>339</v>
      </c>
      <c r="H29">
        <v>20</v>
      </c>
      <c r="I29">
        <v>37</v>
      </c>
    </row>
    <row r="30" spans="2:11" x14ac:dyDescent="0.3">
      <c r="B30">
        <v>1999</v>
      </c>
      <c r="C30">
        <v>3</v>
      </c>
      <c r="F30">
        <v>1</v>
      </c>
      <c r="H30">
        <v>69</v>
      </c>
      <c r="I30">
        <v>4</v>
      </c>
    </row>
    <row r="31" spans="2:11" x14ac:dyDescent="0.3">
      <c r="B31">
        <v>1998</v>
      </c>
      <c r="F31">
        <v>1</v>
      </c>
      <c r="H31">
        <v>112</v>
      </c>
      <c r="I31">
        <v>89</v>
      </c>
    </row>
    <row r="32" spans="2:11" x14ac:dyDescent="0.3">
      <c r="B32">
        <v>1997</v>
      </c>
      <c r="C32">
        <v>4</v>
      </c>
      <c r="F32">
        <v>8</v>
      </c>
      <c r="G32">
        <v>288</v>
      </c>
      <c r="H32">
        <v>177</v>
      </c>
      <c r="I32">
        <v>37</v>
      </c>
    </row>
    <row r="33" spans="2:9" x14ac:dyDescent="0.3">
      <c r="B33">
        <v>1996</v>
      </c>
      <c r="C33">
        <v>2</v>
      </c>
      <c r="F33">
        <v>46</v>
      </c>
      <c r="G33">
        <v>342</v>
      </c>
      <c r="H33">
        <v>149</v>
      </c>
      <c r="I33">
        <v>180</v>
      </c>
    </row>
    <row r="34" spans="2:9" x14ac:dyDescent="0.3">
      <c r="B34">
        <v>1995</v>
      </c>
      <c r="F34">
        <v>3</v>
      </c>
      <c r="G34">
        <v>45</v>
      </c>
      <c r="H34">
        <v>161</v>
      </c>
      <c r="I34">
        <v>161</v>
      </c>
    </row>
    <row r="35" spans="2:9" x14ac:dyDescent="0.3">
      <c r="B35">
        <v>1994</v>
      </c>
      <c r="H35">
        <v>27</v>
      </c>
      <c r="I35">
        <v>70</v>
      </c>
    </row>
    <row r="36" spans="2:9" x14ac:dyDescent="0.3">
      <c r="B36">
        <v>1993</v>
      </c>
      <c r="H36">
        <v>49</v>
      </c>
      <c r="I36">
        <v>28</v>
      </c>
    </row>
    <row r="37" spans="2:9" x14ac:dyDescent="0.3">
      <c r="B37">
        <v>1991</v>
      </c>
      <c r="C37">
        <v>1</v>
      </c>
      <c r="H37">
        <v>39</v>
      </c>
      <c r="I37">
        <v>1</v>
      </c>
    </row>
    <row r="38" spans="2:9" x14ac:dyDescent="0.3">
      <c r="B38">
        <v>1990</v>
      </c>
      <c r="H38">
        <v>100</v>
      </c>
      <c r="I38">
        <v>14</v>
      </c>
    </row>
    <row r="39" spans="2:9" x14ac:dyDescent="0.3">
      <c r="B39">
        <v>1989</v>
      </c>
      <c r="H39">
        <v>14</v>
      </c>
    </row>
    <row r="40" spans="2:9" x14ac:dyDescent="0.3">
      <c r="B40">
        <v>1986</v>
      </c>
      <c r="H40">
        <v>39</v>
      </c>
    </row>
    <row r="41" spans="2:9" x14ac:dyDescent="0.3">
      <c r="B41">
        <v>1985</v>
      </c>
      <c r="I41">
        <v>11</v>
      </c>
    </row>
    <row r="42" spans="2:9" x14ac:dyDescent="0.3">
      <c r="B42">
        <v>1982</v>
      </c>
      <c r="H42">
        <v>2</v>
      </c>
    </row>
    <row r="43" spans="2:9" x14ac:dyDescent="0.3">
      <c r="B43">
        <v>1976</v>
      </c>
      <c r="H43">
        <v>99</v>
      </c>
      <c r="I43">
        <v>6</v>
      </c>
    </row>
    <row r="44" spans="2:9" x14ac:dyDescent="0.3">
      <c r="B44">
        <v>1975</v>
      </c>
      <c r="I44">
        <v>6</v>
      </c>
    </row>
    <row r="45" spans="2:9" x14ac:dyDescent="0.3">
      <c r="B45">
        <v>1974</v>
      </c>
      <c r="G45">
        <v>60</v>
      </c>
    </row>
    <row r="46" spans="2:9" x14ac:dyDescent="0.3">
      <c r="B46">
        <v>1970</v>
      </c>
      <c r="F46">
        <v>1</v>
      </c>
      <c r="G46">
        <v>14</v>
      </c>
      <c r="I46">
        <v>2</v>
      </c>
    </row>
    <row r="47" spans="2:9" x14ac:dyDescent="0.3">
      <c r="C47">
        <f>SUM(C6:C46)</f>
        <v>5136</v>
      </c>
      <c r="D47">
        <f>SUM(D6:D34)</f>
        <v>187</v>
      </c>
      <c r="F47">
        <f>SUM(F6:F46)</f>
        <v>2387</v>
      </c>
      <c r="G47">
        <f>SUM(G6:G46)</f>
        <v>8473</v>
      </c>
      <c r="H47">
        <f>SUM(H5:H43)</f>
        <v>12045</v>
      </c>
      <c r="I47">
        <f>SUM(I5:I46)</f>
        <v>5634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b96aa54-d74c-45af-acc9-c99f56b974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ED50D517E6CDE4E90BFD2DE0FBD5963" ma:contentTypeVersion="16" ma:contentTypeDescription="Crear nuevo documento." ma:contentTypeScope="" ma:versionID="c21fad9263f2e544722f3378337586b2">
  <xsd:schema xmlns:xsd="http://www.w3.org/2001/XMLSchema" xmlns:xs="http://www.w3.org/2001/XMLSchema" xmlns:p="http://schemas.microsoft.com/office/2006/metadata/properties" xmlns:ns3="db96aa54-d74c-45af-acc9-c99f56b97449" xmlns:ns4="f5e883bf-6fb8-4507-83f7-683f6c31e8d2" targetNamespace="http://schemas.microsoft.com/office/2006/metadata/properties" ma:root="true" ma:fieldsID="9b2682506bf7b7f536ca8041412fcebe" ns3:_="" ns4:_="">
    <xsd:import namespace="db96aa54-d74c-45af-acc9-c99f56b97449"/>
    <xsd:import namespace="f5e883bf-6fb8-4507-83f7-683f6c31e8d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96aa54-d74c-45af-acc9-c99f56b97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e883bf-6fb8-4507-83f7-683f6c31e8d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DA8C14-669D-4061-97D5-44ED78339E74}">
  <ds:schemaRefs>
    <ds:schemaRef ds:uri="db96aa54-d74c-45af-acc9-c99f56b97449"/>
    <ds:schemaRef ds:uri="http://schemas.microsoft.com/office/infopath/2007/PartnerControls"/>
    <ds:schemaRef ds:uri="f5e883bf-6fb8-4507-83f7-683f6c31e8d2"/>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4805F2D-B06C-4073-8C65-E4716D4CB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96aa54-d74c-45af-acc9-c99f56b97449"/>
    <ds:schemaRef ds:uri="f5e883bf-6fb8-4507-83f7-683f6c31e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9A58E8-777F-4DBE-B618-B1782DFD8D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INSTRUCCIONES</vt:lpstr>
      <vt:lpstr>Huella Hídrica Azul</vt:lpstr>
      <vt:lpstr>Huella hidrica verde</vt:lpstr>
      <vt:lpstr>Huella hidrica gris</vt:lpstr>
      <vt:lpstr>HH Indirecta (2)</vt:lpstr>
      <vt:lpstr>Energia</vt:lpstr>
      <vt:lpstr>Hoja1</vt:lpstr>
      <vt:lpstr>Insumos</vt:lpstr>
      <vt:lpstr>Bienes</vt:lpstr>
      <vt:lpstr>HH Indirecta</vt:lpstr>
      <vt:lpstr>Comparacion HH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Denisse Michelle Nieto Anchundia</dc:creator>
  <cp:keywords/>
  <dc:description/>
  <cp:lastModifiedBy>Kattya Antonella Intriago Mejia</cp:lastModifiedBy>
  <cp:revision/>
  <dcterms:created xsi:type="dcterms:W3CDTF">2024-11-11T05:29:50Z</dcterms:created>
  <dcterms:modified xsi:type="dcterms:W3CDTF">2026-07-12T04:08:58Z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0x0101006ED50D517E6CDE4E90BFD2DE0FBD5963</vt:lpwstr>
  </property>
</Properties>
</file>