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7.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3.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10.xml" ContentType="application/vnd.openxmlformats-officedocument.spreadsheetml.worksheet+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charts/chart3.xml" ContentType="application/vnd.openxmlformats-officedocument.drawingml.chart+xml"/>
  <Override PartName="/xl/charts/chart4.xml" ContentType="application/vnd.openxmlformats-officedocument.drawingml.chart+xml"/>
  <Override PartName="/xl/media/image20.wmf" ContentType="image/x-wmf"/>
  <Override PartName="/xl/media/image21.wmf" ContentType="image/x-wmf"/>
  <Override PartName="/xl/media/image22.wmf" ContentType="image/x-wmf"/>
  <Override PartName="/xl/drawings/_rels/drawing2.xml.rels" ContentType="application/vnd.openxmlformats-package.relationships+xml"/>
  <Override PartName="/xl/drawings/_rels/drawing1.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formation" sheetId="1" state="visible" r:id="rId2"/>
    <sheet name="Soil texture" sheetId="2" state="visible" r:id="rId3"/>
    <sheet name="pH values" sheetId="3" state="visible" r:id="rId4"/>
    <sheet name="Heat capacity (USD)" sheetId="4" state="visible" r:id="rId5"/>
    <sheet name="Calibration (USD)" sheetId="5" state="visible" r:id="rId6"/>
    <sheet name="SPT density (USD)" sheetId="6" state="visible" r:id="rId7"/>
    <sheet name="Sonication time (USD)" sheetId="7" state="visible" r:id="rId8"/>
    <sheet name="POM and C release (USD)" sheetId="8" state="visible" r:id="rId9"/>
    <sheet name="Water-stable macroaggregates" sheetId="9" state="visible" r:id="rId10"/>
    <sheet name="Slaking index" sheetId="10" state="visible" r:id="rId11"/>
    <sheet name="Soil respiration" sheetId="11" state="visible" r:id="rId12"/>
    <sheet name="Available water-holding capacit" sheetId="12" state="visible" r:id="rId13"/>
    <sheet name="Microbial abundance" sheetId="13" state="visible" r:id="rId14"/>
  </sheets>
  <calcPr iterateCount="100" refMode="A1" iterate="tru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<sst xmlns="http://schemas.openxmlformats.org/spreadsheetml/2006/main" count="931" uniqueCount="293">
  <si>
    <t xml:space="preserve">Supplemental material</t>
  </si>
  <si>
    <t xml:space="preserve">Article title:</t>
  </si>
  <si>
    <t xml:space="preserve">Six years after initial input of manure: Stabilized carbon gains and soil structure in a temperate syntropic agroforestry system</t>
  </si>
  <si>
    <t xml:space="preserve">Journal name:</t>
  </si>
  <si>
    <t xml:space="preserve">Agroforestry systems</t>
  </si>
  <si>
    <t xml:space="preserve">Author names</t>
  </si>
  <si>
    <t xml:space="preserve">Frederick Büks</t>
  </si>
  <si>
    <t xml:space="preserve">Julia Toups</t>
  </si>
  <si>
    <t xml:space="preserve">Lukas Beule</t>
  </si>
  <si>
    <t xml:space="preserve">Corresponding author:</t>
  </si>
  <si>
    <t xml:space="preserve">Frederick Büks, Department of Soil Science, Technische Universität Berlin, Germany, frederick.bueks@tu-berlin.de, https://orcid.org/0000-0002-6998-0591</t>
  </si>
  <si>
    <t xml:space="preserve">Method:</t>
  </si>
  <si>
    <t xml:space="preserve">DIN / ISO 11277 - Determination of particle size distribution in mineral soil material — Method by sieving and sedimentation</t>
  </si>
  <si>
    <r>
      <rPr>
        <sz val="10"/>
        <rFont val="Arial"/>
        <family val="2"/>
        <charset val="1"/>
      </rPr>
      <t xml:space="preserve">Humic digestion by H</t>
    </r>
    <r>
      <rPr>
        <vertAlign val="subscript"/>
        <sz val="10"/>
        <rFont val="Arial"/>
        <family val="2"/>
        <charset val="1"/>
      </rPr>
      <t xml:space="preserve">2</t>
    </r>
    <r>
      <rPr>
        <sz val="10"/>
        <rFont val="Arial"/>
        <family val="2"/>
        <charset val="1"/>
      </rPr>
      <t xml:space="preserve">O</t>
    </r>
    <r>
      <rPr>
        <vertAlign val="subscript"/>
        <sz val="10"/>
        <rFont val="Arial"/>
        <family val="2"/>
        <charset val="1"/>
      </rPr>
      <t xml:space="preserve">2</t>
    </r>
  </si>
  <si>
    <t xml:space="preserve">Removal of carbonates by HCl</t>
  </si>
  <si>
    <t xml:space="preserve">Sample</t>
  </si>
  <si>
    <t xml:space="preserve">Clay</t>
  </si>
  <si>
    <t xml:space="preserve">Fine silt</t>
  </si>
  <si>
    <t xml:space="preserve">Middle silt</t>
  </si>
  <si>
    <t xml:space="preserve">Coarse silt</t>
  </si>
  <si>
    <t xml:space="preserve">Fine sand</t>
  </si>
  <si>
    <t xml:space="preserve">Middle sand</t>
  </si>
  <si>
    <t xml:space="preserve">Coarse sand</t>
  </si>
  <si>
    <t xml:space="preserve">Class</t>
  </si>
  <si>
    <t xml:space="preserve">name</t>
  </si>
  <si>
    <t xml:space="preserve">&lt; 0.002 mm</t>
  </si>
  <si>
    <t xml:space="preserve">0.002-0.0063 mm</t>
  </si>
  <si>
    <t xml:space="preserve">0.0063-0.02 mm</t>
  </si>
  <si>
    <t xml:space="preserve">0.02-0.063 mm</t>
  </si>
  <si>
    <t xml:space="preserve">0.063-0.2 mm</t>
  </si>
  <si>
    <t xml:space="preserve">0.2-0.63 mm</t>
  </si>
  <si>
    <t xml:space="preserve">0.63-2.0 mm</t>
  </si>
  <si>
    <t xml:space="preserve">(KA6)</t>
  </si>
  <si>
    <t xml:space="preserve">B3</t>
  </si>
  <si>
    <t xml:space="preserve">Su3</t>
  </si>
  <si>
    <t xml:space="preserve">B6</t>
  </si>
  <si>
    <t xml:space="preserve">K3</t>
  </si>
  <si>
    <t xml:space="preserve">K6</t>
  </si>
  <si>
    <t xml:space="preserve">M3</t>
  </si>
  <si>
    <t xml:space="preserve">M6</t>
  </si>
  <si>
    <t xml:space="preserve">mean</t>
  </si>
  <si>
    <t xml:space="preserve">Soil texture (KA6):</t>
  </si>
  <si>
    <t xml:space="preserve">medium-silty sand (Su3)</t>
  </si>
  <si>
    <t xml:space="preserve">Soil texture (WRB):</t>
  </si>
  <si>
    <t xml:space="preserve">sandy loam</t>
  </si>
  <si>
    <r>
      <rPr>
        <b val="true"/>
        <sz val="12"/>
        <rFont val="Arial"/>
        <family val="2"/>
        <charset val="1"/>
      </rPr>
      <t xml:space="preserve">pH in extract with 0.01M CaCl</t>
    </r>
    <r>
      <rPr>
        <b val="true"/>
        <vertAlign val="subscript"/>
        <sz val="12"/>
        <rFont val="Arial"/>
        <family val="2"/>
        <charset val="1"/>
      </rPr>
      <t xml:space="preserve">2</t>
    </r>
    <r>
      <rPr>
        <b val="true"/>
        <sz val="12"/>
        <rFont val="Arial"/>
        <family val="2"/>
        <charset val="1"/>
      </rPr>
      <t xml:space="preserve"> solution</t>
    </r>
  </si>
  <si>
    <t xml:space="preserve">Treatment</t>
  </si>
  <si>
    <t xml:space="preserve">no</t>
  </si>
  <si>
    <t xml:space="preserve">pH</t>
  </si>
  <si>
    <t xml:space="preserve">mv</t>
  </si>
  <si>
    <t xml:space="preserve">sd</t>
  </si>
  <si>
    <t xml:space="preserve">(-)</t>
  </si>
  <si>
    <t xml:space="preserve">Agroforestry</t>
  </si>
  <si>
    <t xml:space="preserve">Tree row</t>
  </si>
  <si>
    <t xml:space="preserve"> </t>
  </si>
  <si>
    <t xml:space="preserve">Middle line</t>
  </si>
  <si>
    <t xml:space="preserve">Control area</t>
  </si>
  <si>
    <t xml:space="preserve">Heat capacity c (water)</t>
  </si>
  <si>
    <t xml:space="preserve">T</t>
  </si>
  <si>
    <r>
      <rPr>
        <b val="true"/>
        <sz val="10"/>
        <rFont val="Arial"/>
        <family val="2"/>
        <charset val="1"/>
      </rPr>
      <t xml:space="preserve">c</t>
    </r>
    <r>
      <rPr>
        <b val="true"/>
        <vertAlign val="subscript"/>
        <sz val="10"/>
        <rFont val="Arial"/>
        <family val="2"/>
        <charset val="1"/>
      </rPr>
      <t xml:space="preserve">H2O</t>
    </r>
  </si>
  <si>
    <t xml:space="preserve">
As you can see, the heat capacity is nearly constant between 25 and 45°C. Apply the calibration procedure within this T range.
Another advantage: At constant heat capacity, heat uptake by the water is increasing linearly with time. This means, that you can apply several sequential measurements with the same lot of water as long as you stay within this T range.</t>
  </si>
  <si>
    <t xml:space="preserve">[°C]</t>
  </si>
  <si>
    <t xml:space="preserve">[J/kg*K]</t>
  </si>
  <si>
    <t xml:space="preserve">These data of isobaric heat capacity are derived from VDI heat atlas and are nearly similar to other reference, e.g.:
https://www.engineeringtoolbox.com/specific-heat-capacity-water-d_660.html</t>
  </si>
  <si>
    <t xml:space="preserve">norm.</t>
  </si>
  <si>
    <r>
      <rPr>
        <b val="true"/>
        <sz val="10"/>
        <rFont val="Arial"/>
        <family val="2"/>
        <charset val="1"/>
      </rPr>
      <t xml:space="preserve">C</t>
    </r>
    <r>
      <rPr>
        <b val="true"/>
        <vertAlign val="subscript"/>
        <sz val="10"/>
        <rFont val="Arial"/>
        <family val="2"/>
        <charset val="1"/>
      </rPr>
      <t xml:space="preserve">H2O   </t>
    </r>
    <r>
      <rPr>
        <b val="true"/>
        <sz val="10"/>
        <rFont val="Arial"/>
        <family val="2"/>
        <charset val="1"/>
      </rPr>
      <t xml:space="preserve">=</t>
    </r>
  </si>
  <si>
    <t xml:space="preserve">Heat capacity Dewar vessel (DV)</t>
  </si>
  <si>
    <t xml:space="preserve">Meas.</t>
  </si>
  <si>
    <r>
      <rPr>
        <b val="true"/>
        <sz val="10"/>
        <rFont val="Arial"/>
        <family val="2"/>
        <charset val="1"/>
      </rPr>
      <t xml:space="preserve">T</t>
    </r>
    <r>
      <rPr>
        <b val="true"/>
        <vertAlign val="subscript"/>
        <sz val="10"/>
        <rFont val="Arial"/>
        <family val="2"/>
        <charset val="1"/>
      </rPr>
      <t xml:space="preserve">cold</t>
    </r>
  </si>
  <si>
    <r>
      <rPr>
        <b val="true"/>
        <sz val="10"/>
        <rFont val="Arial"/>
        <family val="2"/>
        <charset val="1"/>
      </rPr>
      <t xml:space="preserve">m</t>
    </r>
    <r>
      <rPr>
        <b val="true"/>
        <vertAlign val="subscript"/>
        <sz val="10"/>
        <rFont val="Arial"/>
        <family val="2"/>
        <charset val="1"/>
      </rPr>
      <t xml:space="preserve">cold</t>
    </r>
  </si>
  <si>
    <r>
      <rPr>
        <b val="true"/>
        <sz val="10"/>
        <rFont val="Arial"/>
        <family val="2"/>
        <charset val="1"/>
      </rPr>
      <t xml:space="preserve">T</t>
    </r>
    <r>
      <rPr>
        <b val="true"/>
        <vertAlign val="subscript"/>
        <sz val="10"/>
        <rFont val="Arial"/>
        <family val="2"/>
        <charset val="1"/>
      </rPr>
      <t xml:space="preserve">warm</t>
    </r>
  </si>
  <si>
    <r>
      <rPr>
        <b val="true"/>
        <sz val="10"/>
        <rFont val="Arial"/>
        <family val="2"/>
        <charset val="1"/>
      </rPr>
      <t xml:space="preserve">m</t>
    </r>
    <r>
      <rPr>
        <b val="true"/>
        <vertAlign val="subscript"/>
        <sz val="10"/>
        <rFont val="Arial"/>
        <family val="2"/>
        <charset val="1"/>
      </rPr>
      <t xml:space="preserve">warm</t>
    </r>
  </si>
  <si>
    <r>
      <rPr>
        <b val="true"/>
        <sz val="10"/>
        <rFont val="Arial"/>
        <family val="2"/>
        <charset val="1"/>
      </rPr>
      <t xml:space="preserve">T</t>
    </r>
    <r>
      <rPr>
        <b val="true"/>
        <vertAlign val="subscript"/>
        <sz val="10"/>
        <rFont val="Arial"/>
        <family val="2"/>
        <charset val="1"/>
      </rPr>
      <t xml:space="preserve">equ</t>
    </r>
  </si>
  <si>
    <r>
      <rPr>
        <b val="true"/>
        <sz val="10"/>
        <rFont val="Arial"/>
        <family val="2"/>
        <charset val="1"/>
      </rPr>
      <t xml:space="preserve">W</t>
    </r>
    <r>
      <rPr>
        <b val="true"/>
        <vertAlign val="subscript"/>
        <sz val="10"/>
        <rFont val="Arial"/>
        <family val="2"/>
        <charset val="1"/>
      </rPr>
      <t xml:space="preserve">dewar</t>
    </r>
  </si>
  <si>
    <t xml:space="preserve">Nr.</t>
  </si>
  <si>
    <t xml:space="preserve">[g]</t>
  </si>
  <si>
    <t xml:space="preserve">[J/K]</t>
  </si>
  <si>
    <t xml:space="preserve">MV</t>
  </si>
  <si>
    <r>
      <rPr>
        <i val="true"/>
        <sz val="10"/>
        <rFont val="Arial"/>
        <family val="2"/>
        <charset val="1"/>
      </rPr>
      <t xml:space="preserve">←This is the mean heat capacity of </t>
    </r>
    <r>
      <rPr>
        <i val="true"/>
        <u val="single"/>
        <sz val="10"/>
        <rFont val="Arial"/>
        <family val="2"/>
        <charset val="1"/>
      </rPr>
      <t xml:space="preserve">our</t>
    </r>
    <r>
      <rPr>
        <i val="true"/>
        <sz val="10"/>
        <rFont val="Arial"/>
        <family val="2"/>
        <charset val="1"/>
      </rPr>
      <t xml:space="preserve"> DV</t>
    </r>
  </si>
  <si>
    <t xml:space="preserve">SD</t>
  </si>
  <si>
    <t xml:space="preserve">Calibration of the ultrasonication device</t>
  </si>
  <si>
    <r>
      <rPr>
        <sz val="10"/>
        <rFont val="Arial"/>
        <family val="2"/>
        <charset val="1"/>
      </rPr>
      <t xml:space="preserve">The power of the sonotrode is calculated based on the </t>
    </r>
    <r>
      <rPr>
        <sz val="10"/>
        <rFont val="Ubuntu"/>
        <family val="0"/>
        <charset val="1"/>
      </rPr>
      <t xml:space="preserve">Δ</t>
    </r>
    <r>
      <rPr>
        <sz val="10"/>
        <rFont val="Arial"/>
        <family val="2"/>
        <charset val="1"/>
      </rPr>
      <t xml:space="preserve">T between starting and end time of ultrasonication. Heating of deionized water appears in linear proportion to the time of ultrasonication. The slope of the gradient is proportional to the power of the sonotrode. During the calibration, water should have a temperature between 25 and 45°C, when heat capacity is nearly constant. Lines of both parallels should be as similar as possible (standard devitation sd&lt;1.5 J/s) – if not, there has something gone wrong and you should repeat the calibration. Depending on the age and brand of the sonotrode, its power might vary, but should be &gt;40 J/s in any case.</t>
    </r>
  </si>
  <si>
    <t xml:space="preserve">P = power output of the sonotrode</t>
  </si>
  <si>
    <r>
      <rPr>
        <sz val="12"/>
        <rFont val="Arial"/>
        <family val="2"/>
        <charset val="1"/>
      </rPr>
      <t xml:space="preserve">m</t>
    </r>
    <r>
      <rPr>
        <vertAlign val="subscript"/>
        <sz val="12"/>
        <rFont val="Arial"/>
        <family val="2"/>
        <charset val="1"/>
      </rPr>
      <t xml:space="preserve">H2O</t>
    </r>
    <r>
      <rPr>
        <sz val="12"/>
        <rFont val="Arial"/>
        <family val="2"/>
        <charset val="1"/>
      </rPr>
      <t xml:space="preserve"> = mass of water added to the DV</t>
    </r>
  </si>
  <si>
    <r>
      <rPr>
        <sz val="12"/>
        <rFont val="Arial"/>
        <family val="2"/>
        <charset val="1"/>
      </rPr>
      <t xml:space="preserve">c</t>
    </r>
    <r>
      <rPr>
        <vertAlign val="subscript"/>
        <sz val="12"/>
        <rFont val="Arial"/>
        <family val="2"/>
        <charset val="1"/>
      </rPr>
      <t xml:space="preserve">H2O</t>
    </r>
    <r>
      <rPr>
        <sz val="12"/>
        <rFont val="Arial"/>
        <family val="2"/>
        <charset val="1"/>
      </rPr>
      <t xml:space="preserve"> = isobaric heat capacity of water</t>
    </r>
  </si>
  <si>
    <r>
      <rPr>
        <sz val="12"/>
        <rFont val="Arial"/>
        <family val="2"/>
        <charset val="1"/>
      </rPr>
      <t xml:space="preserve">W</t>
    </r>
    <r>
      <rPr>
        <vertAlign val="subscript"/>
        <sz val="12"/>
        <rFont val="Arial"/>
        <family val="2"/>
        <charset val="1"/>
      </rPr>
      <t xml:space="preserve">Dewar</t>
    </r>
    <r>
      <rPr>
        <sz val="12"/>
        <rFont val="Arial"/>
        <family val="2"/>
        <charset val="1"/>
      </rPr>
      <t xml:space="preserve"> = heat capacity of the DV</t>
    </r>
  </si>
  <si>
    <r>
      <rPr>
        <sz val="12"/>
        <rFont val="Ubuntu"/>
        <family val="0"/>
        <charset val="1"/>
      </rPr>
      <t xml:space="preserve">Δ</t>
    </r>
    <r>
      <rPr>
        <sz val="12"/>
        <rFont val="Arial"/>
        <family val="2"/>
        <charset val="1"/>
      </rPr>
      <t xml:space="preserve">T=heat difference after sonication</t>
    </r>
  </si>
  <si>
    <t xml:space="preserve">t=time of sonication</t>
  </si>
  <si>
    <t xml:space="preserve">H=reaction enthalpy (here =0)</t>
  </si>
  <si>
    <t xml:space="preserve">Messung:</t>
  </si>
  <si>
    <t xml:space="preserve">1st parallel</t>
  </si>
  <si>
    <t xml:space="preserve">2nd parallel</t>
  </si>
  <si>
    <t xml:space="preserve">Datum:</t>
  </si>
  <si>
    <t xml:space="preserve">m</t>
  </si>
  <si>
    <r>
      <rPr>
        <b val="true"/>
        <sz val="10"/>
        <rFont val="Arial"/>
        <family val="2"/>
        <charset val="1"/>
      </rPr>
      <t xml:space="preserve">T</t>
    </r>
    <r>
      <rPr>
        <b val="true"/>
        <vertAlign val="subscript"/>
        <sz val="10"/>
        <rFont val="Arial"/>
        <family val="2"/>
        <charset val="1"/>
      </rPr>
      <t xml:space="preserve">start</t>
    </r>
  </si>
  <si>
    <r>
      <rPr>
        <b val="true"/>
        <sz val="10"/>
        <rFont val="Arial"/>
        <family val="2"/>
        <charset val="1"/>
      </rPr>
      <t xml:space="preserve">T</t>
    </r>
    <r>
      <rPr>
        <b val="true"/>
        <vertAlign val="subscript"/>
        <sz val="10"/>
        <rFont val="Arial"/>
        <family val="2"/>
        <charset val="1"/>
      </rPr>
      <t xml:space="preserve">end</t>
    </r>
  </si>
  <si>
    <t xml:space="preserve">[J/g*K]</t>
  </si>
  <si>
    <r>
      <rPr>
        <b val="true"/>
        <sz val="10"/>
        <rFont val="Ubuntu"/>
        <family val="0"/>
        <charset val="1"/>
      </rPr>
      <t xml:space="preserve">Δ</t>
    </r>
    <r>
      <rPr>
        <b val="true"/>
        <sz val="10"/>
        <rFont val="Arial"/>
        <family val="2"/>
        <charset val="1"/>
      </rPr>
      <t xml:space="preserve">T</t>
    </r>
  </si>
  <si>
    <t xml:space="preserve">[K]</t>
  </si>
  <si>
    <t xml:space="preserve">t</t>
  </si>
  <si>
    <t xml:space="preserve">[s]</t>
  </si>
  <si>
    <t xml:space="preserve">P</t>
  </si>
  <si>
    <t xml:space="preserve">[J/s]</t>
  </si>
  <si>
    <r>
      <rPr>
        <b val="true"/>
        <sz val="10"/>
        <rFont val="Arial"/>
        <family val="2"/>
        <charset val="1"/>
      </rPr>
      <t xml:space="preserve">P</t>
    </r>
    <r>
      <rPr>
        <b val="true"/>
        <vertAlign val="subscript"/>
        <sz val="10"/>
        <rFont val="Ubuntu"/>
        <family val="0"/>
        <charset val="1"/>
      </rPr>
      <t xml:space="preserve">Ø</t>
    </r>
  </si>
  <si>
    <r>
      <rPr>
        <b val="true"/>
        <sz val="10"/>
        <rFont val="Arial"/>
        <family val="2"/>
        <charset val="1"/>
      </rPr>
      <t xml:space="preserve">P</t>
    </r>
    <r>
      <rPr>
        <b val="true"/>
        <vertAlign val="subscript"/>
        <sz val="10"/>
        <rFont val="Ubuntu"/>
        <family val="0"/>
        <charset val="1"/>
      </rPr>
      <t xml:space="preserve">Ø</t>
    </r>
    <r>
      <rPr>
        <b val="true"/>
        <sz val="10"/>
        <rFont val="Arial"/>
        <family val="2"/>
        <charset val="1"/>
      </rPr>
      <t xml:space="preserve"> (SD)</t>
    </r>
  </si>
  <si>
    <t xml:space="preserve">Density of added SPT solution</t>
  </si>
  <si>
    <t xml:space="preserve">Initial weight soil dry mass:</t>
  </si>
  <si>
    <t xml:space="preserve">g</t>
  </si>
  <si>
    <t xml:space="preserve">Volume SPT:</t>
  </si>
  <si>
    <t xml:space="preserve">ml</t>
  </si>
  <si>
    <t xml:space="preserve">Soil solution:</t>
  </si>
  <si>
    <t xml:space="preserve">ml/g</t>
  </si>
  <si>
    <t xml:space="preserve">Density soil solution:</t>
  </si>
  <si>
    <t xml:space="preserve">g/cm³</t>
  </si>
  <si>
    <t xml:space="preserve">Resulting density:</t>
  </si>
  <si>
    <t xml:space="preserve">Density of SPT solution:</t>
  </si>
  <si>
    <t xml:space="preserve">Weight USD soil</t>
  </si>
  <si>
    <t xml:space="preserve">Weight WSA soil</t>
  </si>
  <si>
    <t xml:space="preserve">Calculation of ultrasonication time</t>
  </si>
  <si>
    <t xml:space="preserve">Ultrasonication is a common tool to test the susceptibility of soil aggregate structure to mechanical stress and measure soil carbon pools. To help you with your work, we provide this open access sheet to calculate the sonication time needed for the application of a certain amount of mechanical stress (J/ml). The document is CCL by-sa (Frederick Büks) – feel free to optimize and share.</t>
  </si>
  <si>
    <t xml:space="preserve">The calculations are based on:
North, P.: Towards an absolute measurement of soil structural stability using ultrasound, J. Soil Sci., 27, 451–459, https://doi.org/10.1111/j.1365-2389.1976.tb02014.x, 1976.</t>
  </si>
  <si>
    <t xml:space="preserve">dense solution</t>
  </si>
  <si>
    <r>
      <rPr>
        <sz val="10"/>
        <rFont val="Arial"/>
        <family val="2"/>
        <charset val="1"/>
      </rPr>
      <t xml:space="preserve">[g/cm</t>
    </r>
    <r>
      <rPr>
        <vertAlign val="superscript"/>
        <sz val="10"/>
        <rFont val="Arial"/>
        <family val="2"/>
        <charset val="1"/>
      </rPr>
      <t xml:space="preserve">3</t>
    </r>
    <r>
      <rPr>
        <sz val="10"/>
        <rFont val="Arial"/>
        <family val="2"/>
        <charset val="1"/>
      </rPr>
      <t xml:space="preserve">]</t>
    </r>
  </si>
  <si>
    <t xml:space="preserve">← If you intend to have another density cut-off, please note here.</t>
  </si>
  <si>
    <t xml:space="preserve">power</t>
  </si>
  <si>
    <t xml:space="preserve">[W]=[J/s]</t>
  </si>
  <si>
    <t xml:space="preserve">← Use the sheet „USD calibration“ to measure the power output of your sonotrode (imported from sheet „calibration“).</t>
  </si>
  <si>
    <t xml:space="preserve">     sd +/-</t>
  </si>
  <si>
    <t xml:space="preserve">← This is the standard deviation given by your calibration parallels. It should be &lt;1.5 J/s (imported from sheet „calibration“).</t>
  </si>
  <si>
    <t xml:space="preserve">calibration</t>
  </si>
  <si>
    <t xml:space="preserve">[date]</t>
  </si>
  <si>
    <t xml:space="preserve">actual</t>
  </si>
  <si>
    <t xml:space="preserve">← Please note the date of calibration and do not forget to attach a new sheet with every new calibration.</t>
  </si>
  <si>
    <t xml:space="preserve">sample</t>
  </si>
  <si>
    <t xml:space="preserve">q</t>
  </si>
  <si>
    <t xml:space="preserve">date</t>
  </si>
  <si>
    <t xml:space="preserve">flask</t>
  </si>
  <si>
    <t xml:space="preserve">soil dw</t>
  </si>
  <si>
    <t xml:space="preserve">water</t>
  </si>
  <si>
    <t xml:space="preserve">flask, soil dw, water</t>
  </si>
  <si>
    <t xml:space="preserve">added dense solution</t>
  </si>
  <si>
    <t xml:space="preserve">needed density</t>
  </si>
  <si>
    <t xml:space="preserve">flask, soil dw, water, dense solution</t>
  </si>
  <si>
    <t xml:space="preserve">result. Solution  with 1.6 g/cm³</t>
  </si>
  <si>
    <t xml:space="preserve">volume solution</t>
  </si>
  <si>
    <t xml:space="preserve">volume soil dw</t>
  </si>
  <si>
    <t xml:space="preserve">total volume</t>
  </si>
  <si>
    <t xml:space="preserve">Q</t>
  </si>
  <si>
    <t xml:space="preserve">sonication time</t>
  </si>
  <si>
    <t xml:space="preserve">[J/ml]</t>
  </si>
  <si>
    <t xml:space="preserve">[g, ml]</t>
  </si>
  <si>
    <t xml:space="preserve">[ml]</t>
  </si>
  <si>
    <r>
      <rPr>
        <sz val="10"/>
        <rFont val="Arial"/>
        <family val="2"/>
        <charset val="1"/>
      </rPr>
      <t xml:space="preserve">[g/cm</t>
    </r>
    <r>
      <rPr>
        <vertAlign val="superscript"/>
        <sz val="10"/>
        <rFont val="Arial"/>
        <family val="2"/>
        <charset val="1"/>
      </rPr>
      <t xml:space="preserve">-3</t>
    </r>
    <r>
      <rPr>
        <sz val="10"/>
        <rFont val="Arial"/>
        <family val="2"/>
        <charset val="1"/>
      </rPr>
      <t xml:space="preserve">]</t>
    </r>
  </si>
  <si>
    <r>
      <rPr>
        <i val="true"/>
        <sz val="10"/>
        <rFont val="Arial"/>
        <family val="2"/>
        <charset val="1"/>
      </rPr>
      <t xml:space="preserve">[ml]=[cm</t>
    </r>
    <r>
      <rPr>
        <i val="true"/>
        <vertAlign val="superscript"/>
        <sz val="10"/>
        <rFont val="Arial"/>
        <family val="2"/>
        <charset val="1"/>
      </rPr>
      <t xml:space="preserve">3</t>
    </r>
    <r>
      <rPr>
        <i val="true"/>
        <sz val="10"/>
        <rFont val="Arial"/>
        <family val="2"/>
        <charset val="1"/>
      </rPr>
      <t xml:space="preserve">]</t>
    </r>
  </si>
  <si>
    <t xml:space="preserve">[J]</t>
  </si>
  <si>
    <t xml:space="preserve">[min,s]</t>
  </si>
  <si>
    <t xml:space="preserve">Agroforst</t>
  </si>
  <si>
    <t xml:space="preserve">Baumreihe</t>
  </si>
  <si>
    <t xml:space="preserve">B1</t>
  </si>
  <si>
    <t xml:space="preserve">B2</t>
  </si>
  <si>
    <t xml:space="preserve">B4</t>
  </si>
  <si>
    <t xml:space="preserve">B5</t>
  </si>
  <si>
    <t xml:space="preserve">B7</t>
  </si>
  <si>
    <t xml:space="preserve">B8</t>
  </si>
  <si>
    <t xml:space="preserve">Mittelreihe</t>
  </si>
  <si>
    <t xml:space="preserve">M1</t>
  </si>
  <si>
    <t xml:space="preserve">M2</t>
  </si>
  <si>
    <t xml:space="preserve">M4</t>
  </si>
  <si>
    <t xml:space="preserve">M5</t>
  </si>
  <si>
    <t xml:space="preserve">M7</t>
  </si>
  <si>
    <t xml:space="preserve">M8</t>
  </si>
  <si>
    <t xml:space="preserve">Kontrolle</t>
  </si>
  <si>
    <t xml:space="preserve">K1</t>
  </si>
  <si>
    <t xml:space="preserve">K2</t>
  </si>
  <si>
    <t xml:space="preserve">K4</t>
  </si>
  <si>
    <t xml:space="preserve">K5</t>
  </si>
  <si>
    <t xml:space="preserve">K7</t>
  </si>
  <si>
    <t xml:space="preserve">K8</t>
  </si>
  <si>
    <t xml:space="preserve">Concentration of SOC in each fraction</t>
  </si>
  <si>
    <t xml:space="preserve">Percentage of fraction SOC on total SOC concentration</t>
  </si>
  <si>
    <t xml:space="preserve">Residual SOC (ESM)</t>
  </si>
  <si>
    <t xml:space="preserve">No.</t>
  </si>
  <si>
    <t xml:space="preserve">initial dry weight</t>
  </si>
  <si>
    <t xml:space="preserve">flask+SOM (oven-dry)</t>
  </si>
  <si>
    <t xml:space="preserve">USD
Fraction</t>
  </si>
  <si>
    <t xml:space="preserve">STC</t>
  </si>
  <si>
    <t xml:space="preserve">SMC</t>
  </si>
  <si>
    <t xml:space="preserve">SOC</t>
  </si>
  <si>
    <t xml:space="preserve">TN</t>
  </si>
  <si>
    <t xml:space="preserve">C:N</t>
  </si>
  <si>
    <r>
      <rPr>
        <b val="true"/>
        <sz val="10"/>
        <rFont val="Arial"/>
        <family val="2"/>
        <charset val="1"/>
      </rPr>
      <t xml:space="preserve">SOC</t>
    </r>
    <r>
      <rPr>
        <b val="true"/>
        <vertAlign val="subscript"/>
        <sz val="10"/>
        <rFont val="Arial"/>
        <family val="2"/>
        <charset val="1"/>
      </rPr>
      <t xml:space="preserve">tot</t>
    </r>
  </si>
  <si>
    <r>
      <rPr>
        <b val="true"/>
        <sz val="10"/>
        <rFont val="Arial"/>
        <family val="2"/>
        <charset val="1"/>
      </rPr>
      <t xml:space="preserve">SOC</t>
    </r>
    <r>
      <rPr>
        <b val="true"/>
        <vertAlign val="subscript"/>
        <sz val="10"/>
        <rFont val="Arial"/>
        <family val="2"/>
        <charset val="1"/>
      </rPr>
      <t xml:space="preserve">frac</t>
    </r>
    <r>
      <rPr>
        <b val="true"/>
        <sz val="10"/>
        <rFont val="Arial"/>
        <family val="2"/>
        <charset val="1"/>
      </rPr>
      <t xml:space="preserve">:SOC</t>
    </r>
    <r>
      <rPr>
        <b val="true"/>
        <vertAlign val="subscript"/>
        <sz val="10"/>
        <rFont val="Arial"/>
        <family val="2"/>
        <charset val="1"/>
      </rPr>
      <t xml:space="preserve">tot</t>
    </r>
  </si>
  <si>
    <t xml:space="preserve">(J/ml)</t>
  </si>
  <si>
    <t xml:space="preserve">(g)</t>
  </si>
  <si>
    <t xml:space="preserve">(%)</t>
  </si>
  <si>
    <t xml:space="preserve">(g/kg)</t>
  </si>
  <si>
    <t xml:space="preserve">(t/ha)</t>
  </si>
  <si>
    <t xml:space="preserve">Agropastoral</t>
  </si>
  <si>
    <t xml:space="preserve">residuum</t>
  </si>
  <si>
    <t xml:space="preserve">Outlier</t>
  </si>
  <si>
    <t xml:space="preserve">Oven-dried </t>
  </si>
  <si>
    <t xml:space="preserve">water labile (&lt;250µm)</t>
  </si>
  <si>
    <t xml:space="preserve">water stable (&lt;250µm)</t>
  </si>
  <si>
    <t xml:space="preserve">residum (&gt;250µm)</t>
  </si>
  <si>
    <t xml:space="preserve">WSA:(WSA+WLA+R)</t>
  </si>
  <si>
    <t xml:space="preserve">Calcinated</t>
  </si>
  <si>
    <t xml:space="preserve">Ignition loss of dry soil
(by WLA)</t>
  </si>
  <si>
    <t xml:space="preserve">Ignition loss of dry soil
(by WSA)</t>
  </si>
  <si>
    <t xml:space="preserve">Ignition loss of dry soil
(by R)</t>
  </si>
  <si>
    <t xml:space="preserve">Ignition loss of dry soil
(=total SOM in soil)</t>
  </si>
  <si>
    <t xml:space="preserve">Concentration of
SOM in WSA</t>
  </si>
  <si>
    <t xml:space="preserve">No</t>
  </si>
  <si>
    <t xml:space="preserve">Weight
(oven-dry,
&lt;2mm)</t>
  </si>
  <si>
    <t xml:space="preserve">empty flask</t>
  </si>
  <si>
    <t xml:space="preserve">flask+soil (oven-dry)</t>
  </si>
  <si>
    <t xml:space="preserve">WLA</t>
  </si>
  <si>
    <t xml:space="preserve">WSA</t>
  </si>
  <si>
    <t xml:space="preserve">R
(&lt;2mm)</t>
  </si>
  <si>
    <t xml:space="preserve">R (&lt;2mm)</t>
  </si>
  <si>
    <t xml:space="preserve">ratio</t>
  </si>
  <si>
    <t xml:space="preserve">flask+soil (calcinated)</t>
  </si>
  <si>
    <t xml:space="preserve">flask+ soil (calcinated)</t>
  </si>
  <si>
    <t xml:space="preserve">R</t>
  </si>
  <si>
    <t xml:space="preserve">SOM</t>
  </si>
  <si>
    <t xml:space="preserve">(wt%)</t>
  </si>
  <si>
    <t xml:space="preserve">Mittellinie</t>
  </si>
  <si>
    <t xml:space="preserve">Outliers</t>
  </si>
  <si>
    <t xml:space="preserve">Ignition loss of dry soil (=total SOM in soil)</t>
  </si>
  <si>
    <t xml:space="preserve">Concentration of SOM in WSA</t>
  </si>
  <si>
    <t xml:space="preserve">Restlicher Datensatz</t>
  </si>
  <si>
    <t xml:space="preserve">Index</t>
  </si>
  <si>
    <t xml:space="preserve">Slake
Index</t>
  </si>
  <si>
    <t xml:space="preserve">A</t>
  </si>
  <si>
    <t xml:space="preserve">B</t>
  </si>
  <si>
    <t xml:space="preserve">C</t>
  </si>
  <si>
    <t xml:space="preserve">Maddow</t>
  </si>
  <si>
    <t xml:space="preserve">no outliers</t>
  </si>
  <si>
    <t xml:space="preserve">CSA</t>
  </si>
  <si>
    <t xml:space="preserve">Treatm.</t>
  </si>
  <si>
    <t xml:space="preserve">cup
(empty)</t>
  </si>
  <si>
    <t xml:space="preserve">cup+soil
(oven-dry)</t>
  </si>
  <si>
    <t xml:space="preserve">skeleton</t>
  </si>
  <si>
    <t xml:space="preserve">Soil
(dry mass)</t>
  </si>
  <si>
    <t xml:space="preserve">Basal respiration (BR)</t>
  </si>
  <si>
    <t xml:space="preserve">BR per SOC</t>
  </si>
  <si>
    <t xml:space="preserve">Substrate induced respiration (SIR)</t>
  </si>
  <si>
    <t xml:space="preserve">SIR per SOC</t>
  </si>
  <si>
    <t xml:space="preserve">Growth rate (µ)</t>
  </si>
  <si>
    <r>
      <rPr>
        <b val="true"/>
        <sz val="10"/>
        <rFont val="Arial"/>
        <family val="2"/>
        <charset val="1"/>
      </rPr>
      <t xml:space="preserve">Respiratory quotient (Q</t>
    </r>
    <r>
      <rPr>
        <b val="true"/>
        <vertAlign val="subscript"/>
        <sz val="10"/>
        <rFont val="Arial"/>
        <family val="2"/>
        <charset val="1"/>
      </rPr>
      <t xml:space="preserve">R</t>
    </r>
    <r>
      <rPr>
        <b val="true"/>
        <sz val="10"/>
        <rFont val="Arial"/>
        <family val="2"/>
        <charset val="1"/>
      </rPr>
      <t xml:space="preserve">)</t>
    </r>
  </si>
  <si>
    <t xml:space="preserve">(µg/(g·h))</t>
  </si>
  <si>
    <t xml:space="preserve">(µg/(gSOC·h))</t>
  </si>
  <si>
    <r>
      <rPr>
        <b val="true"/>
        <sz val="10"/>
        <rFont val="Arial"/>
        <family val="2"/>
        <charset val="1"/>
      </rPr>
      <t xml:space="preserve">(h</t>
    </r>
    <r>
      <rPr>
        <b val="true"/>
        <vertAlign val="superscript"/>
        <sz val="10"/>
        <rFont val="Arial"/>
        <family val="2"/>
        <charset val="1"/>
      </rPr>
      <t xml:space="preserve">-1</t>
    </r>
    <r>
      <rPr>
        <b val="true"/>
        <sz val="10"/>
        <rFont val="Arial"/>
        <family val="2"/>
        <charset val="1"/>
      </rPr>
      <t xml:space="preserve">)</t>
    </r>
  </si>
  <si>
    <t xml:space="preserve">Mass of ring+soil+solution at pF</t>
  </si>
  <si>
    <t xml:space="preserve">Volumetric water content θ (cm³/cm³) at pF</t>
  </si>
  <si>
    <t xml:space="preserve">Site</t>
  </si>
  <si>
    <t xml:space="preserve">treatment</t>
  </si>
  <si>
    <t xml:space="preserve">Ring
(empty)</t>
  </si>
  <si>
    <t xml:space="preserve">Coarse material</t>
  </si>
  <si>
    <t xml:space="preserve">voids</t>
  </si>
  <si>
    <t xml:space="preserve">Soil volume without BP</t>
  </si>
  <si>
    <t xml:space="preserve">total SOM weigth</t>
  </si>
  <si>
    <t xml:space="preserve">total mineral weight</t>
  </si>
  <si>
    <t xml:space="preserve">mean density</t>
  </si>
  <si>
    <t xml:space="preserve">total pore volume</t>
  </si>
  <si>
    <t xml:space="preserve">biogenous macropores</t>
  </si>
  <si>
    <t xml:space="preserve">Soil volume</t>
  </si>
  <si>
    <t xml:space="preserve">bulk density</t>
  </si>
  <si>
    <t xml:space="preserve">105°C</t>
  </si>
  <si>
    <t xml:space="preserve">empty</t>
  </si>
  <si>
    <t xml:space="preserve">soil
Moist</t>
  </si>
  <si>
    <t xml:space="preserve">soil
Oven-dry</t>
  </si>
  <si>
    <t xml:space="preserve">WHC</t>
  </si>
  <si>
    <t xml:space="preserve">aWHC</t>
  </si>
  <si>
    <t xml:space="preserve">Plant
Avail.
Water storage</t>
  </si>
  <si>
    <t xml:space="preserve">Plant
Avail.
Water storage (ESM)</t>
  </si>
  <si>
    <t xml:space="preserve">(cm³)</t>
  </si>
  <si>
    <t xml:space="preserve">(g/cm³)</t>
  </si>
  <si>
    <t xml:space="preserve">(vol%)</t>
  </si>
  <si>
    <t xml:space="preserve">(l/m²)</t>
  </si>
  <si>
    <t xml:space="preserve">Pasture</t>
  </si>
  <si>
    <t xml:space="preserve">Control</t>
  </si>
  <si>
    <t xml:space="preserve">Filter</t>
  </si>
  <si>
    <t xml:space="preserve">Water + filter</t>
  </si>
  <si>
    <t xml:space="preserve">Water in filter</t>
  </si>
  <si>
    <t xml:space="preserve">Microbial Abundance</t>
  </si>
  <si>
    <t xml:space="preserve">total fungi</t>
  </si>
  <si>
    <t xml:space="preserve">total bacteria</t>
  </si>
  <si>
    <t xml:space="preserve">18S rRNA</t>
  </si>
  <si>
    <t xml:space="preserve">16s rRNA</t>
  </si>
  <si>
    <t xml:space="preserve">(cop/g dm)</t>
  </si>
  <si>
    <t xml:space="preserve">Tree strip</t>
  </si>
  <si>
    <t xml:space="preserve">Crop alley</t>
  </si>
  <si>
    <t xml:space="preserve">Cropland control</t>
  </si>
</sst>
</file>

<file path=xl/styles.xml><?xml version="1.0" encoding="utf-8"?>
<styleSheet xmlns="http://schemas.openxmlformats.org/spreadsheetml/2006/main">
  <numFmts count="10">
    <numFmt numFmtId="164" formatCode="General"/>
    <numFmt numFmtId="165" formatCode="#,##0.00\ [$€-407];[RED]\-#,##0.00\ [$€-407]"/>
    <numFmt numFmtId="166" formatCode="0.0"/>
    <numFmt numFmtId="167" formatCode="0.0000"/>
    <numFmt numFmtId="168" formatCode="0.000"/>
    <numFmt numFmtId="169" formatCode="0.00"/>
    <numFmt numFmtId="170" formatCode="mm/dd/yy"/>
    <numFmt numFmtId="171" formatCode="General"/>
    <numFmt numFmtId="172" formatCode="0"/>
    <numFmt numFmtId="173" formatCode="0.00E+00"/>
  </numFmts>
  <fonts count="46">
    <font>
      <sz val="10"/>
      <name val="Arial"/>
      <family val="2"/>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b val="true"/>
      <sz val="11"/>
      <color rgb="FF333333"/>
      <name val="Calibri"/>
      <family val="2"/>
      <charset val="1"/>
    </font>
    <font>
      <b val="true"/>
      <sz val="11"/>
      <color rgb="FFFF9900"/>
      <name val="Calibri"/>
      <family val="2"/>
      <charset val="1"/>
    </font>
    <font>
      <sz val="11"/>
      <color rgb="FF333399"/>
      <name val="Calibri"/>
      <family val="2"/>
      <charset val="1"/>
    </font>
    <font>
      <b val="true"/>
      <sz val="11"/>
      <color rgb="FF000000"/>
      <name val="Calibri"/>
      <family val="2"/>
      <charset val="1"/>
    </font>
    <font>
      <b val="true"/>
      <i val="true"/>
      <u val="single"/>
      <sz val="10"/>
      <name val="Arial"/>
      <family val="2"/>
      <charset val="1"/>
    </font>
    <font>
      <i val="true"/>
      <sz val="11"/>
      <color rgb="FF808080"/>
      <name val="Calibri"/>
      <family val="2"/>
      <charset val="1"/>
    </font>
    <font>
      <sz val="11"/>
      <color rgb="FFFF9900"/>
      <name val="Calibri"/>
      <family val="2"/>
      <charset val="1"/>
    </font>
    <font>
      <sz val="11"/>
      <color rgb="FFFF0000"/>
      <name val="Calibri"/>
      <family val="2"/>
      <charset val="1"/>
    </font>
    <font>
      <b val="true"/>
      <sz val="11"/>
      <color rgb="FFFFFFFF"/>
      <name val="Calibri"/>
      <family val="2"/>
      <charset val="1"/>
    </font>
    <font>
      <b val="true"/>
      <sz val="11"/>
      <color rgb="FF003366"/>
      <name val="Calibri"/>
      <family val="2"/>
      <charset val="1"/>
    </font>
    <font>
      <b val="true"/>
      <sz val="18"/>
      <color rgb="FF003366"/>
      <name val="Cambria"/>
      <family val="2"/>
      <charset val="1"/>
    </font>
    <font>
      <b val="true"/>
      <sz val="15"/>
      <name val="Arial"/>
      <family val="2"/>
      <charset val="1"/>
    </font>
    <font>
      <b val="true"/>
      <sz val="10"/>
      <name val="Arial"/>
      <family val="2"/>
      <charset val="1"/>
    </font>
    <font>
      <sz val="10"/>
      <color rgb="FF000000"/>
      <name val="Arial"/>
      <family val="2"/>
      <charset val="1"/>
    </font>
    <font>
      <b val="true"/>
      <sz val="10"/>
      <color rgb="FF000000"/>
      <name val="Arial"/>
      <family val="2"/>
      <charset val="1"/>
    </font>
    <font>
      <vertAlign val="subscript"/>
      <sz val="10"/>
      <name val="Arial"/>
      <family val="2"/>
      <charset val="1"/>
    </font>
    <font>
      <b val="true"/>
      <sz val="12"/>
      <color rgb="FF000000"/>
      <name val="Arial"/>
      <family val="2"/>
      <charset val="1"/>
    </font>
    <font>
      <sz val="12"/>
      <color rgb="FF000000"/>
      <name val="Arial"/>
      <family val="2"/>
      <charset val="1"/>
    </font>
    <font>
      <b val="true"/>
      <sz val="12"/>
      <name val="Arial"/>
      <family val="2"/>
      <charset val="1"/>
    </font>
    <font>
      <b val="true"/>
      <vertAlign val="subscript"/>
      <sz val="12"/>
      <name val="Arial"/>
      <family val="2"/>
      <charset val="1"/>
    </font>
    <font>
      <i val="true"/>
      <sz val="10"/>
      <name val="Arial"/>
      <family val="2"/>
      <charset val="1"/>
    </font>
    <font>
      <b val="true"/>
      <vertAlign val="subscript"/>
      <sz val="10"/>
      <name val="Arial"/>
      <family val="2"/>
      <charset val="1"/>
    </font>
    <font>
      <sz val="10"/>
      <color rgb="FF0000FF"/>
      <name val="Arial"/>
      <family val="2"/>
      <charset val="1"/>
    </font>
    <font>
      <i val="true"/>
      <u val="single"/>
      <sz val="10"/>
      <name val="Arial"/>
      <family val="2"/>
      <charset val="1"/>
    </font>
    <font>
      <sz val="10"/>
      <name val="Arial"/>
      <family val="2"/>
    </font>
    <font>
      <sz val="12"/>
      <name val="Arial"/>
      <family val="2"/>
      <charset val="1"/>
    </font>
    <font>
      <b val="true"/>
      <i val="true"/>
      <sz val="12"/>
      <color rgb="FF999999"/>
      <name val="Arial"/>
      <family val="2"/>
      <charset val="1"/>
    </font>
    <font>
      <i val="true"/>
      <sz val="10"/>
      <color rgb="FF999999"/>
      <name val="Arial"/>
      <family val="2"/>
      <charset val="1"/>
    </font>
    <font>
      <b val="true"/>
      <i val="true"/>
      <sz val="10"/>
      <color rgb="FF999999"/>
      <name val="Arial"/>
      <family val="2"/>
      <charset val="1"/>
    </font>
    <font>
      <sz val="10"/>
      <name val="Ubuntu"/>
      <family val="0"/>
      <charset val="1"/>
    </font>
    <font>
      <vertAlign val="subscript"/>
      <sz val="12"/>
      <name val="Arial"/>
      <family val="2"/>
      <charset val="1"/>
    </font>
    <font>
      <sz val="12"/>
      <name val="Ubuntu"/>
      <family val="0"/>
      <charset val="1"/>
    </font>
    <font>
      <b val="true"/>
      <sz val="10"/>
      <name val="Ubuntu"/>
      <family val="0"/>
      <charset val="1"/>
    </font>
    <font>
      <b val="true"/>
      <vertAlign val="subscript"/>
      <sz val="10"/>
      <name val="Ubuntu"/>
      <family val="0"/>
      <charset val="1"/>
    </font>
    <font>
      <sz val="13"/>
      <name val="Arial"/>
      <family val="2"/>
    </font>
    <font>
      <vertAlign val="superscript"/>
      <sz val="10"/>
      <name val="Arial"/>
      <family val="2"/>
      <charset val="1"/>
    </font>
    <font>
      <i val="true"/>
      <vertAlign val="superscript"/>
      <sz val="10"/>
      <name val="Arial"/>
      <family val="2"/>
      <charset val="1"/>
    </font>
    <font>
      <b val="true"/>
      <i val="true"/>
      <sz val="10"/>
      <name val="Arial"/>
      <family val="2"/>
      <charset val="1"/>
    </font>
    <font>
      <b val="true"/>
      <sz val="10"/>
      <color rgb="FFEEEEEE"/>
      <name val="Arial"/>
      <family val="2"/>
      <charset val="1"/>
    </font>
    <font>
      <b val="true"/>
      <vertAlign val="superscript"/>
      <sz val="10"/>
      <name val="Arial"/>
      <family val="2"/>
      <charset val="1"/>
    </font>
  </fonts>
  <fills count="24">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D32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950E"/>
      </patternFill>
    </fill>
    <fill>
      <patternFill patternType="solid">
        <fgColor rgb="FF333399"/>
        <bgColor rgb="FF004586"/>
      </patternFill>
    </fill>
    <fill>
      <patternFill patternType="solid">
        <fgColor rgb="FFFF0000"/>
        <bgColor rgb="FF993300"/>
      </patternFill>
    </fill>
    <fill>
      <patternFill patternType="solid">
        <fgColor rgb="FF339966"/>
        <bgColor rgb="FF008080"/>
      </patternFill>
    </fill>
    <fill>
      <patternFill patternType="solid">
        <fgColor rgb="FFFF6600"/>
        <bgColor rgb="FFFF950E"/>
      </patternFill>
    </fill>
    <fill>
      <patternFill patternType="solid">
        <fgColor rgb="FFC0C0C0"/>
        <bgColor rgb="FFB3B3B3"/>
      </patternFill>
    </fill>
    <fill>
      <patternFill patternType="solid">
        <fgColor rgb="FF969696"/>
        <bgColor rgb="FF999999"/>
      </patternFill>
    </fill>
    <fill>
      <patternFill patternType="solid">
        <fgColor rgb="FFF6F9D4"/>
        <bgColor rgb="FFEEEEEE"/>
      </patternFill>
    </fill>
    <fill>
      <patternFill patternType="solid">
        <fgColor rgb="FFFFFFFF"/>
        <bgColor rgb="FFF6F9D4"/>
      </patternFill>
    </fill>
  </fills>
  <borders count="63">
    <border diagonalUp="false" diagonalDown="false">
      <left/>
      <right/>
      <top/>
      <bottom/>
      <diagonal/>
    </border>
    <border diagonalUp="false" diagonalDown="false">
      <left style="hair">
        <color rgb="FF333333"/>
      </left>
      <right style="hair">
        <color rgb="FF333333"/>
      </right>
      <top style="hair">
        <color rgb="FF333333"/>
      </top>
      <bottom style="hair">
        <color rgb="FF333333"/>
      </bottom>
      <diagonal/>
    </border>
    <border diagonalUp="false" diagonalDown="false">
      <left style="hair">
        <color rgb="FF808080"/>
      </left>
      <right style="hair">
        <color rgb="FF808080"/>
      </right>
      <top style="hair">
        <color rgb="FF808080"/>
      </top>
      <bottom style="hair">
        <color rgb="FF808080"/>
      </bottom>
      <diagonal/>
    </border>
    <border diagonalUp="false" diagonalDown="false">
      <left/>
      <right/>
      <top style="hair">
        <color rgb="FF333399"/>
      </top>
      <bottom style="hair">
        <color rgb="FF333399"/>
      </bottom>
      <diagonal/>
    </border>
    <border diagonalUp="false" diagonalDown="false">
      <left/>
      <right/>
      <top/>
      <bottom style="hair">
        <color rgb="FFFF9900"/>
      </bottom>
      <diagonal/>
    </border>
    <border diagonalUp="false" diagonalDown="false">
      <left/>
      <right/>
      <top/>
      <bottom style="hair">
        <color rgb="FF0066CC"/>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dashed"/>
      <right/>
      <top/>
      <bottom/>
      <diagonal/>
    </border>
    <border diagonalUp="false" diagonalDown="false">
      <left/>
      <right style="dashed"/>
      <top/>
      <bottom/>
      <diagonal/>
    </border>
    <border diagonalUp="false" diagonalDown="false">
      <left style="dashed"/>
      <right/>
      <top/>
      <bottom style="thin"/>
      <diagonal/>
    </border>
    <border diagonalUp="false" diagonalDown="false">
      <left/>
      <right style="dashed"/>
      <top/>
      <bottom style="thin"/>
      <diagonal/>
    </border>
    <border diagonalUp="false" diagonalDown="false">
      <left style="dashed"/>
      <right/>
      <top style="thin"/>
      <bottom/>
      <diagonal/>
    </border>
    <border diagonalUp="false" diagonalDown="false">
      <left/>
      <right style="dashed"/>
      <top style="thin"/>
      <bottom/>
      <diagonal/>
    </border>
    <border diagonalUp="false" diagonalDown="false">
      <left style="dashed"/>
      <right style="dashed"/>
      <top/>
      <bottom/>
      <diagonal/>
    </border>
    <border diagonalUp="false" diagonalDown="false">
      <left style="thin"/>
      <right style="dotted"/>
      <top style="dotted"/>
      <bottom style="dotted"/>
      <diagonal/>
    </border>
    <border diagonalUp="false" diagonalDown="false">
      <left/>
      <right/>
      <top style="dotted"/>
      <bottom/>
      <diagonal/>
    </border>
    <border diagonalUp="false" diagonalDown="false">
      <left/>
      <right/>
      <top/>
      <bottom style="dotted"/>
      <diagonal/>
    </border>
    <border diagonalUp="false" diagonalDown="false">
      <left style="hair"/>
      <right/>
      <top style="hair"/>
      <bottom/>
      <diagonal/>
    </border>
    <border diagonalUp="false" diagonalDown="false">
      <left/>
      <right/>
      <top style="hair"/>
      <bottom/>
      <diagonal/>
    </border>
    <border diagonalUp="false" diagonalDown="false">
      <left/>
      <right style="hair"/>
      <top style="hair"/>
      <bottom/>
      <diagonal/>
    </border>
    <border diagonalUp="false" diagonalDown="false">
      <left style="hair"/>
      <right/>
      <top/>
      <bottom/>
      <diagonal/>
    </border>
    <border diagonalUp="false" diagonalDown="false">
      <left/>
      <right style="hair"/>
      <top/>
      <bottom/>
      <diagonal/>
    </border>
    <border diagonalUp="false" diagonalDown="false">
      <left style="thin">
        <color rgb="FFBBE33D"/>
      </left>
      <right/>
      <top style="thin">
        <color rgb="FFBBE33D"/>
      </top>
      <bottom/>
      <diagonal/>
    </border>
    <border diagonalUp="false" diagonalDown="false">
      <left/>
      <right style="thin">
        <color rgb="FFBBE33D"/>
      </right>
      <top style="thin">
        <color rgb="FFBBE33D"/>
      </top>
      <bottom/>
      <diagonal/>
    </border>
    <border diagonalUp="false" diagonalDown="false">
      <left style="thin">
        <color rgb="FFBBE33D"/>
      </left>
      <right/>
      <top/>
      <bottom/>
      <diagonal/>
    </border>
    <border diagonalUp="false" diagonalDown="false">
      <left/>
      <right style="thin">
        <color rgb="FFBBE33D"/>
      </right>
      <top/>
      <bottom/>
      <diagonal/>
    </border>
    <border diagonalUp="false" diagonalDown="false">
      <left style="thin">
        <color rgb="FFBBE33D"/>
      </left>
      <right/>
      <top/>
      <bottom style="thin">
        <color rgb="FFBBE33D"/>
      </bottom>
      <diagonal/>
    </border>
    <border diagonalUp="false" diagonalDown="false">
      <left/>
      <right style="thin">
        <color rgb="FFBBE33D"/>
      </right>
      <top/>
      <bottom style="thin">
        <color rgb="FFBBE33D"/>
      </bottom>
      <diagonal/>
    </border>
    <border diagonalUp="false" diagonalDown="false">
      <left style="thin">
        <color rgb="FFBBE33D"/>
      </left>
      <right/>
      <top style="thin">
        <color rgb="FFBBE33D"/>
      </top>
      <bottom style="thin">
        <color rgb="FFBBE33D"/>
      </bottom>
      <diagonal/>
    </border>
    <border diagonalUp="false" diagonalDown="false">
      <left/>
      <right/>
      <top style="thin">
        <color rgb="FFBBE33D"/>
      </top>
      <bottom style="thin">
        <color rgb="FFBBE33D"/>
      </bottom>
      <diagonal/>
    </border>
    <border diagonalUp="false" diagonalDown="false">
      <left/>
      <right style="thin">
        <color rgb="FFBBE33D"/>
      </right>
      <top style="thin">
        <color rgb="FFBBE33D"/>
      </top>
      <bottom style="thin">
        <color rgb="FFBBE33D"/>
      </bottom>
      <diagonal/>
    </border>
    <border diagonalUp="false" diagonalDown="false">
      <left style="hair"/>
      <right/>
      <top/>
      <bottom style="hair"/>
      <diagonal/>
    </border>
    <border diagonalUp="false" diagonalDown="false">
      <left/>
      <right/>
      <top/>
      <bottom style="hair"/>
      <diagonal/>
    </border>
    <border diagonalUp="false" diagonalDown="false">
      <left/>
      <right style="hair"/>
      <top/>
      <bottom style="hair"/>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dotted"/>
      <right/>
      <top/>
      <bottom/>
      <diagonal/>
    </border>
    <border diagonalUp="false" diagonalDown="false">
      <left style="dotted"/>
      <right/>
      <top style="hair"/>
      <bottom/>
      <diagonal/>
    </border>
    <border diagonalUp="false" diagonalDown="false">
      <left style="dotted"/>
      <right/>
      <top style="dotted"/>
      <bottom/>
      <diagonal/>
    </border>
    <border diagonalUp="false" diagonalDown="false">
      <left style="dotted"/>
      <right/>
      <top/>
      <bottom style="dotted"/>
      <diagonal/>
    </border>
    <border diagonalUp="false" diagonalDown="false">
      <left style="dotted"/>
      <right/>
      <top/>
      <bottom style="thin"/>
      <diagonal/>
    </border>
    <border diagonalUp="false" diagonalDown="false">
      <left style="dotted"/>
      <right/>
      <top style="thin"/>
      <bottom/>
      <diagonal/>
    </border>
    <border diagonalUp="false" diagonalDown="false">
      <left/>
      <right style="dotted"/>
      <top/>
      <bottom/>
      <diagonal/>
    </border>
    <border diagonalUp="false" diagonalDown="false">
      <left style="double"/>
      <right/>
      <top/>
      <bottom/>
      <diagonal/>
    </border>
    <border diagonalUp="false" diagonalDown="false">
      <left style="double"/>
      <right style="thin"/>
      <top/>
      <bottom/>
      <diagonal/>
    </border>
    <border diagonalUp="false" diagonalDown="false">
      <left style="double"/>
      <right/>
      <top/>
      <bottom style="thin"/>
      <diagonal/>
    </border>
    <border diagonalUp="false" diagonalDown="false">
      <left/>
      <right style="thin"/>
      <top/>
      <bottom style="dotted"/>
      <diagonal/>
    </border>
    <border diagonalUp="false" diagonalDown="false">
      <left style="double"/>
      <right/>
      <top/>
      <bottom style="dotted"/>
      <diagonal/>
    </border>
    <border diagonalUp="false" diagonalDown="false">
      <left/>
      <right style="thin"/>
      <top style="dotted"/>
      <bottom/>
      <diagonal/>
    </border>
    <border diagonalUp="false" diagonalDown="false">
      <left style="double"/>
      <right/>
      <top style="dotted"/>
      <bottom/>
      <diagonal/>
    </border>
    <border diagonalUp="false" diagonalDown="false">
      <left style="dotted"/>
      <right style="dotted"/>
      <top/>
      <bottom/>
      <diagonal/>
    </border>
    <border diagonalUp="false" diagonalDown="false">
      <left/>
      <right style="dotted"/>
      <top/>
      <bottom style="thin"/>
      <diagonal/>
    </border>
    <border diagonalUp="false" diagonalDown="false">
      <left/>
      <right style="dotted"/>
      <top style="dotted"/>
      <bottom/>
      <diagonal/>
    </border>
    <border diagonalUp="false" diagonalDown="false">
      <left/>
      <right style="dotted"/>
      <top/>
      <bottom style="dotted"/>
      <diagonal/>
    </border>
    <border diagonalUp="false" diagonalDown="false">
      <left/>
      <right style="dotted"/>
      <top style="thin"/>
      <bottom/>
      <diagonal/>
    </border>
    <border diagonalUp="false" diagonalDown="false">
      <left style="thin"/>
      <right style="dotted"/>
      <top/>
      <bottom/>
      <diagonal/>
    </border>
  </borders>
  <cellStyleXfs count="5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5" fillId="16" borderId="0" applyFont="true" applyBorder="false" applyAlignment="true" applyProtection="false">
      <alignment horizontal="general" vertical="bottom" textRotation="0" wrapText="false" indent="0" shrinkToFit="false"/>
    </xf>
    <xf numFmtId="164" fontId="5" fillId="17" borderId="0" applyFont="true" applyBorder="false" applyAlignment="true" applyProtection="false">
      <alignment horizontal="general" vertical="bottom" textRotation="0" wrapText="false" indent="0" shrinkToFit="false"/>
    </xf>
    <xf numFmtId="164" fontId="5" fillId="18"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9" borderId="0" applyFont="true" applyBorder="false" applyAlignment="true" applyProtection="false">
      <alignment horizontal="general" vertical="bottom" textRotation="0" wrapText="false" indent="0" shrinkToFit="false"/>
    </xf>
    <xf numFmtId="164" fontId="6" fillId="20" borderId="1" applyFont="true" applyBorder="true" applyAlignment="true" applyProtection="false">
      <alignment horizontal="general" vertical="bottom" textRotation="0" wrapText="false" indent="0" shrinkToFit="false"/>
    </xf>
    <xf numFmtId="164" fontId="7" fillId="20" borderId="2" applyFont="true" applyBorder="true" applyAlignment="true" applyProtection="false">
      <alignment horizontal="general" vertical="bottom" textRotation="0" wrapText="false" indent="0" shrinkToFit="false"/>
    </xf>
    <xf numFmtId="164" fontId="8" fillId="7" borderId="2" applyFont="true" applyBorder="true" applyAlignment="true" applyProtection="false">
      <alignment horizontal="general" vertical="bottom" textRotation="0" wrapText="false" indent="0" shrinkToFit="false"/>
    </xf>
    <xf numFmtId="164" fontId="9" fillId="0" borderId="3" applyFont="true" applyBorder="true" applyAlignment="true" applyProtection="false">
      <alignment horizontal="general" vertical="bottom" textRotation="0" wrapText="false" indent="0" shrinkToFit="false"/>
    </xf>
    <xf numFmtId="165"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4" applyFont="true" applyBorder="tru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21" borderId="1" applyFont="true" applyBorder="true" applyAlignment="true" applyProtection="false">
      <alignment horizontal="general" vertical="bottom" textRotation="0" wrapText="false" indent="0" shrinkToFit="false"/>
    </xf>
    <xf numFmtId="164" fontId="15" fillId="0" borderId="5" applyFont="true" applyBorder="true" applyAlignment="true" applyProtection="false">
      <alignment horizontal="general" vertical="bottom" textRotation="0" wrapText="false" indent="0" shrinkToFit="false"/>
    </xf>
    <xf numFmtId="164" fontId="15" fillId="0" borderId="0" applyFont="true" applyBorder="false" applyAlignment="true" applyProtection="false">
      <alignment horizontal="general" vertical="bottom" textRotation="0" wrapText="false" indent="0" shrinkToFit="false"/>
    </xf>
    <xf numFmtId="164" fontId="16" fillId="0" borderId="0" applyFont="true" applyBorder="false" applyAlignment="true" applyProtection="false">
      <alignment horizontal="general" vertical="bottom" textRotation="0" wrapText="false" indent="0" shrinkToFit="false"/>
    </xf>
  </cellStyleXfs>
  <cellXfs count="50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2" borderId="0" xfId="0" applyFont="false" applyBorder="false" applyAlignment="false" applyProtection="false">
      <alignment horizontal="general" vertical="bottom" textRotation="0" wrapText="false" indent="0" shrinkToFit="false"/>
      <protection locked="true" hidden="false"/>
    </xf>
    <xf numFmtId="164" fontId="0" fillId="23" borderId="6" xfId="0" applyFont="false" applyBorder="true" applyAlignment="false" applyProtection="false">
      <alignment horizontal="general" vertical="bottom" textRotation="0" wrapText="false" indent="0" shrinkToFit="false"/>
      <protection locked="true" hidden="false"/>
    </xf>
    <xf numFmtId="164" fontId="0" fillId="23" borderId="7" xfId="0" applyFont="false" applyBorder="true" applyAlignment="false" applyProtection="false">
      <alignment horizontal="general" vertical="bottom" textRotation="0" wrapText="false" indent="0" shrinkToFit="false"/>
      <protection locked="true" hidden="false"/>
    </xf>
    <xf numFmtId="164" fontId="0" fillId="23" borderId="8" xfId="0" applyFont="false" applyBorder="true" applyAlignment="false" applyProtection="false">
      <alignment horizontal="general" vertical="bottom" textRotation="0" wrapText="false" indent="0" shrinkToFit="false"/>
      <protection locked="true" hidden="false"/>
    </xf>
    <xf numFmtId="164" fontId="0" fillId="23" borderId="9" xfId="0" applyFont="false" applyBorder="true" applyAlignment="false" applyProtection="false">
      <alignment horizontal="general" vertical="bottom" textRotation="0" wrapText="false" indent="0" shrinkToFit="false"/>
      <protection locked="true" hidden="false"/>
    </xf>
    <xf numFmtId="164" fontId="17" fillId="23" borderId="0" xfId="0" applyFont="true" applyBorder="true" applyAlignment="true" applyProtection="false">
      <alignment horizontal="left" vertical="center" textRotation="0" wrapText="false" indent="0" shrinkToFit="false"/>
      <protection locked="true" hidden="false"/>
    </xf>
    <xf numFmtId="164" fontId="0" fillId="23" borderId="10" xfId="0" applyFont="false" applyBorder="true" applyAlignment="false" applyProtection="false">
      <alignment horizontal="general" vertical="bottom" textRotation="0" wrapText="false" indent="0" shrinkToFit="false"/>
      <protection locked="true" hidden="false"/>
    </xf>
    <xf numFmtId="164" fontId="18" fillId="23" borderId="0" xfId="0" applyFont="true" applyBorder="false" applyAlignment="false" applyProtection="false">
      <alignment horizontal="general" vertical="bottom" textRotation="0" wrapText="false" indent="0" shrinkToFit="false"/>
      <protection locked="true" hidden="false"/>
    </xf>
    <xf numFmtId="164" fontId="0" fillId="23" borderId="0" xfId="0" applyFont="true" applyBorder="false" applyAlignment="false" applyProtection="false">
      <alignment horizontal="general" vertical="bottom" textRotation="0" wrapText="false" indent="0" shrinkToFit="false"/>
      <protection locked="true" hidden="false"/>
    </xf>
    <xf numFmtId="164" fontId="0" fillId="23" borderId="11" xfId="0" applyFont="false" applyBorder="true" applyAlignment="false" applyProtection="false">
      <alignment horizontal="general" vertical="bottom" textRotation="0" wrapText="false" indent="0" shrinkToFit="false"/>
      <protection locked="true" hidden="false"/>
    </xf>
    <xf numFmtId="164" fontId="0" fillId="23" borderId="12" xfId="0" applyFont="false" applyBorder="true" applyAlignment="false" applyProtection="false">
      <alignment horizontal="general" vertical="bottom" textRotation="0" wrapText="false" indent="0" shrinkToFit="false"/>
      <protection locked="true" hidden="false"/>
    </xf>
    <xf numFmtId="164" fontId="0" fillId="23" borderId="13" xfId="0" applyFont="false" applyBorder="true" applyAlignment="false" applyProtection="false">
      <alignment horizontal="general" vertical="bottom" textRotation="0" wrapText="false" indent="0" shrinkToFit="false"/>
      <protection locked="true" hidden="false"/>
    </xf>
    <xf numFmtId="164" fontId="0" fillId="23" borderId="6" xfId="0" applyFont="true" applyBorder="true" applyAlignment="false" applyProtection="false">
      <alignment horizontal="general" vertical="bottom" textRotation="0" wrapText="false" indent="0" shrinkToFit="false"/>
      <protection locked="true" hidden="false"/>
    </xf>
    <xf numFmtId="164" fontId="0" fillId="23" borderId="7" xfId="0" applyFont="true" applyBorder="true" applyAlignment="false" applyProtection="false">
      <alignment horizontal="general" vertical="bottom" textRotation="0" wrapText="false" indent="0" shrinkToFit="false"/>
      <protection locked="true" hidden="false"/>
    </xf>
    <xf numFmtId="164" fontId="0" fillId="23" borderId="8" xfId="0" applyFont="true" applyBorder="true" applyAlignment="false" applyProtection="false">
      <alignment horizontal="general" vertical="bottom" textRotation="0" wrapText="false" indent="0" shrinkToFit="false"/>
      <protection locked="true" hidden="false"/>
    </xf>
    <xf numFmtId="164" fontId="19" fillId="23" borderId="9" xfId="0" applyFont="true" applyBorder="true" applyAlignment="false" applyProtection="false">
      <alignment horizontal="general" vertical="bottom" textRotation="0" wrapText="false" indent="0" shrinkToFit="false"/>
      <protection locked="true" hidden="false"/>
    </xf>
    <xf numFmtId="164" fontId="20" fillId="23" borderId="0" xfId="0" applyFont="true" applyBorder="false" applyAlignment="false" applyProtection="false">
      <alignment horizontal="general" vertical="bottom" textRotation="0" wrapText="false" indent="0" shrinkToFit="false"/>
      <protection locked="true" hidden="false"/>
    </xf>
    <xf numFmtId="164" fontId="19" fillId="23" borderId="0" xfId="0" applyFont="true" applyBorder="false" applyAlignment="false" applyProtection="false">
      <alignment horizontal="general" vertical="bottom" textRotation="0" wrapText="false" indent="0" shrinkToFit="false"/>
      <protection locked="true" hidden="false"/>
    </xf>
    <xf numFmtId="164" fontId="19" fillId="23" borderId="10" xfId="0" applyFont="true" applyBorder="true" applyAlignment="false" applyProtection="false">
      <alignment horizontal="general" vertical="bottom" textRotation="0" wrapText="false" indent="0" shrinkToFit="false"/>
      <protection locked="true" hidden="false"/>
    </xf>
    <xf numFmtId="164" fontId="0" fillId="22" borderId="0" xfId="0" applyFont="true" applyBorder="false" applyAlignment="false" applyProtection="false">
      <alignment horizontal="general" vertical="bottom" textRotation="0" wrapText="false" indent="0" shrinkToFit="false"/>
      <protection locked="true" hidden="false"/>
    </xf>
    <xf numFmtId="164" fontId="19" fillId="23" borderId="0" xfId="0" applyFont="true" applyBorder="true" applyAlignment="true" applyProtection="false">
      <alignment horizontal="left" vertical="bottom" textRotation="0" wrapText="false" indent="0" shrinkToFit="false"/>
      <protection locked="true" hidden="false"/>
    </xf>
    <xf numFmtId="164" fontId="0" fillId="23" borderId="0" xfId="0" applyFont="true" applyBorder="true" applyAlignment="true" applyProtection="false">
      <alignment horizontal="left" vertical="bottom" textRotation="0" wrapText="false" indent="0" shrinkToFit="false"/>
      <protection locked="true" hidden="false"/>
    </xf>
    <xf numFmtId="166" fontId="19" fillId="23" borderId="0" xfId="0" applyFont="true" applyBorder="true" applyAlignment="true" applyProtection="false">
      <alignment horizontal="center" vertical="bottom" textRotation="0" wrapText="false" indent="0" shrinkToFit="false"/>
      <protection locked="true" hidden="false"/>
    </xf>
    <xf numFmtId="164" fontId="22" fillId="23" borderId="10" xfId="0" applyFont="true" applyBorder="true" applyAlignment="true" applyProtection="false">
      <alignment horizontal="center" vertical="bottom" textRotation="0" wrapText="false" indent="0" shrinkToFit="false"/>
      <protection locked="true" hidden="false"/>
    </xf>
    <xf numFmtId="164" fontId="22" fillId="23" borderId="0" xfId="0" applyFont="true" applyBorder="true" applyAlignment="true" applyProtection="false">
      <alignment horizontal="center" vertical="bottom" textRotation="0" wrapText="false" indent="0" shrinkToFit="false"/>
      <protection locked="true" hidden="false"/>
    </xf>
    <xf numFmtId="164" fontId="22" fillId="23" borderId="14" xfId="0" applyFont="true" applyBorder="true" applyAlignment="true" applyProtection="false">
      <alignment horizontal="center" vertical="bottom" textRotation="0" wrapText="false" indent="0" shrinkToFit="false"/>
      <protection locked="true" hidden="false"/>
    </xf>
    <xf numFmtId="164" fontId="22" fillId="23" borderId="15" xfId="0" applyFont="true" applyBorder="true" applyAlignment="true" applyProtection="false">
      <alignment horizontal="center" vertical="bottom" textRotation="0" wrapText="false" indent="0" shrinkToFit="false"/>
      <protection locked="true" hidden="false"/>
    </xf>
    <xf numFmtId="164" fontId="22" fillId="23" borderId="9" xfId="0" applyFont="true" applyBorder="true" applyAlignment="true" applyProtection="false">
      <alignment horizontal="center" vertical="bottom" textRotation="0" wrapText="false" indent="0" shrinkToFit="false"/>
      <protection locked="true" hidden="false"/>
    </xf>
    <xf numFmtId="164" fontId="19" fillId="23" borderId="13" xfId="0" applyFont="true" applyBorder="true" applyAlignment="true" applyProtection="false">
      <alignment horizontal="center" vertical="bottom" textRotation="0" wrapText="false" indent="0" shrinkToFit="false"/>
      <protection locked="true" hidden="false"/>
    </xf>
    <xf numFmtId="164" fontId="19" fillId="23" borderId="12" xfId="0" applyFont="true" applyBorder="true" applyAlignment="true" applyProtection="false">
      <alignment horizontal="center" vertical="bottom" textRotation="0" wrapText="false" indent="0" shrinkToFit="false"/>
      <protection locked="true" hidden="false"/>
    </xf>
    <xf numFmtId="164" fontId="19" fillId="23" borderId="16" xfId="0" applyFont="true" applyBorder="true" applyAlignment="true" applyProtection="false">
      <alignment horizontal="center" vertical="bottom" textRotation="0" wrapText="false" indent="0" shrinkToFit="false"/>
      <protection locked="true" hidden="false"/>
    </xf>
    <xf numFmtId="164" fontId="19" fillId="23" borderId="17" xfId="0" applyFont="true" applyBorder="true" applyAlignment="true" applyProtection="false">
      <alignment horizontal="center" vertical="bottom" textRotation="0" wrapText="false" indent="0" shrinkToFit="false"/>
      <protection locked="true" hidden="false"/>
    </xf>
    <xf numFmtId="164" fontId="19" fillId="23" borderId="11" xfId="0" applyFont="true" applyBorder="true" applyAlignment="true" applyProtection="false">
      <alignment horizontal="center" vertical="bottom" textRotation="0" wrapText="false" indent="0" shrinkToFit="false"/>
      <protection locked="true" hidden="false"/>
    </xf>
    <xf numFmtId="164" fontId="19" fillId="23" borderId="10" xfId="0" applyFont="true" applyBorder="true" applyAlignment="true" applyProtection="false">
      <alignment horizontal="center" vertical="bottom" textRotation="0" wrapText="false" indent="0" shrinkToFit="false"/>
      <protection locked="true" hidden="false"/>
    </xf>
    <xf numFmtId="166" fontId="19" fillId="23" borderId="0" xfId="0" applyFont="true" applyBorder="false" applyAlignment="true" applyProtection="false">
      <alignment horizontal="center" vertical="bottom" textRotation="0" wrapText="false" indent="0" shrinkToFit="false"/>
      <protection locked="true" hidden="false"/>
    </xf>
    <xf numFmtId="166" fontId="19" fillId="23" borderId="14" xfId="0" applyFont="true" applyBorder="true" applyAlignment="true" applyProtection="false">
      <alignment horizontal="center" vertical="bottom" textRotation="0" wrapText="false" indent="0" shrinkToFit="false"/>
      <protection locked="true" hidden="false"/>
    </xf>
    <xf numFmtId="166" fontId="19" fillId="23" borderId="15" xfId="0" applyFont="true" applyBorder="true" applyAlignment="true" applyProtection="false">
      <alignment horizontal="center" vertical="bottom" textRotation="0" wrapText="false" indent="0" shrinkToFit="false"/>
      <protection locked="true" hidden="false"/>
    </xf>
    <xf numFmtId="164" fontId="19" fillId="23" borderId="9" xfId="0" applyFont="true" applyBorder="true" applyAlignment="true" applyProtection="false">
      <alignment horizontal="center" vertical="bottom" textRotation="0" wrapText="false" indent="0" shrinkToFit="false"/>
      <protection locked="true" hidden="false"/>
    </xf>
    <xf numFmtId="164" fontId="0" fillId="22" borderId="0" xfId="0" applyFont="false" applyBorder="false" applyAlignment="true" applyProtection="false">
      <alignment horizontal="center" vertical="bottom" textRotation="0" wrapText="false" indent="0" shrinkToFit="false"/>
      <protection locked="true" hidden="false"/>
    </xf>
    <xf numFmtId="164" fontId="20" fillId="23" borderId="8" xfId="0" applyFont="true" applyBorder="true" applyAlignment="true" applyProtection="false">
      <alignment horizontal="center" vertical="bottom" textRotation="0" wrapText="false" indent="0" shrinkToFit="false"/>
      <protection locked="true" hidden="false"/>
    </xf>
    <xf numFmtId="166" fontId="20" fillId="23" borderId="7" xfId="0" applyFont="true" applyBorder="true" applyAlignment="true" applyProtection="false">
      <alignment horizontal="center" vertical="bottom" textRotation="0" wrapText="false" indent="0" shrinkToFit="false"/>
      <protection locked="true" hidden="false"/>
    </xf>
    <xf numFmtId="166" fontId="20" fillId="23" borderId="18" xfId="0" applyFont="true" applyBorder="true" applyAlignment="true" applyProtection="false">
      <alignment horizontal="center" vertical="bottom" textRotation="0" wrapText="false" indent="0" shrinkToFit="false"/>
      <protection locked="true" hidden="false"/>
    </xf>
    <xf numFmtId="166" fontId="20" fillId="23" borderId="19" xfId="0" applyFont="true" applyBorder="true" applyAlignment="true" applyProtection="false">
      <alignment horizontal="center" vertical="bottom" textRotation="0" wrapText="false" indent="0" shrinkToFit="false"/>
      <protection locked="true" hidden="false"/>
    </xf>
    <xf numFmtId="164" fontId="20" fillId="23" borderId="6" xfId="0" applyFont="true" applyBorder="true" applyAlignment="true" applyProtection="false">
      <alignment horizontal="center" vertical="bottom" textRotation="0" wrapText="false" indent="0" shrinkToFit="false"/>
      <protection locked="true" hidden="false"/>
    </xf>
    <xf numFmtId="164" fontId="18" fillId="22" borderId="0" xfId="0" applyFont="true" applyBorder="false" applyAlignment="true" applyProtection="false">
      <alignment horizontal="center" vertical="bottom" textRotation="0" wrapText="false" indent="0" shrinkToFit="false"/>
      <protection locked="true" hidden="false"/>
    </xf>
    <xf numFmtId="164" fontId="20" fillId="23" borderId="9" xfId="0" applyFont="true" applyBorder="true" applyAlignment="true" applyProtection="false">
      <alignment horizontal="center" vertical="bottom" textRotation="0" wrapText="false" indent="0" shrinkToFit="false"/>
      <protection locked="true" hidden="false"/>
    </xf>
    <xf numFmtId="164" fontId="20" fillId="23" borderId="10" xfId="0" applyFont="true" applyBorder="true" applyAlignment="true" applyProtection="false">
      <alignment horizontal="center" vertical="bottom" textRotation="0" wrapText="false" indent="0" shrinkToFit="false"/>
      <protection locked="true" hidden="false"/>
    </xf>
    <xf numFmtId="166" fontId="20" fillId="23" borderId="0" xfId="0" applyFont="true" applyBorder="false" applyAlignment="true" applyProtection="false">
      <alignment horizontal="center" vertical="bottom" textRotation="0" wrapText="false" indent="0" shrinkToFit="false"/>
      <protection locked="true" hidden="false"/>
    </xf>
    <xf numFmtId="166" fontId="20" fillId="23" borderId="20" xfId="0" applyFont="true" applyBorder="true" applyAlignment="true" applyProtection="false">
      <alignment horizontal="center" vertical="center" textRotation="0" wrapText="false" indent="0" shrinkToFit="false"/>
      <protection locked="true" hidden="false"/>
    </xf>
    <xf numFmtId="166" fontId="20" fillId="23" borderId="0" xfId="0" applyFont="true" applyBorder="true" applyAlignment="true" applyProtection="false">
      <alignment horizontal="center" vertical="center" textRotation="0" wrapText="false" indent="0" shrinkToFit="false"/>
      <protection locked="true" hidden="false"/>
    </xf>
    <xf numFmtId="164" fontId="20" fillId="22" borderId="21" xfId="0" applyFont="true" applyBorder="true" applyAlignment="true" applyProtection="false">
      <alignment horizontal="center" vertical="bottom" textRotation="0" wrapText="false" indent="0" shrinkToFit="false"/>
      <protection locked="true" hidden="false"/>
    </xf>
    <xf numFmtId="164" fontId="19" fillId="23" borderId="0" xfId="0" applyFont="true" applyBorder="false" applyAlignment="true" applyProtection="false">
      <alignment horizontal="left" vertical="bottom" textRotation="0" wrapText="false" indent="0" shrinkToFit="false"/>
      <protection locked="true" hidden="false"/>
    </xf>
    <xf numFmtId="164" fontId="22" fillId="23" borderId="0" xfId="0" applyFont="true" applyBorder="false" applyAlignment="false" applyProtection="false">
      <alignment horizontal="general" vertical="bottom" textRotation="0" wrapText="false" indent="0" shrinkToFit="false"/>
      <protection locked="true" hidden="false"/>
    </xf>
    <xf numFmtId="164" fontId="23" fillId="23" borderId="0" xfId="0" applyFont="true" applyBorder="false" applyAlignment="false" applyProtection="false">
      <alignment horizontal="general" vertical="bottom" textRotation="0" wrapText="false" indent="0" shrinkToFit="false"/>
      <protection locked="true" hidden="false"/>
    </xf>
    <xf numFmtId="164" fontId="20" fillId="23" borderId="0" xfId="0" applyFont="true" applyBorder="true" applyAlignment="true" applyProtection="false">
      <alignment horizontal="left" vertical="bottom" textRotation="0" wrapText="false" indent="0" shrinkToFit="false"/>
      <protection locked="true" hidden="false"/>
    </xf>
    <xf numFmtId="166" fontId="19" fillId="23" borderId="0" xfId="0" applyFont="true" applyBorder="true" applyAlignment="true" applyProtection="false">
      <alignment horizontal="left" vertical="bottom" textRotation="0" wrapText="false" indent="0" shrinkToFit="false"/>
      <protection locked="true" hidden="false"/>
    </xf>
    <xf numFmtId="166" fontId="23" fillId="23" borderId="0" xfId="0" applyFont="true" applyBorder="true" applyAlignment="true" applyProtection="false">
      <alignment horizontal="center" vertical="bottom" textRotation="0" wrapText="false" indent="0" shrinkToFit="false"/>
      <protection locked="true" hidden="false"/>
    </xf>
    <xf numFmtId="164" fontId="23" fillId="23" borderId="0" xfId="0" applyFont="true" applyBorder="true" applyAlignment="true" applyProtection="false">
      <alignment horizontal="left" vertical="bottom" textRotation="0" wrapText="false" indent="0" shrinkToFit="false"/>
      <protection locked="true" hidden="false"/>
    </xf>
    <xf numFmtId="164" fontId="19" fillId="23" borderId="11" xfId="0" applyFont="true" applyBorder="true" applyAlignment="false" applyProtection="false">
      <alignment horizontal="general" vertical="bottom" textRotation="0" wrapText="false" indent="0" shrinkToFit="false"/>
      <protection locked="true" hidden="false"/>
    </xf>
    <xf numFmtId="164" fontId="19" fillId="23" borderId="12" xfId="0" applyFont="true" applyBorder="true" applyAlignment="false" applyProtection="false">
      <alignment horizontal="general" vertical="bottom" textRotation="0" wrapText="false" indent="0" shrinkToFit="false"/>
      <protection locked="true" hidden="false"/>
    </xf>
    <xf numFmtId="164" fontId="19" fillId="23" borderId="13" xfId="0" applyFont="true" applyBorder="true" applyAlignment="false" applyProtection="false">
      <alignment horizontal="general" vertical="bottom" textRotation="0" wrapText="false" indent="0" shrinkToFit="false"/>
      <protection locked="true" hidden="false"/>
    </xf>
    <xf numFmtId="164" fontId="0" fillId="23" borderId="7" xfId="0" applyFont="true" applyBorder="true" applyAlignment="true" applyProtection="false">
      <alignment horizontal="center" vertical="bottom" textRotation="0" wrapText="false" indent="0" shrinkToFit="false"/>
      <protection locked="true" hidden="false"/>
    </xf>
    <xf numFmtId="164" fontId="0" fillId="23" borderId="9" xfId="0" applyFont="true" applyBorder="true" applyAlignment="false" applyProtection="false">
      <alignment horizontal="general" vertical="bottom" textRotation="0" wrapText="false" indent="0" shrinkToFit="false"/>
      <protection locked="true" hidden="false"/>
    </xf>
    <xf numFmtId="164" fontId="24" fillId="23" borderId="0" xfId="0" applyFont="true" applyBorder="true" applyAlignment="true" applyProtection="false">
      <alignment horizontal="left" vertical="center" textRotation="0" wrapText="false" indent="0" shrinkToFit="false"/>
      <protection locked="true" hidden="false"/>
    </xf>
    <xf numFmtId="164" fontId="0" fillId="23" borderId="10" xfId="0" applyFont="true" applyBorder="true" applyAlignment="false" applyProtection="false">
      <alignment horizontal="general" vertical="bottom" textRotation="0" wrapText="false" indent="0" shrinkToFit="false"/>
      <protection locked="true" hidden="false"/>
    </xf>
    <xf numFmtId="164" fontId="0" fillId="23" borderId="0" xfId="0" applyFont="true" applyBorder="true" applyAlignment="false" applyProtection="false">
      <alignment horizontal="general" vertical="bottom" textRotation="0" wrapText="false" indent="0" shrinkToFit="false"/>
      <protection locked="true" hidden="false"/>
    </xf>
    <xf numFmtId="164" fontId="0" fillId="23" borderId="0" xfId="0" applyFont="true" applyBorder="true" applyAlignment="true" applyProtection="false">
      <alignment horizontal="center" vertical="bottom" textRotation="0" wrapText="false" indent="0" shrinkToFit="false"/>
      <protection locked="true" hidden="false"/>
    </xf>
    <xf numFmtId="164" fontId="0" fillId="23" borderId="9" xfId="0" applyFont="true" applyBorder="true" applyAlignment="true" applyProtection="false">
      <alignment horizontal="general" vertical="bottom" textRotation="0" wrapText="true" indent="0" shrinkToFit="false"/>
      <protection locked="true" hidden="false"/>
    </xf>
    <xf numFmtId="164" fontId="18" fillId="23" borderId="0" xfId="0" applyFont="true" applyBorder="true" applyAlignment="true" applyProtection="false">
      <alignment horizontal="center" vertical="bottom" textRotation="0" wrapText="true" indent="0" shrinkToFit="false"/>
      <protection locked="true" hidden="false"/>
    </xf>
    <xf numFmtId="164" fontId="18" fillId="23" borderId="0" xfId="0" applyFont="true" applyBorder="false" applyAlignment="true" applyProtection="false">
      <alignment horizontal="center" vertical="bottom" textRotation="0" wrapText="true" indent="0" shrinkToFit="false"/>
      <protection locked="true" hidden="false"/>
    </xf>
    <xf numFmtId="164" fontId="18" fillId="23" borderId="10" xfId="0" applyFont="true" applyBorder="true" applyAlignment="true" applyProtection="false">
      <alignment horizontal="center" vertical="bottom" textRotation="0" wrapText="true" indent="0" shrinkToFit="false"/>
      <protection locked="true" hidden="false"/>
    </xf>
    <xf numFmtId="164" fontId="0" fillId="23" borderId="12" xfId="0" applyFont="true" applyBorder="true" applyAlignment="true" applyProtection="false">
      <alignment horizontal="center" vertical="center" textRotation="0" wrapText="false" indent="0" shrinkToFit="false"/>
      <protection locked="true" hidden="false"/>
    </xf>
    <xf numFmtId="164" fontId="18" fillId="23" borderId="12" xfId="0" applyFont="true" applyBorder="true" applyAlignment="true" applyProtection="false">
      <alignment horizontal="center" vertical="bottom" textRotation="0" wrapText="false" indent="0" shrinkToFit="false"/>
      <protection locked="true" hidden="false"/>
    </xf>
    <xf numFmtId="164" fontId="18" fillId="23" borderId="10" xfId="0" applyFont="true" applyBorder="true" applyAlignment="false" applyProtection="false">
      <alignment horizontal="general" vertical="bottom" textRotation="0" wrapText="false" indent="0" shrinkToFit="false"/>
      <protection locked="true" hidden="false"/>
    </xf>
    <xf numFmtId="164" fontId="0" fillId="23" borderId="0" xfId="0" applyFont="true" applyBorder="false" applyAlignment="true" applyProtection="false">
      <alignment horizontal="left" vertical="center" textRotation="0" wrapText="false" indent="0" shrinkToFit="false"/>
      <protection locked="true" hidden="false"/>
    </xf>
    <xf numFmtId="164" fontId="0" fillId="23" borderId="0" xfId="0" applyFont="true" applyBorder="false" applyAlignment="true" applyProtection="false">
      <alignment horizontal="center" vertical="center" textRotation="0" wrapText="false" indent="0" shrinkToFit="false"/>
      <protection locked="true" hidden="false"/>
    </xf>
    <xf numFmtId="164" fontId="0" fillId="23" borderId="0" xfId="0" applyFont="true" applyBorder="false" applyAlignment="true" applyProtection="false">
      <alignment horizontal="center" vertical="bottom" textRotation="0" wrapText="false" indent="0" shrinkToFit="false"/>
      <protection locked="true" hidden="false"/>
    </xf>
    <xf numFmtId="166" fontId="0" fillId="23" borderId="0" xfId="0" applyFont="true" applyBorder="false" applyAlignment="true" applyProtection="false">
      <alignment horizontal="center" vertical="bottom" textRotation="0" wrapText="false" indent="0" shrinkToFit="false"/>
      <protection locked="true" hidden="false"/>
    </xf>
    <xf numFmtId="164" fontId="26" fillId="23" borderId="10" xfId="0" applyFont="true" applyBorder="true" applyAlignment="true" applyProtection="false">
      <alignment horizontal="center" vertical="bottom" textRotation="0" wrapText="false" indent="0" shrinkToFit="false"/>
      <protection locked="true" hidden="false"/>
    </xf>
    <xf numFmtId="166" fontId="0" fillId="23" borderId="0" xfId="0" applyFont="true" applyBorder="true" applyAlignment="true" applyProtection="false">
      <alignment horizontal="center" vertical="bottom" textRotation="0" wrapText="false" indent="0" shrinkToFit="false"/>
      <protection locked="true" hidden="false"/>
    </xf>
    <xf numFmtId="164" fontId="0" fillId="23" borderId="22" xfId="0" applyFont="true" applyBorder="true" applyAlignment="true" applyProtection="false">
      <alignment horizontal="center" vertical="center" textRotation="0" wrapText="false" indent="0" shrinkToFit="false"/>
      <protection locked="true" hidden="false"/>
    </xf>
    <xf numFmtId="164" fontId="0" fillId="23" borderId="22" xfId="0" applyFont="true" applyBorder="true" applyAlignment="true" applyProtection="false">
      <alignment horizontal="center" vertical="bottom" textRotation="0" wrapText="false" indent="0" shrinkToFit="false"/>
      <protection locked="true" hidden="false"/>
    </xf>
    <xf numFmtId="166" fontId="0" fillId="23" borderId="22" xfId="0" applyFont="true" applyBorder="true" applyAlignment="true" applyProtection="false">
      <alignment horizontal="center" vertical="bottom" textRotation="0" wrapText="false" indent="0" shrinkToFit="false"/>
      <protection locked="true" hidden="false"/>
    </xf>
    <xf numFmtId="164" fontId="0" fillId="23" borderId="23" xfId="0" applyFont="true" applyBorder="true" applyAlignment="true" applyProtection="false">
      <alignment horizontal="center" vertical="center" textRotation="0" wrapText="false" indent="0" shrinkToFit="false"/>
      <protection locked="true" hidden="false"/>
    </xf>
    <xf numFmtId="164" fontId="0" fillId="23" borderId="23" xfId="0" applyFont="true" applyBorder="true" applyAlignment="true" applyProtection="false">
      <alignment horizontal="center" vertical="bottom" textRotation="0" wrapText="false" indent="0" shrinkToFit="false"/>
      <protection locked="true" hidden="false"/>
    </xf>
    <xf numFmtId="166" fontId="0" fillId="23" borderId="23" xfId="0" applyFont="true" applyBorder="true" applyAlignment="true" applyProtection="false">
      <alignment horizontal="center" vertical="bottom" textRotation="0" wrapText="false" indent="0" shrinkToFit="false"/>
      <protection locked="true" hidden="false"/>
    </xf>
    <xf numFmtId="164" fontId="0" fillId="23" borderId="11" xfId="0" applyFont="true" applyBorder="true" applyAlignment="false" applyProtection="false">
      <alignment horizontal="general" vertical="bottom" textRotation="0" wrapText="false" indent="0" shrinkToFit="false"/>
      <protection locked="true" hidden="false"/>
    </xf>
    <xf numFmtId="164" fontId="0" fillId="23" borderId="12" xfId="0" applyFont="true" applyBorder="true" applyAlignment="false" applyProtection="false">
      <alignment horizontal="general" vertical="bottom" textRotation="0" wrapText="false" indent="0" shrinkToFit="false"/>
      <protection locked="true" hidden="false"/>
    </xf>
    <xf numFmtId="164" fontId="0" fillId="23" borderId="12" xfId="0" applyFont="true" applyBorder="true" applyAlignment="true" applyProtection="false">
      <alignment horizontal="center" vertical="bottom" textRotation="0" wrapText="false" indent="0" shrinkToFit="false"/>
      <protection locked="true" hidden="false"/>
    </xf>
    <xf numFmtId="164" fontId="0" fillId="23" borderId="13" xfId="0" applyFont="true" applyBorder="true" applyAlignment="false" applyProtection="false">
      <alignment horizontal="general" vertical="bottom" textRotation="0" wrapText="false" indent="0" shrinkToFit="false"/>
      <protection locked="true" hidden="false"/>
    </xf>
    <xf numFmtId="164" fontId="0" fillId="23" borderId="24" xfId="0" applyFont="true" applyBorder="true" applyAlignment="false" applyProtection="false">
      <alignment horizontal="general" vertical="bottom" textRotation="0" wrapText="false" indent="0" shrinkToFit="false"/>
      <protection locked="true" hidden="false"/>
    </xf>
    <xf numFmtId="164" fontId="0" fillId="23" borderId="25" xfId="0" applyFont="true" applyBorder="true" applyAlignment="false" applyProtection="false">
      <alignment horizontal="general" vertical="bottom" textRotation="0" wrapText="false" indent="0" shrinkToFit="false"/>
      <protection locked="true" hidden="false"/>
    </xf>
    <xf numFmtId="164" fontId="0" fillId="23" borderId="26" xfId="0" applyFont="true" applyBorder="true" applyAlignment="false" applyProtection="false">
      <alignment horizontal="general" vertical="bottom" textRotation="0" wrapText="false" indent="0" shrinkToFit="false"/>
      <protection locked="true" hidden="false"/>
    </xf>
    <xf numFmtId="164" fontId="0" fillId="23" borderId="27" xfId="0" applyFont="true" applyBorder="true" applyAlignment="false" applyProtection="false">
      <alignment horizontal="general" vertical="bottom" textRotation="0" wrapText="false" indent="0" shrinkToFit="false"/>
      <protection locked="true" hidden="false"/>
    </xf>
    <xf numFmtId="164" fontId="0" fillId="23" borderId="28" xfId="0" applyFont="true" applyBorder="true" applyAlignment="false" applyProtection="false">
      <alignment horizontal="general" vertical="bottom" textRotation="0" wrapText="false" indent="0" shrinkToFit="false"/>
      <protection locked="true" hidden="false"/>
    </xf>
    <xf numFmtId="164" fontId="24" fillId="23" borderId="0" xfId="0" applyFont="true" applyBorder="false" applyAlignment="true" applyProtection="false">
      <alignment horizontal="left" vertical="center" textRotation="0" wrapText="false" indent="0" shrinkToFit="false"/>
      <protection locked="true" hidden="false"/>
    </xf>
    <xf numFmtId="164" fontId="18" fillId="23" borderId="0" xfId="0" applyFont="true" applyBorder="false" applyAlignment="true" applyProtection="false">
      <alignment horizontal="center" vertical="bottom" textRotation="0" wrapText="false" indent="0" shrinkToFit="false"/>
      <protection locked="true" hidden="false"/>
    </xf>
    <xf numFmtId="164" fontId="0" fillId="23" borderId="0" xfId="0" applyFont="true" applyBorder="false" applyAlignment="true" applyProtection="false">
      <alignment horizontal="left" vertical="top" textRotation="0" wrapText="true" indent="0" shrinkToFit="false"/>
      <protection locked="true" hidden="false"/>
    </xf>
    <xf numFmtId="164" fontId="0" fillId="23" borderId="0" xfId="0" applyFont="true" applyBorder="true" applyAlignment="true" applyProtection="false">
      <alignment horizontal="left" vertical="top" textRotation="0" wrapText="true" indent="0" shrinkToFit="false"/>
      <protection locked="true" hidden="false"/>
    </xf>
    <xf numFmtId="164" fontId="26" fillId="23" borderId="0" xfId="0" applyFont="true" applyBorder="false" applyAlignment="true" applyProtection="false">
      <alignment horizontal="center" vertical="bottom" textRotation="0" wrapText="false" indent="0" shrinkToFit="false"/>
      <protection locked="true" hidden="false"/>
    </xf>
    <xf numFmtId="164" fontId="0" fillId="23" borderId="25" xfId="0" applyFont="true" applyBorder="true" applyAlignment="true" applyProtection="false">
      <alignment horizontal="center" vertical="bottom" textRotation="0" wrapText="false" indent="0" shrinkToFit="false"/>
      <protection locked="true" hidden="false"/>
    </xf>
    <xf numFmtId="167" fontId="0" fillId="23" borderId="25" xfId="0" applyFont="true" applyBorder="true" applyAlignment="true" applyProtection="false">
      <alignment horizontal="center" vertical="bottom" textRotation="0" wrapText="false" indent="0" shrinkToFit="false"/>
      <protection locked="true" hidden="false"/>
    </xf>
    <xf numFmtId="167" fontId="0" fillId="23" borderId="0" xfId="0" applyFont="true" applyBorder="false" applyAlignment="true" applyProtection="false">
      <alignment horizontal="center" vertical="bottom" textRotation="0" wrapText="false" indent="0" shrinkToFit="false"/>
      <protection locked="true" hidden="false"/>
    </xf>
    <xf numFmtId="164" fontId="0" fillId="23" borderId="29" xfId="0" applyFont="true" applyBorder="true" applyAlignment="true" applyProtection="false">
      <alignment horizontal="center" vertical="bottom" textRotation="0" wrapText="false" indent="0" shrinkToFit="false"/>
      <protection locked="true" hidden="false"/>
    </xf>
    <xf numFmtId="167" fontId="0" fillId="23" borderId="30" xfId="0" applyFont="true" applyBorder="true" applyAlignment="true" applyProtection="false">
      <alignment horizontal="center" vertical="bottom" textRotation="0" wrapText="false" indent="0" shrinkToFit="false"/>
      <protection locked="true" hidden="false"/>
    </xf>
    <xf numFmtId="164" fontId="0" fillId="23" borderId="31" xfId="0" applyFont="true" applyBorder="true" applyAlignment="true" applyProtection="false">
      <alignment horizontal="center" vertical="bottom" textRotation="0" wrapText="false" indent="0" shrinkToFit="false"/>
      <protection locked="true" hidden="false"/>
    </xf>
    <xf numFmtId="167" fontId="0" fillId="23" borderId="32" xfId="0" applyFont="true" applyBorder="true" applyAlignment="true" applyProtection="false">
      <alignment horizontal="center" vertical="bottom" textRotation="0" wrapText="false" indent="0" shrinkToFit="false"/>
      <protection locked="true" hidden="false"/>
    </xf>
    <xf numFmtId="164" fontId="0" fillId="23" borderId="33" xfId="0" applyFont="true" applyBorder="true" applyAlignment="true" applyProtection="false">
      <alignment horizontal="center" vertical="bottom" textRotation="0" wrapText="false" indent="0" shrinkToFit="false"/>
      <protection locked="true" hidden="false"/>
    </xf>
    <xf numFmtId="167" fontId="0" fillId="23" borderId="34" xfId="0" applyFont="true" applyBorder="true" applyAlignment="true" applyProtection="false">
      <alignment horizontal="center" vertical="bottom" textRotation="0" wrapText="false" indent="0" shrinkToFit="false"/>
      <protection locked="true" hidden="false"/>
    </xf>
    <xf numFmtId="164" fontId="28" fillId="23" borderId="0" xfId="0" applyFont="true" applyBorder="true" applyAlignment="true" applyProtection="false">
      <alignment horizontal="left" vertical="top" textRotation="0" wrapText="true" indent="0" shrinkToFit="false"/>
      <protection locked="true" hidden="false"/>
    </xf>
    <xf numFmtId="164" fontId="18" fillId="23" borderId="35" xfId="0" applyFont="true" applyBorder="true" applyAlignment="true" applyProtection="false">
      <alignment horizontal="right" vertical="bottom" textRotation="0" wrapText="false" indent="0" shrinkToFit="false"/>
      <protection locked="true" hidden="false"/>
    </xf>
    <xf numFmtId="164" fontId="18" fillId="23" borderId="36" xfId="0" applyFont="true" applyBorder="true" applyAlignment="true" applyProtection="false">
      <alignment horizontal="left" vertical="bottom" textRotation="0" wrapText="false" indent="0" shrinkToFit="false"/>
      <protection locked="true" hidden="false"/>
    </xf>
    <xf numFmtId="168" fontId="18" fillId="23" borderId="37" xfId="0" applyFont="true" applyBorder="true" applyAlignment="true" applyProtection="false">
      <alignment horizontal="left" vertical="bottom" textRotation="0" wrapText="false" indent="0" shrinkToFit="false"/>
      <protection locked="true" hidden="false"/>
    </xf>
    <xf numFmtId="164" fontId="0" fillId="23" borderId="38" xfId="0" applyFont="true" applyBorder="true" applyAlignment="false" applyProtection="false">
      <alignment horizontal="general" vertical="bottom" textRotation="0" wrapText="false" indent="0" shrinkToFit="false"/>
      <protection locked="true" hidden="false"/>
    </xf>
    <xf numFmtId="164" fontId="0" fillId="23" borderId="39" xfId="0" applyFont="true" applyBorder="true" applyAlignment="false" applyProtection="false">
      <alignment horizontal="general" vertical="bottom" textRotation="0" wrapText="false" indent="0" shrinkToFit="false"/>
      <protection locked="true" hidden="false"/>
    </xf>
    <xf numFmtId="164" fontId="0" fillId="23" borderId="40" xfId="0" applyFont="true" applyBorder="true" applyAlignment="false" applyProtection="false">
      <alignment horizontal="general" vertical="bottom" textRotation="0" wrapText="false" indent="0" shrinkToFit="false"/>
      <protection locked="true" hidden="false"/>
    </xf>
    <xf numFmtId="164" fontId="17" fillId="23" borderId="0" xfId="0" applyFont="true" applyBorder="false" applyAlignment="false" applyProtection="false">
      <alignment horizontal="general" vertical="bottom" textRotation="0" wrapText="false" indent="0" shrinkToFit="false"/>
      <protection locked="true" hidden="false"/>
    </xf>
    <xf numFmtId="166" fontId="0" fillId="23" borderId="0" xfId="0" applyFont="true" applyBorder="false" applyAlignment="false" applyProtection="false">
      <alignment horizontal="general" vertical="bottom" textRotation="0" wrapText="false" indent="0" shrinkToFit="false"/>
      <protection locked="true" hidden="false"/>
    </xf>
    <xf numFmtId="169" fontId="0" fillId="23" borderId="0" xfId="0" applyFont="true" applyBorder="false" applyAlignment="false" applyProtection="false">
      <alignment horizontal="general" vertical="bottom" textRotation="0" wrapText="false" indent="0" shrinkToFit="false"/>
      <protection locked="true" hidden="false"/>
    </xf>
    <xf numFmtId="166" fontId="18" fillId="23" borderId="35" xfId="0" applyFont="true" applyBorder="true" applyAlignment="true" applyProtection="false">
      <alignment horizontal="right" vertical="bottom" textRotation="0" wrapText="false" indent="0" shrinkToFit="false"/>
      <protection locked="true" hidden="false"/>
    </xf>
    <xf numFmtId="166" fontId="18" fillId="23" borderId="37" xfId="0" applyFont="true" applyBorder="true" applyAlignment="false" applyProtection="false">
      <alignment horizontal="general" vertical="bottom" textRotation="0" wrapText="false" indent="0" shrinkToFit="false"/>
      <protection locked="true" hidden="false"/>
    </xf>
    <xf numFmtId="164" fontId="26" fillId="23" borderId="0" xfId="0" applyFont="true" applyBorder="true" applyAlignment="true" applyProtection="false">
      <alignment horizontal="left" vertical="center" textRotation="0" wrapText="false" indent="0" shrinkToFit="false"/>
      <protection locked="true" hidden="false"/>
    </xf>
    <xf numFmtId="164" fontId="18" fillId="23" borderId="0" xfId="0" applyFont="true" applyBorder="false" applyAlignment="true" applyProtection="false">
      <alignment horizontal="right" vertical="bottom" textRotation="0" wrapText="false" indent="0" shrinkToFit="false"/>
      <protection locked="true" hidden="false"/>
    </xf>
    <xf numFmtId="166" fontId="18" fillId="23" borderId="0" xfId="0" applyFont="true" applyBorder="false" applyAlignment="false" applyProtection="false">
      <alignment horizontal="general" vertical="bottom" textRotation="0" wrapText="false" indent="0" shrinkToFit="false"/>
      <protection locked="true" hidden="false"/>
    </xf>
    <xf numFmtId="164" fontId="18" fillId="23" borderId="25" xfId="0" applyFont="true" applyBorder="true" applyAlignment="true" applyProtection="false">
      <alignment horizontal="center" vertical="center" textRotation="0" wrapText="false" indent="0" shrinkToFit="false"/>
      <protection locked="true" hidden="false"/>
    </xf>
    <xf numFmtId="164" fontId="18" fillId="23" borderId="0" xfId="0" applyFont="true" applyBorder="false" applyAlignment="true" applyProtection="false">
      <alignment horizontal="center" vertical="center" textRotation="0" wrapText="false" indent="0" shrinkToFit="false"/>
      <protection locked="true" hidden="false"/>
    </xf>
    <xf numFmtId="164" fontId="31" fillId="23" borderId="0" xfId="0" applyFont="true" applyBorder="false" applyAlignment="false" applyProtection="false">
      <alignment horizontal="general" vertical="bottom" textRotation="0" wrapText="false" indent="0" shrinkToFit="false"/>
      <protection locked="true" hidden="false"/>
    </xf>
    <xf numFmtId="164" fontId="32" fillId="23" borderId="0" xfId="0" applyFont="true" applyBorder="false" applyAlignment="false" applyProtection="false">
      <alignment horizontal="general" vertical="bottom" textRotation="0" wrapText="false" indent="0" shrinkToFit="false"/>
      <protection locked="true" hidden="false"/>
    </xf>
    <xf numFmtId="164" fontId="33" fillId="23" borderId="0" xfId="0" applyFont="true" applyBorder="false" applyAlignment="false" applyProtection="false">
      <alignment horizontal="general" vertical="bottom" textRotation="0" wrapText="false" indent="0" shrinkToFit="false"/>
      <protection locked="true" hidden="false"/>
    </xf>
    <xf numFmtId="164" fontId="34" fillId="23" borderId="0" xfId="0" applyFont="true" applyBorder="false" applyAlignment="true" applyProtection="false">
      <alignment horizontal="center" vertical="center" textRotation="0" wrapText="false" indent="0" shrinkToFit="false"/>
      <protection locked="true" hidden="false"/>
    </xf>
    <xf numFmtId="164" fontId="0" fillId="23" borderId="0" xfId="0" applyFont="true" applyBorder="true" applyAlignment="true" applyProtection="false">
      <alignment horizontal="general" vertical="top" textRotation="0" wrapText="true" indent="0" shrinkToFit="false"/>
      <protection locked="true" hidden="false"/>
    </xf>
    <xf numFmtId="164" fontId="37" fillId="23" borderId="0" xfId="0" applyFont="true" applyBorder="false" applyAlignment="false" applyProtection="false">
      <alignment horizontal="general" vertical="bottom" textRotation="0" wrapText="false" indent="0" shrinkToFit="false"/>
      <protection locked="true" hidden="false"/>
    </xf>
    <xf numFmtId="164" fontId="34" fillId="23" borderId="0" xfId="0" applyFont="true" applyBorder="true" applyAlignment="false" applyProtection="false">
      <alignment horizontal="general" vertical="bottom" textRotation="0" wrapText="false" indent="0" shrinkToFit="false"/>
      <protection locked="true" hidden="false"/>
    </xf>
    <xf numFmtId="164" fontId="33" fillId="23" borderId="0" xfId="0" applyFont="true" applyBorder="true" applyAlignment="false" applyProtection="false">
      <alignment horizontal="general" vertical="bottom" textRotation="0" wrapText="false" indent="0" shrinkToFit="false"/>
      <protection locked="true" hidden="false"/>
    </xf>
    <xf numFmtId="167" fontId="33" fillId="23" borderId="0" xfId="0" applyFont="true" applyBorder="true" applyAlignment="false" applyProtection="false">
      <alignment horizontal="general" vertical="bottom" textRotation="0" wrapText="false" indent="0" shrinkToFit="false"/>
      <protection locked="true" hidden="false"/>
    </xf>
    <xf numFmtId="164" fontId="24" fillId="23" borderId="0" xfId="0" applyFont="true" applyBorder="false" applyAlignment="false" applyProtection="false">
      <alignment horizontal="general" vertical="bottom" textRotation="0" wrapText="false" indent="0" shrinkToFit="false"/>
      <protection locked="true" hidden="false"/>
    </xf>
    <xf numFmtId="164" fontId="18" fillId="23" borderId="41" xfId="0" applyFont="true" applyBorder="true" applyAlignment="true" applyProtection="false">
      <alignment horizontal="center" vertical="center" textRotation="0" wrapText="false" indent="0" shrinkToFit="false"/>
      <protection locked="true" hidden="false"/>
    </xf>
    <xf numFmtId="164" fontId="18" fillId="23" borderId="0" xfId="0" applyFont="true" applyBorder="true" applyAlignment="true" applyProtection="false">
      <alignment horizontal="center" vertical="center" textRotation="0" wrapText="false" indent="0" shrinkToFit="false"/>
      <protection locked="true" hidden="false"/>
    </xf>
    <xf numFmtId="164" fontId="26" fillId="23" borderId="0" xfId="0" applyFont="true" applyBorder="false" applyAlignment="false" applyProtection="false">
      <alignment horizontal="general" vertical="bottom" textRotation="0" wrapText="false" indent="0" shrinkToFit="false"/>
      <protection locked="true" hidden="false"/>
    </xf>
    <xf numFmtId="170" fontId="26" fillId="23" borderId="0" xfId="0" applyFont="true" applyBorder="false" applyAlignment="true" applyProtection="false">
      <alignment horizontal="left" vertical="bottom" textRotation="0" wrapText="true" indent="0" shrinkToFit="false"/>
      <protection locked="true" hidden="false"/>
    </xf>
    <xf numFmtId="164" fontId="18" fillId="23" borderId="9" xfId="0" applyFont="true" applyBorder="true" applyAlignment="true" applyProtection="false">
      <alignment horizontal="center" vertical="bottom" textRotation="0" wrapText="false" indent="0" shrinkToFit="false"/>
      <protection locked="true" hidden="false"/>
    </xf>
    <xf numFmtId="164" fontId="18" fillId="23" borderId="10" xfId="0" applyFont="true" applyBorder="true" applyAlignment="true" applyProtection="false">
      <alignment horizontal="center" vertical="bottom" textRotation="0" wrapText="false" indent="0" shrinkToFit="false"/>
      <protection locked="true" hidden="false"/>
    </xf>
    <xf numFmtId="164" fontId="38" fillId="23" borderId="0" xfId="0" applyFont="true" applyBorder="false" applyAlignment="false" applyProtection="false">
      <alignment horizontal="general" vertical="bottom" textRotation="0" wrapText="false" indent="0" shrinkToFit="false"/>
      <protection locked="true" hidden="false"/>
    </xf>
    <xf numFmtId="171" fontId="0" fillId="23" borderId="0" xfId="0" applyFont="true" applyBorder="false" applyAlignment="false" applyProtection="false">
      <alignment horizontal="general" vertical="bottom" textRotation="0" wrapText="false" indent="0" shrinkToFit="false"/>
      <protection locked="true" hidden="false"/>
    </xf>
    <xf numFmtId="167" fontId="18" fillId="23" borderId="0" xfId="0" applyFont="true" applyBorder="false" applyAlignment="false" applyProtection="false">
      <alignment horizontal="general" vertical="bottom" textRotation="0" wrapText="false" indent="0" shrinkToFit="false"/>
      <protection locked="true" hidden="false"/>
    </xf>
    <xf numFmtId="167" fontId="0" fillId="23" borderId="0" xfId="0" applyFont="true" applyBorder="false" applyAlignment="false" applyProtection="false">
      <alignment horizontal="general" vertical="bottom" textRotation="0" wrapText="false" indent="0" shrinkToFit="false"/>
      <protection locked="true" hidden="false"/>
    </xf>
    <xf numFmtId="167" fontId="0" fillId="23" borderId="9" xfId="0" applyFont="true" applyBorder="true" applyAlignment="false" applyProtection="false">
      <alignment horizontal="general" vertical="bottom" textRotation="0" wrapText="false" indent="0" shrinkToFit="false"/>
      <protection locked="true" hidden="false"/>
    </xf>
    <xf numFmtId="167" fontId="0" fillId="23" borderId="10" xfId="0" applyFont="true" applyBorder="true" applyAlignment="false" applyProtection="false">
      <alignment horizontal="general" vertical="bottom" textRotation="0" wrapText="false" indent="0" shrinkToFit="false"/>
      <protection locked="true" hidden="false"/>
    </xf>
    <xf numFmtId="164" fontId="18" fillId="23" borderId="6" xfId="0" applyFont="true" applyBorder="true" applyAlignment="false" applyProtection="false">
      <alignment horizontal="general" vertical="bottom" textRotation="0" wrapText="false" indent="0" shrinkToFit="false"/>
      <protection locked="true" hidden="false"/>
    </xf>
    <xf numFmtId="167" fontId="0" fillId="23" borderId="8" xfId="0" applyFont="true" applyBorder="true" applyAlignment="false" applyProtection="false">
      <alignment horizontal="general" vertical="bottom" textRotation="0" wrapText="false" indent="0" shrinkToFit="false"/>
      <protection locked="true" hidden="false"/>
    </xf>
    <xf numFmtId="164" fontId="18" fillId="23" borderId="11" xfId="0" applyFont="true" applyBorder="true" applyAlignment="false" applyProtection="false">
      <alignment horizontal="general" vertical="bottom" textRotation="0" wrapText="false" indent="0" shrinkToFit="false"/>
      <protection locked="true" hidden="false"/>
    </xf>
    <xf numFmtId="167" fontId="0" fillId="23" borderId="13" xfId="0" applyFont="true" applyBorder="true" applyAlignment="false" applyProtection="false">
      <alignment horizontal="general" vertical="bottom" textRotation="0" wrapText="false" indent="0" shrinkToFit="false"/>
      <protection locked="true" hidden="false"/>
    </xf>
    <xf numFmtId="169" fontId="0" fillId="22" borderId="0" xfId="0" applyFont="false" applyBorder="false" applyAlignment="false" applyProtection="false">
      <alignment horizontal="general" vertical="bottom" textRotation="0" wrapText="false" indent="0" shrinkToFit="false"/>
      <protection locked="true" hidden="false"/>
    </xf>
    <xf numFmtId="169" fontId="0" fillId="23" borderId="7" xfId="0" applyFont="false" applyBorder="true" applyAlignment="false" applyProtection="false">
      <alignment horizontal="general" vertical="bottom" textRotation="0" wrapText="false" indent="0" shrinkToFit="false"/>
      <protection locked="true" hidden="false"/>
    </xf>
    <xf numFmtId="164" fontId="0" fillId="23" borderId="10" xfId="0" applyFont="false" applyBorder="true" applyAlignment="true" applyProtection="false">
      <alignment horizontal="center" vertical="bottom" textRotation="0" wrapText="false" indent="0" shrinkToFit="false"/>
      <protection locked="true" hidden="false"/>
    </xf>
    <xf numFmtId="164" fontId="0" fillId="23" borderId="0" xfId="0" applyFont="true" applyBorder="false" applyAlignment="true" applyProtection="false">
      <alignment horizontal="left" vertical="bottom" textRotation="0" wrapText="false" indent="0" shrinkToFit="false"/>
      <protection locked="true" hidden="false"/>
    </xf>
    <xf numFmtId="164" fontId="0" fillId="23" borderId="42" xfId="0" applyFont="true" applyBorder="true" applyAlignment="true" applyProtection="false">
      <alignment horizontal="right" vertical="bottom" textRotation="0" wrapText="false" indent="0" shrinkToFit="false"/>
      <protection locked="true" hidden="false"/>
    </xf>
    <xf numFmtId="169" fontId="0" fillId="23" borderId="0" xfId="0" applyFont="false" applyBorder="false" applyAlignment="false" applyProtection="false">
      <alignment horizontal="general" vertical="bottom" textRotation="0" wrapText="false" indent="0" shrinkToFit="false"/>
      <protection locked="true" hidden="false"/>
    </xf>
    <xf numFmtId="169" fontId="0" fillId="23" borderId="0" xfId="0" applyFont="true" applyBorder="false" applyAlignment="true" applyProtection="false">
      <alignment horizontal="right" vertical="bottom" textRotation="0" wrapText="false" indent="0" shrinkToFit="false"/>
      <protection locked="true" hidden="false"/>
    </xf>
    <xf numFmtId="164" fontId="0" fillId="23" borderId="0" xfId="0" applyFont="true" applyBorder="false" applyAlignment="true" applyProtection="false">
      <alignment horizontal="right" vertical="bottom" textRotation="0" wrapText="false" indent="0" shrinkToFit="false"/>
      <protection locked="true" hidden="false"/>
    </xf>
    <xf numFmtId="169" fontId="0" fillId="23" borderId="42" xfId="0" applyFont="true" applyBorder="true" applyAlignment="true" applyProtection="false">
      <alignment horizontal="right" vertical="bottom" textRotation="0" wrapText="false" indent="0" shrinkToFit="false"/>
      <protection locked="true" hidden="false"/>
    </xf>
    <xf numFmtId="169" fontId="0" fillId="23" borderId="12" xfId="0" applyFont="false" applyBorder="true" applyAlignment="false" applyProtection="false">
      <alignment horizontal="general" vertical="bottom" textRotation="0" wrapText="false" indent="0" shrinkToFit="false"/>
      <protection locked="true" hidden="false"/>
    </xf>
    <xf numFmtId="164" fontId="0" fillId="22" borderId="0" xfId="0" applyFont="false" applyBorder="false" applyAlignment="true" applyProtection="false">
      <alignment horizontal="general" vertical="bottom" textRotation="0" wrapText="true" indent="0" shrinkToFit="false"/>
      <protection locked="true" hidden="false"/>
    </xf>
    <xf numFmtId="164" fontId="26" fillId="22" borderId="0" xfId="0" applyFont="true" applyBorder="false" applyAlignment="false" applyProtection="false">
      <alignment horizontal="general" vertical="bottom" textRotation="0" wrapText="false" indent="0" shrinkToFit="false"/>
      <protection locked="true" hidden="false"/>
    </xf>
    <xf numFmtId="169" fontId="0" fillId="22" borderId="0" xfId="0" applyFont="true" applyBorder="false" applyAlignment="false" applyProtection="false">
      <alignment horizontal="general" vertical="bottom" textRotation="0" wrapText="false" indent="0" shrinkToFit="false"/>
      <protection locked="true" hidden="false"/>
    </xf>
    <xf numFmtId="167" fontId="0" fillId="22" borderId="0" xfId="0" applyFont="true" applyBorder="false" applyAlignment="false" applyProtection="false">
      <alignment horizontal="general" vertical="bottom" textRotation="0" wrapText="false" indent="0" shrinkToFit="false"/>
      <protection locked="true" hidden="false"/>
    </xf>
    <xf numFmtId="166" fontId="0" fillId="22" borderId="0" xfId="0" applyFont="true" applyBorder="false" applyAlignment="false" applyProtection="false">
      <alignment horizontal="general" vertical="bottom" textRotation="0" wrapText="false" indent="0" shrinkToFit="false"/>
      <protection locked="true" hidden="false"/>
    </xf>
    <xf numFmtId="164" fontId="18" fillId="22" borderId="0" xfId="0" applyFont="true" applyBorder="false" applyAlignment="false" applyProtection="false">
      <alignment horizontal="general" vertical="bottom" textRotation="0" wrapText="false" indent="0" shrinkToFit="false"/>
      <protection locked="true" hidden="false"/>
    </xf>
    <xf numFmtId="169" fontId="0" fillId="22" borderId="0" xfId="0" applyFont="true" applyBorder="false" applyAlignment="true" applyProtection="false">
      <alignment horizontal="right" vertical="bottom" textRotation="0" wrapText="false" indent="0" shrinkToFit="false"/>
      <protection locked="true" hidden="false"/>
    </xf>
    <xf numFmtId="169" fontId="0" fillId="23" borderId="25" xfId="0" applyFont="true" applyBorder="true" applyAlignment="true" applyProtection="false">
      <alignment horizontal="right" vertical="bottom" textRotation="0" wrapText="false" indent="0" shrinkToFit="false"/>
      <protection locked="true" hidden="false"/>
    </xf>
    <xf numFmtId="169" fontId="0" fillId="23" borderId="25" xfId="0" applyFont="true" applyBorder="true" applyAlignment="false" applyProtection="false">
      <alignment horizontal="general" vertical="bottom" textRotation="0" wrapText="false" indent="0" shrinkToFit="false"/>
      <protection locked="true" hidden="false"/>
    </xf>
    <xf numFmtId="167" fontId="0" fillId="23" borderId="25" xfId="0" applyFont="true" applyBorder="true" applyAlignment="false" applyProtection="false">
      <alignment horizontal="general" vertical="bottom" textRotation="0" wrapText="false" indent="0" shrinkToFit="false"/>
      <protection locked="true" hidden="false"/>
    </xf>
    <xf numFmtId="166" fontId="0" fillId="23" borderId="25" xfId="0" applyFont="true" applyBorder="true" applyAlignment="false" applyProtection="false">
      <alignment horizontal="general" vertical="bottom" textRotation="0" wrapText="false" indent="0" shrinkToFit="false"/>
      <protection locked="true" hidden="false"/>
    </xf>
    <xf numFmtId="164" fontId="18" fillId="23" borderId="25" xfId="0" applyFont="true" applyBorder="true" applyAlignment="false" applyProtection="false">
      <alignment horizontal="general" vertical="bottom" textRotation="0" wrapText="false" indent="0" shrinkToFit="false"/>
      <protection locked="true" hidden="false"/>
    </xf>
    <xf numFmtId="164" fontId="17" fillId="23" borderId="0" xfId="0" applyFont="true" applyBorder="true" applyAlignment="false" applyProtection="false">
      <alignment horizontal="general" vertical="bottom" textRotation="0" wrapText="false" indent="0" shrinkToFit="false"/>
      <protection locked="true" hidden="false"/>
    </xf>
    <xf numFmtId="169" fontId="0" fillId="23" borderId="0" xfId="0" applyFont="true" applyBorder="true" applyAlignment="true" applyProtection="false">
      <alignment horizontal="right" vertical="bottom" textRotation="0" wrapText="false" indent="0" shrinkToFit="false"/>
      <protection locked="true" hidden="false"/>
    </xf>
    <xf numFmtId="169" fontId="0" fillId="23" borderId="0" xfId="0" applyFont="true" applyBorder="true" applyAlignment="false" applyProtection="false">
      <alignment horizontal="general" vertical="bottom" textRotation="0" wrapText="false" indent="0" shrinkToFit="false"/>
      <protection locked="true" hidden="false"/>
    </xf>
    <xf numFmtId="167" fontId="0" fillId="23" borderId="0" xfId="0" applyFont="true" applyBorder="true" applyAlignment="false" applyProtection="false">
      <alignment horizontal="general" vertical="bottom" textRotation="0" wrapText="false" indent="0" shrinkToFit="false"/>
      <protection locked="true" hidden="false"/>
    </xf>
    <xf numFmtId="166" fontId="0" fillId="23" borderId="0" xfId="0" applyFont="true" applyBorder="true" applyAlignment="true" applyProtection="false">
      <alignment horizontal="left" vertical="center" textRotation="0" wrapText="false" indent="0" shrinkToFit="false"/>
      <protection locked="true" hidden="false"/>
    </xf>
    <xf numFmtId="164" fontId="28" fillId="23" borderId="0" xfId="0" applyFont="true" applyBorder="true" applyAlignment="true" applyProtection="false">
      <alignment horizontal="left" vertical="center" textRotation="0" wrapText="true" indent="0" shrinkToFit="false"/>
      <protection locked="true" hidden="false"/>
    </xf>
    <xf numFmtId="166" fontId="0" fillId="23" borderId="0" xfId="0" applyFont="true" applyBorder="true" applyAlignment="false" applyProtection="false">
      <alignment horizontal="general" vertical="bottom" textRotation="0" wrapText="false" indent="0" shrinkToFit="false"/>
      <protection locked="true" hidden="false"/>
    </xf>
    <xf numFmtId="164" fontId="18" fillId="23" borderId="0" xfId="0" applyFont="true" applyBorder="true" applyAlignment="false" applyProtection="false">
      <alignment horizontal="general" vertical="bottom" textRotation="0" wrapText="false" indent="0" shrinkToFit="false"/>
      <protection locked="true" hidden="false"/>
    </xf>
    <xf numFmtId="164" fontId="18" fillId="23" borderId="0" xfId="0" applyFont="true" applyBorder="true" applyAlignment="true" applyProtection="false">
      <alignment horizontal="left" vertical="center" textRotation="0" wrapText="false" indent="0" shrinkToFit="false"/>
      <protection locked="true" hidden="false"/>
    </xf>
    <xf numFmtId="164" fontId="18" fillId="23" borderId="0" xfId="0" applyFont="true" applyBorder="false" applyAlignment="true" applyProtection="false">
      <alignment horizontal="left" vertical="center" textRotation="0" wrapText="false" indent="0" shrinkToFit="false"/>
      <protection locked="true" hidden="false"/>
    </xf>
    <xf numFmtId="169" fontId="0" fillId="23" borderId="0" xfId="0" applyFont="true" applyBorder="true" applyAlignment="true" applyProtection="false">
      <alignment horizontal="right" vertical="center" textRotation="0" wrapText="false" indent="0" shrinkToFit="false"/>
      <protection locked="true" hidden="false"/>
    </xf>
    <xf numFmtId="164" fontId="18" fillId="23" borderId="27" xfId="0" applyFont="true" applyBorder="true" applyAlignment="false" applyProtection="false">
      <alignment horizontal="general" vertical="bottom" textRotation="0" wrapText="false" indent="0" shrinkToFit="false"/>
      <protection locked="true" hidden="false"/>
    </xf>
    <xf numFmtId="164" fontId="18" fillId="23" borderId="0" xfId="0" applyFont="true" applyBorder="true" applyAlignment="true" applyProtection="false">
      <alignment horizontal="left" vertical="bottom" textRotation="0" wrapText="true" indent="0" shrinkToFit="false"/>
      <protection locked="true" hidden="false"/>
    </xf>
    <xf numFmtId="169" fontId="18" fillId="23" borderId="0" xfId="0" applyFont="true" applyBorder="false" applyAlignment="true" applyProtection="false">
      <alignment horizontal="center" vertical="bottom" textRotation="0" wrapText="true" indent="0" shrinkToFit="false"/>
      <protection locked="true" hidden="false"/>
    </xf>
    <xf numFmtId="167" fontId="18" fillId="23" borderId="0" xfId="0" applyFont="true" applyBorder="false" applyAlignment="true" applyProtection="false">
      <alignment horizontal="center" vertical="bottom" textRotation="0" wrapText="true" indent="0" shrinkToFit="false"/>
      <protection locked="true" hidden="false"/>
    </xf>
    <xf numFmtId="166" fontId="18" fillId="23" borderId="0" xfId="0" applyFont="true" applyBorder="false" applyAlignment="true" applyProtection="false">
      <alignment horizontal="center" vertical="bottom" textRotation="0" wrapText="true" indent="0" shrinkToFit="false"/>
      <protection locked="true" hidden="false"/>
    </xf>
    <xf numFmtId="167" fontId="18" fillId="23" borderId="0" xfId="0" applyFont="true" applyBorder="true" applyAlignment="true" applyProtection="false">
      <alignment horizontal="center" vertical="bottom" textRotation="0" wrapText="true" indent="0" shrinkToFit="false"/>
      <protection locked="true" hidden="false"/>
    </xf>
    <xf numFmtId="164" fontId="18" fillId="23" borderId="28" xfId="0" applyFont="true" applyBorder="true" applyAlignment="false" applyProtection="false">
      <alignment horizontal="general" vertical="bottom" textRotation="0" wrapText="false" indent="0" shrinkToFit="false"/>
      <protection locked="true" hidden="false"/>
    </xf>
    <xf numFmtId="164" fontId="18" fillId="23" borderId="12" xfId="0" applyFont="true" applyBorder="true" applyAlignment="false" applyProtection="false">
      <alignment horizontal="general" vertical="bottom" textRotation="0" wrapText="false" indent="0" shrinkToFit="false"/>
      <protection locked="true" hidden="false"/>
    </xf>
    <xf numFmtId="169" fontId="0" fillId="23" borderId="12" xfId="0" applyFont="true" applyBorder="true" applyAlignment="true" applyProtection="false">
      <alignment horizontal="center" vertical="bottom" textRotation="0" wrapText="false" indent="0" shrinkToFit="false"/>
      <protection locked="true" hidden="false"/>
    </xf>
    <xf numFmtId="167" fontId="26" fillId="23" borderId="12" xfId="0" applyFont="true" applyBorder="true" applyAlignment="true" applyProtection="false">
      <alignment horizontal="center" vertical="bottom" textRotation="0" wrapText="false" indent="0" shrinkToFit="false"/>
      <protection locked="true" hidden="false"/>
    </xf>
    <xf numFmtId="167" fontId="0" fillId="23" borderId="12" xfId="0" applyFont="true" applyBorder="true" applyAlignment="true" applyProtection="false">
      <alignment horizontal="center" vertical="bottom" textRotation="0" wrapText="true" indent="0" shrinkToFit="false"/>
      <protection locked="true" hidden="false"/>
    </xf>
    <xf numFmtId="169" fontId="0" fillId="23" borderId="12" xfId="0" applyFont="true" applyBorder="true" applyAlignment="true" applyProtection="false">
      <alignment horizontal="center" vertical="bottom" textRotation="0" wrapText="true" indent="0" shrinkToFit="false"/>
      <protection locked="true" hidden="false"/>
    </xf>
    <xf numFmtId="166" fontId="0" fillId="23" borderId="12" xfId="0" applyFont="true" applyBorder="true" applyAlignment="true" applyProtection="false">
      <alignment horizontal="center" vertical="bottom" textRotation="0" wrapText="false" indent="0" shrinkToFit="false"/>
      <protection locked="true" hidden="false"/>
    </xf>
    <xf numFmtId="170" fontId="19" fillId="23" borderId="7" xfId="0" applyFont="true" applyBorder="true" applyAlignment="true" applyProtection="false">
      <alignment horizontal="center" vertical="bottom" textRotation="0" wrapText="false" indent="0" shrinkToFit="false"/>
      <protection locked="true" hidden="false"/>
    </xf>
    <xf numFmtId="169" fontId="19" fillId="23" borderId="7" xfId="0" applyFont="true" applyBorder="true" applyAlignment="true" applyProtection="false">
      <alignment horizontal="center" vertical="bottom" textRotation="0" wrapText="false" indent="0" shrinkToFit="false"/>
      <protection locked="true" hidden="false"/>
    </xf>
    <xf numFmtId="164" fontId="19" fillId="23" borderId="7" xfId="0" applyFont="true" applyBorder="true" applyAlignment="true" applyProtection="false">
      <alignment horizontal="center" vertical="bottom" textRotation="0" wrapText="false" indent="0" shrinkToFit="false"/>
      <protection locked="true" hidden="false"/>
    </xf>
    <xf numFmtId="169" fontId="0" fillId="23" borderId="7" xfId="0" applyFont="true" applyBorder="true" applyAlignment="true" applyProtection="false">
      <alignment horizontal="center" vertical="bottom" textRotation="0" wrapText="false" indent="0" shrinkToFit="false"/>
      <protection locked="true" hidden="false"/>
    </xf>
    <xf numFmtId="166" fontId="0" fillId="23" borderId="7" xfId="0" applyFont="true" applyBorder="true" applyAlignment="true" applyProtection="false">
      <alignment horizontal="center" vertical="bottom" textRotation="0" wrapText="false" indent="0" shrinkToFit="false"/>
      <protection locked="true" hidden="false"/>
    </xf>
    <xf numFmtId="172" fontId="18" fillId="23" borderId="7" xfId="0" applyFont="true" applyBorder="true" applyAlignment="true" applyProtection="false">
      <alignment horizontal="center" vertical="bottom" textRotation="0" wrapText="false" indent="0" shrinkToFit="false"/>
      <protection locked="true" hidden="false"/>
    </xf>
    <xf numFmtId="169" fontId="18" fillId="23" borderId="7" xfId="0" applyFont="true" applyBorder="true" applyAlignment="true" applyProtection="false">
      <alignment horizontal="center" vertical="bottom" textRotation="0" wrapText="false" indent="0" shrinkToFit="false"/>
      <protection locked="true" hidden="false"/>
    </xf>
    <xf numFmtId="170" fontId="19" fillId="23" borderId="0" xfId="0" applyFont="true" applyBorder="false" applyAlignment="true" applyProtection="false">
      <alignment horizontal="center" vertical="bottom" textRotation="0" wrapText="false" indent="0" shrinkToFit="false"/>
      <protection locked="true" hidden="false"/>
    </xf>
    <xf numFmtId="169" fontId="19" fillId="23" borderId="0" xfId="0" applyFont="true" applyBorder="false" applyAlignment="true" applyProtection="false">
      <alignment horizontal="center" vertical="bottom" textRotation="0" wrapText="false" indent="0" shrinkToFit="false"/>
      <protection locked="true" hidden="false"/>
    </xf>
    <xf numFmtId="164" fontId="19" fillId="23" borderId="0" xfId="0" applyFont="true" applyBorder="false" applyAlignment="true" applyProtection="false">
      <alignment horizontal="center" vertical="bottom" textRotation="0" wrapText="false" indent="0" shrinkToFit="false"/>
      <protection locked="true" hidden="false"/>
    </xf>
    <xf numFmtId="169" fontId="0" fillId="23" borderId="0" xfId="0" applyFont="true" applyBorder="false" applyAlignment="true" applyProtection="false">
      <alignment horizontal="center" vertical="bottom" textRotation="0" wrapText="false" indent="0" shrinkToFit="false"/>
      <protection locked="true" hidden="false"/>
    </xf>
    <xf numFmtId="172" fontId="18" fillId="23" borderId="0" xfId="0" applyFont="true" applyBorder="false" applyAlignment="true" applyProtection="false">
      <alignment horizontal="center" vertical="bottom" textRotation="0" wrapText="false" indent="0" shrinkToFit="false"/>
      <protection locked="true" hidden="false"/>
    </xf>
    <xf numFmtId="169" fontId="18" fillId="23" borderId="0" xfId="0" applyFont="true" applyBorder="false" applyAlignment="true" applyProtection="false">
      <alignment horizontal="center" vertical="bottom" textRotation="0" wrapText="false" indent="0" shrinkToFit="false"/>
      <protection locked="true" hidden="false"/>
    </xf>
    <xf numFmtId="170" fontId="19" fillId="23" borderId="12" xfId="0" applyFont="true" applyBorder="true" applyAlignment="true" applyProtection="false">
      <alignment horizontal="center" vertical="bottom" textRotation="0" wrapText="false" indent="0" shrinkToFit="false"/>
      <protection locked="true" hidden="false"/>
    </xf>
    <xf numFmtId="169" fontId="19" fillId="23" borderId="12" xfId="0" applyFont="true" applyBorder="true" applyAlignment="true" applyProtection="false">
      <alignment horizontal="center" vertical="bottom" textRotation="0" wrapText="false" indent="0" shrinkToFit="false"/>
      <protection locked="true" hidden="false"/>
    </xf>
    <xf numFmtId="164" fontId="19" fillId="23" borderId="0" xfId="0" applyFont="true" applyBorder="true" applyAlignment="true" applyProtection="false">
      <alignment horizontal="center" vertical="bottom" textRotation="0" wrapText="false" indent="0" shrinkToFit="false"/>
      <protection locked="true" hidden="false"/>
    </xf>
    <xf numFmtId="169" fontId="0" fillId="23" borderId="0" xfId="0" applyFont="true" applyBorder="true" applyAlignment="true" applyProtection="false">
      <alignment horizontal="center" vertical="bottom" textRotation="0" wrapText="false" indent="0" shrinkToFit="false"/>
      <protection locked="true" hidden="false"/>
    </xf>
    <xf numFmtId="164" fontId="26" fillId="23" borderId="39" xfId="0" applyFont="true" applyBorder="true" applyAlignment="false" applyProtection="false">
      <alignment horizontal="general" vertical="bottom" textRotation="0" wrapText="false" indent="0" shrinkToFit="false"/>
      <protection locked="true" hidden="false"/>
    </xf>
    <xf numFmtId="170" fontId="26" fillId="23" borderId="39" xfId="0" applyFont="true" applyBorder="true" applyAlignment="false" applyProtection="false">
      <alignment horizontal="general" vertical="bottom" textRotation="0" wrapText="false" indent="0" shrinkToFit="false"/>
      <protection locked="true" hidden="false"/>
    </xf>
    <xf numFmtId="169" fontId="0" fillId="23" borderId="39" xfId="0" applyFont="true" applyBorder="true" applyAlignment="false" applyProtection="false">
      <alignment horizontal="general" vertical="bottom" textRotation="0" wrapText="false" indent="0" shrinkToFit="false"/>
      <protection locked="true" hidden="false"/>
    </xf>
    <xf numFmtId="167" fontId="0" fillId="23" borderId="39" xfId="0" applyFont="true" applyBorder="true" applyAlignment="false" applyProtection="false">
      <alignment horizontal="general" vertical="bottom" textRotation="0" wrapText="false" indent="0" shrinkToFit="false"/>
      <protection locked="true" hidden="false"/>
    </xf>
    <xf numFmtId="166" fontId="0" fillId="23" borderId="39" xfId="0" applyFont="true" applyBorder="true" applyAlignment="false" applyProtection="false">
      <alignment horizontal="general" vertical="bottom" textRotation="0" wrapText="false" indent="0" shrinkToFit="false"/>
      <protection locked="true" hidden="false"/>
    </xf>
    <xf numFmtId="172" fontId="18" fillId="23" borderId="39" xfId="0" applyFont="true" applyBorder="true" applyAlignment="false" applyProtection="false">
      <alignment horizontal="general" vertical="bottom" textRotation="0" wrapText="false" indent="0" shrinkToFit="false"/>
      <protection locked="true" hidden="false"/>
    </xf>
    <xf numFmtId="169" fontId="18" fillId="23" borderId="39" xfId="0" applyFont="true" applyBorder="true" applyAlignment="false" applyProtection="false">
      <alignment horizontal="general" vertical="bottom" textRotation="0" wrapText="false" indent="0" shrinkToFit="false"/>
      <protection locked="true" hidden="false"/>
    </xf>
    <xf numFmtId="170" fontId="26" fillId="22" borderId="0" xfId="0" applyFont="true" applyBorder="false" applyAlignment="false" applyProtection="false">
      <alignment horizontal="general" vertical="bottom" textRotation="0" wrapText="false" indent="0" shrinkToFit="false"/>
      <protection locked="true" hidden="false"/>
    </xf>
    <xf numFmtId="172" fontId="18" fillId="22" borderId="0" xfId="0" applyFont="true" applyBorder="false" applyAlignment="false" applyProtection="false">
      <alignment horizontal="general" vertical="bottom" textRotation="0" wrapText="false" indent="0" shrinkToFit="false"/>
      <protection locked="true" hidden="false"/>
    </xf>
    <xf numFmtId="169" fontId="18" fillId="22" borderId="0" xfId="0" applyFont="true" applyBorder="false" applyAlignment="false" applyProtection="false">
      <alignment horizontal="general" vertical="bottom" textRotation="0" wrapText="false" indent="0" shrinkToFit="false"/>
      <protection locked="true" hidden="false"/>
    </xf>
    <xf numFmtId="164" fontId="0" fillId="22" borderId="0" xfId="0" applyFont="true" applyBorder="false" applyAlignment="true" applyProtection="false">
      <alignment horizontal="left" vertical="bottom" textRotation="0" wrapText="false" indent="0" shrinkToFit="false"/>
      <protection locked="true" hidden="false"/>
    </xf>
    <xf numFmtId="164" fontId="0" fillId="22" borderId="0" xfId="0" applyFont="true" applyBorder="false" applyAlignment="true" applyProtection="false">
      <alignment horizontal="center" vertical="bottom" textRotation="0" wrapText="false" indent="0" shrinkToFit="false"/>
      <protection locked="true" hidden="false"/>
    </xf>
    <xf numFmtId="169" fontId="0" fillId="22" borderId="0" xfId="0" applyFont="true" applyBorder="false" applyAlignment="true" applyProtection="false">
      <alignment horizontal="center" vertical="bottom" textRotation="0" wrapText="false" indent="0" shrinkToFit="false"/>
      <protection locked="true" hidden="false"/>
    </xf>
    <xf numFmtId="168" fontId="0" fillId="22" borderId="0" xfId="0" applyFont="true" applyBorder="false" applyAlignment="true" applyProtection="false">
      <alignment horizontal="center" vertical="bottom" textRotation="0" wrapText="false" indent="0" shrinkToFit="false"/>
      <protection locked="true" hidden="false"/>
    </xf>
    <xf numFmtId="166" fontId="0" fillId="22" borderId="0" xfId="0" applyFont="true" applyBorder="false" applyAlignment="true" applyProtection="false">
      <alignment horizontal="center" vertical="bottom" textRotation="0" wrapText="false" indent="0" shrinkToFit="false"/>
      <protection locked="true" hidden="false"/>
    </xf>
    <xf numFmtId="164" fontId="0" fillId="23" borderId="24" xfId="0" applyFont="true" applyBorder="true" applyAlignment="true" applyProtection="false">
      <alignment horizontal="general" vertical="center" textRotation="0" wrapText="true" indent="0" shrinkToFit="false"/>
      <protection locked="true" hidden="false"/>
    </xf>
    <xf numFmtId="164" fontId="0" fillId="23" borderId="25" xfId="0" applyFont="true" applyBorder="true" applyAlignment="true" applyProtection="false">
      <alignment horizontal="left" vertical="center" textRotation="0" wrapText="true" indent="0" shrinkToFit="false"/>
      <protection locked="true" hidden="false"/>
    </xf>
    <xf numFmtId="164" fontId="0" fillId="23" borderId="25" xfId="0" applyFont="true" applyBorder="true" applyAlignment="true" applyProtection="false">
      <alignment horizontal="center" vertical="center" textRotation="0" wrapText="true" indent="0" shrinkToFit="false"/>
      <protection locked="true" hidden="false"/>
    </xf>
    <xf numFmtId="169" fontId="0" fillId="23" borderId="25" xfId="0" applyFont="true" applyBorder="true" applyAlignment="true" applyProtection="false">
      <alignment horizontal="center" vertical="center" textRotation="0" wrapText="true" indent="0" shrinkToFit="false"/>
      <protection locked="true" hidden="false"/>
    </xf>
    <xf numFmtId="168" fontId="0" fillId="23" borderId="25" xfId="0" applyFont="true" applyBorder="true" applyAlignment="true" applyProtection="false">
      <alignment horizontal="center" vertical="center" textRotation="0" wrapText="true" indent="0" shrinkToFit="false"/>
      <protection locked="true" hidden="false"/>
    </xf>
    <xf numFmtId="166" fontId="0" fillId="23" borderId="25" xfId="0" applyFont="true" applyBorder="true" applyAlignment="true" applyProtection="false">
      <alignment horizontal="center" vertical="center" textRotation="0" wrapText="true" indent="0" shrinkToFit="false"/>
      <protection locked="true" hidden="false"/>
    </xf>
    <xf numFmtId="164" fontId="0" fillId="23" borderId="26" xfId="0" applyFont="true" applyBorder="true" applyAlignment="true" applyProtection="false">
      <alignment horizontal="general" vertical="center" textRotation="0" wrapText="true" indent="0" shrinkToFit="false"/>
      <protection locked="true" hidden="false"/>
    </xf>
    <xf numFmtId="164" fontId="18" fillId="23" borderId="27" xfId="0" applyFont="true" applyBorder="true" applyAlignment="true" applyProtection="false">
      <alignment horizontal="general" vertical="center" textRotation="0" wrapText="true" indent="0" shrinkToFit="false"/>
      <protection locked="true" hidden="false"/>
    </xf>
    <xf numFmtId="164" fontId="18" fillId="23" borderId="0" xfId="0" applyFont="true" applyBorder="false" applyAlignment="true" applyProtection="false">
      <alignment horizontal="left" vertical="bottom" textRotation="0" wrapText="true" indent="0" shrinkToFit="false"/>
      <protection locked="true" hidden="false"/>
    </xf>
    <xf numFmtId="164" fontId="43" fillId="23" borderId="0" xfId="0" applyFont="true" applyBorder="false" applyAlignment="true" applyProtection="false">
      <alignment horizontal="center" vertical="bottom" textRotation="0" wrapText="true" indent="0" shrinkToFit="false"/>
      <protection locked="true" hidden="false"/>
    </xf>
    <xf numFmtId="169" fontId="43" fillId="23" borderId="0" xfId="0" applyFont="true" applyBorder="false" applyAlignment="true" applyProtection="false">
      <alignment horizontal="center" vertical="bottom" textRotation="0" wrapText="true" indent="0" shrinkToFit="false"/>
      <protection locked="true" hidden="false"/>
    </xf>
    <xf numFmtId="168" fontId="43" fillId="23" borderId="0" xfId="0" applyFont="true" applyBorder="false" applyAlignment="true" applyProtection="false">
      <alignment horizontal="center" vertical="bottom" textRotation="0" wrapText="true" indent="0" shrinkToFit="false"/>
      <protection locked="true" hidden="false"/>
    </xf>
    <xf numFmtId="168" fontId="43" fillId="23" borderId="43" xfId="0" applyFont="true" applyBorder="true" applyAlignment="true" applyProtection="false">
      <alignment horizontal="center" vertical="bottom" textRotation="0" wrapText="true" indent="0" shrinkToFit="false"/>
      <protection locked="true" hidden="false"/>
    </xf>
    <xf numFmtId="169" fontId="43" fillId="23" borderId="43" xfId="0" applyFont="true" applyBorder="true" applyAlignment="true" applyProtection="false">
      <alignment horizontal="center" vertical="bottom" textRotation="0" wrapText="true" indent="0" shrinkToFit="false"/>
      <protection locked="true" hidden="false"/>
    </xf>
    <xf numFmtId="169" fontId="43" fillId="23" borderId="0" xfId="0" applyFont="true" applyBorder="true" applyAlignment="true" applyProtection="false">
      <alignment horizontal="center" vertical="bottom" textRotation="0" wrapText="true" indent="0" shrinkToFit="false"/>
      <protection locked="true" hidden="false"/>
    </xf>
    <xf numFmtId="169" fontId="43" fillId="23" borderId="43" xfId="0" applyFont="true" applyBorder="true" applyAlignment="true" applyProtection="false">
      <alignment horizontal="center" vertical="center" textRotation="0" wrapText="true" indent="0" shrinkToFit="false"/>
      <protection locked="true" hidden="false"/>
    </xf>
    <xf numFmtId="166" fontId="43" fillId="23" borderId="43" xfId="0" applyFont="true" applyBorder="true" applyAlignment="true" applyProtection="false">
      <alignment horizontal="center" vertical="center" textRotation="0" wrapText="true" indent="0" shrinkToFit="false"/>
      <protection locked="true" hidden="false"/>
    </xf>
    <xf numFmtId="164" fontId="18" fillId="23" borderId="28" xfId="0" applyFont="true" applyBorder="true" applyAlignment="true" applyProtection="false">
      <alignment horizontal="general" vertical="center" textRotation="0" wrapText="true" indent="0" shrinkToFit="false"/>
      <protection locked="true" hidden="false"/>
    </xf>
    <xf numFmtId="169" fontId="43" fillId="23" borderId="0" xfId="0" applyFont="true" applyBorder="true" applyAlignment="true" applyProtection="false">
      <alignment horizontal="center" vertical="center" textRotation="0" wrapText="true" indent="0" shrinkToFit="false"/>
      <protection locked="true" hidden="false"/>
    </xf>
    <xf numFmtId="166" fontId="43" fillId="23" borderId="0" xfId="0" applyFont="true" applyBorder="true" applyAlignment="true" applyProtection="false">
      <alignment horizontal="center" vertical="center" textRotation="0" wrapText="true" indent="0" shrinkToFit="false"/>
      <protection locked="true" hidden="false"/>
    </xf>
    <xf numFmtId="164" fontId="18" fillId="22" borderId="0" xfId="0" applyFont="true" applyBorder="false" applyAlignment="true" applyProtection="false">
      <alignment horizontal="general" vertical="bottom" textRotation="0" wrapText="true" indent="0" shrinkToFit="false"/>
      <protection locked="true" hidden="false"/>
    </xf>
    <xf numFmtId="168" fontId="18" fillId="23" borderId="0" xfId="0" applyFont="true" applyBorder="false" applyAlignment="true" applyProtection="false">
      <alignment horizontal="center" vertical="bottom" textRotation="0" wrapText="true" indent="0" shrinkToFit="false"/>
      <protection locked="true" hidden="false"/>
    </xf>
    <xf numFmtId="169" fontId="18" fillId="23" borderId="0" xfId="0" applyFont="true" applyBorder="true" applyAlignment="true" applyProtection="false">
      <alignment horizontal="center" vertical="bottom" textRotation="0" wrapText="true" indent="0" shrinkToFit="false"/>
      <protection locked="true" hidden="false"/>
    </xf>
    <xf numFmtId="168" fontId="18" fillId="23" borderId="43" xfId="0" applyFont="true" applyBorder="true" applyAlignment="true" applyProtection="false">
      <alignment horizontal="center" vertical="bottom" textRotation="0" wrapText="true" indent="0" shrinkToFit="false"/>
      <protection locked="true" hidden="false"/>
    </xf>
    <xf numFmtId="169" fontId="18" fillId="23" borderId="43" xfId="0" applyFont="true" applyBorder="true" applyAlignment="true" applyProtection="false">
      <alignment horizontal="center" vertical="bottom" textRotation="0" wrapText="true" indent="0" shrinkToFit="false"/>
      <protection locked="true" hidden="false"/>
    </xf>
    <xf numFmtId="164" fontId="18" fillId="23" borderId="43" xfId="0" applyFont="true" applyBorder="true" applyAlignment="true" applyProtection="false">
      <alignment horizontal="center" vertical="bottom" textRotation="0" wrapText="true" indent="0" shrinkToFit="false"/>
      <protection locked="true" hidden="false"/>
    </xf>
    <xf numFmtId="166" fontId="18" fillId="23" borderId="43" xfId="0" applyFont="true" applyBorder="true" applyAlignment="true" applyProtection="false">
      <alignment horizontal="center" vertical="bottom" textRotation="0" wrapText="true" indent="0" shrinkToFit="false"/>
      <protection locked="true" hidden="false"/>
    </xf>
    <xf numFmtId="164" fontId="0" fillId="23" borderId="27" xfId="0" applyFont="true" applyBorder="true" applyAlignment="true" applyProtection="false">
      <alignment horizontal="general" vertical="center" textRotation="0" wrapText="true" indent="0" shrinkToFit="false"/>
      <protection locked="true" hidden="false"/>
    </xf>
    <xf numFmtId="168" fontId="0" fillId="23" borderId="7" xfId="0" applyFont="true" applyBorder="true" applyAlignment="true" applyProtection="false">
      <alignment horizontal="center" vertical="center" textRotation="0" wrapText="true" indent="0" shrinkToFit="false"/>
      <protection locked="true" hidden="false"/>
    </xf>
    <xf numFmtId="169" fontId="0" fillId="23" borderId="44" xfId="0" applyFont="true" applyBorder="true" applyAlignment="true" applyProtection="false">
      <alignment horizontal="center" vertical="center" textRotation="0" wrapText="true" indent="0" shrinkToFit="false"/>
      <protection locked="true" hidden="false"/>
    </xf>
    <xf numFmtId="169" fontId="0" fillId="23" borderId="7" xfId="0" applyFont="true" applyBorder="true" applyAlignment="true" applyProtection="false">
      <alignment horizontal="center" vertical="center" textRotation="0" wrapText="true" indent="0" shrinkToFit="false"/>
      <protection locked="true" hidden="false"/>
    </xf>
    <xf numFmtId="164" fontId="0" fillId="23" borderId="28" xfId="0" applyFont="true" applyBorder="true" applyAlignment="true" applyProtection="false">
      <alignment horizontal="general" vertical="center" textRotation="0" wrapText="true" indent="0" shrinkToFit="false"/>
      <protection locked="true" hidden="false"/>
    </xf>
    <xf numFmtId="164" fontId="0" fillId="23" borderId="0" xfId="0" applyFont="true" applyBorder="false" applyAlignment="true" applyProtection="false">
      <alignment horizontal="left" vertical="center" textRotation="0" wrapText="true" indent="0" shrinkToFit="false"/>
      <protection locked="true" hidden="false"/>
    </xf>
    <xf numFmtId="164" fontId="0" fillId="23" borderId="0" xfId="0" applyFont="true" applyBorder="false" applyAlignment="true" applyProtection="false">
      <alignment horizontal="center" vertical="center" textRotation="0" wrapText="true" indent="0" shrinkToFit="false"/>
      <protection locked="true" hidden="false"/>
    </xf>
    <xf numFmtId="166" fontId="0" fillId="23" borderId="0" xfId="0" applyFont="true" applyBorder="true" applyAlignment="true" applyProtection="false">
      <alignment horizontal="center" vertical="center" textRotation="0" wrapText="true" indent="0" shrinkToFit="false"/>
      <protection locked="true" hidden="false"/>
    </xf>
    <xf numFmtId="168" fontId="0" fillId="23" borderId="0" xfId="0" applyFont="true" applyBorder="false" applyAlignment="true" applyProtection="false">
      <alignment horizontal="center" vertical="center" textRotation="0" wrapText="true" indent="0" shrinkToFit="false"/>
      <protection locked="true" hidden="false"/>
    </xf>
    <xf numFmtId="169" fontId="0" fillId="23" borderId="43" xfId="0" applyFont="true" applyBorder="true" applyAlignment="true" applyProtection="false">
      <alignment horizontal="center" vertical="center" textRotation="0" wrapText="true" indent="0" shrinkToFit="false"/>
      <protection locked="true" hidden="false"/>
    </xf>
    <xf numFmtId="169" fontId="0" fillId="23" borderId="0" xfId="0" applyFont="true" applyBorder="true" applyAlignment="true" applyProtection="false">
      <alignment horizontal="center" vertical="center" textRotation="0" wrapText="true" indent="0" shrinkToFit="false"/>
      <protection locked="true" hidden="false"/>
    </xf>
    <xf numFmtId="169" fontId="0" fillId="23" borderId="0" xfId="0" applyFont="true" applyBorder="false" applyAlignment="true" applyProtection="false">
      <alignment horizontal="center" vertical="center" textRotation="0" wrapText="true" indent="0" shrinkToFit="false"/>
      <protection locked="true" hidden="false"/>
    </xf>
    <xf numFmtId="168" fontId="0" fillId="23" borderId="0" xfId="0" applyFont="true" applyBorder="true" applyAlignment="true" applyProtection="false">
      <alignment horizontal="center" vertical="center" textRotation="0" wrapText="true" indent="0" shrinkToFit="false"/>
      <protection locked="true" hidden="false"/>
    </xf>
    <xf numFmtId="169" fontId="0" fillId="23" borderId="0" xfId="0" applyFont="true" applyBorder="false" applyAlignment="true" applyProtection="false">
      <alignment horizontal="center" vertical="center" textRotation="0" wrapText="false" indent="0" shrinkToFit="false"/>
      <protection locked="true" hidden="false"/>
    </xf>
    <xf numFmtId="164" fontId="0" fillId="23" borderId="22" xfId="0" applyFont="true" applyBorder="true" applyAlignment="true" applyProtection="false">
      <alignment horizontal="center" vertical="center" textRotation="0" wrapText="true" indent="0" shrinkToFit="false"/>
      <protection locked="true" hidden="false"/>
    </xf>
    <xf numFmtId="166" fontId="0" fillId="23" borderId="22" xfId="0" applyFont="true" applyBorder="true" applyAlignment="true" applyProtection="false">
      <alignment horizontal="center" vertical="center" textRotation="0" wrapText="true" indent="0" shrinkToFit="false"/>
      <protection locked="true" hidden="false"/>
    </xf>
    <xf numFmtId="168" fontId="0" fillId="23" borderId="22" xfId="0" applyFont="true" applyBorder="true" applyAlignment="true" applyProtection="false">
      <alignment horizontal="center" vertical="center" textRotation="0" wrapText="true" indent="0" shrinkToFit="false"/>
      <protection locked="true" hidden="false"/>
    </xf>
    <xf numFmtId="169" fontId="0" fillId="23" borderId="45" xfId="0" applyFont="true" applyBorder="true" applyAlignment="true" applyProtection="false">
      <alignment horizontal="center" vertical="center" textRotation="0" wrapText="true" indent="0" shrinkToFit="false"/>
      <protection locked="true" hidden="false"/>
    </xf>
    <xf numFmtId="169" fontId="0" fillId="23" borderId="22" xfId="0" applyFont="true" applyBorder="true" applyAlignment="true" applyProtection="false">
      <alignment horizontal="center" vertical="center" textRotation="0" wrapText="true" indent="0" shrinkToFit="false"/>
      <protection locked="true" hidden="false"/>
    </xf>
    <xf numFmtId="166" fontId="0" fillId="23" borderId="0" xfId="0" applyFont="true" applyBorder="false" applyAlignment="true" applyProtection="false">
      <alignment horizontal="center" vertical="center" textRotation="0" wrapText="true" indent="0" shrinkToFit="false"/>
      <protection locked="true" hidden="false"/>
    </xf>
    <xf numFmtId="168" fontId="0" fillId="23" borderId="0" xfId="0" applyFont="true" applyBorder="false" applyAlignment="true" applyProtection="false">
      <alignment horizontal="center" vertical="center" textRotation="0" wrapText="false" indent="0" shrinkToFit="false"/>
      <protection locked="true" hidden="false"/>
    </xf>
    <xf numFmtId="164" fontId="0" fillId="23" borderId="23" xfId="0" applyFont="true" applyBorder="true" applyAlignment="true" applyProtection="false">
      <alignment horizontal="center" vertical="center" textRotation="0" wrapText="true" indent="0" shrinkToFit="false"/>
      <protection locked="true" hidden="false"/>
    </xf>
    <xf numFmtId="166" fontId="0" fillId="23" borderId="23" xfId="0" applyFont="true" applyBorder="true" applyAlignment="true" applyProtection="false">
      <alignment horizontal="center" vertical="center" textRotation="0" wrapText="true" indent="0" shrinkToFit="false"/>
      <protection locked="true" hidden="false"/>
    </xf>
    <xf numFmtId="168" fontId="0" fillId="23" borderId="23" xfId="0" applyFont="true" applyBorder="true" applyAlignment="true" applyProtection="false">
      <alignment horizontal="center" vertical="center" textRotation="0" wrapText="true" indent="0" shrinkToFit="false"/>
      <protection locked="true" hidden="false"/>
    </xf>
    <xf numFmtId="169" fontId="0" fillId="23" borderId="46" xfId="0" applyFont="true" applyBorder="true" applyAlignment="true" applyProtection="false">
      <alignment horizontal="center" vertical="center" textRotation="0" wrapText="true" indent="0" shrinkToFit="false"/>
      <protection locked="true" hidden="false"/>
    </xf>
    <xf numFmtId="169" fontId="0" fillId="23" borderId="23" xfId="0" applyFont="true" applyBorder="true" applyAlignment="true" applyProtection="false">
      <alignment horizontal="center" vertical="center" textRotation="0" wrapText="true" indent="0" shrinkToFit="false"/>
      <protection locked="true" hidden="false"/>
    </xf>
    <xf numFmtId="164" fontId="0" fillId="23" borderId="0" xfId="0" applyFont="true" applyBorder="true" applyAlignment="true" applyProtection="false">
      <alignment horizontal="center" vertical="center" textRotation="0" wrapText="true" indent="0" shrinkToFit="false"/>
      <protection locked="true" hidden="false"/>
    </xf>
    <xf numFmtId="164" fontId="0" fillId="23" borderId="12" xfId="0" applyFont="true" applyBorder="true" applyAlignment="true" applyProtection="false">
      <alignment horizontal="center" vertical="center" textRotation="0" wrapText="true" indent="0" shrinkToFit="false"/>
      <protection locked="true" hidden="false"/>
    </xf>
    <xf numFmtId="168" fontId="0" fillId="23" borderId="12" xfId="0" applyFont="true" applyBorder="true" applyAlignment="true" applyProtection="false">
      <alignment horizontal="center" vertical="center" textRotation="0" wrapText="true" indent="0" shrinkToFit="false"/>
      <protection locked="true" hidden="false"/>
    </xf>
    <xf numFmtId="169" fontId="0" fillId="23" borderId="47" xfId="0" applyFont="true" applyBorder="true" applyAlignment="true" applyProtection="false">
      <alignment horizontal="center" vertical="center" textRotation="0" wrapText="true" indent="0" shrinkToFit="false"/>
      <protection locked="true" hidden="false"/>
    </xf>
    <xf numFmtId="169" fontId="0" fillId="23" borderId="12" xfId="0" applyFont="true" applyBorder="true" applyAlignment="true" applyProtection="false">
      <alignment horizontal="center" vertical="center" textRotation="0" wrapText="true" indent="0" shrinkToFit="false"/>
      <protection locked="true" hidden="false"/>
    </xf>
    <xf numFmtId="164" fontId="0" fillId="23" borderId="7" xfId="0" applyFont="true" applyBorder="true" applyAlignment="true" applyProtection="false">
      <alignment horizontal="center" vertical="center" textRotation="0" wrapText="true" indent="0" shrinkToFit="false"/>
      <protection locked="true" hidden="false"/>
    </xf>
    <xf numFmtId="169" fontId="0" fillId="23" borderId="48" xfId="0" applyFont="true" applyBorder="true" applyAlignment="true" applyProtection="false">
      <alignment horizontal="center" vertical="center" textRotation="0" wrapText="true" indent="0" shrinkToFit="false"/>
      <protection locked="true" hidden="false"/>
    </xf>
    <xf numFmtId="164" fontId="0" fillId="23" borderId="38" xfId="0" applyFont="true" applyBorder="true" applyAlignment="true" applyProtection="false">
      <alignment horizontal="general" vertical="center" textRotation="0" wrapText="true" indent="0" shrinkToFit="false"/>
      <protection locked="true" hidden="false"/>
    </xf>
    <xf numFmtId="164" fontId="0" fillId="23" borderId="39" xfId="0" applyFont="true" applyBorder="true" applyAlignment="true" applyProtection="false">
      <alignment horizontal="left" vertical="center" textRotation="0" wrapText="true" indent="0" shrinkToFit="false"/>
      <protection locked="true" hidden="false"/>
    </xf>
    <xf numFmtId="164" fontId="0" fillId="23" borderId="39" xfId="0" applyFont="true" applyBorder="true" applyAlignment="true" applyProtection="false">
      <alignment horizontal="center" vertical="center" textRotation="0" wrapText="true" indent="0" shrinkToFit="false"/>
      <protection locked="true" hidden="false"/>
    </xf>
    <xf numFmtId="169" fontId="0" fillId="23" borderId="39" xfId="0" applyFont="true" applyBorder="true" applyAlignment="true" applyProtection="false">
      <alignment horizontal="center" vertical="center" textRotation="0" wrapText="true" indent="0" shrinkToFit="false"/>
      <protection locked="true" hidden="false"/>
    </xf>
    <xf numFmtId="168" fontId="0" fillId="23" borderId="39" xfId="0" applyFont="true" applyBorder="true" applyAlignment="true" applyProtection="false">
      <alignment horizontal="center" vertical="center" textRotation="0" wrapText="true" indent="0" shrinkToFit="false"/>
      <protection locked="true" hidden="false"/>
    </xf>
    <xf numFmtId="166" fontId="0" fillId="23" borderId="39" xfId="0" applyFont="true" applyBorder="true" applyAlignment="true" applyProtection="false">
      <alignment horizontal="center" vertical="center" textRotation="0" wrapText="true" indent="0" shrinkToFit="false"/>
      <protection locked="true" hidden="false"/>
    </xf>
    <xf numFmtId="164" fontId="0" fillId="23" borderId="40" xfId="0" applyFont="true" applyBorder="true" applyAlignment="true" applyProtection="false">
      <alignment horizontal="general" vertical="center" textRotation="0" wrapText="true" indent="0" shrinkToFit="false"/>
      <protection locked="true" hidden="false"/>
    </xf>
    <xf numFmtId="164" fontId="0" fillId="22" borderId="0" xfId="0" applyFont="true" applyBorder="false" applyAlignment="true" applyProtection="false">
      <alignment horizontal="general" vertical="center" textRotation="0" wrapText="false" indent="0" shrinkToFit="false"/>
      <protection locked="true" hidden="false"/>
    </xf>
    <xf numFmtId="164" fontId="0" fillId="22" borderId="0" xfId="0" applyFont="true" applyBorder="false" applyAlignment="true" applyProtection="false">
      <alignment horizontal="left" vertical="center" textRotation="0" wrapText="false" indent="0" shrinkToFit="false"/>
      <protection locked="true" hidden="false"/>
    </xf>
    <xf numFmtId="164" fontId="0" fillId="22" borderId="0" xfId="0" applyFont="true" applyBorder="false" applyAlignment="true" applyProtection="false">
      <alignment horizontal="center" vertical="center" textRotation="0" wrapText="false" indent="0" shrinkToFit="false"/>
      <protection locked="true" hidden="false"/>
    </xf>
    <xf numFmtId="169" fontId="0" fillId="22" borderId="0" xfId="0" applyFont="true" applyBorder="false" applyAlignment="true" applyProtection="false">
      <alignment horizontal="center" vertical="center" textRotation="0" wrapText="false" indent="0" shrinkToFit="false"/>
      <protection locked="true" hidden="false"/>
    </xf>
    <xf numFmtId="168" fontId="0" fillId="22" borderId="0" xfId="0" applyFont="true" applyBorder="false" applyAlignment="true" applyProtection="false">
      <alignment horizontal="center" vertical="center" textRotation="0" wrapText="false" indent="0" shrinkToFit="false"/>
      <protection locked="true" hidden="false"/>
    </xf>
    <xf numFmtId="166" fontId="0" fillId="22" borderId="0" xfId="0" applyFont="true" applyBorder="false" applyAlignment="true" applyProtection="false">
      <alignment horizontal="center" vertical="center" textRotation="0" wrapText="false" indent="0" shrinkToFit="false"/>
      <protection locked="true" hidden="false"/>
    </xf>
    <xf numFmtId="164" fontId="0" fillId="23" borderId="7" xfId="0" applyFont="true" applyBorder="true" applyAlignment="true" applyProtection="false">
      <alignment horizontal="left" vertical="bottom" textRotation="0" wrapText="false" indent="0" shrinkToFit="false"/>
      <protection locked="true" hidden="false"/>
    </xf>
    <xf numFmtId="168" fontId="0" fillId="23" borderId="7" xfId="0" applyFont="true" applyBorder="true" applyAlignment="true" applyProtection="false">
      <alignment horizontal="center" vertical="bottom" textRotation="0" wrapText="false" indent="0" shrinkToFit="false"/>
      <protection locked="true" hidden="false"/>
    </xf>
    <xf numFmtId="164" fontId="24" fillId="23" borderId="0" xfId="0" applyFont="true" applyBorder="true" applyAlignment="true" applyProtection="false">
      <alignment horizontal="left" vertical="bottom" textRotation="0" wrapText="false" indent="0" shrinkToFit="false"/>
      <protection locked="true" hidden="false"/>
    </xf>
    <xf numFmtId="168" fontId="0" fillId="23" borderId="0" xfId="0" applyFont="true" applyBorder="true" applyAlignment="true" applyProtection="false">
      <alignment horizontal="center" vertical="bottom" textRotation="0" wrapText="false" indent="0" shrinkToFit="false"/>
      <protection locked="true" hidden="false"/>
    </xf>
    <xf numFmtId="168" fontId="0" fillId="23" borderId="49" xfId="0" applyFont="true" applyBorder="true" applyAlignment="true" applyProtection="false">
      <alignment horizontal="center" vertical="center" textRotation="0" wrapText="true" indent="0" shrinkToFit="false"/>
      <protection locked="true" hidden="false"/>
    </xf>
    <xf numFmtId="164" fontId="0" fillId="23" borderId="12" xfId="0" applyFont="true" applyBorder="true" applyAlignment="true" applyProtection="false">
      <alignment horizontal="left" vertical="bottom" textRotation="0" wrapText="false" indent="0" shrinkToFit="false"/>
      <protection locked="true" hidden="false"/>
    </xf>
    <xf numFmtId="168" fontId="0" fillId="23" borderId="12" xfId="0" applyFont="true" applyBorder="true" applyAlignment="true" applyProtection="false">
      <alignment horizontal="center" vertical="bottom" textRotation="0" wrapText="false" indent="0" shrinkToFit="false"/>
      <protection locked="true" hidden="false"/>
    </xf>
    <xf numFmtId="164" fontId="0" fillId="23" borderId="6" xfId="0" applyFont="true" applyBorder="true" applyAlignment="true" applyProtection="false">
      <alignment horizontal="center" vertical="center" textRotation="0" wrapText="false" indent="0" shrinkToFit="false"/>
      <protection locked="true" hidden="false"/>
    </xf>
    <xf numFmtId="164" fontId="0" fillId="23" borderId="7" xfId="0" applyFont="true" applyBorder="true" applyAlignment="true" applyProtection="false">
      <alignment horizontal="left" vertical="center" textRotation="0" wrapText="false" indent="0" shrinkToFit="false"/>
      <protection locked="true" hidden="false"/>
    </xf>
    <xf numFmtId="164" fontId="0" fillId="23" borderId="7" xfId="0" applyFont="true" applyBorder="true" applyAlignment="true" applyProtection="false">
      <alignment horizontal="center" vertical="center" textRotation="0" wrapText="false" indent="0" shrinkToFit="false"/>
      <protection locked="true" hidden="false"/>
    </xf>
    <xf numFmtId="168" fontId="0" fillId="23" borderId="7" xfId="0" applyFont="true" applyBorder="true" applyAlignment="true" applyProtection="false">
      <alignment horizontal="center" vertical="center" textRotation="0" wrapText="false" indent="0" shrinkToFit="false"/>
      <protection locked="true" hidden="false"/>
    </xf>
    <xf numFmtId="166" fontId="0" fillId="23" borderId="7" xfId="0" applyFont="true" applyBorder="true" applyAlignment="true" applyProtection="false">
      <alignment horizontal="center" vertical="center" textRotation="0" wrapText="false" indent="0" shrinkToFit="false"/>
      <protection locked="true" hidden="false"/>
    </xf>
    <xf numFmtId="169" fontId="0" fillId="23" borderId="7" xfId="0" applyFont="true" applyBorder="true" applyAlignment="true" applyProtection="false">
      <alignment horizontal="center" vertical="center" textRotation="0" wrapText="false" indent="0" shrinkToFit="false"/>
      <protection locked="true" hidden="false"/>
    </xf>
    <xf numFmtId="166" fontId="0" fillId="23" borderId="8" xfId="0" applyFont="true" applyBorder="true" applyAlignment="false" applyProtection="false">
      <alignment horizontal="general" vertical="bottom" textRotation="0" wrapText="false" indent="0" shrinkToFit="false"/>
      <protection locked="true" hidden="false"/>
    </xf>
    <xf numFmtId="164" fontId="0" fillId="22" borderId="0" xfId="0" applyFont="true" applyBorder="false" applyAlignment="true" applyProtection="false">
      <alignment horizontal="general" vertical="bottom" textRotation="0" wrapText="true" indent="0" shrinkToFit="false"/>
      <protection locked="true" hidden="false"/>
    </xf>
    <xf numFmtId="164" fontId="0" fillId="23" borderId="9" xfId="0" applyFont="true" applyBorder="true" applyAlignment="true" applyProtection="false">
      <alignment horizontal="center" vertical="bottom" textRotation="0" wrapText="true" indent="0" shrinkToFit="false"/>
      <protection locked="true" hidden="false"/>
    </xf>
    <xf numFmtId="164" fontId="17" fillId="23" borderId="0" xfId="0" applyFont="true" applyBorder="true" applyAlignment="true" applyProtection="false">
      <alignment horizontal="left" vertical="bottom" textRotation="0" wrapText="true" indent="0" shrinkToFit="false"/>
      <protection locked="true" hidden="false"/>
    </xf>
    <xf numFmtId="168" fontId="18" fillId="23" borderId="41" xfId="0" applyFont="true" applyBorder="true" applyAlignment="true" applyProtection="false">
      <alignment horizontal="center" vertical="bottom" textRotation="0" wrapText="true" indent="0" shrinkToFit="false"/>
      <protection locked="true" hidden="false"/>
    </xf>
    <xf numFmtId="168" fontId="18" fillId="23" borderId="10" xfId="0" applyFont="true" applyBorder="true" applyAlignment="true" applyProtection="false">
      <alignment horizontal="center" vertical="bottom" textRotation="0" wrapText="true" indent="0" shrinkToFit="false"/>
      <protection locked="true" hidden="false"/>
    </xf>
    <xf numFmtId="166" fontId="18" fillId="23" borderId="28" xfId="0" applyFont="true" applyBorder="true" applyAlignment="true" applyProtection="false">
      <alignment horizontal="center" vertical="bottom" textRotation="0" wrapText="true" indent="0" shrinkToFit="false"/>
      <protection locked="true" hidden="false"/>
    </xf>
    <xf numFmtId="164" fontId="17" fillId="23" borderId="50" xfId="0" applyFont="true" applyBorder="true" applyAlignment="true" applyProtection="false">
      <alignment horizontal="center" vertical="bottom" textRotation="0" wrapText="true" indent="0" shrinkToFit="false"/>
      <protection locked="true" hidden="false"/>
    </xf>
    <xf numFmtId="164" fontId="0" fillId="23" borderId="0" xfId="0" applyFont="true" applyBorder="false" applyAlignment="true" applyProtection="false">
      <alignment horizontal="center" vertical="bottom" textRotation="0" wrapText="true" indent="0" shrinkToFit="false"/>
      <protection locked="true" hidden="false"/>
    </xf>
    <xf numFmtId="168" fontId="0" fillId="23" borderId="0" xfId="0" applyFont="true" applyBorder="false" applyAlignment="true" applyProtection="false">
      <alignment horizontal="center" vertical="bottom" textRotation="0" wrapText="true" indent="0" shrinkToFit="false"/>
      <protection locked="true" hidden="false"/>
    </xf>
    <xf numFmtId="164" fontId="18" fillId="23" borderId="51" xfId="0" applyFont="true" applyBorder="true" applyAlignment="true" applyProtection="false">
      <alignment horizontal="center" vertical="bottom" textRotation="0" wrapText="true" indent="0" shrinkToFit="false"/>
      <protection locked="true" hidden="false"/>
    </xf>
    <xf numFmtId="169" fontId="18" fillId="23" borderId="10" xfId="0" applyFont="true" applyBorder="true" applyAlignment="true" applyProtection="false">
      <alignment horizontal="center" vertical="bottom" textRotation="0" wrapText="true" indent="0" shrinkToFit="false"/>
      <protection locked="true" hidden="false"/>
    </xf>
    <xf numFmtId="166" fontId="18" fillId="23" borderId="9" xfId="0" applyFont="true" applyBorder="true" applyAlignment="true" applyProtection="false">
      <alignment horizontal="center" vertical="bottom" textRotation="0" wrapText="true" indent="0" shrinkToFit="false"/>
      <protection locked="true" hidden="false"/>
    </xf>
    <xf numFmtId="164" fontId="0" fillId="23" borderId="10" xfId="0" applyFont="true" applyBorder="true" applyAlignment="true" applyProtection="false">
      <alignment horizontal="general" vertical="bottom" textRotation="0" wrapText="true" indent="0" shrinkToFit="false"/>
      <protection locked="true" hidden="false"/>
    </xf>
    <xf numFmtId="164" fontId="0" fillId="22" borderId="0" xfId="0" applyFont="true" applyBorder="false" applyAlignment="true" applyProtection="false">
      <alignment horizontal="general" vertical="bottom" textRotation="0" wrapText="false" indent="0" shrinkToFit="false"/>
      <protection locked="true" hidden="false"/>
    </xf>
    <xf numFmtId="164" fontId="0" fillId="23" borderId="9" xfId="0" applyFont="true" applyBorder="true" applyAlignment="true" applyProtection="false">
      <alignment horizontal="center" vertical="bottom" textRotation="0" wrapText="false" indent="0" shrinkToFit="false"/>
      <protection locked="true" hidden="false"/>
    </xf>
    <xf numFmtId="168" fontId="18" fillId="23" borderId="9" xfId="0" applyFont="true" applyBorder="true" applyAlignment="true" applyProtection="false">
      <alignment horizontal="center" vertical="bottom" textRotation="0" wrapText="true" indent="0" shrinkToFit="false"/>
      <protection locked="true" hidden="false"/>
    </xf>
    <xf numFmtId="166" fontId="18" fillId="23" borderId="10" xfId="0" applyFont="true" applyBorder="true" applyAlignment="true" applyProtection="false">
      <alignment horizontal="center" vertical="bottom" textRotation="0" wrapText="true" indent="0" shrinkToFit="false"/>
      <protection locked="true" hidden="false"/>
    </xf>
    <xf numFmtId="168" fontId="18" fillId="23" borderId="0" xfId="0" applyFont="true" applyBorder="true" applyAlignment="true" applyProtection="false">
      <alignment horizontal="center" vertical="bottom" textRotation="0" wrapText="true" indent="0" shrinkToFit="false"/>
      <protection locked="true" hidden="false"/>
    </xf>
    <xf numFmtId="166" fontId="18" fillId="23" borderId="0" xfId="0" applyFont="true" applyBorder="true" applyAlignment="true" applyProtection="false">
      <alignment horizontal="center" vertical="bottom" textRotation="0" wrapText="true" indent="0" shrinkToFit="false"/>
      <protection locked="true" hidden="false"/>
    </xf>
    <xf numFmtId="164" fontId="18" fillId="23" borderId="50" xfId="0" applyFont="true" applyBorder="true" applyAlignment="true" applyProtection="false">
      <alignment horizontal="center" vertical="bottom" textRotation="0" wrapText="true" indent="0" shrinkToFit="false"/>
      <protection locked="true" hidden="false"/>
    </xf>
    <xf numFmtId="164" fontId="18" fillId="23" borderId="50" xfId="0" applyFont="true" applyBorder="true" applyAlignment="true" applyProtection="false">
      <alignment horizontal="center" vertical="bottom" textRotation="0" wrapText="false" indent="0" shrinkToFit="false"/>
      <protection locked="true" hidden="false"/>
    </xf>
    <xf numFmtId="169" fontId="18" fillId="23" borderId="10" xfId="0" applyFont="true" applyBorder="true" applyAlignment="true" applyProtection="false">
      <alignment horizontal="center" vertical="bottom" textRotation="0" wrapText="false" indent="0" shrinkToFit="false"/>
      <protection locked="true" hidden="false"/>
    </xf>
    <xf numFmtId="166" fontId="18" fillId="23" borderId="0" xfId="0" applyFont="true" applyBorder="false" applyAlignment="true" applyProtection="false">
      <alignment horizontal="center" vertical="bottom" textRotation="0" wrapText="false" indent="0" shrinkToFit="false"/>
      <protection locked="true" hidden="false"/>
    </xf>
    <xf numFmtId="166" fontId="18" fillId="23" borderId="0" xfId="0" applyFont="true" applyBorder="true" applyAlignment="true" applyProtection="false">
      <alignment horizontal="center" vertical="bottom" textRotation="0" wrapText="false" indent="0" shrinkToFit="false"/>
      <protection locked="true" hidden="false"/>
    </xf>
    <xf numFmtId="164" fontId="0" fillId="23" borderId="10" xfId="0" applyFont="true" applyBorder="true" applyAlignment="true" applyProtection="false">
      <alignment horizontal="general" vertical="bottom" textRotation="0" wrapText="false" indent="0" shrinkToFit="false"/>
      <protection locked="true" hidden="false"/>
    </xf>
    <xf numFmtId="164" fontId="0" fillId="23" borderId="9" xfId="0" applyFont="true" applyBorder="true" applyAlignment="true" applyProtection="false">
      <alignment horizontal="center" vertical="center" textRotation="0" wrapText="false" indent="0" shrinkToFit="false"/>
      <protection locked="true" hidden="false"/>
    </xf>
    <xf numFmtId="168" fontId="0" fillId="23" borderId="12" xfId="0" applyFont="true" applyBorder="true" applyAlignment="true" applyProtection="false">
      <alignment horizontal="center" vertical="center" textRotation="0" wrapText="false" indent="0" shrinkToFit="false"/>
      <protection locked="true" hidden="false"/>
    </xf>
    <xf numFmtId="168" fontId="0" fillId="23" borderId="11" xfId="0" applyFont="true" applyBorder="true" applyAlignment="true" applyProtection="false">
      <alignment horizontal="center" vertical="center" textRotation="0" wrapText="true" indent="0" shrinkToFit="false"/>
      <protection locked="true" hidden="false"/>
    </xf>
    <xf numFmtId="166" fontId="0" fillId="23" borderId="12" xfId="0" applyFont="true" applyBorder="true" applyAlignment="true" applyProtection="false">
      <alignment horizontal="center" vertical="center" textRotation="0" wrapText="true" indent="0" shrinkToFit="false"/>
      <protection locked="true" hidden="false"/>
    </xf>
    <xf numFmtId="166" fontId="0" fillId="23" borderId="13" xfId="0" applyFont="true" applyBorder="true" applyAlignment="true" applyProtection="false">
      <alignment horizontal="center" vertical="center" textRotation="0" wrapText="true" indent="0" shrinkToFit="false"/>
      <protection locked="true" hidden="false"/>
    </xf>
    <xf numFmtId="164" fontId="18" fillId="23" borderId="52" xfId="0" applyFont="true" applyBorder="true" applyAlignment="true" applyProtection="false">
      <alignment horizontal="center" vertical="center" textRotation="0" wrapText="false" indent="0" shrinkToFit="false"/>
      <protection locked="true" hidden="false"/>
    </xf>
    <xf numFmtId="164" fontId="18" fillId="23" borderId="12" xfId="0" applyFont="true" applyBorder="true" applyAlignment="true" applyProtection="false">
      <alignment horizontal="center" vertical="center" textRotation="0" wrapText="false" indent="0" shrinkToFit="false"/>
      <protection locked="true" hidden="false"/>
    </xf>
    <xf numFmtId="168" fontId="18" fillId="23" borderId="12" xfId="0" applyFont="true" applyBorder="true" applyAlignment="true" applyProtection="false">
      <alignment horizontal="center" vertical="center" textRotation="0" wrapText="false" indent="0" shrinkToFit="false"/>
      <protection locked="true" hidden="false"/>
    </xf>
    <xf numFmtId="164" fontId="0" fillId="23" borderId="52" xfId="0" applyFont="true" applyBorder="true" applyAlignment="true" applyProtection="false">
      <alignment horizontal="center" vertical="center" textRotation="0" wrapText="false" indent="0" shrinkToFit="false"/>
      <protection locked="true" hidden="false"/>
    </xf>
    <xf numFmtId="169" fontId="0" fillId="23" borderId="12" xfId="0" applyFont="true" applyBorder="true" applyAlignment="true" applyProtection="false">
      <alignment horizontal="center" vertical="center" textRotation="0" wrapText="false" indent="0" shrinkToFit="false"/>
      <protection locked="true" hidden="false"/>
    </xf>
    <xf numFmtId="169" fontId="0" fillId="23" borderId="13" xfId="0" applyFont="true" applyBorder="true" applyAlignment="true" applyProtection="false">
      <alignment horizontal="center" vertical="center" textRotation="0" wrapText="false" indent="0" shrinkToFit="false"/>
      <protection locked="true" hidden="false"/>
    </xf>
    <xf numFmtId="168" fontId="0" fillId="23" borderId="10" xfId="0" applyFont="true" applyBorder="true" applyAlignment="true" applyProtection="false">
      <alignment horizontal="center" vertical="center" textRotation="0" wrapText="false" indent="0" shrinkToFit="false"/>
      <protection locked="true" hidden="false"/>
    </xf>
    <xf numFmtId="168" fontId="0" fillId="23" borderId="6" xfId="0" applyFont="true" applyBorder="true" applyAlignment="true" applyProtection="false">
      <alignment horizontal="center" vertical="center" textRotation="0" wrapText="false" indent="0" shrinkToFit="false"/>
      <protection locked="true" hidden="false"/>
    </xf>
    <xf numFmtId="166" fontId="0" fillId="23" borderId="0" xfId="0" applyFont="true" applyBorder="false" applyAlignment="true" applyProtection="false">
      <alignment horizontal="center" vertical="center" textRotation="0" wrapText="false" indent="0" shrinkToFit="false"/>
      <protection locked="true" hidden="false"/>
    </xf>
    <xf numFmtId="166" fontId="0" fillId="23" borderId="10" xfId="0" applyFont="true" applyBorder="true" applyAlignment="true" applyProtection="false">
      <alignment horizontal="center" vertical="center" textRotation="0" wrapText="false" indent="0" shrinkToFit="false"/>
      <protection locked="true" hidden="false"/>
    </xf>
    <xf numFmtId="168" fontId="0" fillId="23" borderId="0" xfId="0" applyFont="true" applyBorder="true" applyAlignment="true" applyProtection="false">
      <alignment horizontal="center" vertical="center" textRotation="0" wrapText="false" indent="0" shrinkToFit="false"/>
      <protection locked="true" hidden="false"/>
    </xf>
    <xf numFmtId="166" fontId="0" fillId="23" borderId="0" xfId="0" applyFont="true" applyBorder="true" applyAlignment="true" applyProtection="false">
      <alignment horizontal="center" vertical="center" textRotation="0" wrapText="false" indent="0" shrinkToFit="false"/>
      <protection locked="true" hidden="false"/>
    </xf>
    <xf numFmtId="164" fontId="0" fillId="23" borderId="50" xfId="0" applyFont="true" applyBorder="true" applyAlignment="true" applyProtection="false">
      <alignment horizontal="center" vertical="center" textRotation="0" wrapText="false" indent="0" shrinkToFit="false"/>
      <protection locked="true" hidden="false"/>
    </xf>
    <xf numFmtId="168" fontId="0" fillId="23" borderId="50" xfId="0" applyFont="true" applyBorder="true" applyAlignment="true" applyProtection="false">
      <alignment horizontal="center" vertical="center" textRotation="0" wrapText="false" indent="0" shrinkToFit="false"/>
      <protection locked="true" hidden="false"/>
    </xf>
    <xf numFmtId="169" fontId="0" fillId="23" borderId="10" xfId="0" applyFont="true" applyBorder="true" applyAlignment="true" applyProtection="false">
      <alignment horizontal="center" vertical="center" textRotation="0" wrapText="false" indent="0" shrinkToFit="false"/>
      <protection locked="true" hidden="false"/>
    </xf>
    <xf numFmtId="169" fontId="0" fillId="23" borderId="0" xfId="0" applyFont="true" applyBorder="true" applyAlignment="true" applyProtection="false">
      <alignment horizontal="center" vertical="center" textRotation="0" wrapText="false" indent="0" shrinkToFit="false"/>
      <protection locked="true" hidden="false"/>
    </xf>
    <xf numFmtId="166" fontId="0" fillId="23" borderId="10" xfId="0" applyFont="true" applyBorder="true" applyAlignment="false" applyProtection="false">
      <alignment horizontal="general" vertical="bottom" textRotation="0" wrapText="false" indent="0" shrinkToFit="false"/>
      <protection locked="true" hidden="false"/>
    </xf>
    <xf numFmtId="168" fontId="0" fillId="23" borderId="53" xfId="0" applyFont="true" applyBorder="true" applyAlignment="true" applyProtection="false">
      <alignment horizontal="center" vertical="center" textRotation="0" wrapText="false" indent="0" shrinkToFit="false"/>
      <protection locked="true" hidden="false"/>
    </xf>
    <xf numFmtId="168" fontId="0" fillId="23" borderId="23" xfId="0" applyFont="true" applyBorder="true" applyAlignment="true" applyProtection="false">
      <alignment horizontal="center" vertical="center" textRotation="0" wrapText="false" indent="0" shrinkToFit="false"/>
      <protection locked="true" hidden="false"/>
    </xf>
    <xf numFmtId="166" fontId="0" fillId="23" borderId="23" xfId="0" applyFont="true" applyBorder="true" applyAlignment="true" applyProtection="false">
      <alignment horizontal="center" vertical="center" textRotation="0" wrapText="false" indent="0" shrinkToFit="false"/>
      <protection locked="true" hidden="false"/>
    </xf>
    <xf numFmtId="166" fontId="0" fillId="23" borderId="53" xfId="0" applyFont="true" applyBorder="true" applyAlignment="true" applyProtection="false">
      <alignment horizontal="center" vertical="center" textRotation="0" wrapText="false" indent="0" shrinkToFit="false"/>
      <protection locked="true" hidden="false"/>
    </xf>
    <xf numFmtId="164" fontId="0" fillId="23" borderId="54" xfId="0" applyFont="true" applyBorder="true" applyAlignment="true" applyProtection="false">
      <alignment horizontal="center" vertical="center" textRotation="0" wrapText="false" indent="0" shrinkToFit="false"/>
      <protection locked="true" hidden="false"/>
    </xf>
    <xf numFmtId="168" fontId="0" fillId="23" borderId="54" xfId="0" applyFont="true" applyBorder="true" applyAlignment="true" applyProtection="false">
      <alignment horizontal="center" vertical="center" textRotation="0" wrapText="false" indent="0" shrinkToFit="false"/>
      <protection locked="true" hidden="false"/>
    </xf>
    <xf numFmtId="169" fontId="0" fillId="23" borderId="23" xfId="0" applyFont="true" applyBorder="true" applyAlignment="true" applyProtection="false">
      <alignment horizontal="center" vertical="center" textRotation="0" wrapText="false" indent="0" shrinkToFit="false"/>
      <protection locked="true" hidden="false"/>
    </xf>
    <xf numFmtId="169" fontId="0" fillId="23" borderId="53" xfId="0" applyFont="true" applyBorder="true" applyAlignment="true" applyProtection="false">
      <alignment horizontal="center" vertical="center" textRotation="0" wrapText="false" indent="0" shrinkToFit="false"/>
      <protection locked="true" hidden="false"/>
    </xf>
    <xf numFmtId="168" fontId="0" fillId="23" borderId="55" xfId="0" applyFont="true" applyBorder="true" applyAlignment="true" applyProtection="false">
      <alignment horizontal="center" vertical="center" textRotation="0" wrapText="false" indent="0" shrinkToFit="false"/>
      <protection locked="true" hidden="false"/>
    </xf>
    <xf numFmtId="168" fontId="0" fillId="23" borderId="22" xfId="0" applyFont="true" applyBorder="true" applyAlignment="true" applyProtection="false">
      <alignment horizontal="center" vertical="center" textRotation="0" wrapText="false" indent="0" shrinkToFit="false"/>
      <protection locked="true" hidden="false"/>
    </xf>
    <xf numFmtId="166" fontId="0" fillId="23" borderId="22" xfId="0" applyFont="true" applyBorder="true" applyAlignment="true" applyProtection="false">
      <alignment horizontal="center" vertical="center" textRotation="0" wrapText="false" indent="0" shrinkToFit="false"/>
      <protection locked="true" hidden="false"/>
    </xf>
    <xf numFmtId="166" fontId="0" fillId="23" borderId="55" xfId="0" applyFont="true" applyBorder="true" applyAlignment="true" applyProtection="false">
      <alignment horizontal="center" vertical="center" textRotation="0" wrapText="false" indent="0" shrinkToFit="false"/>
      <protection locked="true" hidden="false"/>
    </xf>
    <xf numFmtId="164" fontId="0" fillId="23" borderId="56" xfId="0" applyFont="true" applyBorder="true" applyAlignment="true" applyProtection="false">
      <alignment horizontal="center" vertical="center" textRotation="0" wrapText="false" indent="0" shrinkToFit="false"/>
      <protection locked="true" hidden="false"/>
    </xf>
    <xf numFmtId="168" fontId="0" fillId="23" borderId="56" xfId="0" applyFont="true" applyBorder="true" applyAlignment="true" applyProtection="false">
      <alignment horizontal="center" vertical="center" textRotation="0" wrapText="false" indent="0" shrinkToFit="false"/>
      <protection locked="true" hidden="false"/>
    </xf>
    <xf numFmtId="169" fontId="0" fillId="23" borderId="22" xfId="0" applyFont="true" applyBorder="true" applyAlignment="true" applyProtection="false">
      <alignment horizontal="center" vertical="center" textRotation="0" wrapText="false" indent="0" shrinkToFit="false"/>
      <protection locked="true" hidden="false"/>
    </xf>
    <xf numFmtId="169" fontId="0" fillId="23" borderId="55" xfId="0" applyFont="true" applyBorder="true" applyAlignment="true" applyProtection="false">
      <alignment horizontal="center" vertical="center" textRotation="0" wrapText="false" indent="0" shrinkToFit="false"/>
      <protection locked="true" hidden="false"/>
    </xf>
    <xf numFmtId="164" fontId="18" fillId="22" borderId="0" xfId="0" applyFont="true" applyBorder="false" applyAlignment="true" applyProtection="false">
      <alignment horizontal="left" vertical="bottom" textRotation="0" wrapText="false" indent="0" shrinkToFit="false"/>
      <protection locked="true" hidden="false"/>
    </xf>
    <xf numFmtId="172" fontId="0" fillId="23" borderId="10" xfId="0" applyFont="true" applyBorder="true" applyAlignment="true" applyProtection="false">
      <alignment horizontal="center" vertical="center" textRotation="0" wrapText="false" indent="0" shrinkToFit="false"/>
      <protection locked="true" hidden="false"/>
    </xf>
    <xf numFmtId="164" fontId="0" fillId="23" borderId="11" xfId="0" applyFont="true" applyBorder="true" applyAlignment="true" applyProtection="false">
      <alignment horizontal="center" vertical="center" textRotation="0" wrapText="false" indent="0" shrinkToFit="false"/>
      <protection locked="true" hidden="false"/>
    </xf>
    <xf numFmtId="168" fontId="44" fillId="23" borderId="12" xfId="0" applyFont="true" applyBorder="true" applyAlignment="true" applyProtection="false">
      <alignment horizontal="left" vertical="center" textRotation="0" wrapText="false" indent="0" shrinkToFit="false"/>
      <protection locked="true" hidden="false"/>
    </xf>
    <xf numFmtId="168" fontId="44" fillId="23" borderId="12" xfId="0" applyFont="true" applyBorder="true" applyAlignment="true" applyProtection="false">
      <alignment horizontal="center" vertical="center" textRotation="0" wrapText="false" indent="0" shrinkToFit="false"/>
      <protection locked="true" hidden="false"/>
    </xf>
    <xf numFmtId="166" fontId="44" fillId="23" borderId="12" xfId="0" applyFont="true" applyBorder="true" applyAlignment="true" applyProtection="false">
      <alignment horizontal="center" vertical="center" textRotation="0" wrapText="false" indent="0" shrinkToFit="false"/>
      <protection locked="true" hidden="false"/>
    </xf>
    <xf numFmtId="166" fontId="0" fillId="23" borderId="12" xfId="0" applyFont="true" applyBorder="true" applyAlignment="true" applyProtection="false">
      <alignment horizontal="center" vertical="center" textRotation="0" wrapText="false" indent="0" shrinkToFit="false"/>
      <protection locked="true" hidden="false"/>
    </xf>
    <xf numFmtId="166" fontId="0" fillId="23" borderId="13" xfId="0" applyFont="true" applyBorder="true" applyAlignment="false" applyProtection="false">
      <alignment horizontal="general" vertical="bottom" textRotation="0" wrapText="false" indent="0" shrinkToFit="false"/>
      <protection locked="true" hidden="false"/>
    </xf>
    <xf numFmtId="164" fontId="0" fillId="22" borderId="0" xfId="0" applyFont="true" applyBorder="true" applyAlignment="true" applyProtection="false">
      <alignment horizontal="center" vertical="center" textRotation="0" wrapText="false" indent="0" shrinkToFit="false"/>
      <protection locked="true" hidden="false"/>
    </xf>
    <xf numFmtId="169" fontId="0" fillId="22" borderId="0" xfId="0" applyFont="true" applyBorder="true" applyAlignment="true" applyProtection="false">
      <alignment horizontal="center" vertical="center" textRotation="0" wrapText="false" indent="0" shrinkToFit="false"/>
      <protection locked="true" hidden="false"/>
    </xf>
    <xf numFmtId="168" fontId="0" fillId="22" borderId="0" xfId="0" applyFont="true" applyBorder="true" applyAlignment="true" applyProtection="false">
      <alignment horizontal="center" vertical="center" textRotation="0" wrapText="false" indent="0" shrinkToFit="false"/>
      <protection locked="true" hidden="false"/>
    </xf>
    <xf numFmtId="166" fontId="0" fillId="22" borderId="0" xfId="0" applyFont="true" applyBorder="true" applyAlignment="true" applyProtection="false">
      <alignment horizontal="center" vertical="center" textRotation="0" wrapText="false" indent="0" shrinkToFit="false"/>
      <protection locked="true" hidden="false"/>
    </xf>
    <xf numFmtId="166" fontId="0" fillId="22" borderId="0" xfId="0" applyFont="true" applyBorder="true" applyAlignment="false" applyProtection="false">
      <alignment horizontal="general" vertical="bottom" textRotation="0" wrapText="false" indent="0" shrinkToFit="false"/>
      <protection locked="true" hidden="false"/>
    </xf>
    <xf numFmtId="164" fontId="0" fillId="23" borderId="0" xfId="0" applyFont="true" applyBorder="true" applyAlignment="true" applyProtection="false">
      <alignment horizontal="center" vertical="center" textRotation="0" wrapText="false" indent="0" shrinkToFit="false"/>
      <protection locked="true" hidden="false"/>
    </xf>
    <xf numFmtId="164" fontId="0" fillId="23" borderId="0" xfId="0" applyFont="true" applyBorder="true" applyAlignment="true" applyProtection="false">
      <alignment horizontal="left" vertical="center" textRotation="0" wrapText="false" indent="0" shrinkToFit="false"/>
      <protection locked="true" hidden="false"/>
    </xf>
    <xf numFmtId="169" fontId="18" fillId="23" borderId="9" xfId="0" applyFont="true" applyBorder="true" applyAlignment="true" applyProtection="false">
      <alignment horizontal="center" vertical="bottom" textRotation="0" wrapText="false" indent="0" shrinkToFit="false"/>
      <protection locked="true" hidden="false"/>
    </xf>
    <xf numFmtId="166" fontId="18" fillId="23" borderId="9" xfId="0" applyFont="true" applyBorder="true" applyAlignment="true" applyProtection="false">
      <alignment horizontal="center" vertical="bottom" textRotation="0" wrapText="false" indent="0" shrinkToFit="false"/>
      <protection locked="true" hidden="false"/>
    </xf>
    <xf numFmtId="169" fontId="0" fillId="23" borderId="11" xfId="0" applyFont="true" applyBorder="true" applyAlignment="true" applyProtection="false">
      <alignment horizontal="center" vertical="center" textRotation="0" wrapText="false" indent="0" shrinkToFit="false"/>
      <protection locked="true" hidden="false"/>
    </xf>
    <xf numFmtId="168" fontId="0" fillId="23" borderId="9" xfId="0" applyFont="true" applyBorder="true" applyAlignment="true" applyProtection="false">
      <alignment horizontal="center" vertical="center" textRotation="0" wrapText="false" indent="0" shrinkToFit="false"/>
      <protection locked="true" hidden="false"/>
    </xf>
    <xf numFmtId="166" fontId="0" fillId="23" borderId="9" xfId="0" applyFont="true" applyBorder="true" applyAlignment="true" applyProtection="false">
      <alignment horizontal="center" vertical="center" textRotation="0" wrapText="false" indent="0" shrinkToFit="false"/>
      <protection locked="true" hidden="false"/>
    </xf>
    <xf numFmtId="169" fontId="0" fillId="23" borderId="9" xfId="0" applyFont="true" applyBorder="true" applyAlignment="true" applyProtection="false">
      <alignment horizontal="center" vertical="center" textRotation="0" wrapText="false" indent="0" shrinkToFit="false"/>
      <protection locked="true" hidden="false"/>
    </xf>
    <xf numFmtId="164" fontId="18" fillId="22" borderId="0" xfId="0" applyFont="true" applyBorder="true" applyAlignment="true" applyProtection="false">
      <alignment horizontal="center" vertical="center" textRotation="0" wrapText="false" indent="0" shrinkToFit="false"/>
      <protection locked="true" hidden="false"/>
    </xf>
    <xf numFmtId="164" fontId="18" fillId="22" borderId="0" xfId="0" applyFont="true" applyBorder="false" applyAlignment="true" applyProtection="false">
      <alignment horizontal="center" vertical="center" textRotation="0" wrapText="false" indent="0" shrinkToFit="false"/>
      <protection locked="true" hidden="false"/>
    </xf>
    <xf numFmtId="164" fontId="0" fillId="22" borderId="0" xfId="0" applyFont="true" applyBorder="true" applyAlignment="true" applyProtection="false">
      <alignment horizontal="center" vertical="center" textRotation="0" wrapText="true" indent="0" shrinkToFit="false"/>
      <protection locked="true" hidden="false"/>
    </xf>
    <xf numFmtId="172" fontId="0" fillId="22" borderId="0" xfId="0" applyFont="true" applyBorder="false" applyAlignment="false" applyProtection="false">
      <alignment horizontal="general" vertical="bottom" textRotation="0" wrapText="false" indent="0" shrinkToFit="false"/>
      <protection locked="true" hidden="false"/>
    </xf>
    <xf numFmtId="169" fontId="0" fillId="23" borderId="0" xfId="0" applyFont="true" applyBorder="true" applyAlignment="true" applyProtection="false">
      <alignment horizontal="center" vertical="bottom" textRotation="0" wrapText="true" indent="0" shrinkToFit="false"/>
      <protection locked="true" hidden="false"/>
    </xf>
    <xf numFmtId="164" fontId="18" fillId="23" borderId="9" xfId="0" applyFont="true" applyBorder="true" applyAlignment="true" applyProtection="false">
      <alignment horizontal="center" vertical="bottom" textRotation="0" wrapText="true" indent="0" shrinkToFit="false"/>
      <protection locked="true" hidden="false"/>
    </xf>
    <xf numFmtId="164" fontId="0" fillId="23" borderId="10" xfId="0" applyFont="true" applyBorder="true" applyAlignment="true" applyProtection="false">
      <alignment horizontal="center" vertical="center" textRotation="0" wrapText="false" indent="0" shrinkToFit="false"/>
      <protection locked="true" hidden="false"/>
    </xf>
    <xf numFmtId="164" fontId="0" fillId="23" borderId="53" xfId="0" applyFont="true" applyBorder="true" applyAlignment="true" applyProtection="false">
      <alignment horizontal="center" vertical="center" textRotation="0" wrapText="false" indent="0" shrinkToFit="false"/>
      <protection locked="true" hidden="false"/>
    </xf>
    <xf numFmtId="164" fontId="0" fillId="23" borderId="55" xfId="0" applyFont="true" applyBorder="true" applyAlignment="true" applyProtection="false">
      <alignment horizontal="center" vertical="center" textRotation="0" wrapText="false" indent="0" shrinkToFit="false"/>
      <protection locked="true" hidden="false"/>
    </xf>
    <xf numFmtId="169" fontId="44" fillId="23" borderId="12" xfId="0" applyFont="true" applyBorder="true" applyAlignment="true" applyProtection="false">
      <alignment horizontal="center" vertical="center" textRotation="0" wrapText="false" indent="0" shrinkToFit="false"/>
      <protection locked="true" hidden="false"/>
    </xf>
    <xf numFmtId="168" fontId="0" fillId="22" borderId="0" xfId="0" applyFont="false" applyBorder="false" applyAlignment="false" applyProtection="false">
      <alignment horizontal="general" vertical="bottom" textRotation="0" wrapText="false" indent="0" shrinkToFit="false"/>
      <protection locked="true" hidden="false"/>
    </xf>
    <xf numFmtId="168" fontId="0" fillId="23" borderId="7" xfId="0" applyFont="false" applyBorder="true" applyAlignment="false" applyProtection="false">
      <alignment horizontal="general" vertical="bottom" textRotation="0" wrapText="false" indent="0" shrinkToFit="false"/>
      <protection locked="true" hidden="false"/>
    </xf>
    <xf numFmtId="169" fontId="18" fillId="23" borderId="49" xfId="0" applyFont="true" applyBorder="true" applyAlignment="true" applyProtection="false">
      <alignment horizontal="center" vertical="bottom" textRotation="0" wrapText="true" indent="0" shrinkToFit="false"/>
      <protection locked="true" hidden="false"/>
    </xf>
    <xf numFmtId="169" fontId="18" fillId="23" borderId="57" xfId="0" applyFont="true" applyBorder="true" applyAlignment="true" applyProtection="false">
      <alignment horizontal="center" vertical="center" textRotation="0" wrapText="true" indent="0" shrinkToFit="false"/>
      <protection locked="true" hidden="false"/>
    </xf>
    <xf numFmtId="168" fontId="18" fillId="23" borderId="0" xfId="0" applyFont="true" applyBorder="true" applyAlignment="true" applyProtection="false">
      <alignment horizontal="center" vertical="center" textRotation="0" wrapText="true" indent="0" shrinkToFit="false"/>
      <protection locked="true" hidden="false"/>
    </xf>
    <xf numFmtId="169" fontId="18" fillId="23" borderId="47" xfId="0" applyFont="true" applyBorder="true" applyAlignment="true" applyProtection="false">
      <alignment horizontal="center" vertical="bottom" textRotation="0" wrapText="false" indent="0" shrinkToFit="false"/>
      <protection locked="true" hidden="false"/>
    </xf>
    <xf numFmtId="169" fontId="18" fillId="23" borderId="12" xfId="0" applyFont="true" applyBorder="true" applyAlignment="true" applyProtection="false">
      <alignment horizontal="center" vertical="bottom" textRotation="0" wrapText="false" indent="0" shrinkToFit="false"/>
      <protection locked="true" hidden="false"/>
    </xf>
    <xf numFmtId="169" fontId="18" fillId="23" borderId="58" xfId="0" applyFont="true" applyBorder="true" applyAlignment="true" applyProtection="false">
      <alignment horizontal="center" vertical="bottom" textRotation="0" wrapText="false" indent="0" shrinkToFit="false"/>
      <protection locked="true" hidden="false"/>
    </xf>
    <xf numFmtId="169" fontId="18" fillId="23" borderId="47" xfId="0" applyFont="true" applyBorder="true" applyAlignment="true" applyProtection="false">
      <alignment horizontal="center" vertical="bottom" textRotation="0" wrapText="true" indent="0" shrinkToFit="false"/>
      <protection locked="true" hidden="false"/>
    </xf>
    <xf numFmtId="169" fontId="18" fillId="23" borderId="12" xfId="0" applyFont="true" applyBorder="true" applyAlignment="true" applyProtection="false">
      <alignment horizontal="center" vertical="bottom" textRotation="0" wrapText="true" indent="0" shrinkToFit="false"/>
      <protection locked="true" hidden="false"/>
    </xf>
    <xf numFmtId="169" fontId="18" fillId="23" borderId="58" xfId="0" applyFont="true" applyBorder="true" applyAlignment="true" applyProtection="false">
      <alignment horizontal="center" vertical="bottom" textRotation="0" wrapText="true" indent="0" shrinkToFit="false"/>
      <protection locked="true" hidden="false"/>
    </xf>
    <xf numFmtId="168" fontId="18" fillId="23" borderId="12" xfId="0" applyFont="true" applyBorder="true" applyAlignment="true" applyProtection="false">
      <alignment horizontal="center" vertical="bottom" textRotation="0" wrapText="true" indent="0" shrinkToFit="false"/>
      <protection locked="true" hidden="false"/>
    </xf>
    <xf numFmtId="169" fontId="26" fillId="23" borderId="0" xfId="0" applyFont="true" applyBorder="true" applyAlignment="true" applyProtection="false">
      <alignment horizontal="center" vertical="bottom" textRotation="0" wrapText="false" indent="0" shrinkToFit="false"/>
      <protection locked="true" hidden="false"/>
    </xf>
    <xf numFmtId="169" fontId="26" fillId="23" borderId="0" xfId="0" applyFont="true" applyBorder="false" applyAlignment="true" applyProtection="false">
      <alignment horizontal="center" vertical="bottom" textRotation="0" wrapText="false" indent="0" shrinkToFit="false"/>
      <protection locked="true" hidden="false"/>
    </xf>
    <xf numFmtId="169" fontId="26" fillId="23" borderId="49" xfId="0" applyFont="true" applyBorder="true" applyAlignment="true" applyProtection="false">
      <alignment horizontal="center" vertical="bottom" textRotation="0" wrapText="false" indent="0" shrinkToFit="false"/>
      <protection locked="true" hidden="false"/>
    </xf>
    <xf numFmtId="169" fontId="26" fillId="23" borderId="43" xfId="0" applyFont="true" applyBorder="true" applyAlignment="true" applyProtection="false">
      <alignment horizontal="center" vertical="bottom" textRotation="0" wrapText="false" indent="0" shrinkToFit="false"/>
      <protection locked="true" hidden="false"/>
    </xf>
    <xf numFmtId="169" fontId="0" fillId="23" borderId="43" xfId="0" applyFont="true" applyBorder="true" applyAlignment="true" applyProtection="false">
      <alignment horizontal="center" vertical="bottom" textRotation="0" wrapText="false" indent="0" shrinkToFit="false"/>
      <protection locked="true" hidden="false"/>
    </xf>
    <xf numFmtId="169" fontId="0" fillId="23" borderId="49" xfId="0" applyFont="true" applyBorder="true" applyAlignment="true" applyProtection="false">
      <alignment horizontal="center" vertical="bottom" textRotation="0" wrapText="false" indent="0" shrinkToFit="false"/>
      <protection locked="true" hidden="false"/>
    </xf>
    <xf numFmtId="168" fontId="0" fillId="23" borderId="43" xfId="0" applyFont="true" applyBorder="true" applyAlignment="true" applyProtection="false">
      <alignment horizontal="center" vertical="bottom" textRotation="0" wrapText="false" indent="0" shrinkToFit="false"/>
      <protection locked="true" hidden="false"/>
    </xf>
    <xf numFmtId="168" fontId="0" fillId="23" borderId="0" xfId="0" applyFont="true" applyBorder="false" applyAlignment="true" applyProtection="false">
      <alignment horizontal="center" vertical="bottom" textRotation="0" wrapText="false" indent="0" shrinkToFit="false"/>
      <protection locked="true" hidden="false"/>
    </xf>
    <xf numFmtId="169" fontId="26" fillId="23" borderId="22" xfId="0" applyFont="true" applyBorder="true" applyAlignment="true" applyProtection="false">
      <alignment horizontal="center" vertical="bottom" textRotation="0" wrapText="false" indent="0" shrinkToFit="false"/>
      <protection locked="true" hidden="false"/>
    </xf>
    <xf numFmtId="169" fontId="26" fillId="23" borderId="59" xfId="0" applyFont="true" applyBorder="true" applyAlignment="true" applyProtection="false">
      <alignment horizontal="center" vertical="bottom" textRotation="0" wrapText="false" indent="0" shrinkToFit="false"/>
      <protection locked="true" hidden="false"/>
    </xf>
    <xf numFmtId="169" fontId="26" fillId="23" borderId="45" xfId="0" applyFont="true" applyBorder="true" applyAlignment="true" applyProtection="false">
      <alignment horizontal="center" vertical="bottom" textRotation="0" wrapText="false" indent="0" shrinkToFit="false"/>
      <protection locked="true" hidden="false"/>
    </xf>
    <xf numFmtId="169" fontId="0" fillId="23" borderId="45" xfId="0" applyFont="true" applyBorder="true" applyAlignment="true" applyProtection="false">
      <alignment horizontal="center" vertical="bottom" textRotation="0" wrapText="false" indent="0" shrinkToFit="false"/>
      <protection locked="true" hidden="false"/>
    </xf>
    <xf numFmtId="169" fontId="0" fillId="23" borderId="22" xfId="0" applyFont="true" applyBorder="true" applyAlignment="true" applyProtection="false">
      <alignment horizontal="center" vertical="bottom" textRotation="0" wrapText="false" indent="0" shrinkToFit="false"/>
      <protection locked="true" hidden="false"/>
    </xf>
    <xf numFmtId="169" fontId="0" fillId="23" borderId="59" xfId="0" applyFont="true" applyBorder="true" applyAlignment="true" applyProtection="false">
      <alignment horizontal="center" vertical="bottom" textRotation="0" wrapText="false" indent="0" shrinkToFit="false"/>
      <protection locked="true" hidden="false"/>
    </xf>
    <xf numFmtId="168" fontId="0" fillId="23" borderId="45" xfId="0" applyFont="true" applyBorder="true" applyAlignment="true" applyProtection="false">
      <alignment horizontal="center" vertical="bottom" textRotation="0" wrapText="false" indent="0" shrinkToFit="false"/>
      <protection locked="true" hidden="false"/>
    </xf>
    <xf numFmtId="168" fontId="0" fillId="23" borderId="22" xfId="0" applyFont="true" applyBorder="true" applyAlignment="true" applyProtection="false">
      <alignment horizontal="center" vertical="bottom" textRotation="0" wrapText="false" indent="0" shrinkToFit="false"/>
      <protection locked="true" hidden="false"/>
    </xf>
    <xf numFmtId="169" fontId="26" fillId="23" borderId="23" xfId="0" applyFont="true" applyBorder="true" applyAlignment="true" applyProtection="false">
      <alignment horizontal="center" vertical="bottom" textRotation="0" wrapText="false" indent="0" shrinkToFit="false"/>
      <protection locked="true" hidden="false"/>
    </xf>
    <xf numFmtId="169" fontId="26" fillId="23" borderId="60" xfId="0" applyFont="true" applyBorder="true" applyAlignment="true" applyProtection="false">
      <alignment horizontal="center" vertical="bottom" textRotation="0" wrapText="false" indent="0" shrinkToFit="false"/>
      <protection locked="true" hidden="false"/>
    </xf>
    <xf numFmtId="169" fontId="26" fillId="23" borderId="46" xfId="0" applyFont="true" applyBorder="true" applyAlignment="true" applyProtection="false">
      <alignment horizontal="center" vertical="bottom" textRotation="0" wrapText="false" indent="0" shrinkToFit="false"/>
      <protection locked="true" hidden="false"/>
    </xf>
    <xf numFmtId="169" fontId="0" fillId="23" borderId="23" xfId="0" applyFont="true" applyBorder="true" applyAlignment="true" applyProtection="false">
      <alignment horizontal="center" vertical="bottom" textRotation="0" wrapText="false" indent="0" shrinkToFit="false"/>
      <protection locked="true" hidden="false"/>
    </xf>
    <xf numFmtId="169" fontId="0" fillId="23" borderId="60" xfId="0" applyFont="true" applyBorder="true" applyAlignment="true" applyProtection="false">
      <alignment horizontal="center" vertical="bottom" textRotation="0" wrapText="false" indent="0" shrinkToFit="false"/>
      <protection locked="true" hidden="false"/>
    </xf>
    <xf numFmtId="168" fontId="0" fillId="23" borderId="23" xfId="0" applyFont="true" applyBorder="true" applyAlignment="true" applyProtection="false">
      <alignment horizontal="center" vertical="bottom" textRotation="0" wrapText="false" indent="0" shrinkToFit="false"/>
      <protection locked="true" hidden="false"/>
    </xf>
    <xf numFmtId="169" fontId="0" fillId="22" borderId="0" xfId="0" applyFont="false" applyBorder="false" applyAlignment="true" applyProtection="false">
      <alignment horizontal="center" vertical="bottom" textRotation="0" wrapText="false" indent="0" shrinkToFit="false"/>
      <protection locked="true" hidden="false"/>
    </xf>
    <xf numFmtId="164" fontId="0" fillId="23" borderId="7" xfId="0" applyFont="false" applyBorder="true" applyAlignment="true" applyProtection="false">
      <alignment horizontal="left" vertical="bottom" textRotation="0" wrapText="false" indent="0" shrinkToFit="false"/>
      <protection locked="true" hidden="false"/>
    </xf>
    <xf numFmtId="164" fontId="0" fillId="23" borderId="7" xfId="0" applyFont="false" applyBorder="true" applyAlignment="true" applyProtection="false">
      <alignment horizontal="center" vertical="bottom" textRotation="0" wrapText="false" indent="0" shrinkToFit="false"/>
      <protection locked="true" hidden="false"/>
    </xf>
    <xf numFmtId="169" fontId="0" fillId="23" borderId="7" xfId="0" applyFont="false" applyBorder="true" applyAlignment="true" applyProtection="false">
      <alignment horizontal="center" vertical="bottom" textRotation="0" wrapText="false" indent="0" shrinkToFit="false"/>
      <protection locked="true" hidden="false"/>
    </xf>
    <xf numFmtId="164" fontId="18" fillId="23" borderId="43" xfId="0" applyFont="true" applyBorder="true" applyAlignment="true" applyProtection="false">
      <alignment horizontal="left" vertical="bottom" textRotation="0" wrapText="true" indent="0" shrinkToFit="false"/>
      <protection locked="true" hidden="false"/>
    </xf>
    <xf numFmtId="164" fontId="18" fillId="23" borderId="49" xfId="0" applyFont="true" applyBorder="true" applyAlignment="true" applyProtection="false">
      <alignment horizontal="center" vertical="bottom" textRotation="0" wrapText="true" indent="0" shrinkToFit="false"/>
      <protection locked="true" hidden="false"/>
    </xf>
    <xf numFmtId="164" fontId="18" fillId="23" borderId="0" xfId="0" applyFont="true" applyBorder="true" applyAlignment="true" applyProtection="false">
      <alignment horizontal="center" vertical="center" textRotation="0" wrapText="true" indent="0" shrinkToFit="false"/>
      <protection locked="true" hidden="false"/>
    </xf>
    <xf numFmtId="164" fontId="0" fillId="23" borderId="47" xfId="0" applyFont="true" applyBorder="true" applyAlignment="true" applyProtection="false">
      <alignment horizontal="center" vertical="bottom" textRotation="0" wrapText="false" indent="0" shrinkToFit="false"/>
      <protection locked="true" hidden="false"/>
    </xf>
    <xf numFmtId="164" fontId="0" fillId="23" borderId="58" xfId="0" applyFont="true" applyBorder="true" applyAlignment="true" applyProtection="false">
      <alignment horizontal="center" vertical="bottom" textRotation="0" wrapText="false" indent="0" shrinkToFit="false"/>
      <protection locked="true" hidden="false"/>
    </xf>
    <xf numFmtId="169" fontId="0" fillId="23" borderId="47" xfId="0" applyFont="true" applyBorder="true" applyAlignment="true" applyProtection="false">
      <alignment horizontal="center" vertical="bottom" textRotation="0" wrapText="false" indent="0" shrinkToFit="false"/>
      <protection locked="true" hidden="false"/>
    </xf>
    <xf numFmtId="169" fontId="0" fillId="23" borderId="58" xfId="0" applyFont="true" applyBorder="true" applyAlignment="true" applyProtection="false">
      <alignment horizontal="center" vertical="bottom" textRotation="0" wrapText="false" indent="0" shrinkToFit="false"/>
      <protection locked="true" hidden="false"/>
    </xf>
    <xf numFmtId="169" fontId="0" fillId="23" borderId="13" xfId="0" applyFont="true" applyBorder="true" applyAlignment="true" applyProtection="false">
      <alignment horizontal="center" vertical="bottom" textRotation="0" wrapText="false" indent="0" shrinkToFit="false"/>
      <protection locked="true" hidden="false"/>
    </xf>
    <xf numFmtId="169" fontId="0" fillId="23" borderId="61" xfId="0" applyFont="true" applyBorder="true" applyAlignment="true" applyProtection="false">
      <alignment horizontal="center" vertical="bottom" textRotation="0" wrapText="false" indent="0" shrinkToFit="false"/>
      <protection locked="true" hidden="false"/>
    </xf>
    <xf numFmtId="169" fontId="0" fillId="23" borderId="43" xfId="0" applyFont="true" applyBorder="true" applyAlignment="true" applyProtection="false">
      <alignment horizontal="center" vertical="bottom" textRotation="0" wrapText="true" indent="0" shrinkToFit="false"/>
      <protection locked="true" hidden="false"/>
    </xf>
    <xf numFmtId="166" fontId="0" fillId="23" borderId="49" xfId="0" applyFont="true" applyBorder="true" applyAlignment="true" applyProtection="false">
      <alignment horizontal="center" vertical="bottom" textRotation="0" wrapText="false" indent="0" shrinkToFit="false"/>
      <protection locked="true" hidden="false"/>
    </xf>
    <xf numFmtId="166" fontId="0" fillId="23" borderId="10" xfId="0" applyFont="true" applyBorder="true" applyAlignment="true" applyProtection="false">
      <alignment horizontal="center" vertical="bottom" textRotation="0" wrapText="false" indent="0" shrinkToFit="false"/>
      <protection locked="true" hidden="false"/>
    </xf>
    <xf numFmtId="169" fontId="0" fillId="23" borderId="0" xfId="0" applyFont="true" applyBorder="false" applyAlignment="true" applyProtection="false">
      <alignment horizontal="center" vertical="bottom" textRotation="0" wrapText="true" indent="0" shrinkToFit="false"/>
      <protection locked="true" hidden="false"/>
    </xf>
    <xf numFmtId="169" fontId="0" fillId="23" borderId="49" xfId="0" applyFont="true" applyBorder="true" applyAlignment="true" applyProtection="false">
      <alignment horizontal="center" vertical="bottom" textRotation="0" wrapText="true" indent="0" shrinkToFit="false"/>
      <protection locked="true" hidden="false"/>
    </xf>
    <xf numFmtId="172" fontId="0" fillId="22" borderId="0" xfId="0" applyFont="false" applyBorder="false" applyAlignment="false" applyProtection="false">
      <alignment horizontal="general" vertical="bottom" textRotation="0" wrapText="false" indent="0" shrinkToFit="false"/>
      <protection locked="true" hidden="false"/>
    </xf>
    <xf numFmtId="164" fontId="43" fillId="23" borderId="0" xfId="0" applyFont="true" applyBorder="false" applyAlignment="true" applyProtection="false">
      <alignment horizontal="center" vertical="bottom" textRotation="0" wrapText="false" indent="0" shrinkToFit="false"/>
      <protection locked="true" hidden="false"/>
    </xf>
    <xf numFmtId="169" fontId="43" fillId="23" borderId="0" xfId="0" applyFont="true" applyBorder="false" applyAlignment="true" applyProtection="false">
      <alignment horizontal="center" vertical="bottom" textRotation="0" wrapText="false" indent="0" shrinkToFit="false"/>
      <protection locked="true" hidden="false"/>
    </xf>
    <xf numFmtId="169" fontId="18" fillId="23" borderId="43" xfId="0" applyFont="true" applyBorder="true" applyAlignment="true" applyProtection="false">
      <alignment horizontal="center" vertical="bottom" textRotation="0" wrapText="false" indent="0" shrinkToFit="false"/>
      <protection locked="true" hidden="false"/>
    </xf>
    <xf numFmtId="169" fontId="18" fillId="23" borderId="49" xfId="0" applyFont="true" applyBorder="true" applyAlignment="true" applyProtection="false">
      <alignment horizontal="center" vertical="bottom" textRotation="0" wrapText="false" indent="0" shrinkToFit="false"/>
      <protection locked="true" hidden="false"/>
    </xf>
    <xf numFmtId="169" fontId="18" fillId="23" borderId="0" xfId="0" applyFont="true" applyBorder="true" applyAlignment="true" applyProtection="false">
      <alignment horizontal="center" vertical="bottom" textRotation="0" wrapText="false" indent="0" shrinkToFit="false"/>
      <protection locked="true" hidden="false"/>
    </xf>
    <xf numFmtId="169" fontId="18" fillId="23" borderId="23" xfId="0" applyFont="true" applyBorder="true" applyAlignment="true" applyProtection="false">
      <alignment horizontal="center" vertical="bottom" textRotation="0" wrapText="false" indent="0" shrinkToFit="false"/>
      <protection locked="true" hidden="false"/>
    </xf>
    <xf numFmtId="169" fontId="18" fillId="23" borderId="46" xfId="0" applyFont="true" applyBorder="true" applyAlignment="true" applyProtection="false">
      <alignment horizontal="center" vertical="bottom" textRotation="0" wrapText="false" indent="0" shrinkToFit="false"/>
      <protection locked="true" hidden="false"/>
    </xf>
    <xf numFmtId="166" fontId="18" fillId="23" borderId="10" xfId="0" applyFont="true" applyBorder="true" applyAlignment="true" applyProtection="false">
      <alignment horizontal="center" vertical="bottom" textRotation="0" wrapText="false" indent="0" shrinkToFit="false"/>
      <protection locked="true" hidden="false"/>
    </xf>
    <xf numFmtId="164" fontId="26" fillId="23" borderId="22" xfId="0" applyFont="true" applyBorder="true" applyAlignment="true" applyProtection="false">
      <alignment horizontal="center" vertical="bottom" textRotation="0" wrapText="false" indent="0" shrinkToFit="false"/>
      <protection locked="true" hidden="false"/>
    </xf>
    <xf numFmtId="169" fontId="0" fillId="23" borderId="22" xfId="0" applyFont="true" applyBorder="true" applyAlignment="true" applyProtection="false">
      <alignment horizontal="center" vertical="bottom" textRotation="0" wrapText="true" indent="0" shrinkToFit="false"/>
      <protection locked="true" hidden="false"/>
    </xf>
    <xf numFmtId="169" fontId="0" fillId="23" borderId="45" xfId="0" applyFont="true" applyBorder="true" applyAlignment="true" applyProtection="false">
      <alignment horizontal="center" vertical="bottom" textRotation="0" wrapText="true" indent="0" shrinkToFit="false"/>
      <protection locked="true" hidden="false"/>
    </xf>
    <xf numFmtId="166" fontId="0" fillId="23" borderId="59" xfId="0" applyFont="true" applyBorder="true" applyAlignment="true" applyProtection="false">
      <alignment horizontal="center" vertical="bottom" textRotation="0" wrapText="false" indent="0" shrinkToFit="false"/>
      <protection locked="true" hidden="false"/>
    </xf>
    <xf numFmtId="166" fontId="0" fillId="23" borderId="55" xfId="0" applyFont="true" applyBorder="true" applyAlignment="true" applyProtection="false">
      <alignment horizontal="center" vertical="bottom" textRotation="0" wrapText="false" indent="0" shrinkToFit="false"/>
      <protection locked="true" hidden="false"/>
    </xf>
    <xf numFmtId="169" fontId="18" fillId="23" borderId="60" xfId="0" applyFont="true" applyBorder="true" applyAlignment="true" applyProtection="false">
      <alignment horizontal="center" vertical="bottom" textRotation="0" wrapText="false" indent="0" shrinkToFit="false"/>
      <protection locked="true" hidden="false"/>
    </xf>
    <xf numFmtId="169" fontId="18" fillId="23" borderId="53" xfId="0" applyFont="true" applyBorder="true" applyAlignment="true" applyProtection="false">
      <alignment horizontal="center" vertical="bottom" textRotation="0" wrapText="false" indent="0" shrinkToFit="false"/>
      <protection locked="true" hidden="false"/>
    </xf>
    <xf numFmtId="164" fontId="0" fillId="23" borderId="0" xfId="0" applyFont="false" applyBorder="false" applyAlignment="false" applyProtection="false">
      <alignment horizontal="general" vertical="bottom" textRotation="0" wrapText="false" indent="0" shrinkToFit="false"/>
      <protection locked="true" hidden="false"/>
    </xf>
    <xf numFmtId="164" fontId="18" fillId="23" borderId="9" xfId="0" applyFont="true" applyBorder="true" applyAlignment="true" applyProtection="false">
      <alignment horizontal="general" vertical="bottom" textRotation="0" wrapText="true" indent="0" shrinkToFit="false"/>
      <protection locked="true" hidden="false"/>
    </xf>
    <xf numFmtId="164" fontId="18" fillId="23" borderId="0" xfId="0" applyFont="true" applyBorder="true" applyAlignment="true" applyProtection="false">
      <alignment horizontal="general" vertical="bottom" textRotation="0" wrapText="true" indent="0" shrinkToFit="false"/>
      <protection locked="true" hidden="false"/>
    </xf>
    <xf numFmtId="164" fontId="18" fillId="23" borderId="10" xfId="0" applyFont="true" applyBorder="true" applyAlignment="true" applyProtection="false">
      <alignment horizontal="general" vertical="bottom" textRotation="0" wrapText="true" indent="0" shrinkToFit="false"/>
      <protection locked="true" hidden="false"/>
    </xf>
    <xf numFmtId="164" fontId="18" fillId="23" borderId="62" xfId="0" applyFont="true" applyBorder="true" applyAlignment="true" applyProtection="false">
      <alignment horizontal="center" vertical="center" textRotation="0" wrapText="true" indent="0" shrinkToFit="false"/>
      <protection locked="true" hidden="false"/>
    </xf>
    <xf numFmtId="164" fontId="18" fillId="23" borderId="49" xfId="0" applyFont="true" applyBorder="true" applyAlignment="true" applyProtection="false">
      <alignment horizontal="center" vertical="center" textRotation="0" wrapText="true" indent="0" shrinkToFit="false"/>
      <protection locked="true" hidden="false"/>
    </xf>
    <xf numFmtId="164" fontId="0" fillId="23" borderId="13" xfId="0" applyFont="true" applyBorder="true" applyAlignment="true" applyProtection="false">
      <alignment horizontal="center" vertical="center" textRotation="0" wrapText="false" indent="0" shrinkToFit="false"/>
      <protection locked="true" hidden="false"/>
    </xf>
    <xf numFmtId="164" fontId="0" fillId="23" borderId="10" xfId="0" applyFont="true" applyBorder="true" applyAlignment="true" applyProtection="false">
      <alignment horizontal="center" vertical="bottom" textRotation="0" wrapText="false" indent="0" shrinkToFit="false"/>
      <protection locked="true" hidden="false"/>
    </xf>
    <xf numFmtId="173" fontId="0" fillId="23" borderId="7" xfId="0" applyFont="true" applyBorder="true" applyAlignment="true" applyProtection="false">
      <alignment horizontal="center" vertical="bottom" textRotation="0" wrapText="false" indent="0" shrinkToFit="false"/>
      <protection locked="true" hidden="false"/>
    </xf>
    <xf numFmtId="173" fontId="0" fillId="23" borderId="61" xfId="0" applyFont="true" applyBorder="true" applyAlignment="true" applyProtection="false">
      <alignment horizontal="center" vertical="bottom" textRotation="0" wrapText="false" indent="0" shrinkToFit="false"/>
      <protection locked="true" hidden="false"/>
    </xf>
    <xf numFmtId="172" fontId="0" fillId="23" borderId="7" xfId="0" applyFont="true" applyBorder="true" applyAlignment="true" applyProtection="false">
      <alignment horizontal="center" vertical="bottom" textRotation="0" wrapText="false" indent="0" shrinkToFit="false"/>
      <protection locked="true" hidden="false"/>
    </xf>
    <xf numFmtId="173" fontId="0" fillId="23" borderId="0" xfId="0" applyFont="true" applyBorder="false" applyAlignment="true" applyProtection="false">
      <alignment horizontal="center" vertical="bottom" textRotation="0" wrapText="false" indent="0" shrinkToFit="false"/>
      <protection locked="true" hidden="false"/>
    </xf>
    <xf numFmtId="173" fontId="0" fillId="23" borderId="49" xfId="0" applyFont="true" applyBorder="true" applyAlignment="true" applyProtection="false">
      <alignment horizontal="center" vertical="bottom" textRotation="0" wrapText="false" indent="0" shrinkToFit="false"/>
      <protection locked="true" hidden="false"/>
    </xf>
    <xf numFmtId="172" fontId="0" fillId="23" borderId="0" xfId="0" applyFont="true" applyBorder="true" applyAlignment="true" applyProtection="false">
      <alignment horizontal="center" vertical="bottom" textRotation="0" wrapText="false" indent="0" shrinkToFit="false"/>
      <protection locked="true" hidden="false"/>
    </xf>
    <xf numFmtId="173" fontId="0" fillId="23" borderId="0" xfId="0" applyFont="true" applyBorder="true" applyAlignment="true" applyProtection="false">
      <alignment horizontal="center" vertical="bottom" textRotation="0" wrapText="false" indent="0" shrinkToFit="false"/>
      <protection locked="true" hidden="false"/>
    </xf>
    <xf numFmtId="164" fontId="0" fillId="23" borderId="55" xfId="0" applyFont="true" applyBorder="true" applyAlignment="true" applyProtection="false">
      <alignment horizontal="center" vertical="bottom" textRotation="0" wrapText="false" indent="0" shrinkToFit="false"/>
      <protection locked="true" hidden="false"/>
    </xf>
    <xf numFmtId="173" fontId="0" fillId="23" borderId="22" xfId="0" applyFont="true" applyBorder="true" applyAlignment="true" applyProtection="false">
      <alignment horizontal="center" vertical="bottom" textRotation="0" wrapText="false" indent="0" shrinkToFit="false"/>
      <protection locked="true" hidden="false"/>
    </xf>
    <xf numFmtId="173" fontId="0" fillId="23" borderId="59" xfId="0" applyFont="true" applyBorder="true" applyAlignment="true" applyProtection="false">
      <alignment horizontal="center" vertical="bottom" textRotation="0" wrapText="false" indent="0" shrinkToFit="false"/>
      <protection locked="true" hidden="false"/>
    </xf>
    <xf numFmtId="172" fontId="0" fillId="23" borderId="22" xfId="0" applyFont="true" applyBorder="true" applyAlignment="true" applyProtection="false">
      <alignment horizontal="center" vertical="bottom" textRotation="0" wrapText="false" indent="0" shrinkToFit="false"/>
      <protection locked="true" hidden="false"/>
    </xf>
    <xf numFmtId="164" fontId="0" fillId="23" borderId="53" xfId="0" applyFont="true" applyBorder="true" applyAlignment="true" applyProtection="false">
      <alignment horizontal="center" vertical="bottom" textRotation="0" wrapText="false" indent="0" shrinkToFit="false"/>
      <protection locked="true" hidden="false"/>
    </xf>
    <xf numFmtId="173" fontId="0" fillId="23" borderId="23" xfId="0" applyFont="true" applyBorder="true" applyAlignment="true" applyProtection="false">
      <alignment horizontal="center" vertical="bottom" textRotation="0" wrapText="false" indent="0" shrinkToFit="false"/>
      <protection locked="true" hidden="false"/>
    </xf>
    <xf numFmtId="173" fontId="0" fillId="23" borderId="60" xfId="0" applyFont="true" applyBorder="true" applyAlignment="true" applyProtection="false">
      <alignment horizontal="center" vertical="bottom" textRotation="0" wrapText="false" indent="0" shrinkToFit="false"/>
      <protection locked="true" hidden="false"/>
    </xf>
    <xf numFmtId="172" fontId="0" fillId="23" borderId="23" xfId="0" applyFont="true" applyBorder="true" applyAlignment="true" applyProtection="false">
      <alignment horizontal="center" vertical="bottom" textRotation="0" wrapText="false" indent="0" shrinkToFit="false"/>
      <protection locked="true" hidden="false"/>
    </xf>
  </cellXfs>
  <cellStyles count="42">
    <cellStyle name="Normal" xfId="0" builtinId="0"/>
    <cellStyle name="Comma" xfId="15" builtinId="3"/>
    <cellStyle name="Comma [0]" xfId="16" builtinId="6"/>
    <cellStyle name="Currency" xfId="17" builtinId="4"/>
    <cellStyle name="Currency [0]" xfId="18" builtinId="7"/>
    <cellStyle name="Percent" xfId="19" builtinId="5"/>
    <cellStyle name="20 % - Akzent1" xfId="20"/>
    <cellStyle name="20 % - Akzent2" xfId="21"/>
    <cellStyle name="20 % - Akzent3" xfId="22"/>
    <cellStyle name="20 % - Akzent4" xfId="23"/>
    <cellStyle name="20 % - Akzent5" xfId="24"/>
    <cellStyle name="20 % - Akzent6" xfId="25"/>
    <cellStyle name="40 % - Akzent1" xfId="26"/>
    <cellStyle name="40 % - Akzent2" xfId="27"/>
    <cellStyle name="40 % - Akzent3" xfId="28"/>
    <cellStyle name="40 % - Akzent4" xfId="29"/>
    <cellStyle name="40 % - Akzent5" xfId="30"/>
    <cellStyle name="40 % - Akzent6" xfId="31"/>
    <cellStyle name="60 % - Akzent1" xfId="32"/>
    <cellStyle name="60 % - Akzent2" xfId="33"/>
    <cellStyle name="60 % - Akzent3" xfId="34"/>
    <cellStyle name="60 % - Akzent4" xfId="35"/>
    <cellStyle name="60 % - Akzent5" xfId="36"/>
    <cellStyle name="60 % - Akzent6" xfId="37"/>
    <cellStyle name="Akzent1" xfId="38"/>
    <cellStyle name="Akzent2" xfId="39"/>
    <cellStyle name="Akzent3" xfId="40"/>
    <cellStyle name="Akzent4" xfId="41"/>
    <cellStyle name="Akzent5" xfId="42"/>
    <cellStyle name="Akzent6" xfId="43"/>
    <cellStyle name="Ausgabe" xfId="44"/>
    <cellStyle name="Berechnung" xfId="45"/>
    <cellStyle name="Eingabe" xfId="46"/>
    <cellStyle name="Ergebnis 1" xfId="47"/>
    <cellStyle name="Ergebnis 2" xfId="48"/>
    <cellStyle name="Erklärender Text" xfId="49"/>
    <cellStyle name="Verknüpfte Zelle" xfId="50"/>
    <cellStyle name="Warnender Text" xfId="51"/>
    <cellStyle name="Zelle überprüfen" xfId="52"/>
    <cellStyle name="Überschrift 3" xfId="53"/>
    <cellStyle name="Überschrift 4" xfId="54"/>
    <cellStyle name="Überschrift 5" xfId="55"/>
  </cellStyles>
  <colors>
    <indexedColors>
      <rgbColor rgb="FF000000"/>
      <rgbColor rgb="FFFFFFFF"/>
      <rgbColor rgb="FFFF0000"/>
      <rgbColor rgb="FF00FF00"/>
      <rgbColor rgb="FF0000FF"/>
      <rgbColor rgb="FFFFD320"/>
      <rgbColor rgb="FFFF00FF"/>
      <rgbColor rgb="FF00FFFF"/>
      <rgbColor rgb="FF800000"/>
      <rgbColor rgb="FF008000"/>
      <rgbColor rgb="FF000080"/>
      <rgbColor rgb="FFFF950E"/>
      <rgbColor rgb="FF800080"/>
      <rgbColor rgb="FF004586"/>
      <rgbColor rgb="FFC0C0C0"/>
      <rgbColor rgb="FF808080"/>
      <rgbColor rgb="FF999999"/>
      <rgbColor rgb="FF993366"/>
      <rgbColor rgb="FFF6F9D4"/>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EEEEEE"/>
      <rgbColor rgb="FFCCFFCC"/>
      <rgbColor rgb="FFB3B3B3"/>
      <rgbColor rgb="FF99CCFF"/>
      <rgbColor rgb="FFFF99CC"/>
      <rgbColor rgb="FFCC99FF"/>
      <rgbColor rgb="FFFFCC99"/>
      <rgbColor rgb="FF3366FF"/>
      <rgbColor rgb="FF33CCCC"/>
      <rgbColor rgb="FFBBE33D"/>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sharedStrings" Target="sharedStrings.xml"/>
</Relationships>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scatterChart>
        <c:scatterStyle val="lineMarker"/>
        <c:varyColors val="0"/>
        <c:ser>
          <c:idx val="0"/>
          <c:order val="0"/>
          <c:tx>
            <c:strRef>
              <c:f>label 0</c:f>
              <c:strCache>
                <c:ptCount val="1"/>
                <c:pt idx="0">
                  <c:v>Wärmekapazität c von Wasser</c:v>
                </c:pt>
              </c:strCache>
            </c:strRef>
          </c:tx>
          <c:spPr>
            <a:solidFill>
              <a:srgbClr val="004586"/>
            </a:solidFill>
            <a:ln w="28800">
              <a:noFill/>
            </a:ln>
          </c:spPr>
          <c:marker>
            <c:symbol val="square"/>
            <c:size val="8"/>
            <c:spPr>
              <a:solidFill>
                <a:srgbClr val="004586"/>
              </a:solidFill>
            </c:spPr>
          </c:marker>
          <c:dLbls>
            <c:txPr>
              <a:bodyPr wrap="none"/>
              <a:lstStyle/>
              <a:p>
                <a:pPr>
                  <a:defRPr b="0" sz="1000" spc="-1" strike="noStrike">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xVal>
            <c:numRef>
              <c:f>1</c:f>
              <c:numCache>
                <c:formatCode>General</c:formatCode>
                <c:ptCount val="13"/>
                <c:pt idx="0">
                  <c:v>0</c:v>
                </c:pt>
                <c:pt idx="1">
                  <c:v>5</c:v>
                </c:pt>
                <c:pt idx="2">
                  <c:v>10</c:v>
                </c:pt>
                <c:pt idx="3">
                  <c:v>15</c:v>
                </c:pt>
                <c:pt idx="4">
                  <c:v>20</c:v>
                </c:pt>
                <c:pt idx="5">
                  <c:v>25</c:v>
                </c:pt>
                <c:pt idx="6">
                  <c:v>30</c:v>
                </c:pt>
                <c:pt idx="7">
                  <c:v>35</c:v>
                </c:pt>
                <c:pt idx="8">
                  <c:v>40</c:v>
                </c:pt>
                <c:pt idx="9">
                  <c:v>45</c:v>
                </c:pt>
                <c:pt idx="10">
                  <c:v>50</c:v>
                </c:pt>
                <c:pt idx="11">
                  <c:v>55</c:v>
                </c:pt>
                <c:pt idx="12">
                  <c:v>60</c:v>
                </c:pt>
              </c:numCache>
            </c:numRef>
          </c:xVal>
          <c:yVal>
            <c:numRef>
              <c:f>0</c:f>
              <c:numCache>
                <c:formatCode>General</c:formatCode>
                <c:ptCount val="13"/>
                <c:pt idx="0">
                  <c:v>4.218</c:v>
                </c:pt>
                <c:pt idx="1">
                  <c:v>4.203</c:v>
                </c:pt>
                <c:pt idx="2">
                  <c:v>4.192</c:v>
                </c:pt>
                <c:pt idx="3">
                  <c:v>4.185</c:v>
                </c:pt>
                <c:pt idx="4">
                  <c:v>4.181</c:v>
                </c:pt>
                <c:pt idx="5">
                  <c:v>4.179</c:v>
                </c:pt>
                <c:pt idx="6">
                  <c:v>4.177</c:v>
                </c:pt>
                <c:pt idx="7">
                  <c:v>4.177</c:v>
                </c:pt>
                <c:pt idx="8">
                  <c:v>4.177</c:v>
                </c:pt>
                <c:pt idx="9">
                  <c:v>4.178</c:v>
                </c:pt>
                <c:pt idx="10">
                  <c:v>4.18</c:v>
                </c:pt>
                <c:pt idx="11">
                  <c:v>4.182</c:v>
                </c:pt>
                <c:pt idx="12">
                  <c:v>4.184</c:v>
                </c:pt>
              </c:numCache>
            </c:numRef>
          </c:yVal>
          <c:smooth val="0"/>
        </c:ser>
        <c:axId val="98408957"/>
        <c:axId val="33215291"/>
      </c:scatterChart>
      <c:valAx>
        <c:axId val="98408957"/>
        <c:scaling>
          <c:orientation val="minMax"/>
        </c:scaling>
        <c:delete val="0"/>
        <c:axPos val="b"/>
        <c:numFmt formatCode="General" sourceLinked="0"/>
        <c:majorTickMark val="out"/>
        <c:minorTickMark val="none"/>
        <c:tickLblPos val="nextTo"/>
        <c:spPr>
          <a:ln w="0">
            <a:solidFill>
              <a:srgbClr val="b3b3b3"/>
            </a:solidFill>
          </a:ln>
        </c:spPr>
        <c:txPr>
          <a:bodyPr/>
          <a:lstStyle/>
          <a:p>
            <a:pPr>
              <a:defRPr b="0" sz="1000" spc="-1" strike="noStrike">
                <a:latin typeface="Arial"/>
              </a:defRPr>
            </a:pPr>
          </a:p>
        </c:txPr>
        <c:crossAx val="33215291"/>
        <c:crosses val="autoZero"/>
        <c:crossBetween val="midCat"/>
      </c:valAx>
      <c:valAx>
        <c:axId val="33215291"/>
        <c:scaling>
          <c:orientation val="minMax"/>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pc="-1" strike="noStrike">
                <a:latin typeface="Arial"/>
              </a:defRPr>
            </a:pPr>
          </a:p>
        </c:txPr>
        <c:crossAx val="98408957"/>
        <c:crosses val="autoZero"/>
        <c:crossBetween val="midCat"/>
      </c:valAx>
      <c:spPr>
        <a:noFill/>
        <a:ln w="0">
          <a:solidFill>
            <a:srgbClr val="b3b3b3"/>
          </a:solidFill>
        </a:ln>
      </c:spPr>
    </c:plotArea>
    <c:plotVisOnly val="1"/>
    <c:dispBlanksAs val="span"/>
  </c:chart>
  <c:spPr>
    <a:solidFill>
      <a:srgbClr val="ffffff"/>
    </a:solidFill>
    <a:ln w="0">
      <a:noFill/>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sz="1300" spc="-1" strike="noStrike">
                <a:latin typeface="Arial"/>
              </a:defRPr>
            </a:pPr>
            <a:r>
              <a:rPr b="0" sz="1300" spc="-1" strike="noStrike">
                <a:latin typeface="Arial"/>
              </a:rPr>
              <a:t>Calibration</a:t>
            </a:r>
          </a:p>
        </c:rich>
      </c:tx>
      <c:layout>
        <c:manualLayout>
          <c:xMode val="edge"/>
          <c:yMode val="edge"/>
          <c:x val="0.409576271186441"/>
          <c:y val="0.0343632688420445"/>
        </c:manualLayout>
      </c:layout>
      <c:overlay val="0"/>
      <c:spPr>
        <a:noFill/>
        <a:ln w="0">
          <a:noFill/>
        </a:ln>
      </c:spPr>
    </c:title>
    <c:autoTitleDeleted val="0"/>
    <c:plotArea>
      <c:layout>
        <c:manualLayout>
          <c:layoutTarget val="inner"/>
          <c:xMode val="edge"/>
          <c:yMode val="edge"/>
          <c:x val="0.158220338983051"/>
          <c:y val="0.120415824429685"/>
          <c:w val="0.718559322033898"/>
          <c:h val="0.741986716719607"/>
        </c:manualLayout>
      </c:layout>
      <c:scatterChart>
        <c:scatterStyle val="lineMarker"/>
        <c:varyColors val="0"/>
        <c:ser>
          <c:idx val="0"/>
          <c:order val="0"/>
          <c:tx>
            <c:strRef>
              <c:f>'Calibration (USD)'!$E$19:$E$19</c:f>
              <c:strCache>
                <c:ptCount val="1"/>
                <c:pt idx="0">
                  <c:v>1st parallel</c:v>
                </c:pt>
              </c:strCache>
            </c:strRef>
          </c:tx>
          <c:spPr>
            <a:solidFill>
              <a:srgbClr val="ffd320"/>
            </a:solidFill>
            <a:ln w="28800">
              <a:noFill/>
            </a:ln>
          </c:spPr>
          <c:marker>
            <c:symbol val="square"/>
            <c:size val="8"/>
            <c:spPr>
              <a:solidFill>
                <a:srgbClr val="ffd320"/>
              </a:solidFill>
            </c:spPr>
          </c:marker>
          <c:dLbls>
            <c:txPr>
              <a:bodyPr wrap="none"/>
              <a:lstStyle/>
              <a:p>
                <a:pPr>
                  <a:defRPr b="0" sz="1000" spc="-1" strike="noStrike">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trendline>
            <c:spPr>
              <a:ln w="0">
                <a:solidFill>
                  <a:srgbClr val="ffd320"/>
                </a:solidFill>
              </a:ln>
            </c:spPr>
            <c:trendlineType val="linear"/>
            <c:forward val="0"/>
            <c:backward val="0"/>
            <c:dispRSqr val="0"/>
            <c:dispEq val="0"/>
          </c:trendline>
          <c:xVal>
            <c:numRef>
              <c:f>'Calibration (USD)'!$E$26:$I$26</c:f>
              <c:numCache>
                <c:formatCode>General</c:formatCode>
                <c:ptCount val="5"/>
                <c:pt idx="0">
                  <c:v>60</c:v>
                </c:pt>
                <c:pt idx="1">
                  <c:v>120</c:v>
                </c:pt>
                <c:pt idx="2">
                  <c:v>180</c:v>
                </c:pt>
                <c:pt idx="3">
                  <c:v>240</c:v>
                </c:pt>
                <c:pt idx="4">
                  <c:v>300</c:v>
                </c:pt>
              </c:numCache>
            </c:numRef>
          </c:xVal>
          <c:yVal>
            <c:numRef>
              <c:f>'Calibration (USD)'!$E$25:$I$25</c:f>
              <c:numCache>
                <c:formatCode>General</c:formatCode>
                <c:ptCount val="5"/>
                <c:pt idx="0">
                  <c:v>2.1</c:v>
                </c:pt>
                <c:pt idx="1">
                  <c:v>4.2</c:v>
                </c:pt>
                <c:pt idx="2">
                  <c:v>6.6</c:v>
                </c:pt>
                <c:pt idx="3">
                  <c:v>8.5</c:v>
                </c:pt>
                <c:pt idx="4">
                  <c:v>11</c:v>
                </c:pt>
              </c:numCache>
            </c:numRef>
          </c:yVal>
          <c:smooth val="0"/>
        </c:ser>
        <c:ser>
          <c:idx val="1"/>
          <c:order val="1"/>
          <c:tx>
            <c:strRef>
              <c:f>'Calibration (USD)'!$J$19:$J$19</c:f>
              <c:strCache>
                <c:ptCount val="1"/>
                <c:pt idx="0">
                  <c:v>2nd parallel</c:v>
                </c:pt>
              </c:strCache>
            </c:strRef>
          </c:tx>
          <c:spPr>
            <a:solidFill>
              <a:srgbClr val="ff950e"/>
            </a:solidFill>
            <a:ln w="28800">
              <a:noFill/>
            </a:ln>
          </c:spPr>
          <c:marker>
            <c:symbol val="diamond"/>
            <c:size val="8"/>
            <c:spPr>
              <a:solidFill>
                <a:srgbClr val="ff950e"/>
              </a:solidFill>
            </c:spPr>
          </c:marker>
          <c:dLbls>
            <c:txPr>
              <a:bodyPr wrap="none"/>
              <a:lstStyle/>
              <a:p>
                <a:pPr>
                  <a:defRPr b="0" sz="1000" spc="-1" strike="noStrike">
                    <a:latin typeface="Arial"/>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trendline>
            <c:spPr>
              <a:ln w="0">
                <a:solidFill>
                  <a:srgbClr val="ff950e"/>
                </a:solidFill>
              </a:ln>
            </c:spPr>
            <c:trendlineType val="linear"/>
            <c:forward val="0"/>
            <c:backward val="0"/>
            <c:dispRSqr val="0"/>
            <c:dispEq val="0"/>
          </c:trendline>
          <c:xVal>
            <c:numRef>
              <c:f>'Calibration (USD)'!$J$26:$N$26</c:f>
              <c:numCache>
                <c:formatCode>General</c:formatCode>
                <c:ptCount val="5"/>
                <c:pt idx="0">
                  <c:v>60</c:v>
                </c:pt>
                <c:pt idx="1">
                  <c:v>120</c:v>
                </c:pt>
                <c:pt idx="2">
                  <c:v>180</c:v>
                </c:pt>
                <c:pt idx="3">
                  <c:v>240</c:v>
                </c:pt>
                <c:pt idx="4">
                  <c:v>300</c:v>
                </c:pt>
              </c:numCache>
            </c:numRef>
          </c:xVal>
          <c:yVal>
            <c:numRef>
              <c:f>'Calibration (USD)'!$J$25:$N$25</c:f>
              <c:numCache>
                <c:formatCode>General</c:formatCode>
                <c:ptCount val="5"/>
                <c:pt idx="0">
                  <c:v>2.2</c:v>
                </c:pt>
                <c:pt idx="1">
                  <c:v>4.2</c:v>
                </c:pt>
                <c:pt idx="2">
                  <c:v>6.7</c:v>
                </c:pt>
                <c:pt idx="3">
                  <c:v>8.8</c:v>
                </c:pt>
                <c:pt idx="4">
                  <c:v>11</c:v>
                </c:pt>
              </c:numCache>
            </c:numRef>
          </c:yVal>
          <c:smooth val="0"/>
        </c:ser>
        <c:axId val="41253339"/>
        <c:axId val="5433144"/>
      </c:scatterChart>
      <c:valAx>
        <c:axId val="41253339"/>
        <c:scaling>
          <c:orientation val="minMax"/>
        </c:scaling>
        <c:delete val="0"/>
        <c:axPos val="b"/>
        <c:numFmt formatCode="General" sourceLinked="0"/>
        <c:majorTickMark val="out"/>
        <c:minorTickMark val="none"/>
        <c:tickLblPos val="nextTo"/>
        <c:spPr>
          <a:ln w="0">
            <a:solidFill>
              <a:srgbClr val="b3b3b3"/>
            </a:solidFill>
          </a:ln>
        </c:spPr>
        <c:txPr>
          <a:bodyPr/>
          <a:lstStyle/>
          <a:p>
            <a:pPr>
              <a:defRPr b="0" sz="1000" spc="-1" strike="noStrike">
                <a:latin typeface="Arial"/>
              </a:defRPr>
            </a:pPr>
          </a:p>
        </c:txPr>
        <c:crossAx val="5433144"/>
        <c:crosses val="autoZero"/>
        <c:crossBetween val="midCat"/>
      </c:valAx>
      <c:valAx>
        <c:axId val="5433144"/>
        <c:scaling>
          <c:orientation val="minMax"/>
        </c:scaling>
        <c:delete val="0"/>
        <c:axPos val="l"/>
        <c:majorGridlines>
          <c:spPr>
            <a:ln w="0">
              <a:solidFill>
                <a:srgbClr val="b3b3b3"/>
              </a:solidFill>
            </a:ln>
          </c:spPr>
        </c:majorGridlines>
        <c:numFmt formatCode="General" sourceLinked="0"/>
        <c:majorTickMark val="out"/>
        <c:minorTickMark val="none"/>
        <c:tickLblPos val="nextTo"/>
        <c:spPr>
          <a:ln w="0">
            <a:solidFill>
              <a:srgbClr val="b3b3b3"/>
            </a:solidFill>
          </a:ln>
        </c:spPr>
        <c:txPr>
          <a:bodyPr/>
          <a:lstStyle/>
          <a:p>
            <a:pPr>
              <a:defRPr b="0" sz="1000" spc="-1" strike="noStrike">
                <a:latin typeface="Arial"/>
              </a:defRPr>
            </a:pPr>
          </a:p>
        </c:txPr>
        <c:crossAx val="41253339"/>
        <c:crosses val="autoZero"/>
        <c:crossBetween val="midCat"/>
        <c:majorUnit val="1"/>
      </c:valAx>
      <c:spPr>
        <a:noFill/>
        <a:ln w="0">
          <a:solidFill>
            <a:srgbClr val="b3b3b3"/>
          </a:solidFill>
        </a:ln>
      </c:spPr>
    </c:plotArea>
    <c:legend>
      <c:legendPos val="r"/>
      <c:layout>
        <c:manualLayout>
          <c:xMode val="edge"/>
          <c:yMode val="edge"/>
          <c:x val="0.504194559783069"/>
          <c:y val="0.686011260285838"/>
          <c:w val="0.349406779661017"/>
          <c:h val="0.150942034216415"/>
        </c:manualLayout>
      </c:layout>
      <c:overlay val="0"/>
      <c:spPr>
        <a:solidFill>
          <a:srgbClr val="ffffff"/>
        </a:solidFill>
        <a:ln w="0">
          <a:solidFill>
            <a:srgbClr val="000000"/>
          </a:solidFill>
        </a:ln>
      </c:spPr>
      <c:txPr>
        <a:bodyPr/>
        <a:lstStyle/>
        <a:p>
          <a:pPr>
            <a:defRPr b="0" sz="1000" spc="-1" strike="noStrike">
              <a:latin typeface="Arial"/>
            </a:defRPr>
          </a:pPr>
        </a:p>
      </c:txPr>
    </c:legend>
    <c:plotVisOnly val="1"/>
    <c:dispBlanksAs val="span"/>
  </c:chart>
  <c:spPr>
    <a:solidFill>
      <a:srgbClr val="ffffff"/>
    </a:solidFill>
    <a:ln w="0">
      <a:noFill/>
    </a:ln>
  </c:spPr>
</c:chartSpace>
</file>

<file path=xl/drawings/_rels/drawing1.xml.rels><?xml version="1.0" encoding="UTF-8"?>
<Relationships xmlns="http://schemas.openxmlformats.org/package/2006/relationships"><Relationship Id="rId1" Type="http://schemas.openxmlformats.org/officeDocument/2006/relationships/chart" Target="../charts/chart3.xml"/><Relationship Id="rId2" Type="http://schemas.openxmlformats.org/officeDocument/2006/relationships/image" Target="../media/image20.wmf"/><Relationship Id="rId3" Type="http://schemas.openxmlformats.org/officeDocument/2006/relationships/image" Target="../media/image21.wmf"/>
</Relationships>
</file>

<file path=xl/drawings/_rels/drawing2.xml.rels><?xml version="1.0" encoding="UTF-8"?>
<Relationships xmlns="http://schemas.openxmlformats.org/package/2006/relationships"><Relationship Id="rId1" Type="http://schemas.openxmlformats.org/officeDocument/2006/relationships/image" Target="../media/image22.wmf"/><Relationship Id="rId2" Type="http://schemas.openxmlformats.org/officeDocument/2006/relationships/chart" Target="../charts/chart4.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22320</xdr:colOff>
      <xdr:row>4</xdr:row>
      <xdr:rowOff>147240</xdr:rowOff>
    </xdr:from>
    <xdr:to>
      <xdr:col>9</xdr:col>
      <xdr:colOff>367200</xdr:colOff>
      <xdr:row>17</xdr:row>
      <xdr:rowOff>123840</xdr:rowOff>
    </xdr:to>
    <xdr:graphicFrame>
      <xdr:nvGraphicFramePr>
        <xdr:cNvPr id="0" name=""/>
        <xdr:cNvGraphicFramePr/>
      </xdr:nvGraphicFramePr>
      <xdr:xfrm>
        <a:off x="1432080" y="883080"/>
        <a:ext cx="2850480" cy="23954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xdr:col>
      <xdr:colOff>151200</xdr:colOff>
      <xdr:row>30</xdr:row>
      <xdr:rowOff>101520</xdr:rowOff>
    </xdr:from>
    <xdr:to>
      <xdr:col>10</xdr:col>
      <xdr:colOff>2227320</xdr:colOff>
      <xdr:row>32</xdr:row>
      <xdr:rowOff>164520</xdr:rowOff>
    </xdr:to>
    <xdr:pic>
      <xdr:nvPicPr>
        <xdr:cNvPr id="1" name="Picture 1" descr=""/>
        <xdr:cNvPicPr/>
      </xdr:nvPicPr>
      <xdr:blipFill>
        <a:blip r:embed="rId2"/>
        <a:stretch/>
      </xdr:blipFill>
      <xdr:spPr>
        <a:xfrm>
          <a:off x="346680" y="5749920"/>
          <a:ext cx="6348960" cy="434880"/>
        </a:xfrm>
        <a:prstGeom prst="rect">
          <a:avLst/>
        </a:prstGeom>
        <a:ln w="0">
          <a:noFill/>
        </a:ln>
      </xdr:spPr>
    </xdr:pic>
    <xdr:clientData/>
  </xdr:twoCellAnchor>
  <xdr:twoCellAnchor editAs="absolute">
    <xdr:from>
      <xdr:col>1</xdr:col>
      <xdr:colOff>173160</xdr:colOff>
      <xdr:row>25</xdr:row>
      <xdr:rowOff>129240</xdr:rowOff>
    </xdr:from>
    <xdr:to>
      <xdr:col>10</xdr:col>
      <xdr:colOff>516240</xdr:colOff>
      <xdr:row>30</xdr:row>
      <xdr:rowOff>79920</xdr:rowOff>
    </xdr:to>
    <xdr:pic>
      <xdr:nvPicPr>
        <xdr:cNvPr id="2" name="Picture 2" descr=""/>
        <xdr:cNvPicPr/>
      </xdr:nvPicPr>
      <xdr:blipFill>
        <a:blip r:embed="rId3"/>
        <a:stretch/>
      </xdr:blipFill>
      <xdr:spPr>
        <a:xfrm>
          <a:off x="368640" y="4847400"/>
          <a:ext cx="4615920" cy="88092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2</xdr:col>
      <xdr:colOff>411840</xdr:colOff>
      <xdr:row>3</xdr:row>
      <xdr:rowOff>141120</xdr:rowOff>
    </xdr:from>
    <xdr:to>
      <xdr:col>8</xdr:col>
      <xdr:colOff>47880</xdr:colOff>
      <xdr:row>6</xdr:row>
      <xdr:rowOff>99360</xdr:rowOff>
    </xdr:to>
    <xdr:pic>
      <xdr:nvPicPr>
        <xdr:cNvPr id="3" name="Picture 2" descr=""/>
        <xdr:cNvPicPr/>
      </xdr:nvPicPr>
      <xdr:blipFill>
        <a:blip r:embed="rId1"/>
        <a:stretch/>
      </xdr:blipFill>
      <xdr:spPr>
        <a:xfrm>
          <a:off x="770040" y="774360"/>
          <a:ext cx="3221280" cy="546120"/>
        </a:xfrm>
        <a:prstGeom prst="rect">
          <a:avLst/>
        </a:prstGeom>
        <a:ln w="0">
          <a:noFill/>
        </a:ln>
      </xdr:spPr>
    </xdr:pic>
    <xdr:clientData/>
  </xdr:twoCellAnchor>
  <xdr:twoCellAnchor editAs="oneCell">
    <xdr:from>
      <xdr:col>15</xdr:col>
      <xdr:colOff>454320</xdr:colOff>
      <xdr:row>2</xdr:row>
      <xdr:rowOff>208440</xdr:rowOff>
    </xdr:from>
    <xdr:to>
      <xdr:col>20</xdr:col>
      <xdr:colOff>637920</xdr:colOff>
      <xdr:row>28</xdr:row>
      <xdr:rowOff>132840</xdr:rowOff>
    </xdr:to>
    <xdr:graphicFrame>
      <xdr:nvGraphicFramePr>
        <xdr:cNvPr id="4" name=""/>
        <xdr:cNvGraphicFramePr/>
      </xdr:nvGraphicFramePr>
      <xdr:xfrm>
        <a:off x="8102160" y="580680"/>
        <a:ext cx="4247640" cy="49863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worksheets/_rels/sheet4.xml.rels><?xml version="1.0" encoding="UTF-8"?>
<Relationships xmlns="http://schemas.openxmlformats.org/package/2006/relationships"><Relationship Id="rId1" Type="http://schemas.openxmlformats.org/officeDocument/2006/relationships/hyperlink" Target="https://www.engineeringtoolbox.com/specific-heat-capacity-water-d_660.html" TargetMode="External"/><Relationship Id="rId2"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hyperlink" Target="https://en.wikipedia.org/wiki/Creative_Commons_license" TargetMode="External"/><Relationship Id="rId2" Type="http://schemas.openxmlformats.org/officeDocument/2006/relationships/hyperlink" Target="https://doi.org/10.1111/j.1365-2389.1976.tb02014.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E10"/>
  <sheetViews>
    <sheetView showFormulas="false" showGridLines="true" showRowColHeaders="true" showZeros="true" rightToLeft="false" tabSelected="true" showOutlineSymbols="true" defaultGridColor="true" view="normal" topLeftCell="A1" colorId="64" zoomScale="110" zoomScaleNormal="110" zoomScalePageLayoutView="100" workbookViewId="0">
      <selection pane="topLeft" activeCell="D21" activeCellId="0" sqref="D21"/>
    </sheetView>
  </sheetViews>
  <sheetFormatPr defaultColWidth="11.53515625" defaultRowHeight="12.8" zeroHeight="false" outlineLevelRow="0" outlineLevelCol="0"/>
  <cols>
    <col collapsed="false" customWidth="true" hidden="false" outlineLevel="0" max="1" min="1" style="1" width="2.38"/>
    <col collapsed="false" customWidth="true" hidden="false" outlineLevel="0" max="2" min="2" style="1" width="2.52"/>
    <col collapsed="false" customWidth="true" hidden="false" outlineLevel="0" max="3" min="3" style="1" width="23.74"/>
    <col collapsed="false" customWidth="true" hidden="false" outlineLevel="0" max="4" min="4" style="1" width="127.93"/>
    <col collapsed="false" customWidth="true" hidden="false" outlineLevel="0" max="5" min="5" style="1" width="2.77"/>
    <col collapsed="false" customWidth="false" hidden="false" outlineLevel="0" max="1024" min="6" style="1" width="11.52"/>
  </cols>
  <sheetData>
    <row r="2" customFormat="false" ht="14.65" hidden="false" customHeight="false" outlineLevel="0" collapsed="false">
      <c r="B2" s="2"/>
      <c r="C2" s="3"/>
      <c r="D2" s="3"/>
      <c r="E2" s="4"/>
    </row>
    <row r="3" customFormat="false" ht="20.55" hidden="false" customHeight="false" outlineLevel="0" collapsed="false">
      <c r="B3" s="5"/>
      <c r="C3" s="6" t="s">
        <v>0</v>
      </c>
      <c r="D3" s="6"/>
      <c r="E3" s="7"/>
    </row>
    <row r="4" customFormat="false" ht="14.65" hidden="false" customHeight="false" outlineLevel="0" collapsed="false">
      <c r="B4" s="5"/>
      <c r="C4" s="8" t="s">
        <v>1</v>
      </c>
      <c r="D4" s="9" t="s">
        <v>2</v>
      </c>
      <c r="E4" s="7"/>
    </row>
    <row r="5" customFormat="false" ht="14.65" hidden="false" customHeight="false" outlineLevel="0" collapsed="false">
      <c r="B5" s="5"/>
      <c r="C5" s="8" t="s">
        <v>3</v>
      </c>
      <c r="D5" s="9" t="s">
        <v>4</v>
      </c>
      <c r="E5" s="7"/>
    </row>
    <row r="6" customFormat="false" ht="14.65" hidden="false" customHeight="false" outlineLevel="0" collapsed="false">
      <c r="B6" s="5"/>
      <c r="C6" s="8" t="s">
        <v>5</v>
      </c>
      <c r="D6" s="9" t="s">
        <v>6</v>
      </c>
      <c r="E6" s="7"/>
    </row>
    <row r="7" customFormat="false" ht="14.65" hidden="false" customHeight="false" outlineLevel="0" collapsed="false">
      <c r="B7" s="5"/>
      <c r="C7" s="8"/>
      <c r="D7" s="9" t="s">
        <v>7</v>
      </c>
      <c r="E7" s="7"/>
    </row>
    <row r="8" customFormat="false" ht="14.65" hidden="false" customHeight="false" outlineLevel="0" collapsed="false">
      <c r="B8" s="5"/>
      <c r="C8" s="8"/>
      <c r="D8" s="9" t="s">
        <v>8</v>
      </c>
      <c r="E8" s="7"/>
    </row>
    <row r="9" customFormat="false" ht="14.65" hidden="false" customHeight="false" outlineLevel="0" collapsed="false">
      <c r="B9" s="5"/>
      <c r="C9" s="8" t="s">
        <v>9</v>
      </c>
      <c r="D9" s="9" t="s">
        <v>10</v>
      </c>
      <c r="E9" s="7"/>
    </row>
    <row r="10" customFormat="false" ht="14.65" hidden="false" customHeight="false" outlineLevel="0" collapsed="false">
      <c r="B10" s="10"/>
      <c r="C10" s="11"/>
      <c r="D10" s="11"/>
      <c r="E10" s="12"/>
    </row>
  </sheetData>
  <mergeCells count="1">
    <mergeCell ref="C3:D3"/>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AMJ147"/>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Z3" activeCellId="0" sqref="Z3"/>
    </sheetView>
  </sheetViews>
  <sheetFormatPr defaultColWidth="11.53515625" defaultRowHeight="12.8" zeroHeight="false" outlineLevelRow="0" outlineLevelCol="0"/>
  <cols>
    <col collapsed="false" customWidth="true" hidden="false" outlineLevel="0" max="1" min="1" style="20" width="3.43"/>
    <col collapsed="false" customWidth="true" hidden="false" outlineLevel="0" max="2" min="2" style="300" width="3.27"/>
    <col collapsed="false" customWidth="true" hidden="false" outlineLevel="0" max="3" min="3" style="300" width="15.56"/>
    <col collapsed="false" customWidth="true" hidden="false" outlineLevel="0" max="4" min="4" style="300" width="11.19"/>
    <col collapsed="false" customWidth="true" hidden="false" outlineLevel="0" max="6" min="5" style="300" width="8.08"/>
    <col collapsed="false" customWidth="true" hidden="false" outlineLevel="0" max="8" min="7" style="300" width="8.33"/>
    <col collapsed="false" customWidth="true" hidden="false" outlineLevel="0" max="9" min="9" style="301" width="8.91"/>
    <col collapsed="false" customWidth="true" hidden="false" outlineLevel="0" max="10" min="10" style="301" width="7.64"/>
    <col collapsed="false" customWidth="true" hidden="false" outlineLevel="0" max="11" min="11" style="167" width="4.47"/>
    <col collapsed="false" customWidth="true" hidden="false" outlineLevel="0" max="12" min="12" style="167" width="6.77"/>
    <col collapsed="false" customWidth="false" hidden="false" outlineLevel="0" max="917" min="13" style="20" width="11.52"/>
    <col collapsed="false" customWidth="false" hidden="false" outlineLevel="0" max="1019" min="918" style="1" width="11.54"/>
    <col collapsed="false" customWidth="false" hidden="false" outlineLevel="0" max="1024" min="1020" style="1" width="11.52"/>
  </cols>
  <sheetData>
    <row r="2" customFormat="false" ht="12.8" hidden="false" customHeight="false" outlineLevel="0" collapsed="false">
      <c r="B2" s="311"/>
      <c r="C2" s="312"/>
      <c r="D2" s="313"/>
      <c r="E2" s="313"/>
      <c r="F2" s="313"/>
      <c r="G2" s="313"/>
      <c r="H2" s="313"/>
      <c r="I2" s="316"/>
      <c r="J2" s="316"/>
      <c r="K2" s="317"/>
    </row>
    <row r="3" s="318" customFormat="true" ht="18.55" hidden="false" customHeight="false" outlineLevel="0" collapsed="false">
      <c r="B3" s="319"/>
      <c r="C3" s="320"/>
      <c r="D3" s="320"/>
      <c r="E3" s="320"/>
      <c r="F3" s="320"/>
      <c r="G3" s="325"/>
      <c r="H3" s="319"/>
      <c r="I3" s="406"/>
      <c r="J3" s="406"/>
      <c r="K3" s="330"/>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331" customFormat="true" ht="36.55" hidden="false" customHeight="true" outlineLevel="0" collapsed="false">
      <c r="B4" s="332"/>
      <c r="C4" s="69" t="s">
        <v>46</v>
      </c>
      <c r="D4" s="69"/>
      <c r="E4" s="70" t="s">
        <v>230</v>
      </c>
      <c r="F4" s="70" t="s">
        <v>15</v>
      </c>
      <c r="G4" s="70" t="s">
        <v>211</v>
      </c>
      <c r="H4" s="407" t="s">
        <v>231</v>
      </c>
      <c r="I4" s="253" t="s">
        <v>49</v>
      </c>
      <c r="J4" s="253" t="s">
        <v>50</v>
      </c>
      <c r="K4" s="342"/>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customFormat="false" ht="14.9" hidden="false" customHeight="true" outlineLevel="0" collapsed="false">
      <c r="B5" s="343"/>
      <c r="C5" s="72"/>
      <c r="D5" s="72"/>
      <c r="E5" s="72"/>
      <c r="F5" s="72"/>
      <c r="G5" s="72"/>
      <c r="H5" s="383" t="s">
        <v>51</v>
      </c>
      <c r="I5" s="288" t="s">
        <v>51</v>
      </c>
      <c r="J5" s="288" t="s">
        <v>51</v>
      </c>
      <c r="K5" s="65"/>
      <c r="L5" s="20"/>
    </row>
    <row r="6" customFormat="false" ht="12.8" hidden="false" customHeight="false" outlineLevel="0" collapsed="false">
      <c r="B6" s="343"/>
      <c r="C6" s="76" t="s">
        <v>197</v>
      </c>
      <c r="D6" s="76" t="s">
        <v>53</v>
      </c>
      <c r="E6" s="76" t="n">
        <v>1</v>
      </c>
      <c r="F6" s="394" t="n">
        <v>1</v>
      </c>
      <c r="G6" s="408" t="s">
        <v>232</v>
      </c>
      <c r="H6" s="363" t="n">
        <v>0.83</v>
      </c>
      <c r="I6" s="363" t="n">
        <f aca="false">AVERAGE(H6:H29)</f>
        <v>0.8275</v>
      </c>
      <c r="J6" s="363" t="n">
        <f aca="false">STDEV(H6:H29)</f>
        <v>0.0972334707088406</v>
      </c>
      <c r="K6" s="65"/>
      <c r="L6" s="20"/>
    </row>
    <row r="7" customFormat="false" ht="12.8" hidden="false" customHeight="false" outlineLevel="0" collapsed="false">
      <c r="B7" s="343"/>
      <c r="C7" s="76"/>
      <c r="D7" s="76"/>
      <c r="E7" s="76" t="n">
        <v>1</v>
      </c>
      <c r="F7" s="394" t="n">
        <v>2</v>
      </c>
      <c r="G7" s="408" t="s">
        <v>232</v>
      </c>
      <c r="H7" s="363" t="n">
        <v>0.9</v>
      </c>
      <c r="I7" s="363"/>
      <c r="J7" s="363"/>
      <c r="K7" s="65"/>
      <c r="L7" s="20"/>
    </row>
    <row r="8" customFormat="false" ht="12.8" hidden="false" customHeight="false" outlineLevel="0" collapsed="false">
      <c r="B8" s="343"/>
      <c r="C8" s="76"/>
      <c r="D8" s="76"/>
      <c r="E8" s="76" t="n">
        <v>1</v>
      </c>
      <c r="F8" s="394" t="n">
        <v>3</v>
      </c>
      <c r="G8" s="408" t="s">
        <v>232</v>
      </c>
      <c r="H8" s="363" t="n">
        <v>0.86</v>
      </c>
      <c r="I8" s="363"/>
      <c r="J8" s="363"/>
      <c r="K8" s="65"/>
      <c r="L8" s="20"/>
    </row>
    <row r="9" customFormat="false" ht="12.8" hidden="false" customHeight="false" outlineLevel="0" collapsed="false">
      <c r="B9" s="343"/>
      <c r="C9" s="76"/>
      <c r="D9" s="76"/>
      <c r="E9" s="76" t="n">
        <v>1</v>
      </c>
      <c r="F9" s="394" t="n">
        <v>4</v>
      </c>
      <c r="G9" s="408" t="s">
        <v>232</v>
      </c>
      <c r="H9" s="363" t="n">
        <v>0.84</v>
      </c>
      <c r="I9" s="363"/>
      <c r="J9" s="363"/>
      <c r="K9" s="65"/>
      <c r="L9" s="20"/>
    </row>
    <row r="10" customFormat="false" ht="12.8" hidden="false" customHeight="false" outlineLevel="0" collapsed="false">
      <c r="B10" s="343"/>
      <c r="C10" s="76"/>
      <c r="D10" s="76"/>
      <c r="E10" s="76" t="n">
        <v>1</v>
      </c>
      <c r="F10" s="394" t="n">
        <v>5</v>
      </c>
      <c r="G10" s="408" t="s">
        <v>232</v>
      </c>
      <c r="H10" s="363" t="n">
        <v>0.77</v>
      </c>
      <c r="I10" s="363"/>
      <c r="J10" s="363"/>
      <c r="K10" s="65"/>
    </row>
    <row r="11" customFormat="false" ht="12.8" hidden="false" customHeight="false" outlineLevel="0" collapsed="false">
      <c r="B11" s="343"/>
      <c r="C11" s="76"/>
      <c r="D11" s="76"/>
      <c r="E11" s="76" t="n">
        <v>1</v>
      </c>
      <c r="F11" s="394" t="n">
        <v>6</v>
      </c>
      <c r="G11" s="408" t="s">
        <v>232</v>
      </c>
      <c r="H11" s="363" t="n">
        <v>0.88</v>
      </c>
      <c r="I11" s="363"/>
      <c r="J11" s="363"/>
      <c r="K11" s="65"/>
      <c r="L11" s="20"/>
    </row>
    <row r="12" customFormat="false" ht="12.8" hidden="false" customHeight="false" outlineLevel="0" collapsed="false">
      <c r="B12" s="343"/>
      <c r="C12" s="76"/>
      <c r="D12" s="76"/>
      <c r="E12" s="76" t="n">
        <v>1</v>
      </c>
      <c r="F12" s="394" t="n">
        <v>7</v>
      </c>
      <c r="G12" s="408" t="s">
        <v>232</v>
      </c>
      <c r="H12" s="363" t="n">
        <v>0.71</v>
      </c>
      <c r="I12" s="363"/>
      <c r="J12" s="363"/>
      <c r="K12" s="65"/>
      <c r="L12" s="20"/>
    </row>
    <row r="13" customFormat="false" ht="12.8" hidden="false" customHeight="false" outlineLevel="0" collapsed="false">
      <c r="B13" s="343"/>
      <c r="C13" s="394"/>
      <c r="D13" s="394"/>
      <c r="E13" s="394" t="n">
        <v>1</v>
      </c>
      <c r="F13" s="394" t="n">
        <v>8</v>
      </c>
      <c r="G13" s="408" t="s">
        <v>232</v>
      </c>
      <c r="H13" s="363" t="n">
        <v>0.78</v>
      </c>
      <c r="I13" s="363"/>
      <c r="J13" s="363"/>
      <c r="K13" s="65"/>
      <c r="L13" s="20"/>
    </row>
    <row r="14" customFormat="false" ht="12.8" hidden="false" customHeight="false" outlineLevel="0" collapsed="false">
      <c r="B14" s="343"/>
      <c r="C14" s="394"/>
      <c r="D14" s="394"/>
      <c r="E14" s="394" t="n">
        <v>1</v>
      </c>
      <c r="F14" s="394" t="n">
        <v>1</v>
      </c>
      <c r="G14" s="408" t="s">
        <v>233</v>
      </c>
      <c r="H14" s="363" t="n">
        <v>0.78</v>
      </c>
      <c r="I14" s="363"/>
      <c r="J14" s="363"/>
      <c r="K14" s="65"/>
      <c r="L14" s="20"/>
    </row>
    <row r="15" customFormat="false" ht="12.8" hidden="false" customHeight="false" outlineLevel="0" collapsed="false">
      <c r="B15" s="343"/>
      <c r="C15" s="394"/>
      <c r="D15" s="394"/>
      <c r="E15" s="394" t="n">
        <v>1</v>
      </c>
      <c r="F15" s="394" t="n">
        <v>2</v>
      </c>
      <c r="G15" s="408" t="s">
        <v>233</v>
      </c>
      <c r="H15" s="363" t="n">
        <v>0.93</v>
      </c>
      <c r="I15" s="363"/>
      <c r="J15" s="363"/>
      <c r="K15" s="65"/>
      <c r="L15" s="20"/>
    </row>
    <row r="16" customFormat="false" ht="12.8" hidden="false" customHeight="false" outlineLevel="0" collapsed="false">
      <c r="B16" s="343"/>
      <c r="C16" s="394"/>
      <c r="D16" s="394"/>
      <c r="E16" s="394" t="n">
        <v>1</v>
      </c>
      <c r="F16" s="394" t="n">
        <v>3</v>
      </c>
      <c r="G16" s="408" t="s">
        <v>233</v>
      </c>
      <c r="H16" s="363" t="n">
        <v>0.89</v>
      </c>
      <c r="I16" s="363"/>
      <c r="J16" s="363"/>
      <c r="K16" s="65"/>
      <c r="L16" s="20"/>
    </row>
    <row r="17" customFormat="false" ht="12.8" hidden="false" customHeight="false" outlineLevel="0" collapsed="false">
      <c r="B17" s="343"/>
      <c r="C17" s="394"/>
      <c r="D17" s="394"/>
      <c r="E17" s="394" t="n">
        <v>1</v>
      </c>
      <c r="F17" s="394" t="n">
        <v>4</v>
      </c>
      <c r="G17" s="408" t="s">
        <v>233</v>
      </c>
      <c r="H17" s="363" t="n">
        <v>0.74</v>
      </c>
      <c r="I17" s="363"/>
      <c r="J17" s="363"/>
      <c r="K17" s="65"/>
      <c r="L17" s="20"/>
    </row>
    <row r="18" customFormat="false" ht="12.8" hidden="false" customHeight="false" outlineLevel="0" collapsed="false">
      <c r="B18" s="343"/>
      <c r="C18" s="394"/>
      <c r="D18" s="394"/>
      <c r="E18" s="394" t="n">
        <v>1</v>
      </c>
      <c r="F18" s="394" t="n">
        <v>5</v>
      </c>
      <c r="G18" s="408" t="s">
        <v>233</v>
      </c>
      <c r="H18" s="363" t="n">
        <v>0.97</v>
      </c>
      <c r="I18" s="363"/>
      <c r="J18" s="363"/>
      <c r="K18" s="65"/>
      <c r="L18" s="20"/>
    </row>
    <row r="19" customFormat="false" ht="12.8" hidden="false" customHeight="false" outlineLevel="0" collapsed="false">
      <c r="B19" s="343"/>
      <c r="C19" s="394"/>
      <c r="D19" s="394"/>
      <c r="E19" s="394" t="n">
        <v>1</v>
      </c>
      <c r="F19" s="394" t="n">
        <v>6</v>
      </c>
      <c r="G19" s="408" t="s">
        <v>233</v>
      </c>
      <c r="H19" s="363" t="n">
        <v>0.98</v>
      </c>
      <c r="I19" s="363"/>
      <c r="J19" s="363"/>
      <c r="K19" s="65"/>
      <c r="L19" s="20"/>
    </row>
    <row r="20" customFormat="false" ht="12.8" hidden="false" customHeight="false" outlineLevel="0" collapsed="false">
      <c r="B20" s="343"/>
      <c r="C20" s="394"/>
      <c r="D20" s="394"/>
      <c r="E20" s="394" t="n">
        <v>1</v>
      </c>
      <c r="F20" s="394" t="n">
        <v>7</v>
      </c>
      <c r="G20" s="408" t="s">
        <v>233</v>
      </c>
      <c r="H20" s="363" t="n">
        <v>0.75</v>
      </c>
      <c r="I20" s="363"/>
      <c r="J20" s="363"/>
      <c r="K20" s="65"/>
      <c r="L20" s="20"/>
    </row>
    <row r="21" customFormat="false" ht="12.8" hidden="false" customHeight="false" outlineLevel="0" collapsed="false">
      <c r="B21" s="343"/>
      <c r="C21" s="394"/>
      <c r="D21" s="394"/>
      <c r="E21" s="394" t="n">
        <v>1</v>
      </c>
      <c r="F21" s="394" t="n">
        <v>8</v>
      </c>
      <c r="G21" s="408" t="s">
        <v>233</v>
      </c>
      <c r="H21" s="363" t="n">
        <v>0.67</v>
      </c>
      <c r="I21" s="363"/>
      <c r="J21" s="363"/>
      <c r="K21" s="65"/>
      <c r="L21" s="20"/>
    </row>
    <row r="22" customFormat="false" ht="12.8" hidden="false" customHeight="false" outlineLevel="0" collapsed="false">
      <c r="B22" s="343"/>
      <c r="C22" s="394"/>
      <c r="D22" s="394"/>
      <c r="E22" s="394" t="n">
        <v>1</v>
      </c>
      <c r="F22" s="394" t="n">
        <v>1</v>
      </c>
      <c r="G22" s="408" t="s">
        <v>234</v>
      </c>
      <c r="H22" s="363" t="n">
        <v>0.83</v>
      </c>
      <c r="I22" s="363"/>
      <c r="J22" s="363"/>
      <c r="K22" s="65"/>
      <c r="L22" s="20"/>
    </row>
    <row r="23" customFormat="false" ht="12.8" hidden="false" customHeight="false" outlineLevel="0" collapsed="false">
      <c r="B23" s="343"/>
      <c r="C23" s="394"/>
      <c r="D23" s="394"/>
      <c r="E23" s="394" t="n">
        <v>1</v>
      </c>
      <c r="F23" s="394" t="n">
        <v>2</v>
      </c>
      <c r="G23" s="408" t="s">
        <v>234</v>
      </c>
      <c r="H23" s="363" t="n">
        <v>0.8</v>
      </c>
      <c r="I23" s="363"/>
      <c r="J23" s="363"/>
      <c r="K23" s="65"/>
      <c r="L23" s="20"/>
    </row>
    <row r="24" customFormat="false" ht="12.8" hidden="false" customHeight="false" outlineLevel="0" collapsed="false">
      <c r="B24" s="343"/>
      <c r="C24" s="394"/>
      <c r="D24" s="394"/>
      <c r="E24" s="394" t="n">
        <v>1</v>
      </c>
      <c r="F24" s="394" t="n">
        <v>3</v>
      </c>
      <c r="G24" s="408" t="s">
        <v>234</v>
      </c>
      <c r="H24" s="363" t="n">
        <v>0.9</v>
      </c>
      <c r="I24" s="363"/>
      <c r="J24" s="363"/>
      <c r="K24" s="65"/>
      <c r="L24" s="20"/>
    </row>
    <row r="25" customFormat="false" ht="12.8" hidden="false" customHeight="false" outlineLevel="0" collapsed="false">
      <c r="B25" s="343"/>
      <c r="C25" s="394"/>
      <c r="D25" s="394"/>
      <c r="E25" s="394" t="n">
        <v>1</v>
      </c>
      <c r="F25" s="394" t="n">
        <v>4</v>
      </c>
      <c r="G25" s="408" t="s">
        <v>234</v>
      </c>
      <c r="H25" s="363" t="n">
        <v>0.81</v>
      </c>
      <c r="I25" s="363"/>
      <c r="J25" s="363"/>
      <c r="K25" s="65"/>
      <c r="L25" s="20"/>
    </row>
    <row r="26" customFormat="false" ht="12.8" hidden="false" customHeight="false" outlineLevel="0" collapsed="false">
      <c r="B26" s="343"/>
      <c r="C26" s="394"/>
      <c r="D26" s="394"/>
      <c r="E26" s="394" t="n">
        <v>1</v>
      </c>
      <c r="F26" s="394" t="n">
        <v>5</v>
      </c>
      <c r="G26" s="408" t="s">
        <v>234</v>
      </c>
      <c r="H26" s="363" t="n">
        <v>0.88</v>
      </c>
      <c r="I26" s="363"/>
      <c r="J26" s="363"/>
      <c r="K26" s="65"/>
      <c r="L26" s="20"/>
    </row>
    <row r="27" customFormat="false" ht="12.8" hidden="false" customHeight="false" outlineLevel="0" collapsed="false">
      <c r="B27" s="343"/>
      <c r="C27" s="394"/>
      <c r="D27" s="394"/>
      <c r="E27" s="394" t="n">
        <v>1</v>
      </c>
      <c r="F27" s="394" t="n">
        <v>6</v>
      </c>
      <c r="G27" s="408" t="s">
        <v>234</v>
      </c>
      <c r="H27" s="363" t="n">
        <v>0.59</v>
      </c>
      <c r="I27" s="363"/>
      <c r="J27" s="363"/>
      <c r="K27" s="65"/>
      <c r="L27" s="20"/>
    </row>
    <row r="28" customFormat="false" ht="12.8" hidden="false" customHeight="false" outlineLevel="0" collapsed="false">
      <c r="B28" s="343"/>
      <c r="C28" s="394"/>
      <c r="D28" s="394"/>
      <c r="E28" s="394" t="n">
        <v>1</v>
      </c>
      <c r="F28" s="394" t="n">
        <v>7</v>
      </c>
      <c r="G28" s="408" t="s">
        <v>234</v>
      </c>
      <c r="H28" s="363" t="n">
        <v>0.98</v>
      </c>
      <c r="I28" s="363"/>
      <c r="J28" s="363"/>
      <c r="K28" s="65"/>
      <c r="L28" s="20"/>
    </row>
    <row r="29" customFormat="false" ht="12.8" hidden="false" customHeight="false" outlineLevel="0" collapsed="false">
      <c r="B29" s="343"/>
      <c r="C29" s="84"/>
      <c r="D29" s="84"/>
      <c r="E29" s="84" t="n">
        <v>1</v>
      </c>
      <c r="F29" s="394" t="n">
        <v>8</v>
      </c>
      <c r="G29" s="409" t="s">
        <v>234</v>
      </c>
      <c r="H29" s="363" t="n">
        <v>0.79</v>
      </c>
      <c r="I29" s="371"/>
      <c r="J29" s="371"/>
      <c r="K29" s="65"/>
      <c r="L29" s="20"/>
    </row>
    <row r="30" customFormat="false" ht="12.8" hidden="false" customHeight="false" outlineLevel="0" collapsed="false">
      <c r="B30" s="343"/>
      <c r="C30" s="81" t="str">
        <f aca="false">C6</f>
        <v>Agropastoral</v>
      </c>
      <c r="D30" s="81" t="s">
        <v>55</v>
      </c>
      <c r="E30" s="81" t="n">
        <v>2</v>
      </c>
      <c r="F30" s="81" t="n">
        <v>1</v>
      </c>
      <c r="G30" s="410" t="s">
        <v>232</v>
      </c>
      <c r="H30" s="379" t="n">
        <v>0.88</v>
      </c>
      <c r="I30" s="363" t="n">
        <f aca="false">AVERAGE(H30:H53)</f>
        <v>0.7575</v>
      </c>
      <c r="J30" s="363" t="n">
        <f aca="false">STDEV(H30:H53)</f>
        <v>0.098653984692217</v>
      </c>
      <c r="K30" s="65"/>
      <c r="L30" s="20"/>
    </row>
    <row r="31" customFormat="false" ht="12.8" hidden="false" customHeight="false" outlineLevel="0" collapsed="false">
      <c r="B31" s="343"/>
      <c r="C31" s="76"/>
      <c r="D31" s="76"/>
      <c r="E31" s="76" t="n">
        <v>2</v>
      </c>
      <c r="F31" s="394" t="n">
        <v>2</v>
      </c>
      <c r="G31" s="408" t="s">
        <v>232</v>
      </c>
      <c r="H31" s="363" t="n">
        <v>0.89</v>
      </c>
      <c r="I31" s="363"/>
      <c r="J31" s="363"/>
      <c r="K31" s="65"/>
      <c r="L31" s="20"/>
    </row>
    <row r="32" customFormat="false" ht="12.8" hidden="false" customHeight="false" outlineLevel="0" collapsed="false">
      <c r="B32" s="343"/>
      <c r="C32" s="76"/>
      <c r="D32" s="76"/>
      <c r="E32" s="76" t="n">
        <v>2</v>
      </c>
      <c r="F32" s="394" t="n">
        <v>3</v>
      </c>
      <c r="G32" s="408" t="s">
        <v>232</v>
      </c>
      <c r="H32" s="363" t="n">
        <v>0.86</v>
      </c>
      <c r="I32" s="363"/>
      <c r="J32" s="363"/>
      <c r="K32" s="65"/>
      <c r="L32" s="20"/>
    </row>
    <row r="33" customFormat="false" ht="12.8" hidden="false" customHeight="false" outlineLevel="0" collapsed="false">
      <c r="B33" s="343"/>
      <c r="C33" s="76"/>
      <c r="D33" s="76"/>
      <c r="E33" s="76" t="n">
        <v>2</v>
      </c>
      <c r="F33" s="394" t="n">
        <v>4</v>
      </c>
      <c r="G33" s="408" t="s">
        <v>232</v>
      </c>
      <c r="H33" s="363" t="n">
        <v>0.87</v>
      </c>
      <c r="I33" s="363"/>
      <c r="J33" s="363"/>
      <c r="K33" s="65"/>
      <c r="L33" s="20"/>
    </row>
    <row r="34" customFormat="false" ht="12.8" hidden="false" customHeight="false" outlineLevel="0" collapsed="false">
      <c r="B34" s="343"/>
      <c r="C34" s="76"/>
      <c r="D34" s="76"/>
      <c r="E34" s="76" t="n">
        <v>2</v>
      </c>
      <c r="F34" s="394" t="n">
        <v>5</v>
      </c>
      <c r="G34" s="408" t="s">
        <v>232</v>
      </c>
      <c r="H34" s="363" t="n">
        <v>0.63</v>
      </c>
      <c r="I34" s="363"/>
      <c r="J34" s="363"/>
      <c r="K34" s="65"/>
      <c r="L34" s="20"/>
    </row>
    <row r="35" customFormat="false" ht="12.8" hidden="false" customHeight="false" outlineLevel="0" collapsed="false">
      <c r="B35" s="343"/>
      <c r="C35" s="76"/>
      <c r="D35" s="76"/>
      <c r="E35" s="76" t="n">
        <v>2</v>
      </c>
      <c r="F35" s="394" t="n">
        <v>6</v>
      </c>
      <c r="G35" s="408" t="s">
        <v>232</v>
      </c>
      <c r="H35" s="363" t="n">
        <v>0.9</v>
      </c>
      <c r="I35" s="363"/>
      <c r="J35" s="363"/>
      <c r="K35" s="65"/>
      <c r="L35" s="20"/>
    </row>
    <row r="36" customFormat="false" ht="12.8" hidden="false" customHeight="false" outlineLevel="0" collapsed="false">
      <c r="B36" s="343"/>
      <c r="C36" s="76"/>
      <c r="D36" s="76"/>
      <c r="E36" s="76" t="n">
        <v>2</v>
      </c>
      <c r="F36" s="394" t="n">
        <v>7</v>
      </c>
      <c r="G36" s="408" t="s">
        <v>232</v>
      </c>
      <c r="H36" s="363" t="n">
        <v>0.79</v>
      </c>
      <c r="I36" s="363"/>
      <c r="J36" s="363"/>
      <c r="K36" s="65"/>
      <c r="L36" s="20"/>
    </row>
    <row r="37" customFormat="false" ht="12.8" hidden="false" customHeight="false" outlineLevel="0" collapsed="false">
      <c r="B37" s="343"/>
      <c r="C37" s="394"/>
      <c r="D37" s="394"/>
      <c r="E37" s="394" t="n">
        <v>2</v>
      </c>
      <c r="F37" s="394" t="n">
        <v>8</v>
      </c>
      <c r="G37" s="408" t="s">
        <v>232</v>
      </c>
      <c r="H37" s="363" t="n">
        <v>0.54</v>
      </c>
      <c r="I37" s="363"/>
      <c r="J37" s="363"/>
      <c r="K37" s="65"/>
      <c r="L37" s="20"/>
    </row>
    <row r="38" customFormat="false" ht="12.8" hidden="false" customHeight="false" outlineLevel="0" collapsed="false">
      <c r="B38" s="343"/>
      <c r="C38" s="394"/>
      <c r="D38" s="394"/>
      <c r="E38" s="394" t="n">
        <v>2</v>
      </c>
      <c r="F38" s="394" t="n">
        <v>1</v>
      </c>
      <c r="G38" s="408" t="s">
        <v>233</v>
      </c>
      <c r="H38" s="363" t="n">
        <v>0.76</v>
      </c>
      <c r="I38" s="363"/>
      <c r="J38" s="363"/>
      <c r="K38" s="65"/>
      <c r="L38" s="20"/>
    </row>
    <row r="39" customFormat="false" ht="12.8" hidden="false" customHeight="false" outlineLevel="0" collapsed="false">
      <c r="B39" s="343"/>
      <c r="C39" s="394"/>
      <c r="D39" s="394"/>
      <c r="E39" s="394" t="n">
        <v>2</v>
      </c>
      <c r="F39" s="394" t="n">
        <v>2</v>
      </c>
      <c r="G39" s="408" t="s">
        <v>233</v>
      </c>
      <c r="H39" s="363" t="n">
        <v>0.83</v>
      </c>
      <c r="I39" s="363"/>
      <c r="J39" s="363"/>
      <c r="K39" s="65"/>
      <c r="L39" s="20"/>
    </row>
    <row r="40" customFormat="false" ht="12.8" hidden="false" customHeight="false" outlineLevel="0" collapsed="false">
      <c r="B40" s="343"/>
      <c r="C40" s="394"/>
      <c r="D40" s="394"/>
      <c r="E40" s="394" t="n">
        <v>2</v>
      </c>
      <c r="F40" s="394" t="n">
        <v>3</v>
      </c>
      <c r="G40" s="408" t="s">
        <v>233</v>
      </c>
      <c r="H40" s="363" t="n">
        <v>0.85</v>
      </c>
      <c r="I40" s="363"/>
      <c r="J40" s="363"/>
      <c r="K40" s="65"/>
      <c r="L40" s="20"/>
    </row>
    <row r="41" customFormat="false" ht="12.8" hidden="false" customHeight="false" outlineLevel="0" collapsed="false">
      <c r="B41" s="343"/>
      <c r="C41" s="394"/>
      <c r="D41" s="394"/>
      <c r="E41" s="394" t="n">
        <v>2</v>
      </c>
      <c r="F41" s="394" t="n">
        <v>4</v>
      </c>
      <c r="G41" s="408" t="s">
        <v>233</v>
      </c>
      <c r="H41" s="363" t="n">
        <v>0.77</v>
      </c>
      <c r="I41" s="363"/>
      <c r="J41" s="363"/>
      <c r="K41" s="65"/>
      <c r="L41" s="20"/>
    </row>
    <row r="42" customFormat="false" ht="12.8" hidden="false" customHeight="false" outlineLevel="0" collapsed="false">
      <c r="B42" s="343"/>
      <c r="C42" s="394"/>
      <c r="D42" s="394"/>
      <c r="E42" s="394" t="n">
        <v>2</v>
      </c>
      <c r="F42" s="394" t="n">
        <v>5</v>
      </c>
      <c r="G42" s="408" t="s">
        <v>233</v>
      </c>
      <c r="H42" s="363" t="n">
        <v>0.59</v>
      </c>
      <c r="I42" s="363"/>
      <c r="J42" s="363"/>
      <c r="K42" s="65"/>
      <c r="L42" s="20"/>
    </row>
    <row r="43" customFormat="false" ht="12.8" hidden="false" customHeight="false" outlineLevel="0" collapsed="false">
      <c r="B43" s="343"/>
      <c r="C43" s="394"/>
      <c r="D43" s="394"/>
      <c r="E43" s="394" t="n">
        <v>2</v>
      </c>
      <c r="F43" s="394" t="n">
        <v>6</v>
      </c>
      <c r="G43" s="408" t="s">
        <v>233</v>
      </c>
      <c r="H43" s="363" t="n">
        <v>0.77</v>
      </c>
      <c r="I43" s="363"/>
      <c r="J43" s="363"/>
      <c r="K43" s="65"/>
      <c r="L43" s="20"/>
    </row>
    <row r="44" customFormat="false" ht="12.8" hidden="false" customHeight="false" outlineLevel="0" collapsed="false">
      <c r="B44" s="343"/>
      <c r="C44" s="394"/>
      <c r="D44" s="394"/>
      <c r="E44" s="394" t="n">
        <v>2</v>
      </c>
      <c r="F44" s="394" t="n">
        <v>7</v>
      </c>
      <c r="G44" s="408" t="s">
        <v>233</v>
      </c>
      <c r="H44" s="363" t="n">
        <v>0.61</v>
      </c>
      <c r="I44" s="363"/>
      <c r="J44" s="363"/>
      <c r="K44" s="65"/>
      <c r="L44" s="20"/>
    </row>
    <row r="45" customFormat="false" ht="12.8" hidden="false" customHeight="false" outlineLevel="0" collapsed="false">
      <c r="B45" s="343"/>
      <c r="C45" s="394"/>
      <c r="D45" s="394"/>
      <c r="E45" s="394" t="n">
        <v>2</v>
      </c>
      <c r="F45" s="394" t="n">
        <v>8</v>
      </c>
      <c r="G45" s="408" t="s">
        <v>233</v>
      </c>
      <c r="H45" s="363" t="n">
        <v>0.66</v>
      </c>
      <c r="I45" s="363"/>
      <c r="J45" s="363"/>
      <c r="K45" s="65"/>
      <c r="L45" s="20"/>
    </row>
    <row r="46" customFormat="false" ht="12.8" hidden="false" customHeight="false" outlineLevel="0" collapsed="false">
      <c r="B46" s="343"/>
      <c r="C46" s="394"/>
      <c r="D46" s="394"/>
      <c r="E46" s="394" t="n">
        <v>2</v>
      </c>
      <c r="F46" s="394" t="n">
        <v>1</v>
      </c>
      <c r="G46" s="408" t="s">
        <v>234</v>
      </c>
      <c r="H46" s="363" t="n">
        <v>0.79</v>
      </c>
      <c r="I46" s="363"/>
      <c r="J46" s="363"/>
      <c r="K46" s="65"/>
      <c r="L46" s="20"/>
    </row>
    <row r="47" customFormat="false" ht="12.8" hidden="false" customHeight="false" outlineLevel="0" collapsed="false">
      <c r="B47" s="343"/>
      <c r="C47" s="394"/>
      <c r="D47" s="394"/>
      <c r="E47" s="394" t="n">
        <v>2</v>
      </c>
      <c r="F47" s="394" t="n">
        <v>2</v>
      </c>
      <c r="G47" s="408" t="s">
        <v>234</v>
      </c>
      <c r="H47" s="363" t="n">
        <v>0.73</v>
      </c>
      <c r="I47" s="363"/>
      <c r="J47" s="363"/>
      <c r="K47" s="65"/>
      <c r="L47" s="20"/>
    </row>
    <row r="48" customFormat="false" ht="12.8" hidden="false" customHeight="false" outlineLevel="0" collapsed="false">
      <c r="B48" s="343"/>
      <c r="C48" s="394"/>
      <c r="D48" s="394"/>
      <c r="E48" s="394" t="n">
        <v>2</v>
      </c>
      <c r="F48" s="394" t="n">
        <v>3</v>
      </c>
      <c r="G48" s="408" t="s">
        <v>234</v>
      </c>
      <c r="H48" s="363" t="n">
        <v>0.76</v>
      </c>
      <c r="I48" s="363"/>
      <c r="J48" s="363"/>
      <c r="K48" s="65"/>
      <c r="L48" s="20"/>
    </row>
    <row r="49" customFormat="false" ht="12.8" hidden="false" customHeight="false" outlineLevel="0" collapsed="false">
      <c r="B49" s="343"/>
      <c r="C49" s="394"/>
      <c r="D49" s="394"/>
      <c r="E49" s="394" t="n">
        <v>2</v>
      </c>
      <c r="F49" s="394" t="n">
        <v>4</v>
      </c>
      <c r="G49" s="408" t="s">
        <v>234</v>
      </c>
      <c r="H49" s="363" t="n">
        <v>0.76</v>
      </c>
      <c r="I49" s="363"/>
      <c r="J49" s="363"/>
      <c r="K49" s="65"/>
      <c r="L49" s="20"/>
    </row>
    <row r="50" customFormat="false" ht="12.8" hidden="false" customHeight="false" outlineLevel="0" collapsed="false">
      <c r="B50" s="343"/>
      <c r="C50" s="394"/>
      <c r="D50" s="394"/>
      <c r="E50" s="394" t="n">
        <v>2</v>
      </c>
      <c r="F50" s="394" t="n">
        <v>5</v>
      </c>
      <c r="G50" s="408" t="s">
        <v>234</v>
      </c>
      <c r="H50" s="363" t="n">
        <v>0.78</v>
      </c>
      <c r="I50" s="363"/>
      <c r="J50" s="363"/>
      <c r="K50" s="65"/>
      <c r="L50" s="20"/>
    </row>
    <row r="51" customFormat="false" ht="12.8" hidden="false" customHeight="false" outlineLevel="0" collapsed="false">
      <c r="B51" s="343"/>
      <c r="C51" s="394"/>
      <c r="D51" s="394"/>
      <c r="E51" s="394" t="n">
        <v>2</v>
      </c>
      <c r="F51" s="394" t="n">
        <v>6</v>
      </c>
      <c r="G51" s="408" t="s">
        <v>234</v>
      </c>
      <c r="H51" s="363" t="n">
        <v>0.76</v>
      </c>
      <c r="I51" s="363"/>
      <c r="J51" s="363"/>
      <c r="K51" s="65"/>
      <c r="L51" s="20"/>
    </row>
    <row r="52" customFormat="false" ht="12.8" hidden="false" customHeight="false" outlineLevel="0" collapsed="false">
      <c r="B52" s="343"/>
      <c r="C52" s="394"/>
      <c r="D52" s="394"/>
      <c r="E52" s="394" t="n">
        <v>2</v>
      </c>
      <c r="F52" s="394" t="n">
        <v>7</v>
      </c>
      <c r="G52" s="408" t="s">
        <v>234</v>
      </c>
      <c r="H52" s="363" t="n">
        <v>0.72</v>
      </c>
      <c r="I52" s="363"/>
      <c r="J52" s="363"/>
      <c r="K52" s="65"/>
      <c r="L52" s="20"/>
    </row>
    <row r="53" customFormat="false" ht="12.8" hidden="false" customHeight="false" outlineLevel="0" collapsed="false">
      <c r="B53" s="343"/>
      <c r="C53" s="84"/>
      <c r="D53" s="84"/>
      <c r="E53" s="84" t="n">
        <v>2</v>
      </c>
      <c r="F53" s="84" t="n">
        <v>8</v>
      </c>
      <c r="G53" s="409" t="s">
        <v>234</v>
      </c>
      <c r="H53" s="371" t="n">
        <v>0.68</v>
      </c>
      <c r="I53" s="371"/>
      <c r="J53" s="371"/>
      <c r="K53" s="65"/>
      <c r="L53" s="20"/>
    </row>
    <row r="54" customFormat="false" ht="12.8" hidden="false" customHeight="false" outlineLevel="0" collapsed="false">
      <c r="B54" s="343"/>
      <c r="C54" s="76" t="s">
        <v>235</v>
      </c>
      <c r="D54" s="76" t="s">
        <v>56</v>
      </c>
      <c r="E54" s="76" t="n">
        <v>3</v>
      </c>
      <c r="F54" s="81" t="n">
        <v>1</v>
      </c>
      <c r="G54" s="410" t="s">
        <v>232</v>
      </c>
      <c r="H54" s="363" t="n">
        <v>0.66</v>
      </c>
      <c r="I54" s="363" t="n">
        <f aca="false">AVERAGE(H54:H77)</f>
        <v>0.71</v>
      </c>
      <c r="J54" s="363" t="n">
        <f aca="false">STDEV(H54:H77)</f>
        <v>0.0975793991088016</v>
      </c>
      <c r="K54" s="65"/>
      <c r="L54" s="20"/>
    </row>
    <row r="55" customFormat="false" ht="12.8" hidden="false" customHeight="false" outlineLevel="0" collapsed="false">
      <c r="B55" s="343"/>
      <c r="C55" s="394"/>
      <c r="D55" s="394"/>
      <c r="E55" s="394" t="n">
        <v>3</v>
      </c>
      <c r="F55" s="394" t="n">
        <v>2</v>
      </c>
      <c r="G55" s="408" t="s">
        <v>232</v>
      </c>
      <c r="H55" s="363" t="n">
        <v>0.65</v>
      </c>
      <c r="I55" s="363" t="n">
        <f aca="false">QUARTILE(H54:H77,1)-(1.5*(QUARTILE(H54:H77,3)-QUARTILE(H54:H77,1)))</f>
        <v>0.455</v>
      </c>
      <c r="J55" s="363"/>
      <c r="K55" s="65"/>
      <c r="L55" s="20"/>
    </row>
    <row r="56" customFormat="false" ht="12.8" hidden="false" customHeight="false" outlineLevel="0" collapsed="false">
      <c r="B56" s="343"/>
      <c r="C56" s="76"/>
      <c r="D56" s="76"/>
      <c r="E56" s="76" t="n">
        <v>3</v>
      </c>
      <c r="F56" s="394" t="n">
        <v>3</v>
      </c>
      <c r="G56" s="408" t="s">
        <v>232</v>
      </c>
      <c r="H56" s="363" t="n">
        <v>0.79</v>
      </c>
      <c r="I56" s="363" t="n">
        <f aca="false">QUARTILE(H54:H77,3)+(1.5*(QUARTILE(H54:H77,3)-QUARTILE(H54:H77,1)))</f>
        <v>0.975</v>
      </c>
      <c r="J56" s="363"/>
      <c r="K56" s="65"/>
      <c r="L56" s="20"/>
    </row>
    <row r="57" customFormat="false" ht="12.8" hidden="false" customHeight="false" outlineLevel="0" collapsed="false">
      <c r="B57" s="343"/>
      <c r="C57" s="76"/>
      <c r="D57" s="76"/>
      <c r="E57" s="76" t="n">
        <v>3</v>
      </c>
      <c r="F57" s="394" t="n">
        <v>4</v>
      </c>
      <c r="G57" s="408" t="s">
        <v>232</v>
      </c>
      <c r="H57" s="363" t="n">
        <v>0.85</v>
      </c>
      <c r="I57" s="363"/>
      <c r="J57" s="363"/>
      <c r="K57" s="65"/>
      <c r="L57" s="20"/>
    </row>
    <row r="58" customFormat="false" ht="12.8" hidden="false" customHeight="false" outlineLevel="0" collapsed="false">
      <c r="B58" s="343"/>
      <c r="C58" s="76"/>
      <c r="D58" s="76"/>
      <c r="E58" s="76" t="n">
        <v>3</v>
      </c>
      <c r="F58" s="394" t="n">
        <v>5</v>
      </c>
      <c r="G58" s="408" t="s">
        <v>232</v>
      </c>
      <c r="H58" s="363" t="n">
        <v>0.68</v>
      </c>
      <c r="I58" s="363"/>
      <c r="J58" s="363"/>
      <c r="K58" s="65"/>
      <c r="L58" s="20"/>
    </row>
    <row r="59" customFormat="false" ht="12.8" hidden="false" customHeight="false" outlineLevel="0" collapsed="false">
      <c r="B59" s="343"/>
      <c r="C59" s="76"/>
      <c r="D59" s="76"/>
      <c r="E59" s="76" t="n">
        <v>3</v>
      </c>
      <c r="F59" s="394" t="n">
        <v>6</v>
      </c>
      <c r="G59" s="408" t="s">
        <v>232</v>
      </c>
      <c r="H59" s="363" t="n">
        <v>0.78</v>
      </c>
      <c r="I59" s="363"/>
      <c r="J59" s="363"/>
      <c r="K59" s="65"/>
      <c r="L59" s="20"/>
      <c r="T59" s="381"/>
    </row>
    <row r="60" customFormat="false" ht="12.8" hidden="false" customHeight="false" outlineLevel="0" collapsed="false">
      <c r="B60" s="343"/>
      <c r="C60" s="76"/>
      <c r="D60" s="76"/>
      <c r="E60" s="76" t="n">
        <v>3</v>
      </c>
      <c r="F60" s="394" t="n">
        <v>7</v>
      </c>
      <c r="G60" s="408" t="s">
        <v>232</v>
      </c>
      <c r="H60" s="363" t="n">
        <v>0.78</v>
      </c>
      <c r="I60" s="363"/>
      <c r="J60" s="363"/>
      <c r="K60" s="65"/>
      <c r="L60" s="20"/>
    </row>
    <row r="61" customFormat="false" ht="12.8" hidden="false" customHeight="false" outlineLevel="0" collapsed="false">
      <c r="B61" s="343"/>
      <c r="C61" s="76"/>
      <c r="D61" s="76"/>
      <c r="E61" s="76" t="n">
        <v>3</v>
      </c>
      <c r="F61" s="394" t="n">
        <v>8</v>
      </c>
      <c r="G61" s="408" t="s">
        <v>232</v>
      </c>
      <c r="H61" s="363" t="n">
        <v>0.63</v>
      </c>
      <c r="I61" s="363"/>
      <c r="J61" s="363"/>
      <c r="K61" s="65"/>
      <c r="L61" s="20"/>
    </row>
    <row r="62" customFormat="false" ht="12.8" hidden="false" customHeight="false" outlineLevel="0" collapsed="false">
      <c r="B62" s="343"/>
      <c r="C62" s="76"/>
      <c r="D62" s="76"/>
      <c r="E62" s="76" t="n">
        <v>3</v>
      </c>
      <c r="F62" s="394" t="n">
        <v>1</v>
      </c>
      <c r="G62" s="408" t="s">
        <v>233</v>
      </c>
      <c r="H62" s="363" t="n">
        <v>0.92</v>
      </c>
      <c r="I62" s="363"/>
      <c r="J62" s="363"/>
      <c r="K62" s="65"/>
      <c r="L62" s="20"/>
    </row>
    <row r="63" customFormat="false" ht="12.8" hidden="false" customHeight="false" outlineLevel="0" collapsed="false">
      <c r="B63" s="343"/>
      <c r="C63" s="76"/>
      <c r="D63" s="76"/>
      <c r="E63" s="76" t="n">
        <v>3</v>
      </c>
      <c r="F63" s="394" t="n">
        <v>2</v>
      </c>
      <c r="G63" s="408" t="s">
        <v>233</v>
      </c>
      <c r="H63" s="363" t="n">
        <v>0.64</v>
      </c>
      <c r="I63" s="363"/>
      <c r="J63" s="363"/>
      <c r="K63" s="65"/>
      <c r="L63" s="20"/>
    </row>
    <row r="64" customFormat="false" ht="12.8" hidden="false" customHeight="false" outlineLevel="0" collapsed="false">
      <c r="B64" s="343"/>
      <c r="C64" s="76"/>
      <c r="D64" s="76"/>
      <c r="E64" s="76" t="n">
        <v>3</v>
      </c>
      <c r="F64" s="394" t="n">
        <v>3</v>
      </c>
      <c r="G64" s="408" t="s">
        <v>233</v>
      </c>
      <c r="H64" s="363" t="n">
        <v>0.7</v>
      </c>
      <c r="I64" s="363"/>
      <c r="J64" s="363"/>
      <c r="K64" s="65"/>
      <c r="L64" s="20"/>
    </row>
    <row r="65" customFormat="false" ht="12.8" hidden="false" customHeight="false" outlineLevel="0" collapsed="false">
      <c r="B65" s="343"/>
      <c r="C65" s="76"/>
      <c r="D65" s="76"/>
      <c r="E65" s="76" t="n">
        <v>3</v>
      </c>
      <c r="F65" s="394" t="n">
        <v>4</v>
      </c>
      <c r="G65" s="408" t="s">
        <v>233</v>
      </c>
      <c r="H65" s="363" t="n">
        <v>0.79</v>
      </c>
      <c r="I65" s="363"/>
      <c r="J65" s="363"/>
      <c r="K65" s="65"/>
      <c r="L65" s="20"/>
    </row>
    <row r="66" customFormat="false" ht="12.8" hidden="false" customHeight="false" outlineLevel="0" collapsed="false">
      <c r="B66" s="343"/>
      <c r="C66" s="76"/>
      <c r="D66" s="76"/>
      <c r="E66" s="76" t="n">
        <v>3</v>
      </c>
      <c r="F66" s="394" t="n">
        <v>5</v>
      </c>
      <c r="G66" s="408" t="s">
        <v>233</v>
      </c>
      <c r="H66" s="363" t="n">
        <v>0.6</v>
      </c>
      <c r="I66" s="363"/>
      <c r="J66" s="363"/>
      <c r="K66" s="65"/>
      <c r="L66" s="20"/>
    </row>
    <row r="67" customFormat="false" ht="12.8" hidden="false" customHeight="false" outlineLevel="0" collapsed="false">
      <c r="B67" s="343"/>
      <c r="C67" s="76"/>
      <c r="D67" s="76"/>
      <c r="E67" s="76" t="n">
        <v>3</v>
      </c>
      <c r="F67" s="394" t="n">
        <v>6</v>
      </c>
      <c r="G67" s="408" t="s">
        <v>233</v>
      </c>
      <c r="H67" s="363" t="n">
        <v>0.72</v>
      </c>
      <c r="I67" s="363"/>
      <c r="J67" s="363"/>
      <c r="K67" s="65"/>
      <c r="L67" s="20"/>
    </row>
    <row r="68" customFormat="false" ht="12.8" hidden="false" customHeight="false" outlineLevel="0" collapsed="false">
      <c r="B68" s="343"/>
      <c r="C68" s="76"/>
      <c r="D68" s="76"/>
      <c r="E68" s="76" t="n">
        <v>3</v>
      </c>
      <c r="F68" s="394" t="n">
        <v>7</v>
      </c>
      <c r="G68" s="408" t="s">
        <v>233</v>
      </c>
      <c r="H68" s="363" t="n">
        <v>0.73</v>
      </c>
      <c r="I68" s="363"/>
      <c r="J68" s="363"/>
      <c r="K68" s="65"/>
      <c r="L68" s="20"/>
    </row>
    <row r="69" customFormat="false" ht="12.8" hidden="false" customHeight="false" outlineLevel="0" collapsed="false">
      <c r="B69" s="343"/>
      <c r="C69" s="76"/>
      <c r="D69" s="76"/>
      <c r="E69" s="76" t="n">
        <v>3</v>
      </c>
      <c r="F69" s="394" t="n">
        <v>8</v>
      </c>
      <c r="G69" s="408" t="s">
        <v>233</v>
      </c>
      <c r="H69" s="363" t="n">
        <v>0.53</v>
      </c>
      <c r="I69" s="363"/>
      <c r="J69" s="363"/>
      <c r="K69" s="65"/>
      <c r="L69" s="20"/>
    </row>
    <row r="70" customFormat="false" ht="12.8" hidden="false" customHeight="false" outlineLevel="0" collapsed="false">
      <c r="B70" s="343"/>
      <c r="C70" s="76"/>
      <c r="D70" s="76"/>
      <c r="E70" s="76" t="n">
        <v>3</v>
      </c>
      <c r="F70" s="394" t="n">
        <v>1</v>
      </c>
      <c r="G70" s="408" t="s">
        <v>234</v>
      </c>
      <c r="H70" s="363" t="n">
        <v>0.76</v>
      </c>
      <c r="I70" s="363"/>
      <c r="J70" s="363"/>
      <c r="K70" s="65"/>
      <c r="L70" s="20"/>
    </row>
    <row r="71" customFormat="false" ht="12.8" hidden="false" customHeight="false" outlineLevel="0" collapsed="false">
      <c r="B71" s="343"/>
      <c r="C71" s="76"/>
      <c r="D71" s="76"/>
      <c r="E71" s="76" t="n">
        <v>3</v>
      </c>
      <c r="F71" s="394" t="n">
        <v>2</v>
      </c>
      <c r="G71" s="408" t="s">
        <v>234</v>
      </c>
      <c r="H71" s="363" t="n">
        <v>0.49</v>
      </c>
      <c r="I71" s="363"/>
      <c r="J71" s="363"/>
      <c r="K71" s="65"/>
      <c r="L71" s="20"/>
    </row>
    <row r="72" customFormat="false" ht="12.8" hidden="false" customHeight="false" outlineLevel="0" collapsed="false">
      <c r="B72" s="343"/>
      <c r="C72" s="76"/>
      <c r="D72" s="76"/>
      <c r="E72" s="76" t="n">
        <v>3</v>
      </c>
      <c r="F72" s="394" t="n">
        <v>3</v>
      </c>
      <c r="G72" s="408" t="s">
        <v>234</v>
      </c>
      <c r="H72" s="363" t="n">
        <v>0.77</v>
      </c>
      <c r="I72" s="363"/>
      <c r="J72" s="363"/>
      <c r="K72" s="65"/>
      <c r="L72" s="20"/>
    </row>
    <row r="73" customFormat="false" ht="12.8" hidden="false" customHeight="false" outlineLevel="0" collapsed="false">
      <c r="B73" s="343"/>
      <c r="C73" s="76"/>
      <c r="D73" s="76"/>
      <c r="E73" s="76" t="n">
        <v>3</v>
      </c>
      <c r="F73" s="394" t="n">
        <v>4</v>
      </c>
      <c r="G73" s="408" t="s">
        <v>234</v>
      </c>
      <c r="H73" s="363" t="n">
        <v>0.81</v>
      </c>
      <c r="I73" s="363"/>
      <c r="J73" s="363"/>
      <c r="K73" s="65"/>
      <c r="L73" s="20"/>
    </row>
    <row r="74" customFormat="false" ht="12.8" hidden="false" customHeight="false" outlineLevel="0" collapsed="false">
      <c r="B74" s="343"/>
      <c r="C74" s="76"/>
      <c r="D74" s="76"/>
      <c r="E74" s="76" t="n">
        <v>3</v>
      </c>
      <c r="F74" s="394" t="n">
        <v>5</v>
      </c>
      <c r="G74" s="408" t="s">
        <v>234</v>
      </c>
      <c r="H74" s="363" t="n">
        <v>0.69</v>
      </c>
      <c r="I74" s="363"/>
      <c r="J74" s="363"/>
      <c r="K74" s="65"/>
      <c r="L74" s="20"/>
    </row>
    <row r="75" customFormat="false" ht="12.8" hidden="false" customHeight="false" outlineLevel="0" collapsed="false">
      <c r="B75" s="343"/>
      <c r="C75" s="76"/>
      <c r="D75" s="76"/>
      <c r="E75" s="76" t="n">
        <v>3</v>
      </c>
      <c r="F75" s="394" t="n">
        <v>6</v>
      </c>
      <c r="G75" s="408" t="s">
        <v>234</v>
      </c>
      <c r="H75" s="363" t="n">
        <v>0.73</v>
      </c>
      <c r="I75" s="363"/>
      <c r="J75" s="363"/>
      <c r="K75" s="65"/>
      <c r="L75" s="20"/>
    </row>
    <row r="76" customFormat="false" ht="12.8" hidden="false" customHeight="false" outlineLevel="0" collapsed="false">
      <c r="B76" s="343"/>
      <c r="C76" s="76"/>
      <c r="D76" s="76"/>
      <c r="E76" s="76" t="n">
        <v>3</v>
      </c>
      <c r="F76" s="394" t="n">
        <v>7</v>
      </c>
      <c r="G76" s="408" t="s">
        <v>234</v>
      </c>
      <c r="H76" s="363" t="n">
        <v>0.69</v>
      </c>
      <c r="I76" s="363"/>
      <c r="J76" s="363"/>
      <c r="K76" s="65"/>
      <c r="L76" s="20"/>
    </row>
    <row r="77" customFormat="false" ht="12.8" hidden="false" customHeight="false" outlineLevel="0" collapsed="false">
      <c r="B77" s="343"/>
      <c r="C77" s="76"/>
      <c r="D77" s="76"/>
      <c r="E77" s="76" t="n">
        <v>3</v>
      </c>
      <c r="F77" s="394" t="n">
        <v>8</v>
      </c>
      <c r="G77" s="408" t="s">
        <v>234</v>
      </c>
      <c r="H77" s="363" t="n">
        <v>0.65</v>
      </c>
      <c r="I77" s="363"/>
      <c r="J77" s="363"/>
      <c r="K77" s="65"/>
      <c r="L77" s="20"/>
    </row>
    <row r="78" customFormat="false" ht="12.8" hidden="false" customHeight="false" outlineLevel="0" collapsed="false">
      <c r="B78" s="383"/>
      <c r="C78" s="72"/>
      <c r="D78" s="72"/>
      <c r="E78" s="72"/>
      <c r="F78" s="72"/>
      <c r="G78" s="72"/>
      <c r="H78" s="72"/>
      <c r="I78" s="411"/>
      <c r="J78" s="411"/>
      <c r="K78" s="388"/>
    </row>
    <row r="79" customFormat="false" ht="12.8" hidden="false" customHeight="false" outlineLevel="0" collapsed="false">
      <c r="K79" s="393"/>
    </row>
    <row r="80" customFormat="false" ht="12.8" hidden="false" customHeight="false" outlineLevel="0" collapsed="false">
      <c r="B80" s="311"/>
      <c r="C80" s="312"/>
      <c r="D80" s="313"/>
      <c r="E80" s="313"/>
      <c r="F80" s="313"/>
      <c r="G80" s="313"/>
      <c r="H80" s="313"/>
      <c r="I80" s="316"/>
      <c r="J80" s="316"/>
      <c r="K80" s="317"/>
    </row>
    <row r="81" customFormat="false" ht="18.55" hidden="false" customHeight="false" outlineLevel="0" collapsed="false">
      <c r="B81" s="343"/>
      <c r="C81" s="6" t="s">
        <v>226</v>
      </c>
      <c r="D81" s="394"/>
      <c r="E81" s="394"/>
      <c r="F81" s="394"/>
      <c r="G81" s="394"/>
      <c r="H81" s="394"/>
      <c r="I81" s="363"/>
      <c r="J81" s="363"/>
      <c r="K81" s="364"/>
    </row>
    <row r="82" customFormat="false" ht="12.8" hidden="false" customHeight="false" outlineLevel="0" collapsed="false">
      <c r="B82" s="343"/>
      <c r="C82" s="76" t="s">
        <v>236</v>
      </c>
      <c r="D82" s="76"/>
      <c r="E82" s="76"/>
      <c r="F82" s="394"/>
      <c r="G82" s="394"/>
      <c r="H82" s="394"/>
      <c r="I82" s="271"/>
      <c r="J82" s="363"/>
      <c r="K82" s="65"/>
      <c r="L82" s="20"/>
    </row>
    <row r="83" customFormat="false" ht="12.8" hidden="false" customHeight="false" outlineLevel="0" collapsed="false">
      <c r="B83" s="383"/>
      <c r="C83" s="72"/>
      <c r="D83" s="72"/>
      <c r="E83" s="72"/>
      <c r="F83" s="72"/>
      <c r="G83" s="72"/>
      <c r="H83" s="72"/>
      <c r="I83" s="352"/>
      <c r="J83" s="352"/>
      <c r="K83" s="388"/>
    </row>
    <row r="84" customFormat="false" ht="12.8" hidden="false" customHeight="false" outlineLevel="0" collapsed="false">
      <c r="K84" s="393"/>
    </row>
    <row r="117" customFormat="false" ht="12.8" hidden="false" customHeight="false" outlineLevel="0" collapsed="false">
      <c r="K117" s="405"/>
    </row>
    <row r="147" customFormat="false" ht="12.8" hidden="false" customHeight="false" outlineLevel="0" collapsed="false">
      <c r="K147" s="167" t="s">
        <v>229</v>
      </c>
    </row>
  </sheetData>
  <mergeCells count="2">
    <mergeCell ref="C3:F3"/>
    <mergeCell ref="C4:D4"/>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AF29"/>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O35" activeCellId="0" sqref="O35"/>
    </sheetView>
  </sheetViews>
  <sheetFormatPr defaultColWidth="11.53515625" defaultRowHeight="12.8" zeroHeight="false" outlineLevelRow="0" outlineLevelCol="0"/>
  <cols>
    <col collapsed="false" customWidth="true" hidden="false" outlineLevel="0" max="1" min="1" style="1" width="3.3"/>
    <col collapsed="false" customWidth="true" hidden="false" outlineLevel="0" max="2" min="2" style="1" width="3.47"/>
    <col collapsed="false" customWidth="true" hidden="false" outlineLevel="0" max="3" min="3" style="1" width="13.7"/>
    <col collapsed="false" customWidth="true" hidden="false" outlineLevel="0" max="4" min="4" style="1" width="13.36"/>
    <col collapsed="false" customWidth="true" hidden="false" outlineLevel="0" max="5" min="5" style="1" width="3.45"/>
    <col collapsed="false" customWidth="true" hidden="false" outlineLevel="0" max="6" min="6" style="1" width="3.89"/>
    <col collapsed="false" customWidth="true" hidden="false" outlineLevel="0" max="7" min="7" style="1" width="7.8"/>
    <col collapsed="false" customWidth="true" hidden="false" outlineLevel="0" max="8" min="8" style="1" width="10.73"/>
    <col collapsed="false" customWidth="true" hidden="false" outlineLevel="0" max="9" min="9" style="1" width="8.79"/>
    <col collapsed="false" customWidth="true" hidden="false" outlineLevel="0" max="10" min="10" style="1" width="10.58"/>
    <col collapsed="false" customWidth="true" hidden="false" outlineLevel="0" max="14" min="11" style="1" width="8.75"/>
    <col collapsed="false" customWidth="true" hidden="false" outlineLevel="0" max="15" min="15" style="1" width="5.7"/>
    <col collapsed="false" customWidth="true" hidden="false" outlineLevel="0" max="16" min="16" style="1" width="5.28"/>
    <col collapsed="false" customWidth="true" hidden="false" outlineLevel="0" max="17" min="17" style="412" width="9.72"/>
    <col collapsed="false" customWidth="true" hidden="false" outlineLevel="0" max="18" min="18" style="412" width="8.33"/>
    <col collapsed="false" customWidth="true" hidden="false" outlineLevel="0" max="19" min="19" style="412" width="6.62"/>
    <col collapsed="false" customWidth="true" hidden="false" outlineLevel="0" max="20" min="20" style="1" width="9.03"/>
    <col collapsed="false" customWidth="true" hidden="false" outlineLevel="0" max="21" min="21" style="1" width="6.04"/>
    <col collapsed="false" customWidth="true" hidden="false" outlineLevel="0" max="22" min="22" style="1" width="5.96"/>
    <col collapsed="false" customWidth="true" hidden="false" outlineLevel="0" max="23" min="23" style="1" width="9.93"/>
    <col collapsed="false" customWidth="true" hidden="false" outlineLevel="0" max="24" min="24" style="1" width="9.72"/>
    <col collapsed="false" customWidth="true" hidden="false" outlineLevel="0" max="25" min="25" style="1" width="7.9"/>
    <col collapsed="false" customWidth="true" hidden="false" outlineLevel="0" max="26" min="26" style="1" width="6.11"/>
    <col collapsed="false" customWidth="true" hidden="false" outlineLevel="0" max="27" min="27" style="1" width="5.7"/>
    <col collapsed="false" customWidth="true" hidden="false" outlineLevel="0" max="28" min="28" style="1" width="5.83"/>
    <col collapsed="false" customWidth="true" hidden="false" outlineLevel="0" max="29" min="29" style="412" width="6.11"/>
    <col collapsed="false" customWidth="true" hidden="false" outlineLevel="0" max="30" min="30" style="1" width="5.96"/>
    <col collapsed="false" customWidth="true" hidden="false" outlineLevel="0" max="31" min="31" style="1" width="6.54"/>
    <col collapsed="false" customWidth="true" hidden="false" outlineLevel="0" max="32" min="32" style="1" width="2.77"/>
    <col collapsed="false" customWidth="false" hidden="false" outlineLevel="0" max="1004" min="33" style="1" width="11.52"/>
    <col collapsed="false" customWidth="false" hidden="false" outlineLevel="0" max="1005" min="1005" style="1" width="11.54"/>
    <col collapsed="false" customWidth="false" hidden="false" outlineLevel="0" max="1024" min="1006" style="1" width="11.52"/>
  </cols>
  <sheetData>
    <row r="2" customFormat="false" ht="12.8" hidden="false" customHeight="false" outlineLevel="0" collapsed="false">
      <c r="B2" s="2"/>
      <c r="C2" s="3"/>
      <c r="D2" s="3"/>
      <c r="E2" s="3"/>
      <c r="F2" s="3"/>
      <c r="G2" s="3"/>
      <c r="H2" s="3"/>
      <c r="I2" s="3"/>
      <c r="J2" s="3"/>
      <c r="K2" s="3"/>
      <c r="L2" s="3"/>
      <c r="M2" s="3"/>
      <c r="N2" s="3"/>
      <c r="O2" s="3"/>
      <c r="P2" s="3"/>
      <c r="Q2" s="413"/>
      <c r="R2" s="413"/>
      <c r="S2" s="413"/>
      <c r="T2" s="3"/>
      <c r="U2" s="3"/>
      <c r="V2" s="3"/>
      <c r="W2" s="3"/>
      <c r="X2" s="3"/>
      <c r="Y2" s="3"/>
      <c r="Z2" s="3"/>
      <c r="AA2" s="3"/>
      <c r="AB2" s="3"/>
      <c r="AC2" s="413"/>
      <c r="AD2" s="3"/>
      <c r="AE2" s="3"/>
      <c r="AF2" s="4"/>
    </row>
    <row r="3" customFormat="false" ht="25.35" hidden="false" customHeight="true" outlineLevel="0" collapsed="false">
      <c r="B3" s="5"/>
      <c r="C3" s="239" t="s">
        <v>237</v>
      </c>
      <c r="D3" s="70" t="s">
        <v>238</v>
      </c>
      <c r="E3" s="70"/>
      <c r="F3" s="70" t="s">
        <v>211</v>
      </c>
      <c r="G3" s="255" t="s">
        <v>239</v>
      </c>
      <c r="H3" s="188" t="s">
        <v>240</v>
      </c>
      <c r="I3" s="188" t="s">
        <v>241</v>
      </c>
      <c r="J3" s="414" t="s">
        <v>242</v>
      </c>
      <c r="K3" s="255" t="s">
        <v>185</v>
      </c>
      <c r="L3" s="188" t="s">
        <v>186</v>
      </c>
      <c r="M3" s="188" t="s">
        <v>187</v>
      </c>
      <c r="N3" s="415" t="s">
        <v>243</v>
      </c>
      <c r="O3" s="415"/>
      <c r="P3" s="415"/>
      <c r="Q3" s="415" t="s">
        <v>244</v>
      </c>
      <c r="R3" s="415"/>
      <c r="S3" s="415"/>
      <c r="T3" s="415" t="s">
        <v>245</v>
      </c>
      <c r="U3" s="415"/>
      <c r="V3" s="415"/>
      <c r="W3" s="415" t="s">
        <v>246</v>
      </c>
      <c r="X3" s="415"/>
      <c r="Y3" s="415"/>
      <c r="Z3" s="415" t="s">
        <v>247</v>
      </c>
      <c r="AA3" s="415"/>
      <c r="AB3" s="415"/>
      <c r="AC3" s="416" t="s">
        <v>248</v>
      </c>
      <c r="AD3" s="416"/>
      <c r="AE3" s="416"/>
      <c r="AF3" s="71"/>
    </row>
    <row r="4" customFormat="false" ht="24.55" hidden="false" customHeight="true" outlineLevel="0" collapsed="false">
      <c r="B4" s="5"/>
      <c r="C4" s="193"/>
      <c r="D4" s="73"/>
      <c r="E4" s="73"/>
      <c r="F4" s="193"/>
      <c r="G4" s="417" t="s">
        <v>193</v>
      </c>
      <c r="H4" s="418" t="s">
        <v>193</v>
      </c>
      <c r="I4" s="418" t="s">
        <v>193</v>
      </c>
      <c r="J4" s="419" t="s">
        <v>193</v>
      </c>
      <c r="K4" s="417" t="s">
        <v>195</v>
      </c>
      <c r="L4" s="418" t="s">
        <v>195</v>
      </c>
      <c r="M4" s="418" t="s">
        <v>195</v>
      </c>
      <c r="N4" s="420" t="s">
        <v>249</v>
      </c>
      <c r="O4" s="421" t="s">
        <v>49</v>
      </c>
      <c r="P4" s="421" t="s">
        <v>50</v>
      </c>
      <c r="Q4" s="420" t="s">
        <v>250</v>
      </c>
      <c r="R4" s="421" t="s">
        <v>49</v>
      </c>
      <c r="S4" s="421" t="s">
        <v>50</v>
      </c>
      <c r="T4" s="420" t="s">
        <v>249</v>
      </c>
      <c r="U4" s="421" t="s">
        <v>49</v>
      </c>
      <c r="V4" s="421" t="s">
        <v>50</v>
      </c>
      <c r="W4" s="420" t="s">
        <v>250</v>
      </c>
      <c r="X4" s="421" t="s">
        <v>49</v>
      </c>
      <c r="Y4" s="421" t="s">
        <v>50</v>
      </c>
      <c r="Z4" s="420" t="s">
        <v>251</v>
      </c>
      <c r="AA4" s="421" t="s">
        <v>49</v>
      </c>
      <c r="AB4" s="422" t="s">
        <v>50</v>
      </c>
      <c r="AC4" s="423" t="s">
        <v>51</v>
      </c>
      <c r="AD4" s="421" t="s">
        <v>49</v>
      </c>
      <c r="AE4" s="421" t="s">
        <v>50</v>
      </c>
      <c r="AF4" s="74"/>
    </row>
    <row r="5" customFormat="false" ht="12.8" hidden="false" customHeight="false" outlineLevel="0" collapsed="false">
      <c r="B5" s="5"/>
      <c r="C5" s="76" t="s">
        <v>197</v>
      </c>
      <c r="D5" s="76" t="s">
        <v>53</v>
      </c>
      <c r="E5" s="408" t="n">
        <v>3</v>
      </c>
      <c r="F5" s="76" t="n">
        <v>1</v>
      </c>
      <c r="G5" s="424"/>
      <c r="H5" s="425"/>
      <c r="I5" s="425"/>
      <c r="J5" s="426"/>
      <c r="K5" s="427"/>
      <c r="L5" s="425"/>
      <c r="M5" s="425" t="n">
        <v>29.020044657154</v>
      </c>
      <c r="N5" s="428"/>
      <c r="O5" s="209"/>
      <c r="P5" s="209"/>
      <c r="Q5" s="428"/>
      <c r="R5" s="209"/>
      <c r="S5" s="209"/>
      <c r="T5" s="428"/>
      <c r="U5" s="209"/>
      <c r="V5" s="209"/>
      <c r="W5" s="428"/>
      <c r="X5" s="209"/>
      <c r="Y5" s="209"/>
      <c r="Z5" s="428"/>
      <c r="AA5" s="209"/>
      <c r="AB5" s="429"/>
      <c r="AC5" s="430"/>
      <c r="AD5" s="209"/>
      <c r="AE5" s="209"/>
      <c r="AF5" s="79"/>
    </row>
    <row r="6" customFormat="false" ht="12.8" hidden="false" customHeight="false" outlineLevel="0" collapsed="false">
      <c r="B6" s="5"/>
      <c r="C6" s="76"/>
      <c r="D6" s="76"/>
      <c r="E6" s="408" t="n">
        <v>3</v>
      </c>
      <c r="F6" s="76" t="n">
        <v>2</v>
      </c>
      <c r="G6" s="424" t="n">
        <v>66.55</v>
      </c>
      <c r="H6" s="425" t="n">
        <v>88.94</v>
      </c>
      <c r="I6" s="425" t="n">
        <v>0</v>
      </c>
      <c r="J6" s="426" t="n">
        <f aca="false">H6-G6-I6</f>
        <v>22.39</v>
      </c>
      <c r="K6" s="427" t="n">
        <v>22.31</v>
      </c>
      <c r="L6" s="425" t="n">
        <v>0.17</v>
      </c>
      <c r="M6" s="425" t="n">
        <v>20.2219843266141</v>
      </c>
      <c r="N6" s="428" t="n">
        <v>1.45</v>
      </c>
      <c r="O6" s="209" t="n">
        <f aca="false">AVERAGE(N6:N11)</f>
        <v>3.525</v>
      </c>
      <c r="P6" s="209" t="n">
        <f aca="false">STDEV(N6:N11)</f>
        <v>2.35535772230037</v>
      </c>
      <c r="Q6" s="428" t="n">
        <f aca="false">1000*N6/M6</f>
        <v>71.7041402357166</v>
      </c>
      <c r="R6" s="209" t="n">
        <f aca="false">AVERAGE(Q6:Q11)</f>
        <v>126.144763711251</v>
      </c>
      <c r="S6" s="209" t="n">
        <f aca="false">STDEV(Q6:Q11)</f>
        <v>67.8208013254121</v>
      </c>
      <c r="T6" s="428" t="n">
        <v>26.55</v>
      </c>
      <c r="U6" s="209" t="n">
        <f aca="false">AVERAGE(T6:T11)</f>
        <v>30.115</v>
      </c>
      <c r="V6" s="209" t="n">
        <f aca="false">STDEV(T6:T11)</f>
        <v>10.370027483088</v>
      </c>
      <c r="W6" s="428" t="n">
        <f aca="false">1000*T6/M6</f>
        <v>1312.92753328157</v>
      </c>
      <c r="X6" s="209" t="n">
        <f aca="false">AVERAGE(W6:W11)</f>
        <v>1163.40646108769</v>
      </c>
      <c r="Y6" s="209" t="n">
        <f aca="false">STDEV(W6:W11)</f>
        <v>373.858980292848</v>
      </c>
      <c r="Z6" s="428" t="n">
        <v>1.28</v>
      </c>
      <c r="AA6" s="209" t="n">
        <f aca="false">AVERAGE(Z6:Z11)</f>
        <v>1.285</v>
      </c>
      <c r="AB6" s="429" t="n">
        <f aca="false">STDEV(Z6:Z11)</f>
        <v>0.0504975246918104</v>
      </c>
      <c r="AC6" s="430" t="n">
        <f aca="false">N6/T6</f>
        <v>0.0546139359698682</v>
      </c>
      <c r="AD6" s="431" t="n">
        <f aca="false">AVERAGE(AC6:AC11)</f>
        <v>0.117768742938066</v>
      </c>
      <c r="AE6" s="431" t="n">
        <f aca="false">STDEV(AC6:AC11)</f>
        <v>0.0741860202920979</v>
      </c>
      <c r="AF6" s="79"/>
    </row>
    <row r="7" customFormat="false" ht="12.8" hidden="false" customHeight="false" outlineLevel="0" collapsed="false">
      <c r="B7" s="5"/>
      <c r="C7" s="76"/>
      <c r="D7" s="76"/>
      <c r="E7" s="408" t="n">
        <v>3</v>
      </c>
      <c r="F7" s="76" t="n">
        <v>3</v>
      </c>
      <c r="G7" s="424" t="n">
        <v>67.39</v>
      </c>
      <c r="H7" s="425" t="n">
        <v>89.74</v>
      </c>
      <c r="I7" s="425" t="n">
        <v>0</v>
      </c>
      <c r="J7" s="426" t="n">
        <f aca="false">H7-G7-I7</f>
        <v>22.35</v>
      </c>
      <c r="K7" s="427" t="n">
        <v>14.46</v>
      </c>
      <c r="L7" s="425" t="n">
        <v>0.13</v>
      </c>
      <c r="M7" s="425" t="n">
        <v>20.3420792716905</v>
      </c>
      <c r="N7" s="428" t="n">
        <v>1.19</v>
      </c>
      <c r="O7" s="9"/>
      <c r="P7" s="209"/>
      <c r="Q7" s="428" t="n">
        <f aca="false">1000*N7/M7</f>
        <v>58.4994279152225</v>
      </c>
      <c r="R7" s="9"/>
      <c r="S7" s="209"/>
      <c r="T7" s="428" t="n">
        <v>15.39</v>
      </c>
      <c r="U7" s="9"/>
      <c r="V7" s="209"/>
      <c r="W7" s="428" t="n">
        <f aca="false">1000*T7/M7</f>
        <v>756.559828248129</v>
      </c>
      <c r="X7" s="9"/>
      <c r="Y7" s="209"/>
      <c r="Z7" s="428" t="n">
        <v>1.3</v>
      </c>
      <c r="AA7" s="9"/>
      <c r="AB7" s="429"/>
      <c r="AC7" s="430" t="n">
        <f aca="false">N7/T7</f>
        <v>0.0773229369720598</v>
      </c>
      <c r="AD7" s="9"/>
      <c r="AE7" s="431"/>
      <c r="AF7" s="79"/>
    </row>
    <row r="8" customFormat="false" ht="12.8" hidden="false" customHeight="false" outlineLevel="0" collapsed="false">
      <c r="B8" s="5"/>
      <c r="C8" s="76"/>
      <c r="D8" s="76"/>
      <c r="E8" s="408" t="n">
        <v>3</v>
      </c>
      <c r="F8" s="76" t="n">
        <v>4</v>
      </c>
      <c r="G8" s="424" t="n">
        <v>67.58</v>
      </c>
      <c r="H8" s="425" t="n">
        <v>88.01</v>
      </c>
      <c r="I8" s="425" t="n">
        <v>0</v>
      </c>
      <c r="J8" s="426" t="n">
        <f aca="false">H8-G8-I8</f>
        <v>20.43</v>
      </c>
      <c r="K8" s="427" t="n">
        <v>21.29</v>
      </c>
      <c r="L8" s="425" t="n">
        <v>0.04</v>
      </c>
      <c r="M8" s="425" t="n">
        <v>27.3281578389666</v>
      </c>
      <c r="N8" s="428" t="n">
        <v>2.46</v>
      </c>
      <c r="O8" s="9"/>
      <c r="P8" s="209"/>
      <c r="Q8" s="428" t="n">
        <f aca="false">1000*N8/M8</f>
        <v>90.0170444892682</v>
      </c>
      <c r="R8" s="9"/>
      <c r="S8" s="209"/>
      <c r="T8" s="428" t="n">
        <v>36</v>
      </c>
      <c r="U8" s="9"/>
      <c r="V8" s="209"/>
      <c r="W8" s="428" t="n">
        <f aca="false">1000*T8/M8</f>
        <v>1317.32260228197</v>
      </c>
      <c r="X8" s="9"/>
      <c r="Y8" s="209"/>
      <c r="Z8" s="428" t="n">
        <v>1.3</v>
      </c>
      <c r="AA8" s="9"/>
      <c r="AB8" s="429"/>
      <c r="AC8" s="430" t="n">
        <f aca="false">N8/T8</f>
        <v>0.0683333333333333</v>
      </c>
      <c r="AD8" s="9"/>
      <c r="AE8" s="431"/>
      <c r="AF8" s="79"/>
    </row>
    <row r="9" customFormat="false" ht="12.8" hidden="false" customHeight="false" outlineLevel="0" collapsed="false">
      <c r="B9" s="5"/>
      <c r="C9" s="76"/>
      <c r="D9" s="76"/>
      <c r="E9" s="408" t="n">
        <v>3</v>
      </c>
      <c r="F9" s="76" t="n">
        <v>5</v>
      </c>
      <c r="G9" s="424" t="n">
        <v>69.14</v>
      </c>
      <c r="H9" s="425" t="n">
        <v>88.92</v>
      </c>
      <c r="I9" s="425" t="n">
        <v>0</v>
      </c>
      <c r="J9" s="426" t="n">
        <f aca="false">H9-G9-I9</f>
        <v>19.78</v>
      </c>
      <c r="K9" s="427" t="n">
        <v>28.94</v>
      </c>
      <c r="L9" s="425" t="n">
        <v>0.17</v>
      </c>
      <c r="M9" s="425" t="n">
        <v>30.1051608354303</v>
      </c>
      <c r="N9" s="428" t="n">
        <v>7.24</v>
      </c>
      <c r="O9" s="209"/>
      <c r="P9" s="209"/>
      <c r="Q9" s="428" t="n">
        <f aca="false">1000*N9/M9</f>
        <v>240.490327873597</v>
      </c>
      <c r="R9" s="209"/>
      <c r="S9" s="209"/>
      <c r="T9" s="428" t="n">
        <v>40.16</v>
      </c>
      <c r="U9" s="209"/>
      <c r="V9" s="209"/>
      <c r="W9" s="428" t="n">
        <f aca="false">1000*T9/M9</f>
        <v>1333.99054798393</v>
      </c>
      <c r="X9" s="209"/>
      <c r="Y9" s="209"/>
      <c r="Z9" s="428" t="n">
        <v>1.19</v>
      </c>
      <c r="AA9" s="209"/>
      <c r="AB9" s="429"/>
      <c r="AC9" s="430" t="n">
        <f aca="false">N9/T9</f>
        <v>0.180278884462151</v>
      </c>
      <c r="AD9" s="431"/>
      <c r="AE9" s="431"/>
      <c r="AF9" s="79"/>
    </row>
    <row r="10" customFormat="false" ht="12.8" hidden="false" customHeight="false" outlineLevel="0" collapsed="false">
      <c r="B10" s="5"/>
      <c r="C10" s="76"/>
      <c r="D10" s="76"/>
      <c r="E10" s="408" t="n">
        <v>3</v>
      </c>
      <c r="F10" s="76" t="n">
        <v>6</v>
      </c>
      <c r="G10" s="424" t="n">
        <v>66.86</v>
      </c>
      <c r="H10" s="425" t="n">
        <v>87.95</v>
      </c>
      <c r="I10" s="425" t="n">
        <v>0</v>
      </c>
      <c r="J10" s="426" t="n">
        <f aca="false">H10-G10-I10</f>
        <v>21.09</v>
      </c>
      <c r="K10" s="427" t="n">
        <v>26.08</v>
      </c>
      <c r="L10" s="425" t="n">
        <v>0.09</v>
      </c>
      <c r="M10" s="425" t="n">
        <v>25.2041629837306</v>
      </c>
      <c r="N10" s="428" t="n">
        <v>3.54</v>
      </c>
      <c r="O10" s="209"/>
      <c r="P10" s="209"/>
      <c r="Q10" s="428" t="n">
        <f aca="false">1000*N10/M10</f>
        <v>140.452987956199</v>
      </c>
      <c r="R10" s="209"/>
      <c r="S10" s="209"/>
      <c r="T10" s="428" t="n">
        <v>40.51</v>
      </c>
      <c r="U10" s="209"/>
      <c r="V10" s="209"/>
      <c r="W10" s="428" t="n">
        <f aca="false">1000*T10/M10</f>
        <v>1607.27416443662</v>
      </c>
      <c r="X10" s="209"/>
      <c r="Y10" s="209"/>
      <c r="Z10" s="428" t="n">
        <v>1.3</v>
      </c>
      <c r="AA10" s="209"/>
      <c r="AB10" s="429"/>
      <c r="AC10" s="430" t="n">
        <f aca="false">N10/T10</f>
        <v>0.0873858306590965</v>
      </c>
      <c r="AD10" s="431"/>
      <c r="AE10" s="431"/>
      <c r="AF10" s="79"/>
    </row>
    <row r="11" customFormat="false" ht="12.8" hidden="false" customHeight="false" outlineLevel="0" collapsed="false">
      <c r="B11" s="5"/>
      <c r="C11" s="76"/>
      <c r="D11" s="76"/>
      <c r="E11" s="408" t="n">
        <v>3</v>
      </c>
      <c r="F11" s="76" t="n">
        <v>7</v>
      </c>
      <c r="G11" s="424" t="n">
        <v>67.17</v>
      </c>
      <c r="H11" s="425" t="n">
        <v>86.78</v>
      </c>
      <c r="I11" s="425" t="n">
        <v>0</v>
      </c>
      <c r="J11" s="426" t="n">
        <f aca="false">H11-G11-I11</f>
        <v>19.61</v>
      </c>
      <c r="K11" s="427" t="n">
        <v>39.09</v>
      </c>
      <c r="L11" s="425" t="n">
        <v>0.48</v>
      </c>
      <c r="M11" s="425" t="n">
        <v>33.8461302952042</v>
      </c>
      <c r="N11" s="428" t="n">
        <v>5.27</v>
      </c>
      <c r="O11" s="209"/>
      <c r="P11" s="209"/>
      <c r="Q11" s="428" t="n">
        <f aca="false">1000*N11/M11</f>
        <v>155.704653797505</v>
      </c>
      <c r="R11" s="209"/>
      <c r="S11" s="209"/>
      <c r="T11" s="428" t="n">
        <v>22.08</v>
      </c>
      <c r="U11" s="209"/>
      <c r="V11" s="209"/>
      <c r="W11" s="428" t="n">
        <f aca="false">1000*T11/M11</f>
        <v>652.364090293909</v>
      </c>
      <c r="X11" s="209"/>
      <c r="Y11" s="209"/>
      <c r="Z11" s="428" t="n">
        <v>1.34</v>
      </c>
      <c r="AA11" s="209"/>
      <c r="AB11" s="429"/>
      <c r="AC11" s="430" t="n">
        <f aca="false">N11/T11</f>
        <v>0.238677536231884</v>
      </c>
      <c r="AD11" s="431"/>
      <c r="AE11" s="431"/>
      <c r="AF11" s="79"/>
    </row>
    <row r="12" customFormat="false" ht="12.8" hidden="false" customHeight="false" outlineLevel="0" collapsed="false">
      <c r="B12" s="5"/>
      <c r="C12" s="84"/>
      <c r="D12" s="84"/>
      <c r="E12" s="409" t="n">
        <v>3</v>
      </c>
      <c r="F12" s="76" t="n">
        <v>8</v>
      </c>
      <c r="G12" s="424"/>
      <c r="H12" s="425"/>
      <c r="I12" s="425"/>
      <c r="J12" s="426"/>
      <c r="K12" s="427"/>
      <c r="L12" s="425"/>
      <c r="M12" s="425" t="n">
        <v>19.3079982072743</v>
      </c>
      <c r="N12" s="428"/>
      <c r="O12" s="209"/>
      <c r="P12" s="209"/>
      <c r="Q12" s="428"/>
      <c r="R12" s="209"/>
      <c r="S12" s="209"/>
      <c r="T12" s="428"/>
      <c r="U12" s="209"/>
      <c r="V12" s="209"/>
      <c r="W12" s="428"/>
      <c r="X12" s="209"/>
      <c r="Y12" s="209"/>
      <c r="Z12" s="428"/>
      <c r="AA12" s="209"/>
      <c r="AB12" s="429"/>
      <c r="AC12" s="430"/>
      <c r="AD12" s="431"/>
      <c r="AE12" s="431"/>
      <c r="AF12" s="79"/>
    </row>
    <row r="13" customFormat="false" ht="12.8" hidden="false" customHeight="false" outlineLevel="0" collapsed="false">
      <c r="B13" s="5"/>
      <c r="C13" s="76" t="str">
        <f aca="false">C5</f>
        <v>Agropastoral</v>
      </c>
      <c r="D13" s="81" t="s">
        <v>55</v>
      </c>
      <c r="E13" s="410" t="n">
        <v>2</v>
      </c>
      <c r="F13" s="81" t="n">
        <v>1</v>
      </c>
      <c r="G13" s="432"/>
      <c r="H13" s="432"/>
      <c r="I13" s="432"/>
      <c r="J13" s="433"/>
      <c r="K13" s="434"/>
      <c r="L13" s="432"/>
      <c r="M13" s="432" t="n">
        <v>9.93028138363217</v>
      </c>
      <c r="N13" s="435"/>
      <c r="O13" s="436"/>
      <c r="P13" s="436"/>
      <c r="Q13" s="435"/>
      <c r="R13" s="436"/>
      <c r="S13" s="436"/>
      <c r="T13" s="435"/>
      <c r="U13" s="436"/>
      <c r="V13" s="436"/>
      <c r="W13" s="435"/>
      <c r="X13" s="436"/>
      <c r="Y13" s="436"/>
      <c r="Z13" s="435"/>
      <c r="AA13" s="436"/>
      <c r="AB13" s="437"/>
      <c r="AC13" s="438"/>
      <c r="AD13" s="439"/>
      <c r="AE13" s="439"/>
      <c r="AF13" s="79"/>
    </row>
    <row r="14" customFormat="false" ht="12.8" hidden="false" customHeight="false" outlineLevel="0" collapsed="false">
      <c r="B14" s="5"/>
      <c r="C14" s="76"/>
      <c r="D14" s="76"/>
      <c r="E14" s="408" t="n">
        <v>2</v>
      </c>
      <c r="F14" s="76" t="n">
        <v>2</v>
      </c>
      <c r="G14" s="424" t="n">
        <v>66.89</v>
      </c>
      <c r="H14" s="424" t="n">
        <v>89.2</v>
      </c>
      <c r="I14" s="424" t="n">
        <v>0</v>
      </c>
      <c r="J14" s="426" t="n">
        <f aca="false">H14-G14-I14</f>
        <v>22.31</v>
      </c>
      <c r="K14" s="427" t="n">
        <v>11.41</v>
      </c>
      <c r="L14" s="425" t="n">
        <v>0.04</v>
      </c>
      <c r="M14" s="425" t="n">
        <v>7.81251184734386</v>
      </c>
      <c r="N14" s="428" t="n">
        <v>1.31</v>
      </c>
      <c r="O14" s="209" t="n">
        <f aca="false">AVERAGE(N14:N19)</f>
        <v>0.991666666666667</v>
      </c>
      <c r="P14" s="209" t="n">
        <f aca="false">STDEV(N14:N19)</f>
        <v>0.489914958606763</v>
      </c>
      <c r="Q14" s="428" t="n">
        <f aca="false">1000*N14/M14</f>
        <v>167.67974572037</v>
      </c>
      <c r="R14" s="209" t="n">
        <f aca="false">AVERAGE(Q14:Q19)</f>
        <v>104.346872040558</v>
      </c>
      <c r="S14" s="209" t="n">
        <f aca="false">STDEV(Q14:Q19)</f>
        <v>51.4757308999779</v>
      </c>
      <c r="T14" s="428" t="n">
        <v>11.51</v>
      </c>
      <c r="U14" s="209" t="n">
        <f aca="false">AVERAGE(T14:T19)</f>
        <v>11.8533333333333</v>
      </c>
      <c r="V14" s="209" t="n">
        <f aca="false">STDEV(T14:T19)</f>
        <v>2.69665471773208</v>
      </c>
      <c r="W14" s="428" t="n">
        <f aca="false">1000*T14/M14</f>
        <v>1473.27776583318</v>
      </c>
      <c r="X14" s="209" t="n">
        <f aca="false">AVERAGE(W14:W19)</f>
        <v>1254.24342250762</v>
      </c>
      <c r="Y14" s="209" t="n">
        <f aca="false">STDEV(W14:W19)</f>
        <v>269.15404545405</v>
      </c>
      <c r="Z14" s="428" t="n">
        <v>1.28</v>
      </c>
      <c r="AA14" s="209" t="n">
        <f aca="false">AVERAGE(Z14:Z19)</f>
        <v>1.30166666666667</v>
      </c>
      <c r="AB14" s="429" t="n">
        <f aca="false">STDEV(Z14:Z19)</f>
        <v>0.0263944438597722</v>
      </c>
      <c r="AC14" s="430" t="n">
        <f aca="false">N14/T14</f>
        <v>0.113814074717637</v>
      </c>
      <c r="AD14" s="431" t="n">
        <f aca="false">AVERAGE(AC14:AC19)</f>
        <v>0.0796976252111047</v>
      </c>
      <c r="AE14" s="431" t="n">
        <f aca="false">STDEV(AC14:AC19)</f>
        <v>0.0290181463991392</v>
      </c>
      <c r="AF14" s="79"/>
    </row>
    <row r="15" customFormat="false" ht="12.8" hidden="false" customHeight="false" outlineLevel="0" collapsed="false">
      <c r="B15" s="5"/>
      <c r="C15" s="76"/>
      <c r="D15" s="76"/>
      <c r="E15" s="408" t="n">
        <v>2</v>
      </c>
      <c r="F15" s="76" t="n">
        <v>3</v>
      </c>
      <c r="G15" s="424" t="n">
        <v>66.92</v>
      </c>
      <c r="H15" s="424" t="n">
        <v>88.89</v>
      </c>
      <c r="I15" s="424" t="n">
        <v>0</v>
      </c>
      <c r="J15" s="426" t="n">
        <f aca="false">H15-G15-I15</f>
        <v>21.97</v>
      </c>
      <c r="K15" s="427" t="n">
        <v>12.43</v>
      </c>
      <c r="L15" s="425" t="n">
        <v>0.03</v>
      </c>
      <c r="M15" s="425" t="n">
        <v>9.86697533900438</v>
      </c>
      <c r="N15" s="428" t="n">
        <v>1.43</v>
      </c>
      <c r="O15" s="9"/>
      <c r="P15" s="215"/>
      <c r="Q15" s="428" t="n">
        <f aca="false">1000*N15/M15</f>
        <v>144.927898456093</v>
      </c>
      <c r="R15" s="9"/>
      <c r="S15" s="209"/>
      <c r="T15" s="428" t="n">
        <v>14.26</v>
      </c>
      <c r="U15" s="9"/>
      <c r="V15" s="215"/>
      <c r="W15" s="428" t="n">
        <f aca="false">1000*T15/M15</f>
        <v>1445.22505733139</v>
      </c>
      <c r="X15" s="9"/>
      <c r="Y15" s="209"/>
      <c r="Z15" s="428" t="n">
        <v>1.31</v>
      </c>
      <c r="AA15" s="9"/>
      <c r="AB15" s="429"/>
      <c r="AC15" s="430" t="n">
        <f aca="false">N15/T15</f>
        <v>0.100280504908836</v>
      </c>
      <c r="AD15" s="9"/>
      <c r="AE15" s="307"/>
      <c r="AF15" s="79"/>
    </row>
    <row r="16" customFormat="false" ht="12.8" hidden="false" customHeight="false" outlineLevel="0" collapsed="false">
      <c r="B16" s="5"/>
      <c r="C16" s="76"/>
      <c r="D16" s="76"/>
      <c r="E16" s="408" t="n">
        <v>2</v>
      </c>
      <c r="F16" s="76" t="n">
        <v>4</v>
      </c>
      <c r="G16" s="424" t="n">
        <v>66.15</v>
      </c>
      <c r="H16" s="424" t="n">
        <v>88.78</v>
      </c>
      <c r="I16" s="424" t="n">
        <v>0</v>
      </c>
      <c r="J16" s="426" t="n">
        <f aca="false">H16-G16-I16</f>
        <v>22.63</v>
      </c>
      <c r="K16" s="427" t="n">
        <v>10.78</v>
      </c>
      <c r="L16" s="425" t="n">
        <v>0.03</v>
      </c>
      <c r="M16" s="425" t="n">
        <v>10.8257533396857</v>
      </c>
      <c r="N16" s="428" t="n">
        <v>0.47</v>
      </c>
      <c r="O16" s="9"/>
      <c r="P16" s="215"/>
      <c r="Q16" s="428" t="n">
        <f aca="false">1000*N16/M16</f>
        <v>43.4149924954456</v>
      </c>
      <c r="R16" s="9"/>
      <c r="S16" s="209"/>
      <c r="T16" s="428" t="n">
        <v>8.59</v>
      </c>
      <c r="U16" s="9"/>
      <c r="V16" s="215"/>
      <c r="W16" s="428" t="n">
        <f aca="false">1000*T16/M16</f>
        <v>793.478267097612</v>
      </c>
      <c r="X16" s="9"/>
      <c r="Y16" s="209"/>
      <c r="Z16" s="428" t="n">
        <v>1.32</v>
      </c>
      <c r="AA16" s="9"/>
      <c r="AB16" s="429"/>
      <c r="AC16" s="430" t="n">
        <f aca="false">N16/T16</f>
        <v>0.0547147846332945</v>
      </c>
      <c r="AD16" s="9"/>
      <c r="AE16" s="307"/>
      <c r="AF16" s="79"/>
    </row>
    <row r="17" customFormat="false" ht="12.8" hidden="false" customHeight="false" outlineLevel="0" collapsed="false">
      <c r="B17" s="5"/>
      <c r="C17" s="76"/>
      <c r="D17" s="76"/>
      <c r="E17" s="408" t="n">
        <v>2</v>
      </c>
      <c r="F17" s="76" t="n">
        <v>5</v>
      </c>
      <c r="G17" s="424" t="n">
        <v>68.21</v>
      </c>
      <c r="H17" s="425" t="n">
        <v>90.5</v>
      </c>
      <c r="I17" s="425" t="n">
        <v>0</v>
      </c>
      <c r="J17" s="426" t="n">
        <f aca="false">H17-G17-I17</f>
        <v>22.29</v>
      </c>
      <c r="K17" s="427" t="n">
        <v>10.45</v>
      </c>
      <c r="L17" s="425" t="n">
        <v>0.08</v>
      </c>
      <c r="M17" s="425" t="n">
        <v>9.00740747300129</v>
      </c>
      <c r="N17" s="428" t="n">
        <v>0.91</v>
      </c>
      <c r="O17" s="209"/>
      <c r="P17" s="209"/>
      <c r="Q17" s="428" t="n">
        <f aca="false">1000*N17/M17</f>
        <v>101.027959790608</v>
      </c>
      <c r="R17" s="209"/>
      <c r="S17" s="209"/>
      <c r="T17" s="428" t="n">
        <v>13.17</v>
      </c>
      <c r="U17" s="209"/>
      <c r="V17" s="209"/>
      <c r="W17" s="428" t="n">
        <f aca="false">1000*T17/M17</f>
        <v>1462.12992356298</v>
      </c>
      <c r="X17" s="209"/>
      <c r="Y17" s="209"/>
      <c r="Z17" s="428" t="n">
        <v>1.33</v>
      </c>
      <c r="AA17" s="209"/>
      <c r="AB17" s="429"/>
      <c r="AC17" s="430" t="n">
        <f aca="false">N17/T17</f>
        <v>0.0690964312832195</v>
      </c>
      <c r="AD17" s="431"/>
      <c r="AE17" s="431"/>
      <c r="AF17" s="79"/>
    </row>
    <row r="18" customFormat="false" ht="12.8" hidden="false" customHeight="false" outlineLevel="0" collapsed="false">
      <c r="B18" s="5"/>
      <c r="C18" s="76"/>
      <c r="D18" s="76"/>
      <c r="E18" s="408" t="n">
        <v>2</v>
      </c>
      <c r="F18" s="76" t="n">
        <v>6</v>
      </c>
      <c r="G18" s="424" t="n">
        <v>67.19</v>
      </c>
      <c r="H18" s="425" t="n">
        <v>89.09</v>
      </c>
      <c r="I18" s="425" t="n">
        <v>0</v>
      </c>
      <c r="J18" s="426" t="n">
        <f aca="false">H18-G18-I18</f>
        <v>21.9</v>
      </c>
      <c r="K18" s="427" t="n">
        <v>13.7</v>
      </c>
      <c r="L18" s="425" t="n">
        <v>0.04</v>
      </c>
      <c r="M18" s="425" t="n">
        <v>11.8776437813358</v>
      </c>
      <c r="N18" s="428" t="n">
        <v>1.47</v>
      </c>
      <c r="O18" s="209"/>
      <c r="P18" s="209"/>
      <c r="Q18" s="428" t="n">
        <f aca="false">1000*N18/M18</f>
        <v>123.761920045954</v>
      </c>
      <c r="R18" s="209"/>
      <c r="S18" s="209"/>
      <c r="T18" s="428" t="n">
        <v>14.8</v>
      </c>
      <c r="U18" s="209"/>
      <c r="V18" s="209"/>
      <c r="W18" s="428" t="n">
        <f aca="false">1000*T18/M18</f>
        <v>1246.03837869396</v>
      </c>
      <c r="X18" s="209"/>
      <c r="Y18" s="209"/>
      <c r="Z18" s="428" t="n">
        <v>1.26</v>
      </c>
      <c r="AA18" s="209"/>
      <c r="AB18" s="429"/>
      <c r="AC18" s="430" t="n">
        <f aca="false">N18/T18</f>
        <v>0.0993243243243243</v>
      </c>
      <c r="AD18" s="431"/>
      <c r="AE18" s="431"/>
      <c r="AF18" s="79"/>
    </row>
    <row r="19" customFormat="false" ht="12.8" hidden="false" customHeight="false" outlineLevel="0" collapsed="false">
      <c r="B19" s="5"/>
      <c r="C19" s="76"/>
      <c r="D19" s="76"/>
      <c r="E19" s="408" t="n">
        <v>2</v>
      </c>
      <c r="F19" s="76" t="n">
        <v>7</v>
      </c>
      <c r="G19" s="424" t="n">
        <v>66.6</v>
      </c>
      <c r="H19" s="424" t="n">
        <v>88.85</v>
      </c>
      <c r="I19" s="424" t="n">
        <v>0</v>
      </c>
      <c r="J19" s="426" t="n">
        <f aca="false">H19-G19-I19</f>
        <v>22.25</v>
      </c>
      <c r="K19" s="427" t="n">
        <v>12.02</v>
      </c>
      <c r="L19" s="425" t="n">
        <v>0.04</v>
      </c>
      <c r="M19" s="425" t="n">
        <v>7.95251188720252</v>
      </c>
      <c r="N19" s="428" t="n">
        <v>0.36</v>
      </c>
      <c r="O19" s="215"/>
      <c r="P19" s="215"/>
      <c r="Q19" s="428" t="n">
        <f aca="false">1000*N19/M19</f>
        <v>45.2687157348769</v>
      </c>
      <c r="R19" s="209"/>
      <c r="S19" s="209"/>
      <c r="T19" s="428" t="n">
        <v>8.79</v>
      </c>
      <c r="U19" s="215"/>
      <c r="V19" s="215"/>
      <c r="W19" s="428" t="n">
        <f aca="false">1000*T19/M19</f>
        <v>1105.31114252658</v>
      </c>
      <c r="X19" s="209"/>
      <c r="Y19" s="209"/>
      <c r="Z19" s="428" t="n">
        <v>1.31</v>
      </c>
      <c r="AA19" s="215"/>
      <c r="AB19" s="429"/>
      <c r="AC19" s="430" t="n">
        <f aca="false">N19/T19</f>
        <v>0.0409556313993174</v>
      </c>
      <c r="AD19" s="307"/>
      <c r="AE19" s="307"/>
      <c r="AF19" s="79"/>
    </row>
    <row r="20" customFormat="false" ht="12.8" hidden="false" customHeight="false" outlineLevel="0" collapsed="false">
      <c r="B20" s="5"/>
      <c r="C20" s="84"/>
      <c r="D20" s="84"/>
      <c r="E20" s="409" t="n">
        <v>2</v>
      </c>
      <c r="F20" s="84" t="n">
        <v>8</v>
      </c>
      <c r="G20" s="440"/>
      <c r="H20" s="440"/>
      <c r="I20" s="440"/>
      <c r="J20" s="441"/>
      <c r="K20" s="442"/>
      <c r="L20" s="440"/>
      <c r="M20" s="425" t="n">
        <v>26.1048558413457</v>
      </c>
      <c r="N20" s="428"/>
      <c r="O20" s="443"/>
      <c r="P20" s="443"/>
      <c r="Q20" s="428"/>
      <c r="R20" s="443"/>
      <c r="S20" s="443"/>
      <c r="T20" s="428"/>
      <c r="U20" s="443"/>
      <c r="V20" s="443"/>
      <c r="W20" s="428"/>
      <c r="X20" s="443"/>
      <c r="Y20" s="443"/>
      <c r="Z20" s="428"/>
      <c r="AA20" s="443"/>
      <c r="AB20" s="444"/>
      <c r="AC20" s="430"/>
      <c r="AD20" s="445"/>
      <c r="AE20" s="445"/>
      <c r="AF20" s="79"/>
    </row>
    <row r="21" customFormat="false" ht="12.8" hidden="false" customHeight="false" outlineLevel="0" collapsed="false">
      <c r="B21" s="5"/>
      <c r="C21" s="76" t="s">
        <v>235</v>
      </c>
      <c r="D21" s="76" t="s">
        <v>56</v>
      </c>
      <c r="E21" s="408" t="n">
        <v>1</v>
      </c>
      <c r="F21" s="81" t="n">
        <v>1</v>
      </c>
      <c r="G21" s="432"/>
      <c r="H21" s="432"/>
      <c r="I21" s="432"/>
      <c r="J21" s="433"/>
      <c r="K21" s="434"/>
      <c r="L21" s="432"/>
      <c r="M21" s="432" t="n">
        <v>11.8618060323916</v>
      </c>
      <c r="N21" s="435"/>
      <c r="O21" s="436"/>
      <c r="P21" s="436"/>
      <c r="Q21" s="435"/>
      <c r="R21" s="436"/>
      <c r="S21" s="436"/>
      <c r="T21" s="435"/>
      <c r="U21" s="436"/>
      <c r="V21" s="436"/>
      <c r="W21" s="435"/>
      <c r="X21" s="436"/>
      <c r="Y21" s="436"/>
      <c r="Z21" s="435"/>
      <c r="AA21" s="436"/>
      <c r="AB21" s="437"/>
      <c r="AC21" s="438"/>
      <c r="AD21" s="439"/>
      <c r="AE21" s="439"/>
      <c r="AF21" s="79"/>
    </row>
    <row r="22" customFormat="false" ht="12.8" hidden="false" customHeight="false" outlineLevel="0" collapsed="false">
      <c r="B22" s="5"/>
      <c r="C22" s="394"/>
      <c r="D22" s="394"/>
      <c r="E22" s="408" t="n">
        <v>1</v>
      </c>
      <c r="F22" s="76" t="n">
        <v>2</v>
      </c>
      <c r="G22" s="424" t="n">
        <v>67.58</v>
      </c>
      <c r="H22" s="425" t="n">
        <v>90.42</v>
      </c>
      <c r="I22" s="425" t="n">
        <v>0</v>
      </c>
      <c r="J22" s="426" t="n">
        <f aca="false">H22-G22-I22</f>
        <v>22.84</v>
      </c>
      <c r="K22" s="427" t="n">
        <v>10.52</v>
      </c>
      <c r="L22" s="425" t="n">
        <v>0.08</v>
      </c>
      <c r="M22" s="425" t="n">
        <v>13.0439053029371</v>
      </c>
      <c r="N22" s="428" t="n">
        <v>0.88</v>
      </c>
      <c r="O22" s="209" t="n">
        <f aca="false">AVERAGE(N22:N27)</f>
        <v>1.125</v>
      </c>
      <c r="P22" s="209" t="n">
        <f aca="false">STDEV(N22:N27)</f>
        <v>0.359207460947013</v>
      </c>
      <c r="Q22" s="428" t="n">
        <f aca="false">1000*N22/M22</f>
        <v>67.4644578876121</v>
      </c>
      <c r="R22" s="209" t="n">
        <f aca="false">AVERAGE(Q22:Q27)</f>
        <v>97.6434536317426</v>
      </c>
      <c r="S22" s="209" t="n">
        <f aca="false">STDEV(Q22:Q27)</f>
        <v>41.4096965408874</v>
      </c>
      <c r="T22" s="428" t="n">
        <v>9.4</v>
      </c>
      <c r="U22" s="209" t="n">
        <f aca="false">AVERAGE(T22:T27)</f>
        <v>13.91</v>
      </c>
      <c r="V22" s="209" t="n">
        <f aca="false">STDEV(T22:T27)</f>
        <v>3.12306259943665</v>
      </c>
      <c r="W22" s="428" t="n">
        <f aca="false">1000*T22/M22</f>
        <v>720.643072890402</v>
      </c>
      <c r="X22" s="209" t="n">
        <f aca="false">AVERAGE(W22:W27)</f>
        <v>1178.70420092766</v>
      </c>
      <c r="Y22" s="209" t="n">
        <f aca="false">STDEV(W22:W27)</f>
        <v>283.917411885246</v>
      </c>
      <c r="Z22" s="428" t="n">
        <v>1.32</v>
      </c>
      <c r="AA22" s="209" t="n">
        <f aca="false">AVERAGE(Z22:Z27)</f>
        <v>1.31333333333333</v>
      </c>
      <c r="AB22" s="429" t="n">
        <f aca="false">STDEV(Z22:Z27)</f>
        <v>0.0372379734500505</v>
      </c>
      <c r="AC22" s="430" t="n">
        <f aca="false">N22/T22</f>
        <v>0.0936170212765957</v>
      </c>
      <c r="AD22" s="431" t="n">
        <f aca="false">AVERAGE(AC22:AC27)</f>
        <v>0.0831930215347236</v>
      </c>
      <c r="AE22" s="431" t="n">
        <f aca="false">STDEV(AC22:AC27)</f>
        <v>0.025303826520146</v>
      </c>
      <c r="AF22" s="79"/>
    </row>
    <row r="23" customFormat="false" ht="12.8" hidden="false" customHeight="false" outlineLevel="0" collapsed="false">
      <c r="B23" s="5"/>
      <c r="C23" s="76"/>
      <c r="D23" s="76"/>
      <c r="E23" s="408" t="n">
        <v>1</v>
      </c>
      <c r="F23" s="76" t="n">
        <v>3</v>
      </c>
      <c r="G23" s="424" t="n">
        <v>67.46</v>
      </c>
      <c r="H23" s="425" t="n">
        <v>89.39</v>
      </c>
      <c r="I23" s="425" t="n">
        <v>0</v>
      </c>
      <c r="J23" s="426" t="n">
        <f aca="false">H23-G23-I23</f>
        <v>21.93</v>
      </c>
      <c r="K23" s="427" t="n">
        <v>12.5</v>
      </c>
      <c r="L23" s="425" t="n">
        <v>0.07</v>
      </c>
      <c r="M23" s="425" t="n">
        <v>10.8686418518933</v>
      </c>
      <c r="N23" s="428" t="n">
        <v>1.42</v>
      </c>
      <c r="O23" s="9"/>
      <c r="P23" s="209"/>
      <c r="Q23" s="428" t="n">
        <f aca="false">1000*N23/M23</f>
        <v>130.651098761952</v>
      </c>
      <c r="R23" s="9"/>
      <c r="S23" s="209"/>
      <c r="T23" s="428" t="n">
        <v>13.47</v>
      </c>
      <c r="U23" s="9"/>
      <c r="V23" s="209"/>
      <c r="W23" s="428" t="n">
        <f aca="false">1000*T23/M23</f>
        <v>1239.34528191796</v>
      </c>
      <c r="X23" s="9"/>
      <c r="Y23" s="209"/>
      <c r="Z23" s="428" t="n">
        <v>1.26</v>
      </c>
      <c r="AA23" s="9"/>
      <c r="AB23" s="429"/>
      <c r="AC23" s="430" t="n">
        <f aca="false">N23/T23</f>
        <v>0.105419450631032</v>
      </c>
      <c r="AD23" s="9"/>
      <c r="AE23" s="431"/>
      <c r="AF23" s="79"/>
    </row>
    <row r="24" customFormat="false" ht="12.8" hidden="false" customHeight="false" outlineLevel="0" collapsed="false">
      <c r="B24" s="5"/>
      <c r="C24" s="76"/>
      <c r="D24" s="76"/>
      <c r="E24" s="408" t="n">
        <v>1</v>
      </c>
      <c r="F24" s="76" t="n">
        <v>4</v>
      </c>
      <c r="G24" s="424" t="n">
        <v>69.19</v>
      </c>
      <c r="H24" s="425" t="n">
        <v>91.55</v>
      </c>
      <c r="I24" s="425" t="n">
        <v>0</v>
      </c>
      <c r="J24" s="426" t="n">
        <f aca="false">H24-G24-I24</f>
        <v>22.36</v>
      </c>
      <c r="K24" s="427" t="n">
        <v>13.41</v>
      </c>
      <c r="L24" s="425" t="n">
        <v>0.1</v>
      </c>
      <c r="M24" s="425" t="n">
        <v>11.5961918165178</v>
      </c>
      <c r="N24" s="428" t="n">
        <v>0.77</v>
      </c>
      <c r="O24" s="9"/>
      <c r="P24" s="209"/>
      <c r="Q24" s="428" t="n">
        <f aca="false">1000*N24/M24</f>
        <v>66.4011092765126</v>
      </c>
      <c r="R24" s="9"/>
      <c r="S24" s="209"/>
      <c r="T24" s="428" t="n">
        <v>15.2</v>
      </c>
      <c r="U24" s="9"/>
      <c r="V24" s="209"/>
      <c r="W24" s="428" t="n">
        <f aca="false">1000*T24/M24</f>
        <v>1310.77514415973</v>
      </c>
      <c r="X24" s="9"/>
      <c r="Y24" s="209"/>
      <c r="Z24" s="428" t="n">
        <v>1.33</v>
      </c>
      <c r="AA24" s="9"/>
      <c r="AB24" s="429"/>
      <c r="AC24" s="430" t="n">
        <f aca="false">N24/T24</f>
        <v>0.0506578947368421</v>
      </c>
      <c r="AD24" s="9"/>
      <c r="AE24" s="431"/>
      <c r="AF24" s="79"/>
    </row>
    <row r="25" customFormat="false" ht="12.8" hidden="false" customHeight="false" outlineLevel="0" collapsed="false">
      <c r="B25" s="5"/>
      <c r="C25" s="76"/>
      <c r="D25" s="76"/>
      <c r="E25" s="408" t="n">
        <v>1</v>
      </c>
      <c r="F25" s="76" t="n">
        <v>5</v>
      </c>
      <c r="G25" s="424" t="n">
        <v>67</v>
      </c>
      <c r="H25" s="425" t="n">
        <v>88.98</v>
      </c>
      <c r="I25" s="425" t="n">
        <v>0</v>
      </c>
      <c r="J25" s="426" t="n">
        <f aca="false">H25-G25-I25</f>
        <v>21.98</v>
      </c>
      <c r="K25" s="427" t="n">
        <v>12.85</v>
      </c>
      <c r="L25" s="425" t="n">
        <v>0.13</v>
      </c>
      <c r="M25" s="425" t="n">
        <v>10.3163081245186</v>
      </c>
      <c r="N25" s="428" t="n">
        <v>1.7</v>
      </c>
      <c r="O25" s="209"/>
      <c r="P25" s="209"/>
      <c r="Q25" s="428" t="n">
        <f aca="false">1000*N25/M25</f>
        <v>164.787633277416</v>
      </c>
      <c r="R25" s="209"/>
      <c r="S25" s="209"/>
      <c r="T25" s="428" t="n">
        <v>15.99</v>
      </c>
      <c r="U25" s="209"/>
      <c r="V25" s="209"/>
      <c r="W25" s="428" t="n">
        <f aca="false">1000*T25/M25</f>
        <v>1549.97309182699</v>
      </c>
      <c r="X25" s="209"/>
      <c r="Y25" s="209"/>
      <c r="Z25" s="428" t="n">
        <v>1.29</v>
      </c>
      <c r="AA25" s="209"/>
      <c r="AB25" s="429"/>
      <c r="AC25" s="430" t="n">
        <f aca="false">N25/T25</f>
        <v>0.106316447779862</v>
      </c>
      <c r="AD25" s="431"/>
      <c r="AE25" s="431"/>
      <c r="AF25" s="79"/>
    </row>
    <row r="26" customFormat="false" ht="12.8" hidden="false" customHeight="false" outlineLevel="0" collapsed="false">
      <c r="B26" s="5"/>
      <c r="C26" s="76"/>
      <c r="D26" s="76"/>
      <c r="E26" s="408" t="n">
        <v>1</v>
      </c>
      <c r="F26" s="76" t="n">
        <v>6</v>
      </c>
      <c r="G26" s="424" t="n">
        <v>65.92</v>
      </c>
      <c r="H26" s="425" t="n">
        <v>88.03</v>
      </c>
      <c r="I26" s="425" t="n">
        <v>0</v>
      </c>
      <c r="J26" s="426" t="n">
        <f aca="false">H26-G26-I26</f>
        <v>22.11</v>
      </c>
      <c r="K26" s="427" t="n">
        <v>11.62</v>
      </c>
      <c r="L26" s="425" t="n">
        <v>0.17</v>
      </c>
      <c r="M26" s="425" t="n">
        <v>11.3911281095969</v>
      </c>
      <c r="N26" s="428" t="n">
        <v>1.04</v>
      </c>
      <c r="O26" s="209"/>
      <c r="P26" s="209"/>
      <c r="Q26" s="428" t="n">
        <f aca="false">1000*N26/M26</f>
        <v>91.2991224393141</v>
      </c>
      <c r="R26" s="209"/>
      <c r="S26" s="209"/>
      <c r="T26" s="428" t="n">
        <v>11.46</v>
      </c>
      <c r="U26" s="209"/>
      <c r="V26" s="209"/>
      <c r="W26" s="428" t="n">
        <f aca="false">1000*T26/M26</f>
        <v>1006.04609918706</v>
      </c>
      <c r="X26" s="209"/>
      <c r="Y26" s="209"/>
      <c r="Z26" s="428" t="n">
        <v>1.31</v>
      </c>
      <c r="AA26" s="209"/>
      <c r="AB26" s="429"/>
      <c r="AC26" s="430" t="n">
        <f aca="false">N26/T26</f>
        <v>0.0907504363001745</v>
      </c>
      <c r="AD26" s="431"/>
      <c r="AE26" s="431"/>
      <c r="AF26" s="79"/>
    </row>
    <row r="27" customFormat="false" ht="12.8" hidden="false" customHeight="false" outlineLevel="0" collapsed="false">
      <c r="B27" s="5"/>
      <c r="C27" s="76"/>
      <c r="D27" s="76"/>
      <c r="E27" s="408" t="n">
        <v>1</v>
      </c>
      <c r="F27" s="76" t="n">
        <v>7</v>
      </c>
      <c r="G27" s="424" t="n">
        <v>67.03</v>
      </c>
      <c r="H27" s="425" t="n">
        <v>89.18</v>
      </c>
      <c r="I27" s="425" t="n">
        <v>0</v>
      </c>
      <c r="J27" s="426" t="n">
        <f aca="false">H27-G27-I27</f>
        <v>22.15</v>
      </c>
      <c r="K27" s="427" t="n">
        <v>14.89</v>
      </c>
      <c r="L27" s="425" t="n">
        <v>0.15</v>
      </c>
      <c r="M27" s="425" t="n">
        <v>14.4045186955819</v>
      </c>
      <c r="N27" s="428" t="n">
        <v>0.94</v>
      </c>
      <c r="O27" s="209"/>
      <c r="P27" s="209"/>
      <c r="Q27" s="428" t="n">
        <f aca="false">1000*N27/M27</f>
        <v>65.2573001476484</v>
      </c>
      <c r="R27" s="209"/>
      <c r="S27" s="209"/>
      <c r="T27" s="428" t="n">
        <v>17.94</v>
      </c>
      <c r="U27" s="209"/>
      <c r="V27" s="209"/>
      <c r="W27" s="428" t="n">
        <f aca="false">1000*T27/M27</f>
        <v>1245.44251558384</v>
      </c>
      <c r="X27" s="209"/>
      <c r="Y27" s="209"/>
      <c r="Z27" s="428" t="n">
        <v>1.37</v>
      </c>
      <c r="AA27" s="209"/>
      <c r="AB27" s="429"/>
      <c r="AC27" s="430" t="n">
        <f aca="false">N27/T27</f>
        <v>0.052396878483835</v>
      </c>
      <c r="AD27" s="431"/>
      <c r="AE27" s="431"/>
      <c r="AF27" s="79"/>
    </row>
    <row r="28" customFormat="false" ht="12.8" hidden="false" customHeight="false" outlineLevel="0" collapsed="false">
      <c r="B28" s="5"/>
      <c r="C28" s="76"/>
      <c r="D28" s="76"/>
      <c r="E28" s="408" t="n">
        <v>1</v>
      </c>
      <c r="F28" s="76" t="n">
        <v>8</v>
      </c>
      <c r="G28" s="424"/>
      <c r="H28" s="425"/>
      <c r="I28" s="425"/>
      <c r="J28" s="426"/>
      <c r="K28" s="427"/>
      <c r="L28" s="425"/>
      <c r="M28" s="425" t="n">
        <v>13.1304246344848</v>
      </c>
      <c r="N28" s="428"/>
      <c r="O28" s="209"/>
      <c r="P28" s="209"/>
      <c r="Q28" s="428"/>
      <c r="R28" s="209"/>
      <c r="S28" s="209"/>
      <c r="T28" s="428"/>
      <c r="U28" s="209"/>
      <c r="V28" s="209"/>
      <c r="W28" s="428"/>
      <c r="X28" s="209"/>
      <c r="Y28" s="209"/>
      <c r="Z28" s="428"/>
      <c r="AA28" s="209"/>
      <c r="AB28" s="429"/>
      <c r="AC28" s="430"/>
      <c r="AD28" s="209"/>
      <c r="AE28" s="209"/>
      <c r="AF28" s="79"/>
    </row>
    <row r="29" customFormat="false" ht="12.8" hidden="false" customHeight="false" outlineLevel="0" collapsed="false">
      <c r="B29" s="10"/>
      <c r="C29" s="88"/>
      <c r="D29" s="89"/>
      <c r="E29" s="89"/>
      <c r="F29" s="88"/>
      <c r="G29" s="194"/>
      <c r="H29" s="194"/>
      <c r="I29" s="194"/>
      <c r="J29" s="194"/>
      <c r="K29" s="194"/>
      <c r="L29" s="194"/>
      <c r="M29" s="194"/>
      <c r="N29" s="194"/>
      <c r="O29" s="194"/>
      <c r="P29" s="194"/>
      <c r="Q29" s="310"/>
      <c r="R29" s="310"/>
      <c r="S29" s="310"/>
      <c r="T29" s="194"/>
      <c r="U29" s="194"/>
      <c r="V29" s="194"/>
      <c r="W29" s="194"/>
      <c r="X29" s="194"/>
      <c r="Y29" s="194"/>
      <c r="Z29" s="194"/>
      <c r="AA29" s="194"/>
      <c r="AB29" s="194"/>
      <c r="AC29" s="310"/>
      <c r="AD29" s="194"/>
      <c r="AE29" s="194"/>
      <c r="AF29" s="90"/>
    </row>
  </sheetData>
  <mergeCells count="6">
    <mergeCell ref="N3:P3"/>
    <mergeCell ref="Q3:S3"/>
    <mergeCell ref="T3:V3"/>
    <mergeCell ref="W3:Y3"/>
    <mergeCell ref="Z3:AB3"/>
    <mergeCell ref="AC3:AE3"/>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AW70"/>
  <sheetViews>
    <sheetView showFormulas="false" showGridLines="true" showRowColHeaders="true" showZeros="true" rightToLeft="false" tabSelected="false" showOutlineSymbols="true" defaultGridColor="true" view="normal" topLeftCell="T1" colorId="64" zoomScale="110" zoomScaleNormal="110" zoomScalePageLayoutView="100" workbookViewId="0">
      <selection pane="topLeft" activeCell="AK85" activeCellId="0" sqref="AK85"/>
    </sheetView>
  </sheetViews>
  <sheetFormatPr defaultColWidth="11.53515625" defaultRowHeight="12.8" zeroHeight="false" outlineLevelRow="0" outlineLevelCol="0"/>
  <cols>
    <col collapsed="false" customWidth="true" hidden="false" outlineLevel="0" max="1" min="1" style="1" width="2.61"/>
    <col collapsed="false" customWidth="true" hidden="false" outlineLevel="0" max="2" min="2" style="1" width="3.11"/>
    <col collapsed="false" customWidth="true" hidden="false" outlineLevel="0" max="3" min="3" style="1" width="15.65"/>
    <col collapsed="false" customWidth="true" hidden="false" outlineLevel="0" max="4" min="4" style="1" width="10.78"/>
    <col collapsed="false" customWidth="true" hidden="false" outlineLevel="0" max="5" min="5" style="1" width="7.07"/>
    <col collapsed="false" customWidth="true" hidden="false" outlineLevel="0" max="6" min="6" style="1" width="10.46"/>
    <col collapsed="false" customWidth="true" hidden="false" outlineLevel="0" max="7" min="7" style="39" width="5.92"/>
    <col collapsed="false" customWidth="true" hidden="false" outlineLevel="0" max="9" min="8" style="39" width="6.29"/>
    <col collapsed="false" customWidth="true" hidden="false" outlineLevel="0" max="10" min="10" style="39" width="5.55"/>
    <col collapsed="false" customWidth="true" hidden="false" outlineLevel="0" max="16" min="11" style="39" width="12.74"/>
    <col collapsed="false" customWidth="true" hidden="false" outlineLevel="0" max="17" min="17" style="39" width="9.9"/>
    <col collapsed="false" customWidth="true" hidden="false" outlineLevel="0" max="18" min="18" style="39" width="8.33"/>
    <col collapsed="false" customWidth="true" hidden="false" outlineLevel="0" max="24" min="19" style="39" width="7.35"/>
    <col collapsed="false" customWidth="true" hidden="false" outlineLevel="0" max="25" min="25" style="39" width="9.32"/>
    <col collapsed="false" customWidth="true" hidden="false" outlineLevel="0" max="26" min="26" style="446" width="9.32"/>
    <col collapsed="false" customWidth="true" hidden="false" outlineLevel="0" max="29" min="27" style="446" width="8.48"/>
    <col collapsed="false" customWidth="true" hidden="false" outlineLevel="0" max="30" min="30" style="446" width="9.32"/>
    <col collapsed="false" customWidth="true" hidden="false" outlineLevel="0" max="33" min="31" style="446" width="8.48"/>
    <col collapsed="false" customWidth="true" hidden="false" outlineLevel="0" max="34" min="34" style="39" width="8.48"/>
    <col collapsed="false" customWidth="true" hidden="false" outlineLevel="0" max="40" min="35" style="39" width="7.29"/>
    <col collapsed="false" customWidth="true" hidden="false" outlineLevel="0" max="41" min="41" style="39" width="9.44"/>
    <col collapsed="false" customWidth="true" hidden="false" outlineLevel="0" max="42" min="42" style="39" width="5.92"/>
    <col collapsed="false" customWidth="true" hidden="false" outlineLevel="0" max="43" min="43" style="39" width="5.36"/>
    <col collapsed="false" customWidth="true" hidden="false" outlineLevel="0" max="44" min="44" style="39" width="12.25"/>
    <col collapsed="false" customWidth="true" hidden="false" outlineLevel="0" max="46" min="45" style="39" width="5.43"/>
    <col collapsed="false" customWidth="true" hidden="false" outlineLevel="0" max="47" min="47" style="1" width="3.11"/>
    <col collapsed="false" customWidth="true" hidden="false" outlineLevel="0" max="48" min="48" style="1" width="3.21"/>
    <col collapsed="false" customWidth="false" hidden="false" outlineLevel="0" max="1012" min="49" style="1" width="11.52"/>
    <col collapsed="false" customWidth="false" hidden="false" outlineLevel="0" max="1020" min="1013" style="1" width="11.54"/>
    <col collapsed="false" customWidth="false" hidden="false" outlineLevel="0" max="1024" min="1021" style="1" width="11.52"/>
  </cols>
  <sheetData>
    <row r="2" customFormat="false" ht="12.8" hidden="false" customHeight="false" outlineLevel="0" collapsed="false">
      <c r="B2" s="2"/>
      <c r="C2" s="3"/>
      <c r="D2" s="3"/>
      <c r="E2" s="3"/>
      <c r="F2" s="3"/>
      <c r="G2" s="447"/>
      <c r="H2" s="448"/>
      <c r="I2" s="448"/>
      <c r="J2" s="448"/>
      <c r="K2" s="448"/>
      <c r="L2" s="448"/>
      <c r="M2" s="448"/>
      <c r="N2" s="448"/>
      <c r="O2" s="448"/>
      <c r="P2" s="447"/>
      <c r="Q2" s="448"/>
      <c r="R2" s="448"/>
      <c r="S2" s="448"/>
      <c r="T2" s="448"/>
      <c r="U2" s="448"/>
      <c r="V2" s="448"/>
      <c r="W2" s="448"/>
      <c r="X2" s="448"/>
      <c r="Y2" s="448"/>
      <c r="Z2" s="449"/>
      <c r="AA2" s="449"/>
      <c r="AB2" s="449"/>
      <c r="AC2" s="449"/>
      <c r="AD2" s="449"/>
      <c r="AE2" s="449"/>
      <c r="AF2" s="449"/>
      <c r="AG2" s="449"/>
      <c r="AH2" s="448"/>
      <c r="AI2" s="448"/>
      <c r="AJ2" s="448"/>
      <c r="AK2" s="448"/>
      <c r="AL2" s="448"/>
      <c r="AM2" s="448"/>
      <c r="AN2" s="448"/>
      <c r="AO2" s="448"/>
      <c r="AP2" s="448"/>
      <c r="AQ2" s="448"/>
      <c r="AR2" s="448"/>
      <c r="AS2" s="448"/>
      <c r="AT2" s="448"/>
      <c r="AU2" s="4"/>
    </row>
    <row r="3" customFormat="false" ht="14.15" hidden="false" customHeight="true" outlineLevel="0" collapsed="false">
      <c r="B3" s="5"/>
      <c r="C3" s="9"/>
      <c r="D3" s="9"/>
      <c r="E3" s="9"/>
      <c r="F3" s="70"/>
      <c r="G3" s="450"/>
      <c r="H3" s="450"/>
      <c r="I3" s="70"/>
      <c r="J3" s="70"/>
      <c r="K3" s="70"/>
      <c r="L3" s="70"/>
      <c r="M3" s="70"/>
      <c r="N3" s="70"/>
      <c r="O3" s="70"/>
      <c r="P3" s="70"/>
      <c r="Q3" s="451"/>
      <c r="R3" s="451"/>
      <c r="S3" s="452" t="s">
        <v>252</v>
      </c>
      <c r="T3" s="452"/>
      <c r="U3" s="452"/>
      <c r="V3" s="452"/>
      <c r="W3" s="452"/>
      <c r="X3" s="452"/>
      <c r="Y3" s="256"/>
      <c r="Z3" s="452" t="s">
        <v>253</v>
      </c>
      <c r="AA3" s="452"/>
      <c r="AB3" s="452"/>
      <c r="AC3" s="452"/>
      <c r="AD3" s="452"/>
      <c r="AE3" s="69"/>
      <c r="AF3" s="69"/>
      <c r="AG3" s="69"/>
      <c r="AH3" s="70"/>
      <c r="AI3" s="256"/>
      <c r="AJ3" s="70"/>
      <c r="AK3" s="70"/>
      <c r="AL3" s="256"/>
      <c r="AM3" s="69"/>
      <c r="AN3" s="451"/>
      <c r="AO3" s="69"/>
      <c r="AP3" s="69"/>
      <c r="AQ3" s="71"/>
      <c r="AR3" s="69"/>
      <c r="AS3" s="187"/>
      <c r="AT3" s="69"/>
      <c r="AU3" s="7"/>
    </row>
    <row r="4" customFormat="false" ht="65.8" hidden="false" customHeight="true" outlineLevel="0" collapsed="false">
      <c r="B4" s="5"/>
      <c r="C4" s="239" t="s">
        <v>254</v>
      </c>
      <c r="D4" s="239" t="s">
        <v>255</v>
      </c>
      <c r="E4" s="70" t="s">
        <v>211</v>
      </c>
      <c r="F4" s="70" t="s">
        <v>256</v>
      </c>
      <c r="G4" s="256" t="s">
        <v>257</v>
      </c>
      <c r="H4" s="256"/>
      <c r="I4" s="69" t="s">
        <v>258</v>
      </c>
      <c r="J4" s="69"/>
      <c r="K4" s="70" t="s">
        <v>259</v>
      </c>
      <c r="L4" s="70" t="s">
        <v>260</v>
      </c>
      <c r="M4" s="70" t="s">
        <v>261</v>
      </c>
      <c r="N4" s="70" t="s">
        <v>262</v>
      </c>
      <c r="O4" s="70" t="s">
        <v>263</v>
      </c>
      <c r="P4" s="69" t="s">
        <v>264</v>
      </c>
      <c r="Q4" s="451" t="s">
        <v>265</v>
      </c>
      <c r="R4" s="451" t="s">
        <v>266</v>
      </c>
      <c r="S4" s="257" t="n">
        <v>1.5</v>
      </c>
      <c r="T4" s="190" t="n">
        <v>1.8</v>
      </c>
      <c r="U4" s="336" t="n">
        <v>2</v>
      </c>
      <c r="V4" s="336" t="n">
        <v>2.5</v>
      </c>
      <c r="W4" s="336" t="n">
        <v>3</v>
      </c>
      <c r="X4" s="69" t="s">
        <v>267</v>
      </c>
      <c r="Y4" s="256" t="n">
        <v>0</v>
      </c>
      <c r="Z4" s="336" t="n">
        <v>1.5</v>
      </c>
      <c r="AA4" s="190" t="n">
        <v>1.8</v>
      </c>
      <c r="AB4" s="336" t="n">
        <v>2</v>
      </c>
      <c r="AC4" s="336" t="n">
        <v>2.5</v>
      </c>
      <c r="AD4" s="336" t="n">
        <v>3</v>
      </c>
      <c r="AE4" s="336" t="s">
        <v>268</v>
      </c>
      <c r="AF4" s="336" t="s">
        <v>269</v>
      </c>
      <c r="AG4" s="336" t="s">
        <v>270</v>
      </c>
      <c r="AH4" s="70" t="n">
        <v>4.2</v>
      </c>
      <c r="AI4" s="256" t="s">
        <v>271</v>
      </c>
      <c r="AJ4" s="69" t="s">
        <v>49</v>
      </c>
      <c r="AK4" s="69" t="s">
        <v>50</v>
      </c>
      <c r="AL4" s="256" t="s">
        <v>272</v>
      </c>
      <c r="AM4" s="69" t="s">
        <v>49</v>
      </c>
      <c r="AN4" s="451" t="s">
        <v>50</v>
      </c>
      <c r="AO4" s="69" t="s">
        <v>273</v>
      </c>
      <c r="AP4" s="69" t="s">
        <v>49</v>
      </c>
      <c r="AQ4" s="71" t="s">
        <v>50</v>
      </c>
      <c r="AR4" s="69" t="s">
        <v>274</v>
      </c>
      <c r="AS4" s="69" t="s">
        <v>49</v>
      </c>
      <c r="AT4" s="69" t="s">
        <v>50</v>
      </c>
      <c r="AU4" s="7"/>
    </row>
    <row r="5" customFormat="false" ht="12.8" hidden="false" customHeight="false" outlineLevel="0" collapsed="false">
      <c r="B5" s="5"/>
      <c r="C5" s="193"/>
      <c r="D5" s="193"/>
      <c r="E5" s="193"/>
      <c r="F5" s="89" t="s">
        <v>193</v>
      </c>
      <c r="G5" s="453" t="s">
        <v>193</v>
      </c>
      <c r="H5" s="89" t="s">
        <v>275</v>
      </c>
      <c r="I5" s="89" t="s">
        <v>193</v>
      </c>
      <c r="J5" s="89" t="s">
        <v>275</v>
      </c>
      <c r="K5" s="89" t="s">
        <v>275</v>
      </c>
      <c r="L5" s="89" t="s">
        <v>193</v>
      </c>
      <c r="M5" s="89" t="s">
        <v>193</v>
      </c>
      <c r="N5" s="89" t="s">
        <v>276</v>
      </c>
      <c r="O5" s="89" t="s">
        <v>277</v>
      </c>
      <c r="P5" s="89" t="s">
        <v>277</v>
      </c>
      <c r="Q5" s="454" t="s">
        <v>275</v>
      </c>
      <c r="R5" s="454" t="s">
        <v>276</v>
      </c>
      <c r="S5" s="89" t="s">
        <v>193</v>
      </c>
      <c r="T5" s="89" t="s">
        <v>193</v>
      </c>
      <c r="U5" s="89" t="s">
        <v>193</v>
      </c>
      <c r="V5" s="89" t="s">
        <v>193</v>
      </c>
      <c r="W5" s="89" t="s">
        <v>193</v>
      </c>
      <c r="X5" s="89" t="s">
        <v>193</v>
      </c>
      <c r="Y5" s="453" t="s">
        <v>277</v>
      </c>
      <c r="Z5" s="89" t="s">
        <v>277</v>
      </c>
      <c r="AA5" s="89" t="s">
        <v>277</v>
      </c>
      <c r="AB5" s="89" t="s">
        <v>277</v>
      </c>
      <c r="AC5" s="89" t="s">
        <v>277</v>
      </c>
      <c r="AD5" s="89" t="s">
        <v>277</v>
      </c>
      <c r="AE5" s="89" t="s">
        <v>193</v>
      </c>
      <c r="AF5" s="89" t="s">
        <v>193</v>
      </c>
      <c r="AG5" s="89" t="s">
        <v>193</v>
      </c>
      <c r="AH5" s="194" t="s">
        <v>277</v>
      </c>
      <c r="AI5" s="455" t="s">
        <v>277</v>
      </c>
      <c r="AJ5" s="194" t="s">
        <v>277</v>
      </c>
      <c r="AK5" s="194" t="s">
        <v>277</v>
      </c>
      <c r="AL5" s="455" t="s">
        <v>277</v>
      </c>
      <c r="AM5" s="194" t="s">
        <v>277</v>
      </c>
      <c r="AN5" s="456" t="s">
        <v>277</v>
      </c>
      <c r="AO5" s="194" t="s">
        <v>278</v>
      </c>
      <c r="AP5" s="194"/>
      <c r="AQ5" s="457"/>
      <c r="AR5" s="194" t="s">
        <v>278</v>
      </c>
      <c r="AS5" s="194"/>
      <c r="AT5" s="194"/>
      <c r="AU5" s="7"/>
    </row>
    <row r="6" customFormat="false" ht="12.8" hidden="false" customHeight="false" outlineLevel="0" collapsed="false">
      <c r="B6" s="5"/>
      <c r="C6" s="76" t="s">
        <v>197</v>
      </c>
      <c r="D6" s="76" t="s">
        <v>53</v>
      </c>
      <c r="E6" s="100" t="n">
        <v>1</v>
      </c>
      <c r="F6" s="425" t="n">
        <v>111.82</v>
      </c>
      <c r="G6" s="428" t="n">
        <v>0.64</v>
      </c>
      <c r="H6" s="202" t="n">
        <f aca="false">G6/2.65</f>
        <v>0.241509433962264</v>
      </c>
      <c r="I6" s="202" t="n">
        <f aca="false">6.41+4.5</f>
        <v>10.91</v>
      </c>
      <c r="J6" s="202" t="n">
        <f aca="false">I6/1.52</f>
        <v>7.17763157894737</v>
      </c>
      <c r="K6" s="202" t="n">
        <f aca="false">100-H6-J6</f>
        <v>92.5808589870904</v>
      </c>
      <c r="L6" s="202" t="n">
        <f aca="false">('Water-stable macroaggregates'!$BK$6/100)*(X6-F6)</f>
        <v>5.30777611019593</v>
      </c>
      <c r="M6" s="202" t="n">
        <f aca="false">(X6-F6)-L6</f>
        <v>95.6222238898041</v>
      </c>
      <c r="N6" s="202" t="n">
        <f aca="false">(1*L6/(L6+M6))+(2.65*M6/(L6+M6))</f>
        <v>2.56322866757333</v>
      </c>
      <c r="O6" s="202" t="n">
        <f aca="false">100*(1-((X6-F6)/N6)/K6)</f>
        <v>57.4684005029176</v>
      </c>
      <c r="P6" s="202" t="n">
        <f aca="false">O6-Z6</f>
        <v>19.4708520739007</v>
      </c>
      <c r="Q6" s="458" t="n">
        <f aca="false">100-H6-J6-P6</f>
        <v>73.1100069131897</v>
      </c>
      <c r="R6" s="458" t="n">
        <f aca="false">(X6-F6)/Q6</f>
        <v>1.38052236980149</v>
      </c>
      <c r="S6" s="202" t="n">
        <f aca="false">240.53-S$38</f>
        <v>240.53</v>
      </c>
      <c r="T6" s="215" t="n">
        <f aca="false">236.17-T$37</f>
        <v>235.97</v>
      </c>
      <c r="U6" s="215" t="n">
        <f aca="false">234.32-U$37</f>
        <v>234.12</v>
      </c>
      <c r="V6" s="215" t="n">
        <f aca="false">230.41-V$37</f>
        <v>230.21</v>
      </c>
      <c r="W6" s="215" t="n">
        <f aca="false">227.03-W$37</f>
        <v>226.83</v>
      </c>
      <c r="X6" s="215" t="n">
        <v>212.75</v>
      </c>
      <c r="Y6" s="428" t="n">
        <f aca="false">O6</f>
        <v>57.4684005029176</v>
      </c>
      <c r="Z6" s="202" t="n">
        <f aca="false">100*(S6-$X6)/$Q6</f>
        <v>37.9975343635048</v>
      </c>
      <c r="AA6" s="202" t="n">
        <f aca="false">100*(T6-$X6)/$Q6</f>
        <v>31.7603580964932</v>
      </c>
      <c r="AB6" s="202" t="n">
        <f aca="false">100*(U6-$X6)/$Q6</f>
        <v>29.2299247425521</v>
      </c>
      <c r="AC6" s="202" t="n">
        <f aca="false">100*(V6-$X6)/$Q6</f>
        <v>23.8818196539523</v>
      </c>
      <c r="AD6" s="202" t="n">
        <f aca="false">100*(W6-$X6)/$Q6</f>
        <v>19.2586495262113</v>
      </c>
      <c r="AE6" s="202"/>
      <c r="AF6" s="202"/>
      <c r="AG6" s="202"/>
      <c r="AH6" s="406"/>
      <c r="AI6" s="459" t="n">
        <f aca="false">AA6</f>
        <v>31.7603580964932</v>
      </c>
      <c r="AJ6" s="78" t="n">
        <f aca="false">AVERAGE(AI6:AI13)</f>
        <v>30.7857263951727</v>
      </c>
      <c r="AK6" s="78" t="n">
        <f aca="false">STDEV(AI6:AI13)</f>
        <v>2.60603763635521</v>
      </c>
      <c r="AL6" s="459" t="n">
        <f aca="false">AA6-AH$14</f>
        <v>28.6716785901461</v>
      </c>
      <c r="AM6" s="78" t="n">
        <f aca="false">AVERAGE(AL6:AL13)</f>
        <v>27.6970468888256</v>
      </c>
      <c r="AN6" s="460" t="n">
        <f aca="false">STDEV(AL6:AL13)</f>
        <v>2.60603763635521</v>
      </c>
      <c r="AO6" s="406" t="n">
        <f aca="false">40*AL6/100</f>
        <v>11.4686714360584</v>
      </c>
      <c r="AP6" s="78" t="n">
        <f aca="false">AVERAGE(AO6:AO13)</f>
        <v>11.0788187555302</v>
      </c>
      <c r="AQ6" s="461" t="n">
        <f aca="false">STDEV(AO6:AO13)</f>
        <v>1.04241505454208</v>
      </c>
      <c r="AR6" s="406" t="n">
        <f aca="false">AO6*((SUM($R$16:$R$23)+SUM($R$26:$R$33))/16)/R6</f>
        <v>13.4969371220838</v>
      </c>
      <c r="AS6" s="78" t="n">
        <f aca="false">AVERAGE(AR6:AR13)</f>
        <v>13.8015614372487</v>
      </c>
      <c r="AT6" s="78" t="n">
        <f aca="false">STDEV(AR6:AR13)</f>
        <v>3.43496536019969</v>
      </c>
      <c r="AU6" s="7"/>
    </row>
    <row r="7" customFormat="false" ht="12.8" hidden="false" customHeight="false" outlineLevel="0" collapsed="false">
      <c r="B7" s="5"/>
      <c r="C7" s="76"/>
      <c r="D7" s="76"/>
      <c r="E7" s="100" t="n">
        <v>2</v>
      </c>
      <c r="F7" s="425" t="n">
        <v>110.48</v>
      </c>
      <c r="G7" s="428" t="n">
        <v>0.23</v>
      </c>
      <c r="H7" s="462" t="n">
        <f aca="false">G7/2.65</f>
        <v>0.0867924528301887</v>
      </c>
      <c r="I7" s="462" t="n">
        <v>7.1</v>
      </c>
      <c r="J7" s="462" t="n">
        <f aca="false">I7/1.52</f>
        <v>4.67105263157895</v>
      </c>
      <c r="K7" s="462" t="n">
        <f aca="false">100-H7-J7</f>
        <v>95.2421549155909</v>
      </c>
      <c r="L7" s="462" t="n">
        <f aca="false">('Water-stable macroaggregates'!$BK$6/100)*(X7-F7)</f>
        <v>5.45870563993201</v>
      </c>
      <c r="M7" s="462" t="n">
        <f aca="false">(X7-F7)-L7</f>
        <v>98.341294360068</v>
      </c>
      <c r="N7" s="462" t="n">
        <f aca="false">(1*L7/(L7+M7))+(2.65*M7/(L7+M7))</f>
        <v>2.56322866757334</v>
      </c>
      <c r="O7" s="462" t="n">
        <f aca="false">100*(1-((X7-F7)/N7)/K7)</f>
        <v>57.4812205785055</v>
      </c>
      <c r="P7" s="462" t="n">
        <f aca="false">O7-Z7</f>
        <v>23.3879166891601</v>
      </c>
      <c r="Q7" s="463" t="n">
        <f aca="false">100-H7-P7</f>
        <v>76.5252908580097</v>
      </c>
      <c r="R7" s="463" t="n">
        <f aca="false">(X7-F7)/Q7</f>
        <v>1.35641431526994</v>
      </c>
      <c r="S7" s="462" t="n">
        <f aca="false">240.37-S$38</f>
        <v>240.37</v>
      </c>
      <c r="T7" s="215" t="n">
        <f aca="false">236.94-T$37</f>
        <v>236.74</v>
      </c>
      <c r="U7" s="215" t="n">
        <f aca="false">235.73-U$37</f>
        <v>235.53</v>
      </c>
      <c r="V7" s="215" t="n">
        <f aca="false">232.43-V$37</f>
        <v>232.23</v>
      </c>
      <c r="W7" s="215" t="n">
        <f aca="false">229.83-W$37</f>
        <v>229.63</v>
      </c>
      <c r="X7" s="215" t="n">
        <v>214.28</v>
      </c>
      <c r="Y7" s="428" t="n">
        <f aca="false">O7</f>
        <v>57.4812205785055</v>
      </c>
      <c r="Z7" s="215" t="n">
        <f aca="false">100*(S7-$X7)/$Q7</f>
        <v>34.0933038893454</v>
      </c>
      <c r="AA7" s="215" t="n">
        <f aca="false">100*(T7-$X7)/$Q7</f>
        <v>29.3497741049738</v>
      </c>
      <c r="AB7" s="215" t="n">
        <f aca="false">100*(U7-$X7)/$Q7</f>
        <v>27.768597494688</v>
      </c>
      <c r="AC7" s="215" t="n">
        <f aca="false">100*(V7-$X7)/$Q7</f>
        <v>23.4562976484541</v>
      </c>
      <c r="AD7" s="215" t="n">
        <f aca="false">100*(W7-$X7)/$Q7</f>
        <v>20.0587280726335</v>
      </c>
      <c r="AE7" s="215"/>
      <c r="AF7" s="215"/>
      <c r="AG7" s="215"/>
      <c r="AH7" s="406"/>
      <c r="AI7" s="459" t="n">
        <f aca="false">AA7</f>
        <v>29.3497741049738</v>
      </c>
      <c r="AJ7" s="78"/>
      <c r="AK7" s="78"/>
      <c r="AL7" s="459" t="n">
        <f aca="false">AA7-AH$14</f>
        <v>26.2610945986267</v>
      </c>
      <c r="AM7" s="78"/>
      <c r="AN7" s="460"/>
      <c r="AO7" s="406" t="n">
        <f aca="false">40*AL7/100</f>
        <v>10.5044378394507</v>
      </c>
      <c r="AP7" s="78"/>
      <c r="AQ7" s="461"/>
      <c r="AR7" s="406" t="n">
        <f aca="false">AO7*((SUM($R$16:$R$23)+SUM($R$26:$R$33))/16)/R7</f>
        <v>12.5818937365354</v>
      </c>
      <c r="AS7" s="78"/>
      <c r="AT7" s="78"/>
      <c r="AU7" s="7"/>
      <c r="AW7" s="464"/>
    </row>
    <row r="8" customFormat="false" ht="12.8" hidden="false" customHeight="false" outlineLevel="0" collapsed="false">
      <c r="B8" s="5"/>
      <c r="C8" s="76"/>
      <c r="D8" s="76"/>
      <c r="E8" s="100" t="n">
        <v>3</v>
      </c>
      <c r="F8" s="425" t="n">
        <v>105.3</v>
      </c>
      <c r="G8" s="428" t="n">
        <v>0.59</v>
      </c>
      <c r="H8" s="462" t="n">
        <f aca="false">G8/2.65</f>
        <v>0.222641509433962</v>
      </c>
      <c r="I8" s="462" t="n">
        <v>3.36</v>
      </c>
      <c r="J8" s="462" t="n">
        <f aca="false">I8/1.52</f>
        <v>2.21052631578947</v>
      </c>
      <c r="K8" s="462" t="n">
        <f aca="false">100-H8-J8</f>
        <v>97.5668321747766</v>
      </c>
      <c r="L8" s="462" t="n">
        <f aca="false">('Water-stable macroaggregates'!$BK$6/100)*(X8-F8)</f>
        <v>6.91015338234167</v>
      </c>
      <c r="M8" s="462" t="n">
        <f aca="false">(X8-F8)-L8</f>
        <v>124.489846617658</v>
      </c>
      <c r="N8" s="462" t="n">
        <f aca="false">(1*L8/(L8+M8))+(2.65*M8/(L8+M8))</f>
        <v>2.56322866757333</v>
      </c>
      <c r="O8" s="462" t="n">
        <f aca="false">100*(1-((X8-F8)/N8)/K8)</f>
        <v>47.4580956913387</v>
      </c>
      <c r="P8" s="462" t="n">
        <f aca="false">O8-Z8</f>
        <v>15.7962231695516</v>
      </c>
      <c r="Q8" s="463" t="n">
        <f aca="false">100-H8-P8</f>
        <v>83.9811353210145</v>
      </c>
      <c r="R8" s="463" t="n">
        <f aca="false">(X8-F8)/Q8</f>
        <v>1.56463709972161</v>
      </c>
      <c r="S8" s="462" t="n">
        <f aca="false">263.29-S$38</f>
        <v>263.29</v>
      </c>
      <c r="T8" s="215" t="n">
        <f aca="false">260.27-T$37</f>
        <v>260.07</v>
      </c>
      <c r="U8" s="215" t="n">
        <f aca="false">259.26-U$37</f>
        <v>259.06</v>
      </c>
      <c r="V8" s="215" t="n">
        <f aca="false">255.17-V$37</f>
        <v>254.97</v>
      </c>
      <c r="W8" s="215" t="n">
        <f aca="false">252.84-W$37</f>
        <v>252.64</v>
      </c>
      <c r="X8" s="215" t="n">
        <v>236.7</v>
      </c>
      <c r="Y8" s="428" t="n">
        <f aca="false">O8</f>
        <v>47.4580956913387</v>
      </c>
      <c r="Z8" s="215" t="n">
        <f aca="false">100*(S8-$X8)/$Q8</f>
        <v>31.6618725217871</v>
      </c>
      <c r="AA8" s="215" t="n">
        <f aca="false">100*(T8-$X8)/$Q8</f>
        <v>27.8276780977884</v>
      </c>
      <c r="AB8" s="215" t="n">
        <f aca="false">100*(U8-$X8)/$Q8</f>
        <v>26.6250270546234</v>
      </c>
      <c r="AC8" s="215" t="n">
        <f aca="false">100*(V8-$X8)/$Q8</f>
        <v>21.7548857016087</v>
      </c>
      <c r="AD8" s="215" t="n">
        <f aca="false">100*(W8-$X8)/$Q8</f>
        <v>18.9804530970795</v>
      </c>
      <c r="AE8" s="215" t="n">
        <v>15.49</v>
      </c>
      <c r="AF8" s="215" t="n">
        <v>22.91</v>
      </c>
      <c r="AG8" s="215" t="n">
        <v>22.44</v>
      </c>
      <c r="AH8" s="406" t="n">
        <f aca="false">100*AVERAGE(R6:R13)*((AF8-AE8)-(AG8-AE8))/AG8</f>
        <v>2.81540024198955</v>
      </c>
      <c r="AI8" s="459" t="n">
        <f aca="false">AA8</f>
        <v>27.8276780977884</v>
      </c>
      <c r="AJ8" s="78"/>
      <c r="AK8" s="78"/>
      <c r="AL8" s="459" t="n">
        <f aca="false">AA8-AH$14</f>
        <v>24.7389985914413</v>
      </c>
      <c r="AM8" s="78"/>
      <c r="AN8" s="460"/>
      <c r="AO8" s="406" t="n">
        <f aca="false">40*AL8/100</f>
        <v>9.89559943657651</v>
      </c>
      <c r="AP8" s="78"/>
      <c r="AQ8" s="461"/>
      <c r="AR8" s="406" t="n">
        <f aca="false">AO8*((SUM($R$16:$R$23)+SUM($R$26:$R$33))/16)/R8</f>
        <v>10.2752889978574</v>
      </c>
      <c r="AS8" s="78"/>
      <c r="AT8" s="78"/>
      <c r="AU8" s="7"/>
    </row>
    <row r="9" customFormat="false" ht="12.8" hidden="false" customHeight="false" outlineLevel="0" collapsed="false">
      <c r="B9" s="5"/>
      <c r="C9" s="76"/>
      <c r="D9" s="76"/>
      <c r="E9" s="100" t="n">
        <v>4</v>
      </c>
      <c r="F9" s="425" t="n">
        <v>104.71</v>
      </c>
      <c r="G9" s="428" t="n">
        <v>0.99</v>
      </c>
      <c r="H9" s="462" t="n">
        <f aca="false">G9/2.65</f>
        <v>0.373584905660377</v>
      </c>
      <c r="I9" s="462" t="n">
        <f aca="false">2.99+4.68</f>
        <v>7.67</v>
      </c>
      <c r="J9" s="462" t="n">
        <f aca="false">I9/1.52</f>
        <v>5.04605263157895</v>
      </c>
      <c r="K9" s="462" t="n">
        <f aca="false">100-H9-J9</f>
        <v>94.5803624627607</v>
      </c>
      <c r="L9" s="462" t="n">
        <f aca="false">('Water-stable macroaggregates'!$BK$6/100)*(X9-F9)</f>
        <v>5.15842424104943</v>
      </c>
      <c r="M9" s="462" t="n">
        <f aca="false">(X9-F9)-L9</f>
        <v>92.9315757589506</v>
      </c>
      <c r="N9" s="462" t="n">
        <f aca="false">(1*L9/(L9+M9))+(2.65*M9/(L9+M9))</f>
        <v>2.56322866757333</v>
      </c>
      <c r="O9" s="462" t="n">
        <f aca="false">100*(1-((X9-F9)/N9)/K9)</f>
        <v>59.5390189481728</v>
      </c>
      <c r="P9" s="462" t="n">
        <f aca="false">O9-Z9</f>
        <v>22.1740956613176</v>
      </c>
      <c r="Q9" s="463" t="n">
        <f aca="false">100-H9-P9</f>
        <v>77.452319433022</v>
      </c>
      <c r="R9" s="463" t="n">
        <f aca="false">(X9-F9)/Q9</f>
        <v>1.26645658539412</v>
      </c>
      <c r="S9" s="462" t="n">
        <f aca="false">231.74-S$38</f>
        <v>231.74</v>
      </c>
      <c r="T9" s="215" t="n">
        <f aca="false">227.64-T$37</f>
        <v>227.44</v>
      </c>
      <c r="U9" s="215" t="n">
        <f aca="false">226.54-U$37</f>
        <v>226.34</v>
      </c>
      <c r="V9" s="215" t="n">
        <f aca="false">222.74-V$37</f>
        <v>222.54</v>
      </c>
      <c r="W9" s="215" t="n">
        <f aca="false">220.76-W$37</f>
        <v>220.56</v>
      </c>
      <c r="X9" s="215" t="n">
        <v>202.8</v>
      </c>
      <c r="Y9" s="428" t="n">
        <f aca="false">O9</f>
        <v>59.5390189481728</v>
      </c>
      <c r="Z9" s="215" t="n">
        <f aca="false">100*(S9-$X9)/$Q9</f>
        <v>37.3649232868552</v>
      </c>
      <c r="AA9" s="215" t="n">
        <f aca="false">100*(T9-$X9)/$Q9</f>
        <v>31.8131208727813</v>
      </c>
      <c r="AB9" s="215" t="n">
        <f aca="false">100*(U9-$X9)/$Q9</f>
        <v>30.3928922623893</v>
      </c>
      <c r="AC9" s="215" t="n">
        <f aca="false">100*(V9-$X9)/$Q9</f>
        <v>25.4866479719442</v>
      </c>
      <c r="AD9" s="215" t="n">
        <f aca="false">100*(W9-$X9)/$Q9</f>
        <v>22.9302364732385</v>
      </c>
      <c r="AE9" s="215"/>
      <c r="AF9" s="215"/>
      <c r="AG9" s="215"/>
      <c r="AH9" s="406"/>
      <c r="AI9" s="459" t="n">
        <f aca="false">AA9</f>
        <v>31.8131208727813</v>
      </c>
      <c r="AJ9" s="78"/>
      <c r="AK9" s="78"/>
      <c r="AL9" s="459" t="n">
        <f aca="false">AA9-AH$14</f>
        <v>28.7244413664342</v>
      </c>
      <c r="AM9" s="78"/>
      <c r="AN9" s="460"/>
      <c r="AO9" s="406" t="n">
        <f aca="false">40*AL9/100</f>
        <v>11.4897765465737</v>
      </c>
      <c r="AP9" s="78"/>
      <c r="AQ9" s="461"/>
      <c r="AR9" s="406" t="n">
        <f aca="false">AO9*((SUM($R$16:$R$23)+SUM($R$26:$R$33))/16)/R9</f>
        <v>14.739638695615</v>
      </c>
      <c r="AS9" s="78"/>
      <c r="AT9" s="78"/>
      <c r="AU9" s="7"/>
    </row>
    <row r="10" customFormat="false" ht="12.8" hidden="false" customHeight="false" outlineLevel="0" collapsed="false">
      <c r="B10" s="5"/>
      <c r="C10" s="76"/>
      <c r="D10" s="76"/>
      <c r="E10" s="100" t="n">
        <v>5</v>
      </c>
      <c r="F10" s="425" t="n">
        <v>101.99</v>
      </c>
      <c r="G10" s="428" t="n">
        <v>0.2</v>
      </c>
      <c r="H10" s="462" t="n">
        <f aca="false">G10/2.65</f>
        <v>0.0754716981132076</v>
      </c>
      <c r="I10" s="462" t="n">
        <f aca="false">5.58+5.7</f>
        <v>11.28</v>
      </c>
      <c r="J10" s="462" t="n">
        <f aca="false">I10/1.52</f>
        <v>7.42105263157895</v>
      </c>
      <c r="K10" s="462" t="n">
        <f aca="false">100-H10-J10</f>
        <v>92.5034756703078</v>
      </c>
      <c r="L10" s="462" t="n">
        <f aca="false">('Water-stable macroaggregates'!$BK$6/100)*(X10-F10)</f>
        <v>4.56417208564257</v>
      </c>
      <c r="M10" s="462" t="n">
        <f aca="false">(X10-F10)-L10</f>
        <v>82.2258279143574</v>
      </c>
      <c r="N10" s="462" t="n">
        <f aca="false">(1*L10/(L10+M10))+(2.65*M10/(L10+M10))</f>
        <v>2.56322866757334</v>
      </c>
      <c r="O10" s="462" t="n">
        <f aca="false">100*(1-((X10-F10)/N10)/K10)</f>
        <v>63.3963591257676</v>
      </c>
      <c r="P10" s="462" t="n">
        <f aca="false">O10-Z10</f>
        <v>24.7783142803733</v>
      </c>
      <c r="Q10" s="463" t="n">
        <f aca="false">100-H10-P10</f>
        <v>75.1462140215135</v>
      </c>
      <c r="R10" s="463" t="n">
        <f aca="false">(X10-F10)/Q10</f>
        <v>1.15494840465486</v>
      </c>
      <c r="S10" s="462" t="n">
        <f aca="false">217.8-S$38</f>
        <v>217.8</v>
      </c>
      <c r="T10" s="215" t="n">
        <f aca="false">213.82-T$37</f>
        <v>213.62</v>
      </c>
      <c r="U10" s="215" t="n">
        <f aca="false">211.75-U$37</f>
        <v>211.55</v>
      </c>
      <c r="V10" s="215" t="n">
        <f aca="false">208.84-V$37</f>
        <v>208.64</v>
      </c>
      <c r="W10" s="215" t="n">
        <f aca="false">208.19-W$37</f>
        <v>207.99</v>
      </c>
      <c r="X10" s="215" t="n">
        <v>188.78</v>
      </c>
      <c r="Y10" s="428" t="n">
        <f aca="false">O10</f>
        <v>63.3963591257676</v>
      </c>
      <c r="Z10" s="215" t="n">
        <f aca="false">100*(S10-$X10)/$Q10</f>
        <v>38.6180448453943</v>
      </c>
      <c r="AA10" s="215" t="n">
        <f aca="false">100*(T10-$X10)/$Q10</f>
        <v>33.0555575200217</v>
      </c>
      <c r="AB10" s="215" t="n">
        <f aca="false">100*(U10-$X10)/$Q10</f>
        <v>30.3009277266866</v>
      </c>
      <c r="AC10" s="215" t="n">
        <f aca="false">100*(V10-$X10)/$Q10</f>
        <v>26.4284771476502</v>
      </c>
      <c r="AD10" s="215" t="n">
        <f aca="false">100*(W10-$X10)/$Q10</f>
        <v>25.5634967777624</v>
      </c>
      <c r="AE10" s="215"/>
      <c r="AF10" s="215"/>
      <c r="AG10" s="215"/>
      <c r="AH10" s="406"/>
      <c r="AI10" s="459" t="n">
        <f aca="false">AA10</f>
        <v>33.0555575200217</v>
      </c>
      <c r="AJ10" s="78"/>
      <c r="AK10" s="78"/>
      <c r="AL10" s="459" t="n">
        <f aca="false">AA10-AH$14</f>
        <v>29.9668780136745</v>
      </c>
      <c r="AM10" s="78"/>
      <c r="AN10" s="460"/>
      <c r="AO10" s="406" t="n">
        <f aca="false">40*AL10/100</f>
        <v>11.9867512054698</v>
      </c>
      <c r="AP10" s="78"/>
      <c r="AQ10" s="461"/>
      <c r="AR10" s="406" t="n">
        <f aca="false">AO10*((SUM($R$16:$R$23)+SUM($R$26:$R$33))/16)/R10</f>
        <v>16.8618208209574</v>
      </c>
      <c r="AS10" s="78"/>
      <c r="AT10" s="78"/>
      <c r="AU10" s="7"/>
    </row>
    <row r="11" customFormat="false" ht="12.8" hidden="false" customHeight="false" outlineLevel="0" collapsed="false">
      <c r="B11" s="5"/>
      <c r="C11" s="76"/>
      <c r="D11" s="76"/>
      <c r="E11" s="100" t="n">
        <v>6</v>
      </c>
      <c r="F11" s="425" t="n">
        <v>113.95</v>
      </c>
      <c r="G11" s="428" t="n">
        <v>0.9</v>
      </c>
      <c r="H11" s="462" t="n">
        <f aca="false">G11/2.65</f>
        <v>0.339622641509434</v>
      </c>
      <c r="I11" s="462" t="n">
        <f aca="false">3.04+3.99</f>
        <v>7.03</v>
      </c>
      <c r="J11" s="462" t="n">
        <f aca="false">I11/1.52</f>
        <v>4.625</v>
      </c>
      <c r="K11" s="462" t="n">
        <f aca="false">100-H11-J11</f>
        <v>95.0353773584906</v>
      </c>
      <c r="L11" s="462" t="n">
        <f aca="false">('Water-stable macroaggregates'!$BK$6/100)*(X11-F11)</f>
        <v>6.53572193574903</v>
      </c>
      <c r="M11" s="462" t="n">
        <f aca="false">(X11-F11)-L11</f>
        <v>117.744278064251</v>
      </c>
      <c r="N11" s="462" t="n">
        <f aca="false">(1*L11/(L11+M11))+(2.65*M11/(L11+M11))</f>
        <v>2.56322866757333</v>
      </c>
      <c r="O11" s="462" t="n">
        <f aca="false">100*(1-((X11-F11)/N11)/K11)</f>
        <v>48.9813938395649</v>
      </c>
      <c r="P11" s="462" t="n">
        <f aca="false">O11-Z11</f>
        <v>16.4668467329446</v>
      </c>
      <c r="Q11" s="463" t="n">
        <f aca="false">100-H11-P11</f>
        <v>83.193530625546</v>
      </c>
      <c r="R11" s="463" t="n">
        <f aca="false">(X11-F11)/Q11</f>
        <v>1.49386615840821</v>
      </c>
      <c r="S11" s="462" t="n">
        <f aca="false">265.28-S$38</f>
        <v>265.28</v>
      </c>
      <c r="T11" s="215" t="n">
        <f aca="false">261.72-T$37</f>
        <v>261.52</v>
      </c>
      <c r="U11" s="215" t="n">
        <f aca="false">259.68-U$37</f>
        <v>259.48</v>
      </c>
      <c r="V11" s="215" t="n">
        <f aca="false">256.32-V$37</f>
        <v>256.12</v>
      </c>
      <c r="W11" s="215" t="n">
        <f aca="false">254.45-W$37</f>
        <v>254.25</v>
      </c>
      <c r="X11" s="215" t="n">
        <v>238.23</v>
      </c>
      <c r="Y11" s="428" t="n">
        <f aca="false">O11</f>
        <v>48.9813938395649</v>
      </c>
      <c r="Z11" s="215" t="n">
        <f aca="false">100*(S11-$X11)/$Q11</f>
        <v>32.5145471066203</v>
      </c>
      <c r="AA11" s="215" t="n">
        <f aca="false">100*(T11-$X11)/$Q11</f>
        <v>27.9949652633789</v>
      </c>
      <c r="AB11" s="215" t="n">
        <f aca="false">100*(U11-$X11)/$Q11</f>
        <v>25.5428515176814</v>
      </c>
      <c r="AC11" s="215" t="n">
        <f aca="false">100*(V11-$X11)/$Q11</f>
        <v>21.5040759365327</v>
      </c>
      <c r="AD11" s="215" t="n">
        <f aca="false">100*(W11-$X11)/$Q11</f>
        <v>19.2563050029768</v>
      </c>
      <c r="AE11" s="215" t="n">
        <v>15.51</v>
      </c>
      <c r="AF11" s="215" t="n">
        <v>23.77</v>
      </c>
      <c r="AG11" s="215" t="n">
        <v>23.19</v>
      </c>
      <c r="AH11" s="406" t="n">
        <f aca="false">100*AVERAGE(R6:R13)*((AF11-AE11)-(AG11-AE11))/AG11</f>
        <v>3.36195877070476</v>
      </c>
      <c r="AI11" s="459" t="n">
        <f aca="false">AA11</f>
        <v>27.9949652633789</v>
      </c>
      <c r="AJ11" s="80"/>
      <c r="AK11" s="80"/>
      <c r="AL11" s="459" t="n">
        <f aca="false">AA11-AH$14</f>
        <v>24.9062857570317</v>
      </c>
      <c r="AM11" s="80"/>
      <c r="AN11" s="460"/>
      <c r="AO11" s="406" t="n">
        <f aca="false">40*AL11/100</f>
        <v>9.96251430281268</v>
      </c>
      <c r="AP11" s="80"/>
      <c r="AQ11" s="461"/>
      <c r="AR11" s="406" t="n">
        <f aca="false">AO11*((SUM($R$16:$R$23)+SUM($R$26:$R$33))/16)/R11</f>
        <v>10.8348481966628</v>
      </c>
      <c r="AS11" s="80"/>
      <c r="AT11" s="80"/>
      <c r="AU11" s="7"/>
    </row>
    <row r="12" customFormat="false" ht="12.8" hidden="false" customHeight="false" outlineLevel="0" collapsed="false">
      <c r="B12" s="5"/>
      <c r="C12" s="76"/>
      <c r="D12" s="76"/>
      <c r="E12" s="100" t="n">
        <v>7</v>
      </c>
      <c r="F12" s="425" t="n">
        <v>108.9</v>
      </c>
      <c r="G12" s="428" t="n">
        <v>0.11</v>
      </c>
      <c r="H12" s="462" t="n">
        <f aca="false">G12/2.65</f>
        <v>0.0415094339622642</v>
      </c>
      <c r="I12" s="462" t="n">
        <f aca="false">10.78+2.17</f>
        <v>12.95</v>
      </c>
      <c r="J12" s="462" t="n">
        <f aca="false">I12/1.52</f>
        <v>8.51973684210526</v>
      </c>
      <c r="K12" s="462" t="n">
        <f aca="false">100-H12-J12</f>
        <v>91.4387537239325</v>
      </c>
      <c r="L12" s="462" t="n">
        <f aca="false">('Water-stable macroaggregates'!$BK$6/100)*(X12-F12)</f>
        <v>4.03881110931385</v>
      </c>
      <c r="M12" s="462" t="n">
        <f aca="false">(X12-F12)-L12</f>
        <v>72.7611888906861</v>
      </c>
      <c r="N12" s="462" t="n">
        <f aca="false">(1*L12/(L12+M12))+(2.65*M12/(L12+M12))</f>
        <v>2.56322866757333</v>
      </c>
      <c r="O12" s="462" t="n">
        <f aca="false">100*(1-((X12-F12)/N12)/K12)</f>
        <v>67.232480222925</v>
      </c>
      <c r="P12" s="462" t="n">
        <f aca="false">O12-Z12</f>
        <v>25.0228916681078</v>
      </c>
      <c r="Q12" s="463" t="n">
        <f aca="false">100-H12-P12</f>
        <v>74.93559889793</v>
      </c>
      <c r="R12" s="463" t="n">
        <f aca="false">(X12-F12)/Q12</f>
        <v>1.02488004539217</v>
      </c>
      <c r="S12" s="462" t="n">
        <f aca="false">217.33-S$38</f>
        <v>217.33</v>
      </c>
      <c r="T12" s="215" t="n">
        <f aca="false">212.28-T$37</f>
        <v>212.08</v>
      </c>
      <c r="U12" s="215" t="n">
        <f aca="false">210.12-U$37</f>
        <v>209.92</v>
      </c>
      <c r="V12" s="215" t="n">
        <f aca="false">206.26-V$37</f>
        <v>206.06</v>
      </c>
      <c r="W12" s="215" t="n">
        <f aca="false">204.26-W$37</f>
        <v>204.06</v>
      </c>
      <c r="X12" s="215" t="n">
        <v>185.7</v>
      </c>
      <c r="Y12" s="428" t="n">
        <f aca="false">O12</f>
        <v>67.232480222925</v>
      </c>
      <c r="Z12" s="215" t="n">
        <f aca="false">100*(S12-$X12)/$Q12</f>
        <v>42.2095885548172</v>
      </c>
      <c r="AA12" s="215" t="n">
        <f aca="false">100*(T12-$X12)/$Q12</f>
        <v>35.2035619758405</v>
      </c>
      <c r="AB12" s="215" t="n">
        <f aca="false">100*(U12-$X12)/$Q12</f>
        <v>32.321086848175</v>
      </c>
      <c r="AC12" s="215" t="n">
        <f aca="false">100*(V12-$X12)/$Q12</f>
        <v>27.1699970366987</v>
      </c>
      <c r="AD12" s="215" t="n">
        <f aca="false">100*(W12-$X12)/$Q12</f>
        <v>24.5010385851566</v>
      </c>
      <c r="AE12" s="215"/>
      <c r="AF12" s="215"/>
      <c r="AG12" s="215"/>
      <c r="AH12" s="406"/>
      <c r="AI12" s="459" t="n">
        <f aca="false">AA12</f>
        <v>35.2035619758405</v>
      </c>
      <c r="AJ12" s="78"/>
      <c r="AK12" s="78"/>
      <c r="AL12" s="459" t="n">
        <f aca="false">AA12-AH$14</f>
        <v>32.1148824694933</v>
      </c>
      <c r="AM12" s="78"/>
      <c r="AN12" s="460"/>
      <c r="AO12" s="406" t="n">
        <f aca="false">40*AL12/100</f>
        <v>12.8459529877973</v>
      </c>
      <c r="AP12" s="78"/>
      <c r="AQ12" s="461"/>
      <c r="AR12" s="406" t="n">
        <f aca="false">AO12*((SUM($R$16:$R$23)+SUM($R$26:$R$33))/16)/R12</f>
        <v>20.3638014016927</v>
      </c>
      <c r="AS12" s="78"/>
      <c r="AT12" s="78"/>
      <c r="AU12" s="7"/>
    </row>
    <row r="13" customFormat="false" ht="12.8" hidden="false" customHeight="false" outlineLevel="0" collapsed="false">
      <c r="B13" s="5"/>
      <c r="C13" s="76"/>
      <c r="D13" s="76"/>
      <c r="E13" s="100" t="n">
        <v>8</v>
      </c>
      <c r="F13" s="425" t="n">
        <v>110.52</v>
      </c>
      <c r="G13" s="428" t="n">
        <v>1.52</v>
      </c>
      <c r="H13" s="209" t="n">
        <f aca="false">G13/2.65</f>
        <v>0.573584905660377</v>
      </c>
      <c r="I13" s="209" t="n">
        <f aca="false">0.35+6.17</f>
        <v>6.52</v>
      </c>
      <c r="J13" s="209" t="n">
        <f aca="false">I13/1.52</f>
        <v>4.28947368421053</v>
      </c>
      <c r="K13" s="209" t="n">
        <f aca="false">100-H13-J13</f>
        <v>95.1369414101291</v>
      </c>
      <c r="L13" s="209" t="n">
        <f aca="false">('Water-stable macroaggregates'!$BK$6/100)*(X13-F13)</f>
        <v>6.94328425472276</v>
      </c>
      <c r="M13" s="209" t="n">
        <f aca="false">(X13-F13)-L13</f>
        <v>125.086715745277</v>
      </c>
      <c r="N13" s="209" t="n">
        <f aca="false">(1*L13/(L13+M13))+(2.65*M13/(L13+M13))</f>
        <v>2.56322866757334</v>
      </c>
      <c r="O13" s="209" t="n">
        <f aca="false">100*(1-((X13-F13)/N13)/K13)</f>
        <v>45.8577765873855</v>
      </c>
      <c r="P13" s="209" t="n">
        <f aca="false">O13-Z13</f>
        <v>12.0995518754369</v>
      </c>
      <c r="Q13" s="429" t="n">
        <f aca="false">100-H13-P13</f>
        <v>87.3268632189027</v>
      </c>
      <c r="R13" s="429" t="n">
        <f aca="false">(X13-F13)/Q13</f>
        <v>1.51190590310154</v>
      </c>
      <c r="S13" s="209" t="n">
        <f aca="false">272.03-S$38</f>
        <v>272.03</v>
      </c>
      <c r="T13" s="215" t="n">
        <f aca="false">268.32-T$37</f>
        <v>268.12</v>
      </c>
      <c r="U13" s="215" t="n">
        <f aca="false">266.48-U$37</f>
        <v>266.28</v>
      </c>
      <c r="V13" s="215" t="n">
        <f aca="false">262.32-V$37</f>
        <v>262.12</v>
      </c>
      <c r="W13" s="215" t="n">
        <f aca="false">261.14-W$37</f>
        <v>260.94</v>
      </c>
      <c r="X13" s="215" t="n">
        <v>242.55</v>
      </c>
      <c r="Y13" s="428" t="n">
        <f aca="false">O13</f>
        <v>45.8577765873855</v>
      </c>
      <c r="Z13" s="215" t="n">
        <f aca="false">100*(S13-$X13)/$Q13</f>
        <v>33.7582247119486</v>
      </c>
      <c r="AA13" s="215" t="n">
        <f aca="false">100*(T13-$X13)/$Q13</f>
        <v>29.2807952301041</v>
      </c>
      <c r="AB13" s="215" t="n">
        <f aca="false">100*(U13-$X13)/$Q13</f>
        <v>27.1737689014615</v>
      </c>
      <c r="AC13" s="215" t="n">
        <f aca="false">100*(V13-$X13)/$Q13</f>
        <v>22.4100572019217</v>
      </c>
      <c r="AD13" s="215" t="n">
        <f aca="false">100*(W13-$X13)/$Q13</f>
        <v>21.0588120563791</v>
      </c>
      <c r="AE13" s="215"/>
      <c r="AF13" s="215"/>
      <c r="AG13" s="215"/>
      <c r="AH13" s="406"/>
      <c r="AI13" s="459" t="n">
        <f aca="false">AA13</f>
        <v>29.2807952301041</v>
      </c>
      <c r="AJ13" s="78"/>
      <c r="AK13" s="78"/>
      <c r="AL13" s="459" t="n">
        <f aca="false">AA13-AH$14</f>
        <v>26.1921157237569</v>
      </c>
      <c r="AM13" s="78"/>
      <c r="AN13" s="460"/>
      <c r="AO13" s="406" t="n">
        <f aca="false">40*AL13/100</f>
        <v>10.4768462895028</v>
      </c>
      <c r="AP13" s="78"/>
      <c r="AQ13" s="461"/>
      <c r="AR13" s="406" t="n">
        <f aca="false">AO13*((SUM($R$16:$R$23)+SUM($R$26:$R$33))/16)/R13</f>
        <v>11.258262526585</v>
      </c>
      <c r="AS13" s="78"/>
      <c r="AT13" s="78"/>
      <c r="AU13" s="7"/>
    </row>
    <row r="14" customFormat="false" ht="12.8" hidden="false" customHeight="false" outlineLevel="0" collapsed="false">
      <c r="B14" s="5"/>
      <c r="C14" s="76"/>
      <c r="D14" s="76"/>
      <c r="E14" s="465" t="s">
        <v>49</v>
      </c>
      <c r="F14" s="466"/>
      <c r="G14" s="467"/>
      <c r="H14" s="211"/>
      <c r="I14" s="211"/>
      <c r="J14" s="211"/>
      <c r="K14" s="211"/>
      <c r="L14" s="211"/>
      <c r="M14" s="211"/>
      <c r="N14" s="211"/>
      <c r="O14" s="211"/>
      <c r="P14" s="211"/>
      <c r="Q14" s="468"/>
      <c r="R14" s="468" t="n">
        <f aca="false">AVERAGE(R6:R13)</f>
        <v>1.34420386021799</v>
      </c>
      <c r="S14" s="211"/>
      <c r="T14" s="469"/>
      <c r="U14" s="469"/>
      <c r="V14" s="469"/>
      <c r="W14" s="469"/>
      <c r="X14" s="469"/>
      <c r="Y14" s="467" t="n">
        <f aca="false">AVERAGE(Y6:Y13)</f>
        <v>55.9268431870722</v>
      </c>
      <c r="Z14" s="469" t="n">
        <f aca="false">AVERAGE(Z6:Z13)</f>
        <v>36.0272549100341</v>
      </c>
      <c r="AA14" s="469" t="n">
        <f aca="false">AVERAGE(AA6:AA13)</f>
        <v>30.7857263951727</v>
      </c>
      <c r="AB14" s="469" t="n">
        <f aca="false">AVERAGE(AB6:AB13)</f>
        <v>28.6693845685322</v>
      </c>
      <c r="AC14" s="469" t="n">
        <f aca="false">AVERAGE(AC6:AC13)</f>
        <v>24.0115322873453</v>
      </c>
      <c r="AD14" s="469" t="n">
        <f aca="false">AVERAGE(AD6:AD13)</f>
        <v>21.4509649489297</v>
      </c>
      <c r="AE14" s="469"/>
      <c r="AF14" s="469"/>
      <c r="AG14" s="469"/>
      <c r="AH14" s="469" t="n">
        <f aca="false">AVERAGE(AH6:AH13)</f>
        <v>3.08867950634716</v>
      </c>
      <c r="AI14" s="467" t="n">
        <f aca="false">AVERAGE(AI6:AI13)</f>
        <v>30.7857263951727</v>
      </c>
      <c r="AJ14" s="469"/>
      <c r="AK14" s="469"/>
      <c r="AL14" s="467" t="n">
        <f aca="false">AVERAGE(AL6:AL13)</f>
        <v>27.6970468888256</v>
      </c>
      <c r="AM14" s="469"/>
      <c r="AN14" s="468"/>
      <c r="AO14" s="469" t="n">
        <f aca="false">AVERAGE(AO6:AO13)</f>
        <v>11.0788187555302</v>
      </c>
      <c r="AP14" s="469"/>
      <c r="AQ14" s="339"/>
      <c r="AR14" s="469" t="n">
        <f aca="false">AVERAGE(AR6:AR13)</f>
        <v>13.8015614372487</v>
      </c>
      <c r="AS14" s="469"/>
      <c r="AT14" s="469"/>
      <c r="AU14" s="7"/>
    </row>
    <row r="15" customFormat="false" ht="12.8" hidden="false" customHeight="false" outlineLevel="0" collapsed="false">
      <c r="B15" s="5"/>
      <c r="C15" s="84"/>
      <c r="D15" s="76"/>
      <c r="E15" s="465" t="s">
        <v>50</v>
      </c>
      <c r="F15" s="466"/>
      <c r="G15" s="467"/>
      <c r="H15" s="211"/>
      <c r="I15" s="211"/>
      <c r="J15" s="470"/>
      <c r="K15" s="470"/>
      <c r="L15" s="470"/>
      <c r="M15" s="470"/>
      <c r="N15" s="470"/>
      <c r="O15" s="470"/>
      <c r="P15" s="470"/>
      <c r="Q15" s="468"/>
      <c r="R15" s="468" t="n">
        <f aca="false">STDEV(R6:R13)</f>
        <v>0.186858115016927</v>
      </c>
      <c r="S15" s="211"/>
      <c r="T15" s="469"/>
      <c r="U15" s="469"/>
      <c r="V15" s="469"/>
      <c r="W15" s="469"/>
      <c r="X15" s="469"/>
      <c r="Y15" s="471" t="n">
        <f aca="false">STDEV(Y6:Y13)</f>
        <v>7.771711080958</v>
      </c>
      <c r="Z15" s="469" t="n">
        <f aca="false">STDEV(Z6:Z13)</f>
        <v>3.60335446283292</v>
      </c>
      <c r="AA15" s="469" t="n">
        <f aca="false">STDEV(AA6:AA13)</f>
        <v>2.60603763635521</v>
      </c>
      <c r="AB15" s="469" t="n">
        <f aca="false">STDEV(AB6:AB13)</f>
        <v>2.27672812895653</v>
      </c>
      <c r="AC15" s="469" t="n">
        <f aca="false">STDEV(AC6:AC13)</f>
        <v>2.14686192245061</v>
      </c>
      <c r="AD15" s="469" t="n">
        <f aca="false">STDEV(AD6:AD13)</f>
        <v>2.56966998671162</v>
      </c>
      <c r="AE15" s="469"/>
      <c r="AF15" s="469"/>
      <c r="AG15" s="469"/>
      <c r="AH15" s="469" t="n">
        <f aca="false">STDEV(AH6:AH13)</f>
        <v>0.386475241969866</v>
      </c>
      <c r="AI15" s="467" t="n">
        <f aca="false">STDEV(AI6:AI13)</f>
        <v>2.60603763635521</v>
      </c>
      <c r="AJ15" s="469"/>
      <c r="AK15" s="469"/>
      <c r="AL15" s="467" t="n">
        <f aca="false">STDEV(AL6:AL13)</f>
        <v>2.60603763635521</v>
      </c>
      <c r="AM15" s="469"/>
      <c r="AN15" s="468"/>
      <c r="AO15" s="469" t="n">
        <f aca="false">STDEV(AO6:AO13)</f>
        <v>1.04241505454208</v>
      </c>
      <c r="AP15" s="341"/>
      <c r="AQ15" s="472"/>
      <c r="AR15" s="469" t="n">
        <f aca="false">STDEV(AR6:AR13)</f>
        <v>3.43496536019969</v>
      </c>
      <c r="AS15" s="341"/>
      <c r="AT15" s="341"/>
      <c r="AU15" s="7"/>
    </row>
    <row r="16" customFormat="false" ht="12.8" hidden="false" customHeight="false" outlineLevel="0" collapsed="false">
      <c r="B16" s="5"/>
      <c r="C16" s="81" t="str">
        <f aca="false">C6</f>
        <v>Agropastoral</v>
      </c>
      <c r="D16" s="81" t="s">
        <v>55</v>
      </c>
      <c r="E16" s="473" t="n">
        <v>1</v>
      </c>
      <c r="F16" s="432" t="n">
        <v>108.57</v>
      </c>
      <c r="G16" s="435" t="n">
        <v>1.72</v>
      </c>
      <c r="H16" s="436" t="n">
        <f aca="false">G16/2.65</f>
        <v>0.649056603773585</v>
      </c>
      <c r="I16" s="436" t="n">
        <v>3.91</v>
      </c>
      <c r="J16" s="436" t="n">
        <f aca="false">I16/1.52</f>
        <v>2.57236842105263</v>
      </c>
      <c r="K16" s="436" t="n">
        <f aca="false">100-H16-J16</f>
        <v>96.7785749751738</v>
      </c>
      <c r="L16" s="436" t="n">
        <f aca="false">('Water-stable macroaggregates'!$BK$13/100)*(X16-F16)</f>
        <v>3.93977587919535</v>
      </c>
      <c r="M16" s="436" t="n">
        <f aca="false">(X16-F16)-L16</f>
        <v>139.110224120805</v>
      </c>
      <c r="N16" s="436" t="n">
        <f aca="false">(1*L16/(L16+M16))+(2.65*M16/(L16+M16))</f>
        <v>2.60455693673071</v>
      </c>
      <c r="O16" s="436" t="n">
        <f aca="false">100*(1-((X16-F16)/N16)/K16)</f>
        <v>43.2488347193771</v>
      </c>
      <c r="P16" s="436" t="n">
        <f aca="false">O16-Z16</f>
        <v>9.30906998509919</v>
      </c>
      <c r="Q16" s="437" t="n">
        <f aca="false">100-H16-P16</f>
        <v>90.0418734111272</v>
      </c>
      <c r="R16" s="437" t="n">
        <f aca="false">(X16-F16)/Q16</f>
        <v>1.58870528322795</v>
      </c>
      <c r="S16" s="436" t="n">
        <f aca="false">282.18-S$38</f>
        <v>282.18</v>
      </c>
      <c r="T16" s="436" t="n">
        <f aca="false">277.78-T$38</f>
        <v>277.01</v>
      </c>
      <c r="U16" s="436" t="n">
        <f aca="false">275.49-U$37</f>
        <v>275.29</v>
      </c>
      <c r="V16" s="436" t="n">
        <f aca="false">271.96-V$37</f>
        <v>271.76</v>
      </c>
      <c r="W16" s="436" t="n">
        <f aca="false">270.1-W$37</f>
        <v>269.9</v>
      </c>
      <c r="X16" s="436" t="n">
        <v>251.62</v>
      </c>
      <c r="Y16" s="435" t="n">
        <f aca="false">O16</f>
        <v>43.2488347193771</v>
      </c>
      <c r="Z16" s="436" t="n">
        <f aca="false">100*(S16-$X16)/$Q16</f>
        <v>33.9397647342779</v>
      </c>
      <c r="AA16" s="436" t="n">
        <f aca="false">100*(T16-$X16)/$Q16</f>
        <v>28.1979917100018</v>
      </c>
      <c r="AB16" s="436" t="n">
        <f aca="false">100*(U16-$X16)/$Q16</f>
        <v>26.2877693491825</v>
      </c>
      <c r="AC16" s="436" t="n">
        <f aca="false">100*(V16-$X16)/$Q16</f>
        <v>22.3673711319195</v>
      </c>
      <c r="AD16" s="436" t="n">
        <f aca="false">100*(W16-$X16)/$Q16</f>
        <v>20.3016655556847</v>
      </c>
      <c r="AE16" s="436"/>
      <c r="AF16" s="436"/>
      <c r="AG16" s="436"/>
      <c r="AH16" s="474"/>
      <c r="AI16" s="475" t="n">
        <f aca="false">AA16</f>
        <v>28.1979917100018</v>
      </c>
      <c r="AJ16" s="83" t="n">
        <f aca="false">AVERAGE(AI16:AI23)</f>
        <v>28.467642709357</v>
      </c>
      <c r="AK16" s="83" t="n">
        <f aca="false">STDEV(AI16:AI23)</f>
        <v>1.23645573776587</v>
      </c>
      <c r="AL16" s="475" t="n">
        <f aca="false">AA16-AH$24</f>
        <v>25.0910603731086</v>
      </c>
      <c r="AM16" s="83" t="n">
        <f aca="false">AVERAGE(AL16:AL23)</f>
        <v>25.3607113724638</v>
      </c>
      <c r="AN16" s="476" t="n">
        <f aca="false">STDEV(AL16:AL23)</f>
        <v>1.23645573776587</v>
      </c>
      <c r="AO16" s="474" t="n">
        <f aca="false">40*AL16/100</f>
        <v>10.0364241492434</v>
      </c>
      <c r="AP16" s="83" t="n">
        <f aca="false">AVERAGE(AO16:AO23)</f>
        <v>10.1442845489855</v>
      </c>
      <c r="AQ16" s="477" t="n">
        <f aca="false">STDEV(AO16:AO23)</f>
        <v>0.494582295106348</v>
      </c>
      <c r="AR16" s="474" t="n">
        <f aca="false">AO16</f>
        <v>10.0364241492434</v>
      </c>
      <c r="AS16" s="83" t="n">
        <f aca="false">AVERAGE(AR16:AR23)</f>
        <v>10.1442845489855</v>
      </c>
      <c r="AT16" s="83" t="n">
        <f aca="false">STDEV(AR16:AR23)</f>
        <v>0.494582295106348</v>
      </c>
      <c r="AU16" s="7"/>
    </row>
    <row r="17" customFormat="false" ht="12.8" hidden="false" customHeight="false" outlineLevel="0" collapsed="false">
      <c r="B17" s="5"/>
      <c r="C17" s="76"/>
      <c r="D17" s="76"/>
      <c r="E17" s="100" t="n">
        <v>2</v>
      </c>
      <c r="F17" s="425" t="n">
        <v>111.57</v>
      </c>
      <c r="G17" s="428" t="n">
        <v>0.24</v>
      </c>
      <c r="H17" s="462" t="n">
        <f aca="false">G17/2.65</f>
        <v>0.0905660377358491</v>
      </c>
      <c r="I17" s="462" t="n">
        <v>2.14</v>
      </c>
      <c r="J17" s="215" t="n">
        <f aca="false">I17/1.52</f>
        <v>1.40789473684211</v>
      </c>
      <c r="K17" s="215" t="n">
        <f aca="false">100-H17-J17</f>
        <v>98.501539225422</v>
      </c>
      <c r="L17" s="215" t="n">
        <f aca="false">('Water-stable macroaggregates'!$BK$13/100)*(X17-F17)</f>
        <v>3.86266037788988</v>
      </c>
      <c r="M17" s="215" t="n">
        <f aca="false">(X17-F17)-L17</f>
        <v>136.38733962211</v>
      </c>
      <c r="N17" s="215" t="n">
        <f aca="false">(1*L17/(L17+M17))+(2.65*M17/(L17+M17))</f>
        <v>2.60455693673071</v>
      </c>
      <c r="O17" s="215" t="n">
        <f aca="false">100*(1-((X17-F17)/N17)/K17)</f>
        <v>45.3329048732208</v>
      </c>
      <c r="P17" s="215" t="n">
        <f aca="false">O17-Z17</f>
        <v>10.7450885671686</v>
      </c>
      <c r="Q17" s="463" t="n">
        <f aca="false">100-H17-P17</f>
        <v>89.1643453950956</v>
      </c>
      <c r="R17" s="463" t="n">
        <f aca="false">(X17-F17)/Q17</f>
        <v>1.57293814448521</v>
      </c>
      <c r="S17" s="462" t="n">
        <f aca="false">282.66-S$38</f>
        <v>282.66</v>
      </c>
      <c r="T17" s="215" t="n">
        <f aca="false">278.6-T$38</f>
        <v>277.83</v>
      </c>
      <c r="U17" s="215" t="n">
        <f aca="false">276.05-U$37</f>
        <v>275.85</v>
      </c>
      <c r="V17" s="215" t="n">
        <f aca="false">272.26-V$38</f>
        <v>272.26</v>
      </c>
      <c r="W17" s="215" t="n">
        <f aca="false">269.95-W$37</f>
        <v>269.75</v>
      </c>
      <c r="X17" s="215" t="n">
        <v>251.82</v>
      </c>
      <c r="Y17" s="428" t="n">
        <f aca="false">O17</f>
        <v>45.3329048732208</v>
      </c>
      <c r="Z17" s="406" t="n">
        <f aca="false">100*(S17-$X17)/$Q17</f>
        <v>34.5878163060522</v>
      </c>
      <c r="AA17" s="215" t="n">
        <f aca="false">100*(T17-$X17)/$Q17</f>
        <v>29.1708528613621</v>
      </c>
      <c r="AB17" s="215" t="n">
        <f aca="false">100*(U17-$X17)/$Q17</f>
        <v>26.9502343044418</v>
      </c>
      <c r="AC17" s="215" t="n">
        <f aca="false">100*(V17-$X17)/$Q17</f>
        <v>22.9239612643691</v>
      </c>
      <c r="AD17" s="215" t="n">
        <f aca="false">100*(W17-$X17)/$Q17</f>
        <v>20.1089347098894</v>
      </c>
      <c r="AE17" s="215"/>
      <c r="AF17" s="215"/>
      <c r="AG17" s="215"/>
      <c r="AH17" s="406"/>
      <c r="AI17" s="459" t="n">
        <f aca="false">AA17</f>
        <v>29.1708528613621</v>
      </c>
      <c r="AJ17" s="80"/>
      <c r="AK17" s="80"/>
      <c r="AL17" s="459" t="n">
        <f aca="false">AA17-AH$24</f>
        <v>26.0639215244689</v>
      </c>
      <c r="AM17" s="80"/>
      <c r="AN17" s="460"/>
      <c r="AO17" s="406" t="n">
        <f aca="false">40*AL17/100</f>
        <v>10.4255686097876</v>
      </c>
      <c r="AP17" s="80"/>
      <c r="AQ17" s="461"/>
      <c r="AR17" s="406" t="n">
        <f aca="false">AO17</f>
        <v>10.4255686097876</v>
      </c>
      <c r="AS17" s="80"/>
      <c r="AT17" s="80"/>
      <c r="AU17" s="7"/>
    </row>
    <row r="18" customFormat="false" ht="12.8" hidden="false" customHeight="false" outlineLevel="0" collapsed="false">
      <c r="B18" s="5"/>
      <c r="C18" s="76"/>
      <c r="D18" s="76"/>
      <c r="E18" s="100" t="n">
        <v>3</v>
      </c>
      <c r="F18" s="425" t="n">
        <v>107.54</v>
      </c>
      <c r="G18" s="428" t="n">
        <v>0.7</v>
      </c>
      <c r="H18" s="462" t="n">
        <f aca="false">G18/2.65</f>
        <v>0.264150943396226</v>
      </c>
      <c r="I18" s="462" t="n">
        <v>1.53</v>
      </c>
      <c r="J18" s="215" t="n">
        <f aca="false">I18/1.52</f>
        <v>1.00657894736842</v>
      </c>
      <c r="K18" s="215" t="n">
        <f aca="false">100-H18-J18</f>
        <v>98.7292701092354</v>
      </c>
      <c r="L18" s="215" t="n">
        <f aca="false">('Water-stable macroaggregates'!$BK$13/100)*(X18-F18)</f>
        <v>4.20307023365259</v>
      </c>
      <c r="M18" s="215" t="n">
        <f aca="false">(X18-F18)-L18</f>
        <v>148.406929766347</v>
      </c>
      <c r="N18" s="215" t="n">
        <f aca="false">(1*L18/(L18+M18))+(2.65*M18/(L18+M18))</f>
        <v>2.60455693673071</v>
      </c>
      <c r="O18" s="215" t="n">
        <f aca="false">100*(1-((X18-F18)/N18)/K18)</f>
        <v>40.6523932544566</v>
      </c>
      <c r="P18" s="215" t="n">
        <f aca="false">O18-Z18</f>
        <v>8.47934425207661</v>
      </c>
      <c r="Q18" s="463" t="n">
        <f aca="false">100-H18-P18</f>
        <v>91.2565048045272</v>
      </c>
      <c r="R18" s="463" t="n">
        <f aca="false">(X18-F18)/Q18</f>
        <v>1.67231914400944</v>
      </c>
      <c r="S18" s="462" t="n">
        <f aca="false">289.51-S$38</f>
        <v>289.51</v>
      </c>
      <c r="T18" s="215" t="n">
        <f aca="false">285.37-T$37</f>
        <v>285.17</v>
      </c>
      <c r="U18" s="215" t="n">
        <f aca="false">284.32-U$37</f>
        <v>284.12</v>
      </c>
      <c r="V18" s="215" t="n">
        <f aca="false">280.31-V$37</f>
        <v>280.11</v>
      </c>
      <c r="W18" s="215" t="n">
        <f aca="false">277.17-W$37</f>
        <v>276.97</v>
      </c>
      <c r="X18" s="215" t="n">
        <v>260.15</v>
      </c>
      <c r="Y18" s="428" t="n">
        <f aca="false">O18</f>
        <v>40.6523932544566</v>
      </c>
      <c r="Z18" s="406" t="n">
        <f aca="false">100*(S18-$X18)/$Q18</f>
        <v>32.17304900238</v>
      </c>
      <c r="AA18" s="215" t="n">
        <f aca="false">100*(T18-$X18)/$Q18</f>
        <v>27.4172236308998</v>
      </c>
      <c r="AB18" s="215" t="n">
        <f aca="false">100*(U18-$X18)/$Q18</f>
        <v>26.2666207207301</v>
      </c>
      <c r="AC18" s="215" t="n">
        <f aca="false">100*(V18-$X18)/$Q18</f>
        <v>21.8724134161775</v>
      </c>
      <c r="AD18" s="215" t="n">
        <f aca="false">100*(W18-$X18)/$Q18</f>
        <v>18.4315628086225</v>
      </c>
      <c r="AE18" s="215" t="n">
        <v>15.75</v>
      </c>
      <c r="AF18" s="215" t="n">
        <v>23.8</v>
      </c>
      <c r="AG18" s="215" t="n">
        <v>23.39</v>
      </c>
      <c r="AH18" s="406" t="n">
        <f aca="false">100*AVERAGE(R16:R23)*((AF18-AE18)-(AG18-AE18))/AG18</f>
        <v>2.84429350021076</v>
      </c>
      <c r="AI18" s="459" t="n">
        <f aca="false">AA18</f>
        <v>27.4172236308998</v>
      </c>
      <c r="AJ18" s="80"/>
      <c r="AK18" s="80"/>
      <c r="AL18" s="459" t="n">
        <f aca="false">AA18-AH$24</f>
        <v>24.3102922940066</v>
      </c>
      <c r="AM18" s="80"/>
      <c r="AN18" s="460"/>
      <c r="AO18" s="406" t="n">
        <f aca="false">40*AL18/100</f>
        <v>9.72411691760262</v>
      </c>
      <c r="AP18" s="80"/>
      <c r="AQ18" s="461"/>
      <c r="AR18" s="406" t="n">
        <f aca="false">AO18</f>
        <v>9.72411691760262</v>
      </c>
      <c r="AS18" s="80"/>
      <c r="AT18" s="80"/>
      <c r="AU18" s="7"/>
    </row>
    <row r="19" customFormat="false" ht="12.8" hidden="false" customHeight="false" outlineLevel="0" collapsed="false">
      <c r="B19" s="5"/>
      <c r="C19" s="76"/>
      <c r="D19" s="76"/>
      <c r="E19" s="100" t="n">
        <v>4</v>
      </c>
      <c r="F19" s="425" t="n">
        <v>109.47</v>
      </c>
      <c r="G19" s="428" t="n">
        <v>1.03</v>
      </c>
      <c r="H19" s="462" t="n">
        <f aca="false">G19/2.65</f>
        <v>0.388679245283019</v>
      </c>
      <c r="I19" s="462" t="n">
        <f aca="false">1.91+4.8</f>
        <v>6.71</v>
      </c>
      <c r="J19" s="215" t="n">
        <f aca="false">I19/1.52</f>
        <v>4.41447368421053</v>
      </c>
      <c r="K19" s="215" t="n">
        <f aca="false">100-H19-J19</f>
        <v>95.1968470705065</v>
      </c>
      <c r="L19" s="215" t="n">
        <f aca="false">('Water-stable macroaggregates'!$BK$13/100)*(X19-F19)</f>
        <v>4.1788339332423</v>
      </c>
      <c r="M19" s="215" t="n">
        <f aca="false">(X19-F19)-L19</f>
        <v>147.551166066758</v>
      </c>
      <c r="N19" s="215" t="n">
        <f aca="false">(1*L19/(L19+M19))+(2.65*M19/(L19+M19))</f>
        <v>2.60455693673071</v>
      </c>
      <c r="O19" s="215" t="n">
        <f aca="false">100*(1-((X19-F19)/N19)/K19)</f>
        <v>38.8051270664639</v>
      </c>
      <c r="P19" s="215" t="n">
        <f aca="false">O19-Z19</f>
        <v>6.89170686714816</v>
      </c>
      <c r="Q19" s="463" t="n">
        <f aca="false">100-H19-P19</f>
        <v>92.7196138875688</v>
      </c>
      <c r="R19" s="463" t="n">
        <f aca="false">(X19-F19)/Q19</f>
        <v>1.63643908379501</v>
      </c>
      <c r="S19" s="462" t="n">
        <f aca="false">290.79-S$38</f>
        <v>290.79</v>
      </c>
      <c r="T19" s="215" t="n">
        <f aca="false">287.55-T$38</f>
        <v>286.78</v>
      </c>
      <c r="U19" s="215" t="n">
        <f aca="false">284.11-U$38</f>
        <v>283.38</v>
      </c>
      <c r="V19" s="215" t="n">
        <f aca="false">280.2-V$37</f>
        <v>280</v>
      </c>
      <c r="W19" s="215" t="n">
        <f aca="false">279.36-W$37</f>
        <v>279.16</v>
      </c>
      <c r="X19" s="215" t="n">
        <v>261.2</v>
      </c>
      <c r="Y19" s="428" t="n">
        <f aca="false">O19</f>
        <v>38.8051270664639</v>
      </c>
      <c r="Z19" s="406" t="n">
        <f aca="false">100*(S19-$X19)/$Q19</f>
        <v>31.9134201993157</v>
      </c>
      <c r="AA19" s="215" t="n">
        <f aca="false">100*(T19-$X19)/$Q19</f>
        <v>27.5885531954632</v>
      </c>
      <c r="AB19" s="215" t="n">
        <f aca="false">100*(U19-$X19)/$Q19</f>
        <v>23.9215836542367</v>
      </c>
      <c r="AC19" s="215" t="n">
        <f aca="false">100*(V19-$X19)/$Q19</f>
        <v>20.2761845220762</v>
      </c>
      <c r="AD19" s="215" t="n">
        <f aca="false">100*(W19-$X19)/$Q19</f>
        <v>19.3702273413026</v>
      </c>
      <c r="AE19" s="215"/>
      <c r="AF19" s="215"/>
      <c r="AG19" s="215"/>
      <c r="AH19" s="406"/>
      <c r="AI19" s="459" t="n">
        <f aca="false">AA19</f>
        <v>27.5885531954632</v>
      </c>
      <c r="AJ19" s="78"/>
      <c r="AK19" s="78"/>
      <c r="AL19" s="459" t="n">
        <f aca="false">AA19-AH$24</f>
        <v>24.48162185857</v>
      </c>
      <c r="AM19" s="78"/>
      <c r="AN19" s="460"/>
      <c r="AO19" s="406" t="n">
        <f aca="false">40*AL19/100</f>
        <v>9.79264874342799</v>
      </c>
      <c r="AP19" s="78"/>
      <c r="AQ19" s="461"/>
      <c r="AR19" s="406" t="n">
        <f aca="false">AO19</f>
        <v>9.79264874342799</v>
      </c>
      <c r="AS19" s="78"/>
      <c r="AT19" s="78"/>
      <c r="AU19" s="7"/>
    </row>
    <row r="20" customFormat="false" ht="12.8" hidden="false" customHeight="false" outlineLevel="0" collapsed="false">
      <c r="B20" s="5"/>
      <c r="C20" s="76"/>
      <c r="D20" s="76"/>
      <c r="E20" s="100" t="n">
        <v>5</v>
      </c>
      <c r="F20" s="425" t="n">
        <v>106.29</v>
      </c>
      <c r="G20" s="428" t="n">
        <v>1.06</v>
      </c>
      <c r="H20" s="462" t="n">
        <f aca="false">G20/2.65</f>
        <v>0.4</v>
      </c>
      <c r="I20" s="462" t="n">
        <f aca="false">2.65+4.17</f>
        <v>6.82</v>
      </c>
      <c r="J20" s="215" t="n">
        <f aca="false">I20/1.52</f>
        <v>4.48684210526316</v>
      </c>
      <c r="K20" s="215" t="n">
        <f aca="false">100-H20-J20</f>
        <v>95.1131578947368</v>
      </c>
      <c r="L20" s="215" t="n">
        <f aca="false">('Water-stable macroaggregates'!$BK$13/100)*(X20-F20)</f>
        <v>4.05352124362091</v>
      </c>
      <c r="M20" s="215" t="n">
        <f aca="false">(X20-F20)-L20</f>
        <v>143.126478756379</v>
      </c>
      <c r="N20" s="215" t="n">
        <f aca="false">(1*L20/(L20+M20))+(2.65*M20/(L20+M20))</f>
        <v>2.60455693673071</v>
      </c>
      <c r="O20" s="215" t="n">
        <f aca="false">100*(1-((X20-F20)/N20)/K20)</f>
        <v>40.5879768320824</v>
      </c>
      <c r="P20" s="215" t="n">
        <f aca="false">O20-Z20</f>
        <v>8.59923476801117</v>
      </c>
      <c r="Q20" s="463" t="n">
        <f aca="false">100-H20-P20</f>
        <v>91.0007652319888</v>
      </c>
      <c r="R20" s="463" t="n">
        <f aca="false">(X20-F20)/Q20</f>
        <v>1.61734903684374</v>
      </c>
      <c r="S20" s="462" t="n">
        <f aca="false">282.58-S$38</f>
        <v>282.58</v>
      </c>
      <c r="T20" s="215" t="n">
        <f aca="false">278.75-T$38</f>
        <v>277.98</v>
      </c>
      <c r="U20" s="215" t="n">
        <f aca="false">277.02-U$38</f>
        <v>276.29</v>
      </c>
      <c r="V20" s="215" t="n">
        <f aca="false">270.77-V$37</f>
        <v>270.57</v>
      </c>
      <c r="W20" s="215" t="n">
        <f aca="false">267.46-W$38</f>
        <v>267.46</v>
      </c>
      <c r="X20" s="215" t="n">
        <v>253.47</v>
      </c>
      <c r="Y20" s="428" t="n">
        <f aca="false">O20</f>
        <v>40.5879768320824</v>
      </c>
      <c r="Z20" s="406" t="n">
        <f aca="false">100*(S20-$X20)/$Q20</f>
        <v>31.9887420640712</v>
      </c>
      <c r="AA20" s="215" t="n">
        <f aca="false">100*(T20-$X20)/$Q20</f>
        <v>26.9338394435657</v>
      </c>
      <c r="AB20" s="215" t="n">
        <f aca="false">100*(U20-$X20)/$Q20</f>
        <v>25.0767122032708</v>
      </c>
      <c r="AC20" s="215" t="n">
        <f aca="false">100*(V20-$X20)/$Q20</f>
        <v>18.7910507745807</v>
      </c>
      <c r="AD20" s="215" t="n">
        <f aca="false">100*(W20-$X20)/$Q20</f>
        <v>15.373497095695</v>
      </c>
      <c r="AE20" s="215"/>
      <c r="AF20" s="215"/>
      <c r="AG20" s="215"/>
      <c r="AH20" s="406"/>
      <c r="AI20" s="459" t="n">
        <f aca="false">AA20</f>
        <v>26.9338394435657</v>
      </c>
      <c r="AJ20" s="78"/>
      <c r="AK20" s="78"/>
      <c r="AL20" s="459" t="n">
        <f aca="false">AA20-AH$24</f>
        <v>23.8269081066724</v>
      </c>
      <c r="AM20" s="78"/>
      <c r="AN20" s="460"/>
      <c r="AO20" s="406" t="n">
        <f aca="false">40*AL20/100</f>
        <v>9.53076324266898</v>
      </c>
      <c r="AP20" s="78"/>
      <c r="AQ20" s="461"/>
      <c r="AR20" s="406" t="n">
        <f aca="false">AO20</f>
        <v>9.53076324266898</v>
      </c>
      <c r="AS20" s="78"/>
      <c r="AT20" s="78"/>
      <c r="AU20" s="7"/>
    </row>
    <row r="21" customFormat="false" ht="12.8" hidden="false" customHeight="false" outlineLevel="0" collapsed="false">
      <c r="B21" s="5"/>
      <c r="C21" s="76"/>
      <c r="D21" s="76"/>
      <c r="E21" s="100" t="n">
        <v>6</v>
      </c>
      <c r="F21" s="425" t="n">
        <v>110.24</v>
      </c>
      <c r="G21" s="428" t="n">
        <v>1.53</v>
      </c>
      <c r="H21" s="462" t="n">
        <f aca="false">G21/2.65</f>
        <v>0.577358490566038</v>
      </c>
      <c r="I21" s="462" t="n">
        <f aca="false">0.75+2</f>
        <v>2.75</v>
      </c>
      <c r="J21" s="215" t="n">
        <f aca="false">I21/1.52</f>
        <v>1.80921052631579</v>
      </c>
      <c r="K21" s="215" t="n">
        <f aca="false">100-H21-J21</f>
        <v>97.6134309831182</v>
      </c>
      <c r="L21" s="215" t="n">
        <f aca="false">('Water-stable macroaggregates'!$BK$13/100)*(X21-F21)</f>
        <v>4.08326579412445</v>
      </c>
      <c r="M21" s="215" t="n">
        <f aca="false">(X21-F21)-L21</f>
        <v>144.176734205876</v>
      </c>
      <c r="N21" s="215" t="n">
        <f aca="false">(1*L21/(L21+M21))+(2.65*M21/(L21+M21))</f>
        <v>2.60455693673071</v>
      </c>
      <c r="O21" s="215" t="n">
        <f aca="false">100*(1-((X21-F21)/N21)/K21)</f>
        <v>41.6849621115756</v>
      </c>
      <c r="P21" s="215" t="n">
        <f aca="false">O21-Z21</f>
        <v>6.65223746916774</v>
      </c>
      <c r="Q21" s="463" t="n">
        <f aca="false">100-H21-P21</f>
        <v>92.7704040402662</v>
      </c>
      <c r="R21" s="463" t="n">
        <f aca="false">(X21-F21)/Q21</f>
        <v>1.59813899199629</v>
      </c>
      <c r="S21" s="462" t="n">
        <f aca="false">291-S$38</f>
        <v>291</v>
      </c>
      <c r="T21" s="215" t="n">
        <f aca="false">287.89-T$38</f>
        <v>287.12</v>
      </c>
      <c r="U21" s="215" t="n">
        <f aca="false">285.34-U$37</f>
        <v>285.14</v>
      </c>
      <c r="V21" s="215" t="n">
        <f aca="false">281.3-V$37</f>
        <v>281.1</v>
      </c>
      <c r="W21" s="215" t="n">
        <f aca="false">279.75-W$37</f>
        <v>279.55</v>
      </c>
      <c r="X21" s="215" t="n">
        <v>258.5</v>
      </c>
      <c r="Y21" s="428" t="n">
        <f aca="false">O21</f>
        <v>41.6849621115756</v>
      </c>
      <c r="Z21" s="406" t="n">
        <f aca="false">100*(S21-$X21)/$Q21</f>
        <v>35.0327246424078</v>
      </c>
      <c r="AA21" s="215" t="n">
        <f aca="false">100*(T21-$X21)/$Q21</f>
        <v>30.8503560980264</v>
      </c>
      <c r="AB21" s="215" t="n">
        <f aca="false">100*(U21-$X21)/$Q21</f>
        <v>28.7160547327541</v>
      </c>
      <c r="AC21" s="215" t="n">
        <f aca="false">100*(V21-$X21)/$Q21</f>
        <v>24.3612176036128</v>
      </c>
      <c r="AD21" s="215" t="n">
        <f aca="false">100*(W21-$X21)/$Q21</f>
        <v>22.6904261307986</v>
      </c>
      <c r="AE21" s="215" t="n">
        <v>14.7</v>
      </c>
      <c r="AF21" s="215" t="n">
        <v>22.12</v>
      </c>
      <c r="AG21" s="215" t="n">
        <v>21.67</v>
      </c>
      <c r="AH21" s="406" t="n">
        <f aca="false">100*AVERAGE(R16:R23)*((AF21-AE21)-(AG21-AE21))/AG21</f>
        <v>3.36956917357573</v>
      </c>
      <c r="AI21" s="459" t="n">
        <f aca="false">AA21</f>
        <v>30.8503560980264</v>
      </c>
      <c r="AJ21" s="78"/>
      <c r="AK21" s="78"/>
      <c r="AL21" s="459" t="n">
        <f aca="false">AA21-AH$24</f>
        <v>27.7434247611332</v>
      </c>
      <c r="AM21" s="78"/>
      <c r="AN21" s="460"/>
      <c r="AO21" s="406" t="n">
        <f aca="false">40*AL21/100</f>
        <v>11.0973699044533</v>
      </c>
      <c r="AP21" s="78"/>
      <c r="AQ21" s="461"/>
      <c r="AR21" s="406" t="n">
        <f aca="false">AO21</f>
        <v>11.0973699044533</v>
      </c>
      <c r="AS21" s="78"/>
      <c r="AT21" s="78"/>
      <c r="AU21" s="7"/>
    </row>
    <row r="22" customFormat="false" ht="12.8" hidden="false" customHeight="false" outlineLevel="0" collapsed="false">
      <c r="B22" s="5"/>
      <c r="C22" s="76"/>
      <c r="D22" s="76"/>
      <c r="E22" s="100" t="n">
        <v>7</v>
      </c>
      <c r="F22" s="425" t="n">
        <v>113.15</v>
      </c>
      <c r="G22" s="428" t="n">
        <v>1.77</v>
      </c>
      <c r="H22" s="462" t="n">
        <f aca="false">G22/2.65</f>
        <v>0.667924528301887</v>
      </c>
      <c r="I22" s="462" t="n">
        <f aca="false">0.98+3.65</f>
        <v>4.63</v>
      </c>
      <c r="J22" s="215" t="n">
        <f aca="false">I22/1.52</f>
        <v>3.04605263157895</v>
      </c>
      <c r="K22" s="215" t="n">
        <f aca="false">100-H22-J22</f>
        <v>96.2860228401192</v>
      </c>
      <c r="L22" s="215" t="n">
        <f aca="false">('Water-stable macroaggregates'!$BK$13/100)*(X22-F22)</f>
        <v>4.18268970830757</v>
      </c>
      <c r="M22" s="215" t="n">
        <f aca="false">(X22-F22)-L22</f>
        <v>147.687310291692</v>
      </c>
      <c r="N22" s="215" t="n">
        <f aca="false">(1*L22/(L22+M22))+(2.65*M22/(L22+M22))</f>
        <v>2.60455693673071</v>
      </c>
      <c r="O22" s="215" t="n">
        <f aca="false">100*(1-((X22-F22)/N22)/K22)</f>
        <v>39.4415307371403</v>
      </c>
      <c r="P22" s="215" t="n">
        <f aca="false">O22-Z22</f>
        <v>5.30311253781979</v>
      </c>
      <c r="Q22" s="463" t="n">
        <f aca="false">100-H22-P22</f>
        <v>94.0289629338783</v>
      </c>
      <c r="R22" s="463" t="n">
        <f aca="false">(X22-F22)/Q22</f>
        <v>1.61514064668347</v>
      </c>
      <c r="S22" s="462" t="n">
        <f aca="false">297.12-S$38</f>
        <v>297.12</v>
      </c>
      <c r="T22" s="215" t="n">
        <f aca="false">292.77-T$38</f>
        <v>292</v>
      </c>
      <c r="U22" s="215" t="n">
        <f aca="false">290.61-U$38</f>
        <v>289.88</v>
      </c>
      <c r="V22" s="215" t="n">
        <f aca="false">284.44-V$37</f>
        <v>284.24</v>
      </c>
      <c r="W22" s="215" t="n">
        <f aca="false">282.11-W$38</f>
        <v>282.11</v>
      </c>
      <c r="X22" s="215" t="n">
        <v>265.02</v>
      </c>
      <c r="Y22" s="428" t="n">
        <f aca="false">O22</f>
        <v>39.4415307371403</v>
      </c>
      <c r="Z22" s="406" t="n">
        <f aca="false">100*(S22-$X22)/$Q22</f>
        <v>34.1384181993206</v>
      </c>
      <c r="AA22" s="215" t="n">
        <f aca="false">100*(T22-$X22)/$Q22</f>
        <v>28.6932867897017</v>
      </c>
      <c r="AB22" s="215" t="n">
        <f aca="false">100*(U22-$X22)/$Q22</f>
        <v>26.438662327353</v>
      </c>
      <c r="AC22" s="215" t="n">
        <f aca="false">100*(V22-$X22)/$Q22</f>
        <v>20.4405104558216</v>
      </c>
      <c r="AD22" s="215" t="n">
        <f aca="false">100*(W22-$X22)/$Q22</f>
        <v>18.1752509724241</v>
      </c>
      <c r="AE22" s="215"/>
      <c r="AF22" s="215"/>
      <c r="AG22" s="215"/>
      <c r="AH22" s="406"/>
      <c r="AI22" s="459" t="n">
        <f aca="false">AA22</f>
        <v>28.6932867897017</v>
      </c>
      <c r="AJ22" s="78"/>
      <c r="AK22" s="78"/>
      <c r="AL22" s="459" t="n">
        <f aca="false">AA22-AH$24</f>
        <v>25.5863554528085</v>
      </c>
      <c r="AM22" s="78"/>
      <c r="AN22" s="460"/>
      <c r="AO22" s="406" t="n">
        <f aca="false">40*AL22/100</f>
        <v>10.2345421811234</v>
      </c>
      <c r="AP22" s="78"/>
      <c r="AQ22" s="461"/>
      <c r="AR22" s="406" t="n">
        <f aca="false">AO22</f>
        <v>10.2345421811234</v>
      </c>
      <c r="AS22" s="78"/>
      <c r="AT22" s="78"/>
      <c r="AU22" s="7"/>
    </row>
    <row r="23" customFormat="false" ht="12.8" hidden="false" customHeight="false" outlineLevel="0" collapsed="false">
      <c r="B23" s="5"/>
      <c r="C23" s="76"/>
      <c r="D23" s="76"/>
      <c r="E23" s="100" t="n">
        <v>8</v>
      </c>
      <c r="F23" s="425" t="n">
        <v>113.02</v>
      </c>
      <c r="G23" s="428" t="n">
        <v>1.76</v>
      </c>
      <c r="H23" s="209" t="n">
        <f aca="false">G23/2.65</f>
        <v>0.664150943396226</v>
      </c>
      <c r="I23" s="209" t="n">
        <f aca="false">0.19+4.22</f>
        <v>4.41</v>
      </c>
      <c r="J23" s="215" t="n">
        <f aca="false">I23/1.52</f>
        <v>2.90131578947368</v>
      </c>
      <c r="K23" s="215" t="n">
        <f aca="false">100-H23-J23</f>
        <v>96.4345332671301</v>
      </c>
      <c r="L23" s="215" t="n">
        <f aca="false">('Water-stable macroaggregates'!$BK$13/100)*(X23-F23)</f>
        <v>4.3757538740759</v>
      </c>
      <c r="M23" s="215" t="n">
        <f aca="false">(X23-F23)-L23</f>
        <v>154.504246125924</v>
      </c>
      <c r="N23" s="215" t="n">
        <f aca="false">(1*L23/(L23+M23))+(2.65*M23/(L23+M23))</f>
        <v>2.60455693673071</v>
      </c>
      <c r="O23" s="215" t="n">
        <f aca="false">100*(1-((X23-F23)/N23)/K23)</f>
        <v>36.7438446262604</v>
      </c>
      <c r="P23" s="215" t="n">
        <f aca="false">O23-Z23</f>
        <v>4.76710623026656</v>
      </c>
      <c r="Q23" s="429" t="n">
        <f aca="false">100-H23-P23</f>
        <v>94.5687428263372</v>
      </c>
      <c r="R23" s="429" t="n">
        <f aca="false">(X23-F23)/Q23</f>
        <v>1.68004771187201</v>
      </c>
      <c r="S23" s="209" t="n">
        <f aca="false">302.14-S$38</f>
        <v>302.14</v>
      </c>
      <c r="T23" s="215" t="n">
        <f aca="false">299.99-T$38</f>
        <v>299.22</v>
      </c>
      <c r="U23" s="215" t="n">
        <f aca="false">297.53-U$37</f>
        <v>297.33</v>
      </c>
      <c r="V23" s="215" t="n">
        <f aca="false">294.14-V$38</f>
        <v>294.14</v>
      </c>
      <c r="W23" s="215" t="n">
        <f aca="false">292.32-W$37</f>
        <v>292.12</v>
      </c>
      <c r="X23" s="215" t="n">
        <v>271.9</v>
      </c>
      <c r="Y23" s="428" t="n">
        <f aca="false">O23</f>
        <v>36.7438446262604</v>
      </c>
      <c r="Z23" s="215" t="n">
        <f aca="false">100*(S23-$X23)/$Q23</f>
        <v>31.9767383959939</v>
      </c>
      <c r="AA23" s="215" t="n">
        <f aca="false">100*(T23-$X23)/$Q23</f>
        <v>28.8890379458354</v>
      </c>
      <c r="AB23" s="215" t="n">
        <f aca="false">100*(U23-$X23)/$Q23</f>
        <v>26.890491762906</v>
      </c>
      <c r="AC23" s="215" t="n">
        <f aca="false">100*(V23-$X23)/$Q23</f>
        <v>23.5172841843111</v>
      </c>
      <c r="AD23" s="215" t="n">
        <f aca="false">100*(W23-$X23)/$Q23</f>
        <v>21.3812718618152</v>
      </c>
      <c r="AE23" s="215"/>
      <c r="AF23" s="215"/>
      <c r="AG23" s="215"/>
      <c r="AH23" s="406"/>
      <c r="AI23" s="459" t="n">
        <f aca="false">AA23</f>
        <v>28.8890379458354</v>
      </c>
      <c r="AJ23" s="80"/>
      <c r="AK23" s="80"/>
      <c r="AL23" s="459" t="n">
        <f aca="false">AA23-AH$24</f>
        <v>25.7821066089422</v>
      </c>
      <c r="AM23" s="80"/>
      <c r="AN23" s="460"/>
      <c r="AO23" s="406" t="n">
        <f aca="false">40*AL23/100</f>
        <v>10.3128426435769</v>
      </c>
      <c r="AP23" s="80"/>
      <c r="AQ23" s="461"/>
      <c r="AR23" s="406" t="n">
        <f aca="false">AO23</f>
        <v>10.3128426435769</v>
      </c>
      <c r="AS23" s="80"/>
      <c r="AT23" s="80"/>
      <c r="AU23" s="7"/>
    </row>
    <row r="24" customFormat="false" ht="12.8" hidden="false" customHeight="false" outlineLevel="0" collapsed="false">
      <c r="B24" s="5"/>
      <c r="C24" s="76"/>
      <c r="D24" s="76"/>
      <c r="E24" s="465" t="s">
        <v>49</v>
      </c>
      <c r="F24" s="466"/>
      <c r="G24" s="467"/>
      <c r="H24" s="211"/>
      <c r="I24" s="211"/>
      <c r="J24" s="211"/>
      <c r="K24" s="211"/>
      <c r="L24" s="211"/>
      <c r="M24" s="211"/>
      <c r="N24" s="211"/>
      <c r="O24" s="211"/>
      <c r="P24" s="211"/>
      <c r="Q24" s="468"/>
      <c r="R24" s="468" t="n">
        <f aca="false">AVERAGE(R16:R23)</f>
        <v>1.62263475536414</v>
      </c>
      <c r="S24" s="211"/>
      <c r="T24" s="469"/>
      <c r="U24" s="469"/>
      <c r="V24" s="469"/>
      <c r="W24" s="469"/>
      <c r="X24" s="469"/>
      <c r="Y24" s="467" t="n">
        <f aca="false">AVERAGE(Y16:Y23)</f>
        <v>40.8121967775721</v>
      </c>
      <c r="Z24" s="469" t="n">
        <f aca="false">AVERAGE(Z16:Z23)</f>
        <v>33.2188341929774</v>
      </c>
      <c r="AA24" s="469" t="n">
        <f aca="false">AVERAGE(AA16:AA23)</f>
        <v>28.467642709357</v>
      </c>
      <c r="AB24" s="469" t="n">
        <f aca="false">AVERAGE(AB16:AB23)</f>
        <v>26.3185161318594</v>
      </c>
      <c r="AC24" s="469" t="n">
        <f aca="false">AVERAGE(AC16:AC23)</f>
        <v>21.8187491691085</v>
      </c>
      <c r="AD24" s="469" t="n">
        <f aca="false">AVERAGE(AD16:AD23)</f>
        <v>19.479104559529</v>
      </c>
      <c r="AE24" s="469"/>
      <c r="AF24" s="469"/>
      <c r="AG24" s="469"/>
      <c r="AH24" s="469" t="n">
        <f aca="false">AVERAGE(AH16:AH23)</f>
        <v>3.10693133689325</v>
      </c>
      <c r="AI24" s="467" t="n">
        <f aca="false">AVERAGE(AI16:AI23)</f>
        <v>28.467642709357</v>
      </c>
      <c r="AJ24" s="469"/>
      <c r="AK24" s="469"/>
      <c r="AL24" s="467" t="n">
        <f aca="false">AVERAGE(AL16:AL23)</f>
        <v>25.3607113724638</v>
      </c>
      <c r="AM24" s="469"/>
      <c r="AN24" s="468"/>
      <c r="AO24" s="469" t="n">
        <f aca="false">AVERAGE(AO16:AO23)</f>
        <v>10.1442845489855</v>
      </c>
      <c r="AP24" s="469"/>
      <c r="AQ24" s="339"/>
      <c r="AR24" s="469" t="n">
        <f aca="false">AVERAGE(AR16:AR23)</f>
        <v>10.1442845489855</v>
      </c>
      <c r="AS24" s="469"/>
      <c r="AT24" s="469"/>
      <c r="AU24" s="7"/>
    </row>
    <row r="25" customFormat="false" ht="12.8" hidden="false" customHeight="false" outlineLevel="0" collapsed="false">
      <c r="B25" s="5"/>
      <c r="C25" s="76"/>
      <c r="D25" s="76"/>
      <c r="E25" s="465" t="s">
        <v>50</v>
      </c>
      <c r="F25" s="466"/>
      <c r="G25" s="467"/>
      <c r="H25" s="211"/>
      <c r="I25" s="211"/>
      <c r="J25" s="470"/>
      <c r="K25" s="470"/>
      <c r="L25" s="470"/>
      <c r="M25" s="470"/>
      <c r="N25" s="470"/>
      <c r="O25" s="470"/>
      <c r="P25" s="470"/>
      <c r="Q25" s="468"/>
      <c r="R25" s="468" t="n">
        <f aca="false">STDEV(R16:R23)</f>
        <v>0.0382854889592068</v>
      </c>
      <c r="S25" s="211"/>
      <c r="T25" s="469"/>
      <c r="U25" s="469"/>
      <c r="V25" s="469"/>
      <c r="W25" s="469"/>
      <c r="X25" s="469"/>
      <c r="Y25" s="471" t="n">
        <f aca="false">STDEV(Y16:Y23)</f>
        <v>2.6637803607018</v>
      </c>
      <c r="Z25" s="469" t="n">
        <f aca="false">STDEV(Z16:Z23)</f>
        <v>1.33005838501051</v>
      </c>
      <c r="AA25" s="469" t="n">
        <f aca="false">STDEV(AA16:AA23)</f>
        <v>1.23645573776587</v>
      </c>
      <c r="AB25" s="469" t="n">
        <f aca="false">STDEV(AB16:AB23)</f>
        <v>1.40305031071773</v>
      </c>
      <c r="AC25" s="469" t="n">
        <f aca="false">STDEV(AC16:AC23)</f>
        <v>1.86396397239191</v>
      </c>
      <c r="AD25" s="469" t="n">
        <f aca="false">STDEV(AD16:AD23)</f>
        <v>2.22548113844191</v>
      </c>
      <c r="AE25" s="469"/>
      <c r="AF25" s="469"/>
      <c r="AG25" s="469"/>
      <c r="AH25" s="470" t="n">
        <f aca="false">STDEV(AH16:AH23)</f>
        <v>0.371425990628701</v>
      </c>
      <c r="AI25" s="467" t="n">
        <f aca="false">STDEV(AI16:AI23)</f>
        <v>1.23645573776587</v>
      </c>
      <c r="AJ25" s="470"/>
      <c r="AK25" s="470"/>
      <c r="AL25" s="467" t="n">
        <f aca="false">STDEV(AL16:AL23)</f>
        <v>1.23645573776587</v>
      </c>
      <c r="AM25" s="470"/>
      <c r="AN25" s="478"/>
      <c r="AO25" s="469" t="n">
        <f aca="false">STDEV(AO16:AO23)</f>
        <v>0.494582295106348</v>
      </c>
      <c r="AP25" s="470"/>
      <c r="AQ25" s="479"/>
      <c r="AR25" s="469" t="n">
        <f aca="false">STDEV(AR16:AR23)</f>
        <v>0.494582295106348</v>
      </c>
      <c r="AS25" s="470"/>
      <c r="AT25" s="470"/>
      <c r="AU25" s="7"/>
    </row>
    <row r="26" customFormat="false" ht="12.8" hidden="false" customHeight="false" outlineLevel="0" collapsed="false">
      <c r="B26" s="5"/>
      <c r="C26" s="81" t="s">
        <v>279</v>
      </c>
      <c r="D26" s="81" t="s">
        <v>280</v>
      </c>
      <c r="E26" s="473" t="n">
        <v>1</v>
      </c>
      <c r="F26" s="432" t="n">
        <v>110.91</v>
      </c>
      <c r="G26" s="435" t="n">
        <v>1.03</v>
      </c>
      <c r="H26" s="436" t="n">
        <f aca="false">G26/2.65</f>
        <v>0.388679245283019</v>
      </c>
      <c r="I26" s="436" t="n">
        <f aca="false">1.37+2.73</f>
        <v>4.1</v>
      </c>
      <c r="J26" s="436" t="n">
        <f aca="false">I26/1.52</f>
        <v>2.69736842105263</v>
      </c>
      <c r="K26" s="436" t="n">
        <f aca="false">100-H26-J26</f>
        <v>96.9139523336644</v>
      </c>
      <c r="L26" s="436" t="n">
        <f aca="false">('Water-stable macroaggregates'!$BK$36/100)*(X26-F26)</f>
        <v>0</v>
      </c>
      <c r="M26" s="436" t="n">
        <f aca="false">(X26-F26)-L26</f>
        <v>148.15</v>
      </c>
      <c r="N26" s="436" t="n">
        <f aca="false">(1*L26/(L26+M26))+(2.65*M26/(L26+M26))</f>
        <v>2.65</v>
      </c>
      <c r="O26" s="436" t="n">
        <f aca="false">100*(1-((X26-F26)/N26)/K26)</f>
        <v>42.314126055987</v>
      </c>
      <c r="P26" s="436" t="n">
        <f aca="false">O26-Z26</f>
        <v>6.41241643588324</v>
      </c>
      <c r="Q26" s="437" t="n">
        <f aca="false">100-H26-P26</f>
        <v>93.1989043188337</v>
      </c>
      <c r="R26" s="437" t="n">
        <f aca="false">(X26-F26)/Q26</f>
        <v>1.58961096251924</v>
      </c>
      <c r="S26" s="436" t="n">
        <f aca="false">292.52-S$38</f>
        <v>292.52</v>
      </c>
      <c r="T26" s="436" t="n">
        <f aca="false">287.74-T$38</f>
        <v>286.97</v>
      </c>
      <c r="U26" s="436" t="n">
        <f aca="false">283.9-U$37</f>
        <v>283.7</v>
      </c>
      <c r="V26" s="436" t="n">
        <f aca="false">278.61-V$38</f>
        <v>278.61</v>
      </c>
      <c r="W26" s="436" t="n">
        <f aca="false">275.8-W$37</f>
        <v>275.6</v>
      </c>
      <c r="X26" s="436" t="n">
        <v>259.06</v>
      </c>
      <c r="Y26" s="435" t="n">
        <f aca="false">O26</f>
        <v>42.314126055987</v>
      </c>
      <c r="Z26" s="436" t="n">
        <f aca="false">100*(S26-$X26)/$Q26</f>
        <v>35.9017096201037</v>
      </c>
      <c r="AA26" s="436" t="n">
        <f aca="false">100*(T26-$X26)/$Q26</f>
        <v>29.9467039918408</v>
      </c>
      <c r="AB26" s="436" t="n">
        <f aca="false">100*(U26-$X26)/$Q26</f>
        <v>26.4380790526318</v>
      </c>
      <c r="AC26" s="436" t="n">
        <f aca="false">100*(V26-$X26)/$Q26</f>
        <v>20.9766414561264</v>
      </c>
      <c r="AD26" s="436" t="n">
        <f aca="false">100*(W26-$X26)/$Q26</f>
        <v>17.7469897536742</v>
      </c>
      <c r="AE26" s="436"/>
      <c r="AF26" s="436"/>
      <c r="AG26" s="436"/>
      <c r="AH26" s="406"/>
      <c r="AI26" s="475" t="n">
        <f aca="false">AA26</f>
        <v>29.9467039918408</v>
      </c>
      <c r="AJ26" s="83" t="n">
        <f aca="false">AVERAGE(AI26:AI33)</f>
        <v>28.7687128262341</v>
      </c>
      <c r="AK26" s="83" t="n">
        <f aca="false">STDEV(AI26:AI33)</f>
        <v>0.868313255385825</v>
      </c>
      <c r="AL26" s="475" t="n">
        <f aca="false">AA26-AH$34</f>
        <v>26.1098039188851</v>
      </c>
      <c r="AM26" s="83" t="n">
        <f aca="false">AVERAGE(AL26:AL33)</f>
        <v>24.9318127532785</v>
      </c>
      <c r="AN26" s="476" t="n">
        <f aca="false">STDEV(AL26:AL33)</f>
        <v>0.868313255385825</v>
      </c>
      <c r="AO26" s="474" t="n">
        <f aca="false">40*AL26/100</f>
        <v>10.443921567554</v>
      </c>
      <c r="AP26" s="78" t="n">
        <f aca="false">AVERAGE(AO26:AO33)</f>
        <v>9.97272510131139</v>
      </c>
      <c r="AQ26" s="461" t="n">
        <f aca="false">STDEV(AO26:AO33)</f>
        <v>0.34732530215433</v>
      </c>
      <c r="AR26" s="474" t="n">
        <f aca="false">AO26</f>
        <v>10.443921567554</v>
      </c>
      <c r="AS26" s="78" t="n">
        <f aca="false">AVERAGE(AR26:AR33)</f>
        <v>9.97272510131139</v>
      </c>
      <c r="AT26" s="78" t="n">
        <f aca="false">STDEV(AR26:AR33)</f>
        <v>0.34732530215433</v>
      </c>
      <c r="AU26" s="7"/>
    </row>
    <row r="27" customFormat="false" ht="12.8" hidden="false" customHeight="false" outlineLevel="0" collapsed="false">
      <c r="B27" s="5"/>
      <c r="C27" s="76"/>
      <c r="D27" s="76"/>
      <c r="E27" s="100" t="n">
        <v>2</v>
      </c>
      <c r="F27" s="425" t="n">
        <v>113.48</v>
      </c>
      <c r="G27" s="428" t="n">
        <v>1.66</v>
      </c>
      <c r="H27" s="462" t="n">
        <f aca="false">G27/2.65</f>
        <v>0.626415094339623</v>
      </c>
      <c r="I27" s="462" t="n">
        <f aca="false">0.47+3.4</f>
        <v>3.87</v>
      </c>
      <c r="J27" s="215" t="n">
        <f aca="false">I27/1.52</f>
        <v>2.54605263157895</v>
      </c>
      <c r="K27" s="215" t="n">
        <f aca="false">100-H27-J27</f>
        <v>96.8275322740814</v>
      </c>
      <c r="L27" s="215" t="n">
        <f aca="false">('Water-stable macroaggregates'!$BK$36/100)*(X27-F27)</f>
        <v>0</v>
      </c>
      <c r="M27" s="215" t="n">
        <f aca="false">(X27-F27)-L27</f>
        <v>148.46</v>
      </c>
      <c r="N27" s="215" t="n">
        <f aca="false">(1*L27/(L27+M27))+(2.65*M27/(L27+M27))</f>
        <v>2.65</v>
      </c>
      <c r="O27" s="215" t="n">
        <f aca="false">100*(1-((X27-F27)/N27)/K27)</f>
        <v>42.1418266130594</v>
      </c>
      <c r="P27" s="215" t="n">
        <f aca="false">O27-Z27</f>
        <v>7.98933363065374</v>
      </c>
      <c r="Q27" s="463" t="n">
        <f aca="false">100-H27-P27</f>
        <v>91.3842512750066</v>
      </c>
      <c r="R27" s="463" t="n">
        <f aca="false">(X27-F27)/Q27</f>
        <v>1.62456876243624</v>
      </c>
      <c r="S27" s="462" t="n">
        <f aca="false">293.15-S$38</f>
        <v>293.15</v>
      </c>
      <c r="T27" s="215" t="n">
        <f aca="false">288.7-T$38</f>
        <v>287.93</v>
      </c>
      <c r="U27" s="215" t="n">
        <f aca="false">285.69-U$37</f>
        <v>285.49</v>
      </c>
      <c r="V27" s="215" t="n">
        <f aca="false">280.99-V$38</f>
        <v>280.99</v>
      </c>
      <c r="W27" s="215" t="n">
        <f aca="false">277.83-W$37</f>
        <v>277.63</v>
      </c>
      <c r="X27" s="215" t="n">
        <v>261.94</v>
      </c>
      <c r="Y27" s="428" t="n">
        <f aca="false">O27</f>
        <v>42.1418266130594</v>
      </c>
      <c r="Z27" s="406" t="n">
        <f aca="false">100*(S27-$X27)/$Q27</f>
        <v>34.1524929824056</v>
      </c>
      <c r="AA27" s="215" t="n">
        <f aca="false">100*(T27-$X27)/$Q27</f>
        <v>28.44034900695</v>
      </c>
      <c r="AB27" s="215" t="n">
        <f aca="false">100*(U27-$X27)/$Q27</f>
        <v>25.7703046984868</v>
      </c>
      <c r="AC27" s="215" t="n">
        <f aca="false">100*(V27-$X27)/$Q27</f>
        <v>20.8460426541899</v>
      </c>
      <c r="AD27" s="215" t="n">
        <f aca="false">100*(W27-$X27)/$Q27</f>
        <v>17.1692603277816</v>
      </c>
      <c r="AE27" s="215"/>
      <c r="AF27" s="215"/>
      <c r="AG27" s="215"/>
      <c r="AH27" s="406"/>
      <c r="AI27" s="459" t="n">
        <f aca="false">AA27</f>
        <v>28.44034900695</v>
      </c>
      <c r="AJ27" s="78"/>
      <c r="AK27" s="78"/>
      <c r="AL27" s="459" t="n">
        <f aca="false">AA27-AH$34</f>
        <v>24.6034489339943</v>
      </c>
      <c r="AM27" s="78"/>
      <c r="AN27" s="460"/>
      <c r="AO27" s="406" t="n">
        <f aca="false">40*AL27/100</f>
        <v>9.84137957359772</v>
      </c>
      <c r="AP27" s="78"/>
      <c r="AQ27" s="461"/>
      <c r="AR27" s="406" t="n">
        <f aca="false">AO27</f>
        <v>9.84137957359772</v>
      </c>
      <c r="AS27" s="78"/>
      <c r="AT27" s="78"/>
      <c r="AU27" s="7"/>
    </row>
    <row r="28" customFormat="false" ht="12.8" hidden="false" customHeight="false" outlineLevel="0" collapsed="false">
      <c r="B28" s="5"/>
      <c r="C28" s="76"/>
      <c r="D28" s="76"/>
      <c r="E28" s="100" t="n">
        <v>3</v>
      </c>
      <c r="F28" s="425" t="n">
        <v>108.45</v>
      </c>
      <c r="G28" s="428" t="n">
        <v>1.4</v>
      </c>
      <c r="H28" s="462" t="n">
        <f aca="false">G28/2.65</f>
        <v>0.528301886792453</v>
      </c>
      <c r="I28" s="462" t="n">
        <f aca="false">3.59</f>
        <v>3.59</v>
      </c>
      <c r="J28" s="215" t="n">
        <f aca="false">I28/1.52</f>
        <v>2.36184210526316</v>
      </c>
      <c r="K28" s="215" t="n">
        <f aca="false">100-H28-J28</f>
        <v>97.1098560079444</v>
      </c>
      <c r="L28" s="215" t="n">
        <f aca="false">('Water-stable macroaggregates'!$BK$36/100)*(X28-F28)</f>
        <v>0</v>
      </c>
      <c r="M28" s="215" t="n">
        <f aca="false">(X28-F28)-L28</f>
        <v>149.32</v>
      </c>
      <c r="N28" s="215" t="n">
        <f aca="false">(1*L28/(L28+M28))+(2.65*M28/(L28+M28))</f>
        <v>2.65</v>
      </c>
      <c r="O28" s="215" t="n">
        <f aca="false">100*(1-((X28-F28)/N28)/K28)</f>
        <v>41.9758486649274</v>
      </c>
      <c r="P28" s="215" t="n">
        <f aca="false">O28-Z28</f>
        <v>9.24659733691159</v>
      </c>
      <c r="Q28" s="463" t="n">
        <f aca="false">100-H28-P28</f>
        <v>90.225100776296</v>
      </c>
      <c r="R28" s="463" t="n">
        <f aca="false">(X28-F28)/Q28</f>
        <v>1.65497182840753</v>
      </c>
      <c r="S28" s="462" t="n">
        <f aca="false">287.3-S$38</f>
        <v>287.3</v>
      </c>
      <c r="T28" s="215" t="n">
        <f aca="false">283.19-T$38</f>
        <v>282.42</v>
      </c>
      <c r="U28" s="215" t="n">
        <f aca="false">280.09-U$37</f>
        <v>279.89</v>
      </c>
      <c r="V28" s="215" t="n">
        <f aca="false">275.45-V$37</f>
        <v>275.25</v>
      </c>
      <c r="W28" s="215" t="n">
        <f aca="false">272.71-W$37</f>
        <v>272.51</v>
      </c>
      <c r="X28" s="215" t="n">
        <v>257.77</v>
      </c>
      <c r="Y28" s="428" t="n">
        <f aca="false">O28</f>
        <v>41.9758486649274</v>
      </c>
      <c r="Z28" s="406" t="n">
        <f aca="false">100*(S28-$X28)/$Q28</f>
        <v>32.7292513280158</v>
      </c>
      <c r="AA28" s="215" t="n">
        <f aca="false">100*(T28-$X28)/$Q28</f>
        <v>27.3205569047988</v>
      </c>
      <c r="AB28" s="215" t="n">
        <f aca="false">100*(U28-$X28)/$Q28</f>
        <v>24.516459177856</v>
      </c>
      <c r="AC28" s="215" t="n">
        <f aca="false">100*(V28-$X28)/$Q28</f>
        <v>19.3737661134233</v>
      </c>
      <c r="AD28" s="215" t="n">
        <f aca="false">100*(W28-$X28)/$Q28</f>
        <v>16.3369171917539</v>
      </c>
      <c r="AE28" s="215" t="n">
        <v>15.34</v>
      </c>
      <c r="AF28" s="215" t="n">
        <v>23.51</v>
      </c>
      <c r="AG28" s="215" t="n">
        <v>23.1</v>
      </c>
      <c r="AH28" s="406" t="n">
        <f aca="false">100*AVERAGE(R26:R33)*((AF28-AE28)-(AG28-AE28))/AG28</f>
        <v>2.88723108225676</v>
      </c>
      <c r="AI28" s="459" t="n">
        <f aca="false">AA28</f>
        <v>27.3205569047988</v>
      </c>
      <c r="AJ28" s="78"/>
      <c r="AK28" s="78"/>
      <c r="AL28" s="459" t="n">
        <f aca="false">AA28-AH$34</f>
        <v>23.4836568318432</v>
      </c>
      <c r="AM28" s="78"/>
      <c r="AN28" s="460"/>
      <c r="AO28" s="406" t="n">
        <f aca="false">40*AL28/100</f>
        <v>9.39346273273727</v>
      </c>
      <c r="AP28" s="78"/>
      <c r="AQ28" s="461"/>
      <c r="AR28" s="406" t="n">
        <f aca="false">AO28</f>
        <v>9.39346273273727</v>
      </c>
      <c r="AS28" s="78"/>
      <c r="AT28" s="78"/>
      <c r="AU28" s="7"/>
    </row>
    <row r="29" customFormat="false" ht="12.8" hidden="false" customHeight="false" outlineLevel="0" collapsed="false">
      <c r="B29" s="5"/>
      <c r="C29" s="76"/>
      <c r="D29" s="76"/>
      <c r="E29" s="100" t="n">
        <v>4</v>
      </c>
      <c r="F29" s="425" t="n">
        <v>102.57</v>
      </c>
      <c r="G29" s="428" t="n">
        <v>1.96</v>
      </c>
      <c r="H29" s="462" t="n">
        <f aca="false">G29/2.65</f>
        <v>0.739622641509434</v>
      </c>
      <c r="I29" s="462" t="n">
        <f aca="false">1.39+4.08</f>
        <v>5.47</v>
      </c>
      <c r="J29" s="215" t="n">
        <f aca="false">I29/1.52</f>
        <v>3.59868421052632</v>
      </c>
      <c r="K29" s="215" t="n">
        <f aca="false">100-H29-J29</f>
        <v>95.6616931479643</v>
      </c>
      <c r="L29" s="215" t="n">
        <f aca="false">('Water-stable macroaggregates'!$BK$36/100)*(X29-F29)</f>
        <v>0</v>
      </c>
      <c r="M29" s="215" t="n">
        <f aca="false">(X29-F29)-L29</f>
        <v>144.14</v>
      </c>
      <c r="N29" s="215" t="n">
        <f aca="false">(1*L29/(L29+M29))+(2.65*M29/(L29+M29))</f>
        <v>2.65</v>
      </c>
      <c r="O29" s="215" t="n">
        <f aca="false">100*(1-((X29-F29)/N29)/K29)</f>
        <v>43.1408215344282</v>
      </c>
      <c r="P29" s="215" t="n">
        <f aca="false">O29-Z29</f>
        <v>9.05278258882706</v>
      </c>
      <c r="Q29" s="463" t="n">
        <f aca="false">100-H29-P29</f>
        <v>90.2075947696635</v>
      </c>
      <c r="R29" s="463" t="n">
        <f aca="false">(X29-F29)/Q29</f>
        <v>1.59786989519062</v>
      </c>
      <c r="S29" s="462" t="n">
        <f aca="false">277.46-S$38</f>
        <v>277.46</v>
      </c>
      <c r="T29" s="215" t="n">
        <f aca="false">272.77-T$38</f>
        <v>272</v>
      </c>
      <c r="U29" s="215" t="n">
        <f aca="false">269.21-U$38</f>
        <v>268.48</v>
      </c>
      <c r="V29" s="215" t="n">
        <f aca="false">264.12-V$37</f>
        <v>263.92</v>
      </c>
      <c r="W29" s="215" t="n">
        <f aca="false">262.83-W$38</f>
        <v>262.83</v>
      </c>
      <c r="X29" s="215" t="n">
        <v>246.71</v>
      </c>
      <c r="Y29" s="428" t="n">
        <f aca="false">O29</f>
        <v>43.1408215344282</v>
      </c>
      <c r="Z29" s="406" t="n">
        <f aca="false">100*(S29-$X29)/$Q29</f>
        <v>34.0880389456011</v>
      </c>
      <c r="AA29" s="215" t="n">
        <f aca="false">100*(T29-$X29)/$Q29</f>
        <v>28.0353334600879</v>
      </c>
      <c r="AB29" s="215" t="n">
        <f aca="false">100*(U29-$X29)/$Q29</f>
        <v>24.1332229903564</v>
      </c>
      <c r="AC29" s="215" t="n">
        <f aca="false">100*(V29-$X29)/$Q29</f>
        <v>19.078216245477</v>
      </c>
      <c r="AD29" s="215" t="n">
        <f aca="false">100*(W29-$X29)/$Q29</f>
        <v>17.8698922647931</v>
      </c>
      <c r="AE29" s="215"/>
      <c r="AF29" s="215"/>
      <c r="AG29" s="215"/>
      <c r="AH29" s="406"/>
      <c r="AI29" s="459" t="n">
        <f aca="false">AA29</f>
        <v>28.0353334600879</v>
      </c>
      <c r="AJ29" s="80"/>
      <c r="AK29" s="80"/>
      <c r="AL29" s="459" t="n">
        <f aca="false">AA29-AH$34</f>
        <v>24.1984333871322</v>
      </c>
      <c r="AM29" s="80"/>
      <c r="AN29" s="460"/>
      <c r="AO29" s="406" t="n">
        <f aca="false">40*AL29/100</f>
        <v>9.6793733548529</v>
      </c>
      <c r="AP29" s="80"/>
      <c r="AQ29" s="461"/>
      <c r="AR29" s="406" t="n">
        <f aca="false">AO29</f>
        <v>9.6793733548529</v>
      </c>
      <c r="AS29" s="80"/>
      <c r="AT29" s="80"/>
      <c r="AU29" s="7"/>
    </row>
    <row r="30" customFormat="false" ht="12.8" hidden="false" customHeight="false" outlineLevel="0" collapsed="false">
      <c r="B30" s="5"/>
      <c r="C30" s="76"/>
      <c r="D30" s="76"/>
      <c r="E30" s="100" t="n">
        <v>5</v>
      </c>
      <c r="F30" s="425" t="n">
        <v>112.38</v>
      </c>
      <c r="G30" s="428" t="n">
        <v>1.24</v>
      </c>
      <c r="H30" s="462" t="n">
        <f aca="false">G30/2.65</f>
        <v>0.467924528301887</v>
      </c>
      <c r="I30" s="462" t="n">
        <v>4.14</v>
      </c>
      <c r="J30" s="215" t="n">
        <f aca="false">I30/1.52</f>
        <v>2.72368421052632</v>
      </c>
      <c r="K30" s="215" t="n">
        <f aca="false">100-H30-J30</f>
        <v>96.8083912611718</v>
      </c>
      <c r="L30" s="215" t="n">
        <f aca="false">('Water-stable macroaggregates'!$BK$36/100)*(X30-F30)</f>
        <v>0</v>
      </c>
      <c r="M30" s="215" t="n">
        <f aca="false">(X30-F30)-L30</f>
        <v>156.19</v>
      </c>
      <c r="N30" s="215" t="n">
        <f aca="false">(1*L30/(L30+M30))+(2.65*M30/(L30+M30))</f>
        <v>2.65</v>
      </c>
      <c r="O30" s="215" t="n">
        <f aca="false">100*(1-((X30-F30)/N30)/K30)</f>
        <v>39.1172377996647</v>
      </c>
      <c r="P30" s="215" t="n">
        <f aca="false">O30-Z30</f>
        <v>5.41465617442378</v>
      </c>
      <c r="Q30" s="463" t="n">
        <f aca="false">100-H30-P30</f>
        <v>94.1174192972743</v>
      </c>
      <c r="R30" s="463" t="n">
        <f aca="false">(X30-F30)/Q30</f>
        <v>1.65952276598943</v>
      </c>
      <c r="S30" s="462" t="n">
        <f aca="false">300.29-S$38</f>
        <v>300.29</v>
      </c>
      <c r="T30" s="215" t="n">
        <f aca="false">296.31-T$38</f>
        <v>295.54</v>
      </c>
      <c r="U30" s="215" t="n">
        <f aca="false">293.55-U$38</f>
        <v>292.82</v>
      </c>
      <c r="V30" s="215" t="n">
        <f aca="false">287.54-V$37</f>
        <v>287.34</v>
      </c>
      <c r="W30" s="215" t="n">
        <f aca="false">284.59-W$38</f>
        <v>284.59</v>
      </c>
      <c r="X30" s="215" t="n">
        <v>268.57</v>
      </c>
      <c r="Y30" s="428" t="n">
        <f aca="false">O30</f>
        <v>39.1172377996647</v>
      </c>
      <c r="Z30" s="406" t="n">
        <f aca="false">100*(S30-$X30)/$Q30</f>
        <v>33.7025816252409</v>
      </c>
      <c r="AA30" s="215" t="n">
        <f aca="false">100*(T30-$X30)/$Q30</f>
        <v>28.6556943458192</v>
      </c>
      <c r="AB30" s="215" t="n">
        <f aca="false">100*(U30-$X30)/$Q30</f>
        <v>25.7656873520992</v>
      </c>
      <c r="AC30" s="215" t="n">
        <f aca="false">100*(V30-$X30)/$Q30</f>
        <v>19.9431732618104</v>
      </c>
      <c r="AD30" s="215" t="n">
        <f aca="false">100*(W30-$X30)/$Q30</f>
        <v>17.0212911909538</v>
      </c>
      <c r="AE30" s="215"/>
      <c r="AF30" s="215"/>
      <c r="AG30" s="215"/>
      <c r="AH30" s="406"/>
      <c r="AI30" s="459" t="n">
        <f aca="false">AA30</f>
        <v>28.6556943458192</v>
      </c>
      <c r="AJ30" s="80"/>
      <c r="AK30" s="80"/>
      <c r="AL30" s="459" t="n">
        <f aca="false">AA30-AH$34</f>
        <v>24.8187942728636</v>
      </c>
      <c r="AM30" s="80"/>
      <c r="AN30" s="460"/>
      <c r="AO30" s="406" t="n">
        <f aca="false">40*AL30/100</f>
        <v>9.92751770914543</v>
      </c>
      <c r="AP30" s="80"/>
      <c r="AQ30" s="461"/>
      <c r="AR30" s="406" t="n">
        <f aca="false">AO30</f>
        <v>9.92751770914543</v>
      </c>
      <c r="AS30" s="80"/>
      <c r="AT30" s="80"/>
      <c r="AU30" s="7"/>
    </row>
    <row r="31" customFormat="false" ht="12.8" hidden="false" customHeight="false" outlineLevel="0" collapsed="false">
      <c r="B31" s="5"/>
      <c r="C31" s="76"/>
      <c r="D31" s="76"/>
      <c r="E31" s="100" t="n">
        <v>6</v>
      </c>
      <c r="F31" s="425" t="n">
        <v>112.28</v>
      </c>
      <c r="G31" s="428" t="n">
        <v>1.16</v>
      </c>
      <c r="H31" s="462" t="n">
        <f aca="false">G31/2.65</f>
        <v>0.437735849056604</v>
      </c>
      <c r="I31" s="462" t="n">
        <f aca="false">1.92+5.72</f>
        <v>7.64</v>
      </c>
      <c r="J31" s="215" t="n">
        <f aca="false">I31/1.52</f>
        <v>5.02631578947368</v>
      </c>
      <c r="K31" s="215" t="n">
        <f aca="false">100-H31-J31</f>
        <v>94.5359483614697</v>
      </c>
      <c r="L31" s="215" t="n">
        <f aca="false">('Water-stable macroaggregates'!$BK$36/100)*(X31-F31)</f>
        <v>0</v>
      </c>
      <c r="M31" s="215" t="n">
        <f aca="false">(X31-F31)-L31</f>
        <v>150.7</v>
      </c>
      <c r="N31" s="215" t="n">
        <f aca="false">(1*L31/(L31+M31))+(2.65*M31/(L31+M31))</f>
        <v>2.65</v>
      </c>
      <c r="O31" s="215" t="n">
        <f aca="false">100*(1-((X31-F31)/N31)/K31)</f>
        <v>39.84518533536</v>
      </c>
      <c r="P31" s="215" t="n">
        <f aca="false">O31-Z31</f>
        <v>7.27350483312393</v>
      </c>
      <c r="Q31" s="463" t="n">
        <f aca="false">100-H31-P31</f>
        <v>92.2887593178195</v>
      </c>
      <c r="R31" s="463" t="n">
        <f aca="false">(X31-F31)/Q31</f>
        <v>1.63291825693557</v>
      </c>
      <c r="S31" s="462" t="n">
        <f aca="false">293.04-S$38</f>
        <v>293.04</v>
      </c>
      <c r="T31" s="215" t="n">
        <f aca="false">290.25-T$38</f>
        <v>289.48</v>
      </c>
      <c r="U31" s="215" t="n">
        <f aca="false">286.83-U$37</f>
        <v>286.63</v>
      </c>
      <c r="V31" s="215" t="n">
        <f aca="false">281.41-V$37</f>
        <v>281.21</v>
      </c>
      <c r="W31" s="215" t="n">
        <f aca="false">277.39-W$37</f>
        <v>277.19</v>
      </c>
      <c r="X31" s="215" t="n">
        <v>262.98</v>
      </c>
      <c r="Y31" s="428" t="n">
        <f aca="false">O31</f>
        <v>39.84518533536</v>
      </c>
      <c r="Z31" s="406" t="n">
        <f aca="false">100*(S31-$X31)/$Q31</f>
        <v>32.571680502236</v>
      </c>
      <c r="AA31" s="215" t="n">
        <f aca="false">100*(T31-$X31)/$Q31</f>
        <v>28.7142228326427</v>
      </c>
      <c r="AB31" s="215" t="n">
        <f aca="false">100*(U31-$X31)/$Q31</f>
        <v>25.6260894336604</v>
      </c>
      <c r="AC31" s="215" t="n">
        <f aca="false">100*(V31-$X31)/$Q31</f>
        <v>19.753218197701</v>
      </c>
      <c r="AD31" s="215" t="n">
        <f aca="false">100*(W31-$X31)/$Q31</f>
        <v>15.397324771768</v>
      </c>
      <c r="AE31" s="215" t="n">
        <v>14.24</v>
      </c>
      <c r="AF31" s="215" t="n">
        <v>23.09</v>
      </c>
      <c r="AG31" s="215" t="n">
        <v>22.43</v>
      </c>
      <c r="AH31" s="406" t="n">
        <f aca="false">100*AVERAGE(R26:R33)*((AF31-AE31)-(AG31-AE31))/AG31</f>
        <v>4.78656906365458</v>
      </c>
      <c r="AI31" s="459" t="n">
        <f aca="false">AA31</f>
        <v>28.7142228326427</v>
      </c>
      <c r="AJ31" s="78"/>
      <c r="AK31" s="78"/>
      <c r="AL31" s="459" t="n">
        <f aca="false">AA31-AH$34</f>
        <v>24.877322759687</v>
      </c>
      <c r="AM31" s="78"/>
      <c r="AN31" s="460"/>
      <c r="AO31" s="406" t="n">
        <f aca="false">40*AL31/100</f>
        <v>9.95092910387482</v>
      </c>
      <c r="AP31" s="78"/>
      <c r="AQ31" s="461"/>
      <c r="AR31" s="406" t="n">
        <f aca="false">AO31</f>
        <v>9.95092910387482</v>
      </c>
      <c r="AS31" s="78"/>
      <c r="AT31" s="78"/>
      <c r="AU31" s="7"/>
    </row>
    <row r="32" customFormat="false" ht="12.8" hidden="false" customHeight="false" outlineLevel="0" collapsed="false">
      <c r="B32" s="5"/>
      <c r="C32" s="76"/>
      <c r="D32" s="76"/>
      <c r="E32" s="100" t="n">
        <v>7</v>
      </c>
      <c r="F32" s="425" t="n">
        <v>107.44</v>
      </c>
      <c r="G32" s="428" t="n">
        <v>5.52</v>
      </c>
      <c r="H32" s="462" t="n">
        <f aca="false">G32/2.65</f>
        <v>2.08301886792453</v>
      </c>
      <c r="I32" s="462" t="n">
        <v>2.65</v>
      </c>
      <c r="J32" s="215" t="n">
        <f aca="false">I32/1.52</f>
        <v>1.74342105263158</v>
      </c>
      <c r="K32" s="215" t="n">
        <f aca="false">100-H32-J32</f>
        <v>96.1735600794439</v>
      </c>
      <c r="L32" s="215" t="n">
        <f aca="false">('Water-stable macroaggregates'!$BK$36/100)*(X32-F32)</f>
        <v>0</v>
      </c>
      <c r="M32" s="215" t="n">
        <f aca="false">(X32-F32)-L32</f>
        <v>153.26</v>
      </c>
      <c r="N32" s="215" t="n">
        <f aca="false">(1*L32/(L32+M32))+(2.65*M32/(L32+M32))</f>
        <v>2.65</v>
      </c>
      <c r="O32" s="215" t="n">
        <f aca="false">100*(1-((X32-F32)/N32)/K32)</f>
        <v>39.865008411483</v>
      </c>
      <c r="P32" s="215" t="n">
        <f aca="false">O32-Z32</f>
        <v>5.54663454202593</v>
      </c>
      <c r="Q32" s="463" t="n">
        <f aca="false">100-H32-P32</f>
        <v>92.3703465900496</v>
      </c>
      <c r="R32" s="463" t="n">
        <f aca="false">(X32-F32)/Q32</f>
        <v>1.65919048328557</v>
      </c>
      <c r="S32" s="462" t="n">
        <f aca="false">292.4-S$38</f>
        <v>292.4</v>
      </c>
      <c r="T32" s="215" t="n">
        <f aca="false">288.11-T$37</f>
        <v>287.91</v>
      </c>
      <c r="U32" s="215" t="n">
        <f aca="false">285.62-U$37</f>
        <v>285.42</v>
      </c>
      <c r="V32" s="215" t="n">
        <f aca="false">280.21-V$37</f>
        <v>280.01</v>
      </c>
      <c r="W32" s="215" t="n">
        <f aca="false">278.83-W$37</f>
        <v>278.63</v>
      </c>
      <c r="X32" s="215" t="n">
        <v>260.7</v>
      </c>
      <c r="Y32" s="428" t="n">
        <f aca="false">O32</f>
        <v>39.865008411483</v>
      </c>
      <c r="Z32" s="406" t="n">
        <f aca="false">100*(S32-$X32)/$Q32</f>
        <v>34.3183738694571</v>
      </c>
      <c r="AA32" s="215" t="n">
        <f aca="false">100*(T32-$X32)/$Q32</f>
        <v>29.4575055788858</v>
      </c>
      <c r="AB32" s="215" t="n">
        <f aca="false">100*(U32-$X32)/$Q32</f>
        <v>26.7618352778412</v>
      </c>
      <c r="AC32" s="215" t="n">
        <f aca="false">100*(V32-$X32)/$Q32</f>
        <v>20.9049773145272</v>
      </c>
      <c r="AD32" s="215" t="n">
        <f aca="false">100*(W32-$X32)/$Q32</f>
        <v>19.4109913645506</v>
      </c>
      <c r="AE32" s="215"/>
      <c r="AF32" s="215"/>
      <c r="AG32" s="215"/>
      <c r="AH32" s="406"/>
      <c r="AI32" s="459" t="n">
        <f aca="false">AA32</f>
        <v>29.4575055788858</v>
      </c>
      <c r="AJ32" s="78"/>
      <c r="AK32" s="78"/>
      <c r="AL32" s="459" t="n">
        <f aca="false">AA32-AH$34</f>
        <v>25.6206055059302</v>
      </c>
      <c r="AM32" s="78"/>
      <c r="AN32" s="460"/>
      <c r="AO32" s="406" t="n">
        <f aca="false">40*AL32/100</f>
        <v>10.2482422023721</v>
      </c>
      <c r="AP32" s="78"/>
      <c r="AQ32" s="461"/>
      <c r="AR32" s="406" t="n">
        <f aca="false">AO32</f>
        <v>10.2482422023721</v>
      </c>
      <c r="AS32" s="78"/>
      <c r="AT32" s="78"/>
      <c r="AU32" s="7"/>
    </row>
    <row r="33" customFormat="false" ht="12.8" hidden="false" customHeight="false" outlineLevel="0" collapsed="false">
      <c r="B33" s="5"/>
      <c r="C33" s="76"/>
      <c r="D33" s="76"/>
      <c r="E33" s="100" t="n">
        <v>8</v>
      </c>
      <c r="F33" s="425" t="n">
        <v>113.81</v>
      </c>
      <c r="G33" s="428" t="n">
        <v>2.8</v>
      </c>
      <c r="H33" s="209" t="n">
        <f aca="false">G33/2.65</f>
        <v>1.05660377358491</v>
      </c>
      <c r="I33" s="209" t="n">
        <f aca="false">0.74+8.14</f>
        <v>8.88</v>
      </c>
      <c r="J33" s="215" t="n">
        <f aca="false">I33/1.52</f>
        <v>5.8421052631579</v>
      </c>
      <c r="K33" s="215" t="n">
        <f aca="false">100-H33-J33</f>
        <v>93.1012909632572</v>
      </c>
      <c r="L33" s="215" t="n">
        <f aca="false">('Water-stable macroaggregates'!$BK$36/100)*(X33-F33)</f>
        <v>0</v>
      </c>
      <c r="M33" s="215" t="n">
        <f aca="false">(X33-F33)-L33</f>
        <v>147.48</v>
      </c>
      <c r="N33" s="215" t="n">
        <f aca="false">(1*L33/(L33+M33))+(2.65*M33/(L33+M33))</f>
        <v>2.65</v>
      </c>
      <c r="O33" s="215" t="n">
        <f aca="false">100*(1-((X33-F33)/N33)/K33)</f>
        <v>40.2233528527087</v>
      </c>
      <c r="P33" s="215" t="n">
        <f aca="false">O33-Z33</f>
        <v>6.48019979767987</v>
      </c>
      <c r="Q33" s="429" t="n">
        <f aca="false">100-H33-P33</f>
        <v>92.4631964287352</v>
      </c>
      <c r="R33" s="429" t="n">
        <f aca="false">(X33-F33)/Q33</f>
        <v>1.59501299648091</v>
      </c>
      <c r="S33" s="209" t="n">
        <f aca="false">292.49-S$38</f>
        <v>292.49</v>
      </c>
      <c r="T33" s="215" t="n">
        <f aca="false">289.41-T$38</f>
        <v>288.64</v>
      </c>
      <c r="U33" s="215" t="n">
        <f aca="false">286.31-U$37</f>
        <v>286.11</v>
      </c>
      <c r="V33" s="215" t="n">
        <f aca="false">282.36-V$37</f>
        <v>282.16</v>
      </c>
      <c r="W33" s="215" t="n">
        <f aca="false">280.53-W$37</f>
        <v>280.33</v>
      </c>
      <c r="X33" s="215" t="n">
        <v>261.29</v>
      </c>
      <c r="Y33" s="428" t="n">
        <f aca="false">O33</f>
        <v>40.2233528527087</v>
      </c>
      <c r="Z33" s="215" t="n">
        <f aca="false">100*(S33-$X33)/$Q33</f>
        <v>33.7431530550288</v>
      </c>
      <c r="AA33" s="215" t="n">
        <f aca="false">100*(T33-$X33)/$Q33</f>
        <v>29.5793364888479</v>
      </c>
      <c r="AB33" s="215" t="n">
        <f aca="false">100*(U33-$X33)/$Q33</f>
        <v>26.8431126747058</v>
      </c>
      <c r="AC33" s="215" t="n">
        <f aca="false">100*(V33-$X33)/$Q33</f>
        <v>22.5711426881995</v>
      </c>
      <c r="AD33" s="215" t="n">
        <f aca="false">100*(W33-$X33)/$Q33</f>
        <v>20.5919768463497</v>
      </c>
      <c r="AE33" s="215"/>
      <c r="AF33" s="215"/>
      <c r="AG33" s="215"/>
      <c r="AH33" s="406"/>
      <c r="AI33" s="459" t="n">
        <f aca="false">AA33</f>
        <v>29.5793364888479</v>
      </c>
      <c r="AJ33" s="78"/>
      <c r="AK33" s="78"/>
      <c r="AL33" s="459" t="n">
        <f aca="false">AA33-AH$34</f>
        <v>25.7424364158923</v>
      </c>
      <c r="AM33" s="78"/>
      <c r="AN33" s="460"/>
      <c r="AO33" s="406" t="n">
        <f aca="false">40*AL33/100</f>
        <v>10.2969745663569</v>
      </c>
      <c r="AP33" s="78"/>
      <c r="AQ33" s="461"/>
      <c r="AR33" s="406" t="n">
        <f aca="false">AO33</f>
        <v>10.2969745663569</v>
      </c>
      <c r="AS33" s="78"/>
      <c r="AT33" s="78"/>
      <c r="AU33" s="7"/>
    </row>
    <row r="34" customFormat="false" ht="12.8" hidden="false" customHeight="false" outlineLevel="0" collapsed="false">
      <c r="B34" s="5"/>
      <c r="C34" s="76"/>
      <c r="D34" s="76"/>
      <c r="E34" s="465" t="s">
        <v>49</v>
      </c>
      <c r="F34" s="466"/>
      <c r="G34" s="467"/>
      <c r="H34" s="211"/>
      <c r="I34" s="211"/>
      <c r="J34" s="211"/>
      <c r="K34" s="211"/>
      <c r="L34" s="211"/>
      <c r="M34" s="211"/>
      <c r="N34" s="211"/>
      <c r="O34" s="211"/>
      <c r="P34" s="211"/>
      <c r="Q34" s="468"/>
      <c r="R34" s="468" t="n">
        <f aca="false">AVERAGE(R26:R33)</f>
        <v>1.62670824390564</v>
      </c>
      <c r="S34" s="211"/>
      <c r="T34" s="469"/>
      <c r="U34" s="469"/>
      <c r="V34" s="469"/>
      <c r="W34" s="469"/>
      <c r="X34" s="469"/>
      <c r="Y34" s="467" t="n">
        <f aca="false">AVERAGE(Y26:Y33)</f>
        <v>41.0779259084523</v>
      </c>
      <c r="Z34" s="469" t="n">
        <f aca="false">AVERAGE(Z26:Z33)</f>
        <v>33.9009102410111</v>
      </c>
      <c r="AA34" s="469" t="n">
        <f aca="false">AVERAGE(AA26:AA33)</f>
        <v>28.7687128262341</v>
      </c>
      <c r="AB34" s="469" t="n">
        <f aca="false">AVERAGE(AB26:AB33)</f>
        <v>25.7318488322047</v>
      </c>
      <c r="AC34" s="469" t="n">
        <f aca="false">AVERAGE(AC26:AC33)</f>
        <v>20.4308972414318</v>
      </c>
      <c r="AD34" s="469" t="n">
        <f aca="false">AVERAGE(AD26:AD33)</f>
        <v>17.6930804639531</v>
      </c>
      <c r="AE34" s="469"/>
      <c r="AF34" s="469"/>
      <c r="AG34" s="469"/>
      <c r="AH34" s="469" t="n">
        <f aca="false">AVERAGE(AH26:AH33)</f>
        <v>3.83690007295567</v>
      </c>
      <c r="AI34" s="467" t="n">
        <f aca="false">AVERAGE(AI26:AI33)</f>
        <v>28.7687128262341</v>
      </c>
      <c r="AJ34" s="469"/>
      <c r="AK34" s="469"/>
      <c r="AL34" s="467" t="n">
        <f aca="false">AVERAGE(AL26:AL33)</f>
        <v>24.9318127532785</v>
      </c>
      <c r="AM34" s="469"/>
      <c r="AN34" s="468"/>
      <c r="AO34" s="469" t="n">
        <f aca="false">AVERAGE(AO26:AO33)</f>
        <v>9.97272510131139</v>
      </c>
      <c r="AP34" s="469"/>
      <c r="AQ34" s="339"/>
      <c r="AR34" s="469" t="n">
        <f aca="false">AVERAGE(AR26:AR33)</f>
        <v>9.97272510131139</v>
      </c>
      <c r="AS34" s="469"/>
      <c r="AT34" s="469"/>
      <c r="AU34" s="7"/>
    </row>
    <row r="35" customFormat="false" ht="12.8" hidden="false" customHeight="false" outlineLevel="0" collapsed="false">
      <c r="B35" s="5"/>
      <c r="C35" s="76"/>
      <c r="D35" s="76"/>
      <c r="E35" s="465" t="s">
        <v>50</v>
      </c>
      <c r="F35" s="466"/>
      <c r="G35" s="467"/>
      <c r="H35" s="340"/>
      <c r="I35" s="211"/>
      <c r="J35" s="211"/>
      <c r="K35" s="211"/>
      <c r="L35" s="211"/>
      <c r="M35" s="211"/>
      <c r="N35" s="211"/>
      <c r="O35" s="211"/>
      <c r="P35" s="211"/>
      <c r="Q35" s="468"/>
      <c r="R35" s="468" t="n">
        <f aca="false">STDEV(R26:R33)</f>
        <v>0.0297280722035916</v>
      </c>
      <c r="S35" s="211"/>
      <c r="T35" s="469"/>
      <c r="U35" s="469"/>
      <c r="V35" s="469"/>
      <c r="W35" s="469"/>
      <c r="X35" s="469"/>
      <c r="Y35" s="467" t="n">
        <f aca="false">STDEV(Y26:Y33)</f>
        <v>1.47780195352232</v>
      </c>
      <c r="Z35" s="469" t="n">
        <f aca="false">STDEV(Z26:Z33)</f>
        <v>1.03369261393383</v>
      </c>
      <c r="AA35" s="469" t="n">
        <f aca="false">STDEV(AA26:AA33)</f>
        <v>0.868313255385825</v>
      </c>
      <c r="AB35" s="469" t="n">
        <f aca="false">STDEV(AB26:AB33)</f>
        <v>0.988586731051211</v>
      </c>
      <c r="AC35" s="469" t="n">
        <f aca="false">STDEV(AC26:AC33)</f>
        <v>1.12884141711466</v>
      </c>
      <c r="AD35" s="469" t="n">
        <f aca="false">STDEV(AD26:AD33)</f>
        <v>1.65720712146913</v>
      </c>
      <c r="AE35" s="469"/>
      <c r="AF35" s="469"/>
      <c r="AG35" s="469"/>
      <c r="AH35" s="469" t="n">
        <f aca="false">STDEV(AH26:AH33)</f>
        <v>1.34303476641156</v>
      </c>
      <c r="AI35" s="467" t="n">
        <f aca="false">STDEV(AI26:AI33)</f>
        <v>0.868313255385825</v>
      </c>
      <c r="AJ35" s="469"/>
      <c r="AK35" s="469"/>
      <c r="AL35" s="467" t="n">
        <f aca="false">STDEV(AL26:AL33)</f>
        <v>0.868313255385825</v>
      </c>
      <c r="AM35" s="469"/>
      <c r="AN35" s="468"/>
      <c r="AO35" s="469" t="n">
        <f aca="false">STDEV(AO26:AO33)</f>
        <v>0.34732530215433</v>
      </c>
      <c r="AP35" s="469"/>
      <c r="AQ35" s="339"/>
      <c r="AR35" s="469" t="n">
        <f aca="false">STDEV(AR26:AR33)</f>
        <v>0.34732530215433</v>
      </c>
      <c r="AS35" s="469"/>
      <c r="AT35" s="469"/>
      <c r="AU35" s="7"/>
    </row>
    <row r="36" customFormat="false" ht="12.8" hidden="false" customHeight="false" outlineLevel="0" collapsed="false">
      <c r="B36" s="5"/>
      <c r="C36" s="76"/>
      <c r="D36" s="76"/>
      <c r="E36" s="100"/>
      <c r="F36" s="425"/>
      <c r="G36" s="215"/>
      <c r="H36" s="462"/>
      <c r="I36" s="462"/>
      <c r="J36" s="462"/>
      <c r="K36" s="462"/>
      <c r="L36" s="462"/>
      <c r="M36" s="462"/>
      <c r="N36" s="462"/>
      <c r="O36" s="462"/>
      <c r="P36" s="462"/>
      <c r="Q36" s="406"/>
      <c r="R36" s="406"/>
      <c r="S36" s="462"/>
      <c r="T36" s="215"/>
      <c r="U36" s="215"/>
      <c r="V36" s="215"/>
      <c r="W36" s="215"/>
      <c r="X36" s="215"/>
      <c r="Y36" s="215"/>
      <c r="Z36" s="406"/>
      <c r="AA36" s="215"/>
      <c r="AB36" s="215"/>
      <c r="AC36" s="215"/>
      <c r="AD36" s="215"/>
      <c r="AE36" s="215"/>
      <c r="AF36" s="215"/>
      <c r="AG36" s="215"/>
      <c r="AH36" s="462"/>
      <c r="AI36" s="462"/>
      <c r="AJ36" s="462"/>
      <c r="AK36" s="462"/>
      <c r="AL36" s="462"/>
      <c r="AM36" s="462"/>
      <c r="AN36" s="462"/>
      <c r="AO36" s="462"/>
      <c r="AP36" s="462"/>
      <c r="AQ36" s="462"/>
      <c r="AR36" s="462"/>
      <c r="AS36" s="462"/>
      <c r="AT36" s="462"/>
      <c r="AU36" s="7"/>
    </row>
    <row r="37" customFormat="false" ht="12.8" hidden="false" customHeight="false" outlineLevel="0" collapsed="false">
      <c r="B37" s="5"/>
      <c r="C37" s="76"/>
      <c r="D37" s="76" t="s">
        <v>281</v>
      </c>
      <c r="E37" s="100"/>
      <c r="F37" s="425"/>
      <c r="G37" s="428"/>
      <c r="H37" s="462"/>
      <c r="I37" s="462"/>
      <c r="J37" s="462"/>
      <c r="K37" s="462"/>
      <c r="L37" s="462"/>
      <c r="M37" s="462"/>
      <c r="N37" s="462"/>
      <c r="O37" s="462"/>
      <c r="P37" s="462"/>
      <c r="Q37" s="463"/>
      <c r="R37" s="463"/>
      <c r="S37" s="462" t="n">
        <f aca="false">0.2</f>
        <v>0.2</v>
      </c>
      <c r="T37" s="215" t="n">
        <f aca="false">S37</f>
        <v>0.2</v>
      </c>
      <c r="U37" s="215" t="n">
        <f aca="false">T37</f>
        <v>0.2</v>
      </c>
      <c r="V37" s="215" t="n">
        <f aca="false">U37</f>
        <v>0.2</v>
      </c>
      <c r="W37" s="215" t="n">
        <f aca="false">V37</f>
        <v>0.2</v>
      </c>
      <c r="X37" s="215" t="n">
        <f aca="false">W37</f>
        <v>0.2</v>
      </c>
      <c r="Y37" s="459"/>
      <c r="Z37" s="480"/>
      <c r="AA37" s="215"/>
      <c r="AB37" s="215"/>
      <c r="AC37" s="215"/>
      <c r="AD37" s="215"/>
      <c r="AE37" s="215"/>
      <c r="AF37" s="215"/>
      <c r="AG37" s="215"/>
      <c r="AH37" s="462"/>
      <c r="AI37" s="462"/>
      <c r="AJ37" s="462"/>
      <c r="AK37" s="462"/>
      <c r="AL37" s="462"/>
      <c r="AM37" s="462"/>
      <c r="AN37" s="462"/>
      <c r="AO37" s="462"/>
      <c r="AP37" s="462"/>
      <c r="AQ37" s="462"/>
      <c r="AR37" s="462"/>
      <c r="AS37" s="462"/>
      <c r="AT37" s="462"/>
      <c r="AU37" s="7"/>
    </row>
    <row r="38" customFormat="false" ht="12.8" hidden="false" customHeight="false" outlineLevel="0" collapsed="false">
      <c r="B38" s="5"/>
      <c r="C38" s="76"/>
      <c r="D38" s="9" t="s">
        <v>282</v>
      </c>
      <c r="E38" s="100"/>
      <c r="F38" s="425"/>
      <c r="G38" s="428"/>
      <c r="H38" s="462"/>
      <c r="I38" s="462"/>
      <c r="J38" s="462"/>
      <c r="K38" s="462"/>
      <c r="L38" s="462"/>
      <c r="M38" s="462"/>
      <c r="N38" s="462"/>
      <c r="O38" s="462"/>
      <c r="P38" s="462"/>
      <c r="Q38" s="463"/>
      <c r="R38" s="463"/>
      <c r="S38" s="462"/>
      <c r="T38" s="215" t="n">
        <v>0.77</v>
      </c>
      <c r="U38" s="215" t="n">
        <v>0.73</v>
      </c>
      <c r="V38" s="215"/>
      <c r="W38" s="215"/>
      <c r="X38" s="215"/>
      <c r="Y38" s="459"/>
      <c r="Z38" s="480"/>
      <c r="AA38" s="215"/>
      <c r="AB38" s="215"/>
      <c r="AC38" s="215"/>
      <c r="AD38" s="215"/>
      <c r="AE38" s="215"/>
      <c r="AF38" s="215"/>
      <c r="AG38" s="215"/>
      <c r="AH38" s="462"/>
      <c r="AI38" s="462"/>
      <c r="AJ38" s="462"/>
      <c r="AK38" s="462"/>
      <c r="AL38" s="462"/>
      <c r="AM38" s="462"/>
      <c r="AN38" s="462"/>
      <c r="AO38" s="462"/>
      <c r="AP38" s="462"/>
      <c r="AQ38" s="462"/>
      <c r="AR38" s="462"/>
      <c r="AS38" s="462"/>
      <c r="AT38" s="462"/>
      <c r="AU38" s="7"/>
    </row>
    <row r="39" customFormat="false" ht="12.8" hidden="false" customHeight="false" outlineLevel="0" collapsed="false">
      <c r="B39" s="5"/>
      <c r="C39" s="76"/>
      <c r="D39" s="9" t="s">
        <v>283</v>
      </c>
      <c r="E39" s="100"/>
      <c r="F39" s="425"/>
      <c r="G39" s="428"/>
      <c r="H39" s="462"/>
      <c r="I39" s="462"/>
      <c r="J39" s="462"/>
      <c r="K39" s="462"/>
      <c r="L39" s="462"/>
      <c r="M39" s="462"/>
      <c r="N39" s="462"/>
      <c r="O39" s="462"/>
      <c r="P39" s="462"/>
      <c r="Q39" s="463"/>
      <c r="R39" s="463"/>
      <c r="S39" s="462" t="n">
        <f aca="false">S38-S37</f>
        <v>-0.2</v>
      </c>
      <c r="T39" s="462" t="n">
        <f aca="false">T38-T37</f>
        <v>0.57</v>
      </c>
      <c r="U39" s="462" t="n">
        <f aca="false">U38-U37</f>
        <v>0.53</v>
      </c>
      <c r="V39" s="462" t="n">
        <f aca="false">V38-V37</f>
        <v>-0.2</v>
      </c>
      <c r="W39" s="462" t="n">
        <f aca="false">W38-W37</f>
        <v>-0.2</v>
      </c>
      <c r="X39" s="462" t="n">
        <f aca="false">X38-X37</f>
        <v>-0.2</v>
      </c>
      <c r="Y39" s="459"/>
      <c r="Z39" s="480"/>
      <c r="AA39" s="215"/>
      <c r="AB39" s="215"/>
      <c r="AC39" s="215"/>
      <c r="AD39" s="215"/>
      <c r="AE39" s="215"/>
      <c r="AF39" s="215"/>
      <c r="AG39" s="215"/>
      <c r="AH39" s="462"/>
      <c r="AI39" s="462"/>
      <c r="AJ39" s="462"/>
      <c r="AK39" s="462"/>
      <c r="AL39" s="462"/>
      <c r="AM39" s="462"/>
      <c r="AN39" s="462"/>
      <c r="AO39" s="462"/>
      <c r="AP39" s="462"/>
      <c r="AQ39" s="462"/>
      <c r="AR39" s="462"/>
      <c r="AS39" s="462"/>
      <c r="AT39" s="462"/>
      <c r="AU39" s="7"/>
    </row>
    <row r="40" customFormat="false" ht="12.8" hidden="false" customHeight="false" outlineLevel="0" collapsed="false">
      <c r="B40" s="10"/>
      <c r="C40" s="88"/>
      <c r="D40" s="88"/>
      <c r="E40" s="88"/>
      <c r="F40" s="88"/>
      <c r="G40" s="89"/>
      <c r="H40" s="89"/>
      <c r="I40" s="89"/>
      <c r="J40" s="89"/>
      <c r="K40" s="89"/>
      <c r="L40" s="89"/>
      <c r="M40" s="89"/>
      <c r="N40" s="89"/>
      <c r="O40" s="89"/>
      <c r="P40" s="89"/>
      <c r="Q40" s="89"/>
      <c r="R40" s="89"/>
      <c r="S40" s="89"/>
      <c r="T40" s="89"/>
      <c r="U40" s="89"/>
      <c r="V40" s="89"/>
      <c r="W40" s="89"/>
      <c r="X40" s="89"/>
      <c r="Y40" s="89"/>
      <c r="Z40" s="194"/>
      <c r="AA40" s="194"/>
      <c r="AB40" s="194"/>
      <c r="AC40" s="194"/>
      <c r="AD40" s="194"/>
      <c r="AE40" s="194"/>
      <c r="AF40" s="194"/>
      <c r="AG40" s="194"/>
      <c r="AH40" s="89"/>
      <c r="AI40" s="89"/>
      <c r="AJ40" s="89"/>
      <c r="AK40" s="89"/>
      <c r="AL40" s="89"/>
      <c r="AM40" s="89"/>
      <c r="AN40" s="89"/>
      <c r="AO40" s="89"/>
      <c r="AP40" s="89"/>
      <c r="AQ40" s="89"/>
      <c r="AR40" s="89"/>
      <c r="AS40" s="89"/>
      <c r="AT40" s="89"/>
      <c r="AU40" s="12"/>
    </row>
    <row r="41" customFormat="false" ht="12.8" hidden="false" customHeight="false" outlineLevel="0" collapsed="false">
      <c r="C41" s="20"/>
      <c r="D41" s="20"/>
      <c r="E41" s="20"/>
      <c r="F41" s="20"/>
      <c r="G41" s="227"/>
      <c r="H41" s="227"/>
      <c r="I41" s="227"/>
      <c r="J41" s="227"/>
      <c r="K41" s="227"/>
      <c r="L41" s="227"/>
      <c r="M41" s="227"/>
      <c r="N41" s="227"/>
      <c r="O41" s="227"/>
      <c r="P41" s="227"/>
      <c r="Q41" s="227"/>
      <c r="R41" s="227"/>
      <c r="S41" s="227"/>
      <c r="T41" s="227"/>
      <c r="U41" s="227"/>
      <c r="V41" s="227"/>
      <c r="W41" s="227"/>
      <c r="X41" s="227"/>
      <c r="Y41" s="227"/>
      <c r="Z41" s="228"/>
      <c r="AA41" s="228"/>
      <c r="AB41" s="228"/>
      <c r="AC41" s="228"/>
      <c r="AD41" s="228"/>
      <c r="AE41" s="228"/>
      <c r="AF41" s="228"/>
      <c r="AG41" s="228"/>
      <c r="AH41" s="227"/>
      <c r="AI41" s="227"/>
      <c r="AJ41" s="227"/>
      <c r="AK41" s="227"/>
      <c r="AL41" s="227"/>
      <c r="AM41" s="227"/>
      <c r="AN41" s="227"/>
      <c r="AO41" s="227"/>
      <c r="AP41" s="227"/>
      <c r="AQ41" s="227"/>
      <c r="AR41" s="227"/>
      <c r="AS41" s="227"/>
      <c r="AT41" s="227"/>
    </row>
    <row r="42" customFormat="false" ht="12.8" hidden="false" customHeight="false" outlineLevel="0" collapsed="false">
      <c r="AH42" s="1"/>
      <c r="AI42" s="1"/>
      <c r="AJ42" s="1"/>
      <c r="AK42" s="1"/>
      <c r="AL42" s="1"/>
      <c r="AM42" s="1"/>
      <c r="AN42" s="1"/>
      <c r="AO42" s="1"/>
      <c r="AP42" s="1"/>
      <c r="AQ42" s="1"/>
      <c r="AR42" s="1"/>
      <c r="AS42" s="1"/>
      <c r="AT42" s="1"/>
    </row>
    <row r="43" customFormat="false" ht="12.8" hidden="false" customHeight="false" outlineLevel="0" collapsed="false">
      <c r="AH43" s="1"/>
      <c r="AI43" s="1"/>
      <c r="AJ43" s="1"/>
      <c r="AK43" s="1"/>
      <c r="AL43" s="1"/>
      <c r="AM43" s="1"/>
      <c r="AN43" s="1"/>
      <c r="AO43" s="1"/>
      <c r="AP43" s="1"/>
      <c r="AQ43" s="1"/>
      <c r="AR43" s="1"/>
      <c r="AS43" s="1"/>
      <c r="AT43" s="1"/>
    </row>
    <row r="44" customFormat="false" ht="12.8" hidden="false" customHeight="false" outlineLevel="0" collapsed="false">
      <c r="AH44" s="1"/>
      <c r="AI44" s="1"/>
      <c r="AJ44" s="1"/>
      <c r="AK44" s="1"/>
      <c r="AL44" s="1"/>
      <c r="AM44" s="1"/>
      <c r="AN44" s="1"/>
      <c r="AO44" s="1"/>
      <c r="AP44" s="1"/>
      <c r="AQ44" s="1"/>
      <c r="AR44" s="1"/>
      <c r="AS44" s="1"/>
      <c r="AT44" s="1"/>
    </row>
    <row r="45" customFormat="false" ht="12.8" hidden="false" customHeight="false" outlineLevel="0" collapsed="false">
      <c r="AH45" s="1"/>
      <c r="AI45" s="1"/>
      <c r="AJ45" s="1"/>
      <c r="AK45" s="1"/>
      <c r="AL45" s="1"/>
      <c r="AM45" s="1"/>
      <c r="AN45" s="1"/>
      <c r="AO45" s="1"/>
      <c r="AP45" s="1"/>
      <c r="AQ45" s="1"/>
      <c r="AR45" s="1"/>
      <c r="AS45" s="1"/>
      <c r="AT45" s="1"/>
    </row>
    <row r="46" customFormat="false" ht="12.8" hidden="false" customHeight="false" outlineLevel="0" collapsed="false">
      <c r="AH46" s="1"/>
      <c r="AI46" s="1"/>
      <c r="AJ46" s="1"/>
      <c r="AK46" s="1"/>
      <c r="AL46" s="1"/>
      <c r="AM46" s="1"/>
      <c r="AN46" s="1"/>
      <c r="AO46" s="1"/>
      <c r="AP46" s="1"/>
      <c r="AQ46" s="1"/>
      <c r="AR46" s="1"/>
      <c r="AS46" s="1"/>
      <c r="AT46" s="1"/>
    </row>
    <row r="47" customFormat="false" ht="12.8" hidden="false" customHeight="false" outlineLevel="0" collapsed="false">
      <c r="AH47" s="1"/>
      <c r="AI47" s="1"/>
      <c r="AJ47" s="1"/>
      <c r="AK47" s="1"/>
      <c r="AL47" s="1"/>
      <c r="AM47" s="1"/>
      <c r="AN47" s="1"/>
      <c r="AO47" s="1"/>
      <c r="AP47" s="1"/>
      <c r="AQ47" s="1"/>
      <c r="AR47" s="1"/>
      <c r="AS47" s="1"/>
      <c r="AT47" s="1"/>
    </row>
    <row r="48" customFormat="false" ht="12.8" hidden="false" customHeight="false" outlineLevel="0" collapsed="false">
      <c r="AH48" s="1"/>
      <c r="AI48" s="1"/>
      <c r="AJ48" s="1"/>
      <c r="AK48" s="1"/>
      <c r="AL48" s="1"/>
      <c r="AM48" s="1"/>
      <c r="AN48" s="1"/>
      <c r="AO48" s="1"/>
      <c r="AP48" s="1"/>
      <c r="AQ48" s="1"/>
      <c r="AR48" s="1"/>
      <c r="AS48" s="1"/>
      <c r="AT48" s="1"/>
    </row>
    <row r="49" customFormat="false" ht="12.8" hidden="false" customHeight="false" outlineLevel="0" collapsed="false">
      <c r="AH49" s="1"/>
      <c r="AI49" s="1"/>
      <c r="AJ49" s="1"/>
      <c r="AK49" s="1"/>
      <c r="AL49" s="1"/>
      <c r="AM49" s="1"/>
      <c r="AN49" s="1"/>
      <c r="AO49" s="1"/>
      <c r="AP49" s="1"/>
      <c r="AQ49" s="1"/>
      <c r="AR49" s="1"/>
      <c r="AS49" s="1"/>
      <c r="AT49" s="1"/>
    </row>
    <row r="50" customFormat="false" ht="12.8" hidden="false" customHeight="false" outlineLevel="0" collapsed="false">
      <c r="AH50" s="1"/>
      <c r="AI50" s="1"/>
      <c r="AJ50" s="1"/>
      <c r="AK50" s="1"/>
      <c r="AL50" s="1"/>
      <c r="AM50" s="1"/>
      <c r="AN50" s="1"/>
      <c r="AO50" s="1"/>
      <c r="AP50" s="1"/>
      <c r="AQ50" s="1"/>
      <c r="AR50" s="1"/>
      <c r="AS50" s="1"/>
      <c r="AT50" s="1"/>
    </row>
    <row r="51" customFormat="false" ht="12.8" hidden="false" customHeight="false" outlineLevel="0" collapsed="false">
      <c r="AH51" s="1"/>
      <c r="AI51" s="1"/>
      <c r="AJ51" s="1"/>
      <c r="AK51" s="1"/>
      <c r="AL51" s="1"/>
      <c r="AM51" s="1"/>
      <c r="AN51" s="1"/>
      <c r="AO51" s="1"/>
      <c r="AP51" s="1"/>
      <c r="AQ51" s="1"/>
      <c r="AR51" s="1"/>
      <c r="AS51" s="1"/>
      <c r="AT51" s="1"/>
    </row>
    <row r="52" customFormat="false" ht="12.8" hidden="false" customHeight="false" outlineLevel="0" collapsed="false">
      <c r="AH52" s="1"/>
      <c r="AI52" s="1"/>
      <c r="AJ52" s="1"/>
      <c r="AK52" s="1"/>
      <c r="AL52" s="1"/>
      <c r="AM52" s="1"/>
      <c r="AN52" s="1"/>
      <c r="AO52" s="1"/>
      <c r="AP52" s="1"/>
      <c r="AQ52" s="1"/>
      <c r="AR52" s="1"/>
      <c r="AS52" s="1"/>
      <c r="AT52" s="1"/>
    </row>
    <row r="53" customFormat="false" ht="12.8" hidden="false" customHeight="false" outlineLevel="0" collapsed="false">
      <c r="AH53" s="1"/>
      <c r="AI53" s="1"/>
      <c r="AJ53" s="1"/>
      <c r="AK53" s="1"/>
      <c r="AL53" s="1"/>
      <c r="AM53" s="1"/>
      <c r="AN53" s="1"/>
      <c r="AO53" s="1"/>
      <c r="AP53" s="1"/>
      <c r="AQ53" s="1"/>
      <c r="AR53" s="1"/>
      <c r="AS53" s="1"/>
      <c r="AT53" s="1"/>
    </row>
    <row r="54" customFormat="false" ht="12.8" hidden="false" customHeight="false" outlineLevel="0" collapsed="false">
      <c r="AH54" s="1"/>
      <c r="AI54" s="1"/>
      <c r="AJ54" s="1"/>
      <c r="AK54" s="1"/>
      <c r="AL54" s="1"/>
      <c r="AM54" s="1"/>
      <c r="AN54" s="1"/>
      <c r="AO54" s="1"/>
      <c r="AP54" s="1"/>
      <c r="AQ54" s="1"/>
      <c r="AR54" s="1"/>
      <c r="AS54" s="1"/>
      <c r="AT54" s="1"/>
    </row>
    <row r="55" customFormat="false" ht="12.8" hidden="false" customHeight="false" outlineLevel="0" collapsed="false">
      <c r="AH55" s="1"/>
      <c r="AI55" s="1"/>
      <c r="AJ55" s="1"/>
      <c r="AK55" s="1"/>
      <c r="AL55" s="1"/>
      <c r="AM55" s="1"/>
      <c r="AN55" s="1"/>
      <c r="AO55" s="1"/>
      <c r="AP55" s="1"/>
      <c r="AQ55" s="1"/>
      <c r="AR55" s="1"/>
      <c r="AS55" s="1"/>
      <c r="AT55" s="1"/>
    </row>
    <row r="56" customFormat="false" ht="12.8" hidden="false" customHeight="false" outlineLevel="0" collapsed="false">
      <c r="AH56" s="1"/>
      <c r="AI56" s="1"/>
      <c r="AJ56" s="1"/>
      <c r="AK56" s="1"/>
      <c r="AL56" s="1"/>
      <c r="AM56" s="1"/>
      <c r="AN56" s="1"/>
      <c r="AO56" s="1"/>
      <c r="AP56" s="1"/>
      <c r="AQ56" s="1"/>
      <c r="AR56" s="1"/>
      <c r="AS56" s="1"/>
      <c r="AT56" s="1"/>
    </row>
    <row r="57" customFormat="false" ht="12.8" hidden="false" customHeight="false" outlineLevel="0" collapsed="false">
      <c r="AH57" s="1"/>
      <c r="AI57" s="1"/>
      <c r="AJ57" s="1"/>
      <c r="AK57" s="1"/>
      <c r="AL57" s="1"/>
      <c r="AM57" s="1"/>
      <c r="AN57" s="1"/>
      <c r="AO57" s="1"/>
      <c r="AP57" s="1"/>
      <c r="AQ57" s="1"/>
      <c r="AR57" s="1"/>
      <c r="AS57" s="1"/>
      <c r="AT57" s="1"/>
    </row>
    <row r="58" customFormat="false" ht="12.8" hidden="false" customHeight="false" outlineLevel="0" collapsed="false">
      <c r="AH58" s="1"/>
      <c r="AI58" s="1"/>
      <c r="AJ58" s="1"/>
      <c r="AK58" s="1"/>
      <c r="AL58" s="1"/>
      <c r="AM58" s="1"/>
      <c r="AN58" s="1"/>
      <c r="AO58" s="1"/>
      <c r="AP58" s="1"/>
      <c r="AQ58" s="1"/>
      <c r="AR58" s="1"/>
      <c r="AS58" s="1"/>
      <c r="AT58" s="1"/>
    </row>
    <row r="59" customFormat="false" ht="12.8" hidden="false" customHeight="false" outlineLevel="0" collapsed="false">
      <c r="AH59" s="1"/>
      <c r="AI59" s="1"/>
      <c r="AJ59" s="1"/>
      <c r="AK59" s="1"/>
      <c r="AL59" s="1"/>
      <c r="AM59" s="1"/>
      <c r="AN59" s="1"/>
      <c r="AO59" s="1"/>
      <c r="AP59" s="1"/>
      <c r="AQ59" s="1"/>
      <c r="AR59" s="1"/>
      <c r="AS59" s="1"/>
      <c r="AT59" s="1"/>
    </row>
    <row r="60" customFormat="false" ht="12.8" hidden="false" customHeight="false" outlineLevel="0" collapsed="false">
      <c r="AH60" s="1"/>
      <c r="AI60" s="1"/>
      <c r="AJ60" s="1"/>
      <c r="AK60" s="1"/>
      <c r="AL60" s="1"/>
      <c r="AM60" s="1"/>
      <c r="AN60" s="1"/>
      <c r="AO60" s="1"/>
      <c r="AP60" s="1"/>
      <c r="AQ60" s="1"/>
      <c r="AR60" s="1"/>
      <c r="AS60" s="1"/>
      <c r="AT60" s="1"/>
    </row>
    <row r="61" customFormat="false" ht="12.8" hidden="false" customHeight="false" outlineLevel="0" collapsed="false">
      <c r="AH61" s="1"/>
      <c r="AI61" s="1"/>
      <c r="AJ61" s="1"/>
      <c r="AK61" s="1"/>
      <c r="AL61" s="1"/>
      <c r="AM61" s="1"/>
      <c r="AN61" s="1"/>
      <c r="AO61" s="1"/>
      <c r="AP61" s="1"/>
      <c r="AQ61" s="1"/>
      <c r="AR61" s="1"/>
      <c r="AS61" s="1"/>
      <c r="AT61" s="1"/>
    </row>
    <row r="62" customFormat="false" ht="12.8" hidden="false" customHeight="false" outlineLevel="0" collapsed="false">
      <c r="AH62" s="1"/>
      <c r="AI62" s="1"/>
      <c r="AJ62" s="1"/>
      <c r="AK62" s="1"/>
      <c r="AL62" s="1"/>
      <c r="AM62" s="1"/>
      <c r="AN62" s="1"/>
      <c r="AO62" s="1"/>
      <c r="AP62" s="1"/>
      <c r="AQ62" s="1"/>
      <c r="AR62" s="1"/>
      <c r="AS62" s="1"/>
      <c r="AT62" s="1"/>
    </row>
    <row r="63" customFormat="false" ht="12.8" hidden="false" customHeight="false" outlineLevel="0" collapsed="false">
      <c r="AH63" s="1"/>
      <c r="AI63" s="1"/>
      <c r="AJ63" s="1"/>
      <c r="AK63" s="1"/>
      <c r="AL63" s="1"/>
      <c r="AM63" s="1"/>
      <c r="AN63" s="1"/>
      <c r="AO63" s="1"/>
      <c r="AP63" s="1"/>
      <c r="AQ63" s="1"/>
      <c r="AR63" s="1"/>
      <c r="AS63" s="1"/>
      <c r="AT63" s="1"/>
    </row>
    <row r="64" customFormat="false" ht="12.8" hidden="false" customHeight="false" outlineLevel="0" collapsed="false">
      <c r="AH64" s="1"/>
      <c r="AI64" s="1"/>
      <c r="AJ64" s="1"/>
      <c r="AK64" s="1"/>
      <c r="AL64" s="1"/>
      <c r="AM64" s="1"/>
      <c r="AN64" s="1"/>
      <c r="AO64" s="1"/>
      <c r="AP64" s="1"/>
      <c r="AQ64" s="1"/>
      <c r="AR64" s="1"/>
      <c r="AS64" s="1"/>
      <c r="AT64" s="1"/>
    </row>
    <row r="65" customFormat="false" ht="12.8" hidden="false" customHeight="false" outlineLevel="0" collapsed="false">
      <c r="AH65" s="1"/>
      <c r="AI65" s="1"/>
      <c r="AJ65" s="1"/>
      <c r="AK65" s="1"/>
      <c r="AL65" s="1"/>
      <c r="AM65" s="1"/>
      <c r="AN65" s="1"/>
      <c r="AO65" s="1"/>
      <c r="AP65" s="1"/>
      <c r="AQ65" s="1"/>
      <c r="AR65" s="1"/>
      <c r="AS65" s="1"/>
      <c r="AT65" s="1"/>
    </row>
    <row r="66" customFormat="false" ht="12.8" hidden="false" customHeight="false" outlineLevel="0" collapsed="false">
      <c r="AH66" s="1"/>
      <c r="AI66" s="1"/>
      <c r="AJ66" s="1"/>
      <c r="AK66" s="1"/>
      <c r="AL66" s="1"/>
      <c r="AM66" s="1"/>
      <c r="AN66" s="1"/>
      <c r="AO66" s="1"/>
      <c r="AP66" s="1"/>
      <c r="AQ66" s="1"/>
      <c r="AR66" s="1"/>
      <c r="AS66" s="1"/>
      <c r="AT66" s="1"/>
    </row>
    <row r="67" customFormat="false" ht="12.8" hidden="false" customHeight="false" outlineLevel="0" collapsed="false">
      <c r="AH67" s="1"/>
      <c r="AI67" s="1"/>
      <c r="AJ67" s="1"/>
      <c r="AK67" s="1"/>
      <c r="AL67" s="1"/>
      <c r="AM67" s="1"/>
      <c r="AN67" s="1"/>
      <c r="AO67" s="1"/>
      <c r="AP67" s="1"/>
      <c r="AQ67" s="1"/>
      <c r="AR67" s="1"/>
      <c r="AS67" s="1"/>
      <c r="AT67" s="1"/>
    </row>
    <row r="68" customFormat="false" ht="12.8" hidden="false" customHeight="false" outlineLevel="0" collapsed="false">
      <c r="AH68" s="1"/>
      <c r="AI68" s="1"/>
      <c r="AJ68" s="1"/>
      <c r="AK68" s="1"/>
      <c r="AL68" s="1"/>
      <c r="AM68" s="1"/>
      <c r="AN68" s="1"/>
      <c r="AO68" s="1"/>
      <c r="AP68" s="1"/>
      <c r="AQ68" s="1"/>
      <c r="AR68" s="1"/>
      <c r="AS68" s="1"/>
      <c r="AT68" s="1"/>
    </row>
    <row r="69" customFormat="false" ht="12.8" hidden="false" customHeight="false" outlineLevel="0" collapsed="false">
      <c r="AH69" s="1"/>
      <c r="AI69" s="1"/>
      <c r="AJ69" s="1"/>
      <c r="AK69" s="1"/>
      <c r="AL69" s="1"/>
      <c r="AM69" s="1"/>
      <c r="AN69" s="1"/>
      <c r="AO69" s="1"/>
      <c r="AP69" s="1"/>
      <c r="AQ69" s="1"/>
      <c r="AR69" s="1"/>
      <c r="AS69" s="1"/>
      <c r="AT69" s="1"/>
    </row>
    <row r="70" customFormat="false" ht="12.8" hidden="false" customHeight="false" outlineLevel="0" collapsed="false">
      <c r="AH70" s="1"/>
      <c r="AI70" s="1"/>
      <c r="AJ70" s="1"/>
      <c r="AK70" s="1"/>
      <c r="AL70" s="1"/>
      <c r="AM70" s="1"/>
      <c r="AN70" s="1"/>
      <c r="AO70" s="1"/>
      <c r="AP70" s="1"/>
      <c r="AQ70" s="1"/>
      <c r="AR70" s="1"/>
      <c r="AS70" s="1"/>
      <c r="AT70" s="1"/>
    </row>
  </sheetData>
  <mergeCells count="5">
    <mergeCell ref="G3:H3"/>
    <mergeCell ref="S3:X3"/>
    <mergeCell ref="Z3:AD3"/>
    <mergeCell ref="G4:H4"/>
    <mergeCell ref="I4:J4"/>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AMJ40"/>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R40" activeCellId="0" sqref="R40"/>
    </sheetView>
  </sheetViews>
  <sheetFormatPr defaultColWidth="11.53515625" defaultRowHeight="12.8" zeroHeight="false" outlineLevelRow="0" outlineLevelCol="0"/>
  <cols>
    <col collapsed="false" customWidth="true" hidden="false" outlineLevel="0" max="1" min="1" style="20" width="2.92"/>
    <col collapsed="false" customWidth="true" hidden="false" outlineLevel="0" max="2" min="2" style="20" width="2.63"/>
    <col collapsed="false" customWidth="true" hidden="false" outlineLevel="0" max="3" min="3" style="20" width="11.76"/>
    <col collapsed="false" customWidth="true" hidden="false" outlineLevel="0" max="4" min="4" style="20" width="16.57"/>
    <col collapsed="false" customWidth="true" hidden="false" outlineLevel="0" max="5" min="5" style="20" width="4.17"/>
    <col collapsed="false" customWidth="true" hidden="false" outlineLevel="0" max="6" min="6" style="20" width="10.32"/>
    <col collapsed="false" customWidth="true" hidden="false" outlineLevel="0" max="7" min="7" style="20" width="10.58"/>
    <col collapsed="false" customWidth="true" hidden="false" outlineLevel="0" max="8" min="8" style="20" width="9.93"/>
    <col collapsed="false" customWidth="true" hidden="false" outlineLevel="0" max="9" min="9" style="20" width="14.15"/>
    <col collapsed="false" customWidth="true" hidden="false" outlineLevel="0" max="10" min="10" style="20" width="9.56"/>
    <col collapsed="false" customWidth="true" hidden="false" outlineLevel="0" max="11" min="11" style="20" width="10.19"/>
    <col collapsed="false" customWidth="true" hidden="false" outlineLevel="0" max="12" min="12" style="20" width="2.63"/>
    <col collapsed="false" customWidth="false" hidden="false" outlineLevel="0" max="1007" min="13" style="20" width="11.52"/>
    <col collapsed="false" customWidth="false" hidden="false" outlineLevel="0" max="1008" min="1008" style="1" width="11.54"/>
    <col collapsed="false" customWidth="false" hidden="false" outlineLevel="0" max="1024" min="1009" style="1" width="11.52"/>
  </cols>
  <sheetData>
    <row r="2" customFormat="false" ht="12.8" hidden="false" customHeight="false" outlineLevel="0" collapsed="false">
      <c r="B2" s="13"/>
      <c r="C2" s="14"/>
      <c r="D2" s="62"/>
      <c r="E2" s="14"/>
      <c r="F2" s="62"/>
      <c r="G2" s="62"/>
      <c r="H2" s="62"/>
      <c r="I2" s="62"/>
      <c r="J2" s="62"/>
      <c r="K2" s="62"/>
      <c r="L2" s="15"/>
    </row>
    <row r="3" customFormat="false" ht="15" hidden="false" customHeight="false" outlineLevel="0" collapsed="false">
      <c r="B3" s="63"/>
      <c r="C3" s="64" t="s">
        <v>284</v>
      </c>
      <c r="D3" s="64"/>
      <c r="E3" s="64"/>
      <c r="F3" s="64"/>
      <c r="G3" s="64"/>
      <c r="H3" s="64"/>
      <c r="I3" s="64"/>
      <c r="J3" s="64"/>
      <c r="K3" s="64"/>
      <c r="L3" s="65"/>
    </row>
    <row r="4" customFormat="false" ht="14.65" hidden="false" customHeight="false" outlineLevel="0" collapsed="false">
      <c r="B4" s="63"/>
      <c r="C4" s="66"/>
      <c r="D4" s="67"/>
      <c r="E4" s="66"/>
      <c r="F4" s="67"/>
      <c r="G4" s="67"/>
      <c r="H4" s="67"/>
      <c r="I4" s="67"/>
      <c r="J4" s="67"/>
      <c r="K4" s="67"/>
      <c r="L4" s="65"/>
    </row>
    <row r="5" s="251" customFormat="true" ht="36.25" hidden="false" customHeight="true" outlineLevel="0" collapsed="false">
      <c r="B5" s="481"/>
      <c r="C5" s="482"/>
      <c r="D5" s="69"/>
      <c r="E5" s="483"/>
      <c r="F5" s="484" t="s">
        <v>285</v>
      </c>
      <c r="G5" s="484"/>
      <c r="H5" s="484"/>
      <c r="I5" s="452" t="s">
        <v>286</v>
      </c>
      <c r="J5" s="452"/>
      <c r="K5" s="452"/>
      <c r="L5" s="483"/>
      <c r="ALT5" s="1"/>
      <c r="ALU5" s="1"/>
      <c r="ALV5" s="1"/>
      <c r="ALW5" s="1"/>
      <c r="ALX5" s="1"/>
      <c r="ALY5" s="1"/>
      <c r="ALZ5" s="1"/>
      <c r="AMA5" s="1"/>
      <c r="AMB5" s="1"/>
      <c r="AMC5" s="1"/>
      <c r="AMD5" s="1"/>
      <c r="AME5" s="1"/>
      <c r="AMF5" s="1"/>
      <c r="AMG5" s="1"/>
      <c r="AMH5" s="1"/>
      <c r="AMI5" s="1"/>
      <c r="AMJ5" s="1"/>
    </row>
    <row r="6" s="168" customFormat="true" ht="14.65" hidden="false" customHeight="true" outlineLevel="0" collapsed="false">
      <c r="B6" s="481"/>
      <c r="C6" s="69" t="s">
        <v>46</v>
      </c>
      <c r="D6" s="69"/>
      <c r="E6" s="71" t="s">
        <v>47</v>
      </c>
      <c r="F6" s="485" t="s">
        <v>287</v>
      </c>
      <c r="G6" s="485"/>
      <c r="H6" s="485"/>
      <c r="I6" s="452" t="s">
        <v>288</v>
      </c>
      <c r="J6" s="452"/>
      <c r="K6" s="452"/>
      <c r="L6" s="71"/>
      <c r="ALT6" s="1"/>
      <c r="ALU6" s="1"/>
      <c r="ALV6" s="1"/>
      <c r="ALW6" s="1"/>
      <c r="ALX6" s="1"/>
      <c r="ALY6" s="1"/>
      <c r="ALZ6" s="1"/>
      <c r="AMA6" s="1"/>
      <c r="AMB6" s="1"/>
      <c r="AMC6" s="1"/>
      <c r="AMD6" s="1"/>
      <c r="AME6" s="1"/>
      <c r="AMF6" s="1"/>
      <c r="AMG6" s="1"/>
      <c r="AMH6" s="1"/>
      <c r="AMI6" s="1"/>
      <c r="AMJ6" s="1"/>
    </row>
    <row r="7" customFormat="false" ht="12.8" hidden="false" customHeight="false" outlineLevel="0" collapsed="false">
      <c r="B7" s="63"/>
      <c r="C7" s="72"/>
      <c r="D7" s="72"/>
      <c r="E7" s="486"/>
      <c r="F7" s="89" t="s">
        <v>289</v>
      </c>
      <c r="G7" s="89" t="s">
        <v>49</v>
      </c>
      <c r="H7" s="454" t="s">
        <v>50</v>
      </c>
      <c r="I7" s="89" t="s">
        <v>289</v>
      </c>
      <c r="J7" s="89" t="s">
        <v>49</v>
      </c>
      <c r="K7" s="89" t="s">
        <v>50</v>
      </c>
      <c r="L7" s="65"/>
    </row>
    <row r="8" customFormat="false" ht="12.8" hidden="false" customHeight="false" outlineLevel="0" collapsed="false">
      <c r="B8" s="63"/>
      <c r="C8" s="75" t="s">
        <v>52</v>
      </c>
      <c r="D8" s="76" t="s">
        <v>290</v>
      </c>
      <c r="E8" s="487" t="n">
        <v>1</v>
      </c>
      <c r="F8" s="488" t="n">
        <v>90042283.8660557</v>
      </c>
      <c r="G8" s="488" t="n">
        <f aca="false">AVERAGE(F8:F15)</f>
        <v>127226740.87563</v>
      </c>
      <c r="H8" s="489" t="n">
        <f aca="false">STDEV(F8:F15)</f>
        <v>78130833.1956477</v>
      </c>
      <c r="I8" s="490" t="n">
        <v>2381498649.3094</v>
      </c>
      <c r="J8" s="488" t="n">
        <f aca="false">AVERAGE(I8:I15)</f>
        <v>2876555695.36314</v>
      </c>
      <c r="K8" s="488" t="n">
        <f aca="false">STDEV(I8:I15)</f>
        <v>1045409414.00879</v>
      </c>
      <c r="L8" s="79"/>
      <c r="P8" s="20" t="s">
        <v>54</v>
      </c>
    </row>
    <row r="9" customFormat="false" ht="12.8" hidden="false" customHeight="false" outlineLevel="0" collapsed="false">
      <c r="B9" s="63"/>
      <c r="C9" s="76"/>
      <c r="D9" s="76"/>
      <c r="E9" s="487" t="n">
        <v>2</v>
      </c>
      <c r="F9" s="491" t="n">
        <v>67136720.9359203</v>
      </c>
      <c r="G9" s="491"/>
      <c r="H9" s="492"/>
      <c r="I9" s="493" t="n">
        <v>2152416939.06804</v>
      </c>
      <c r="J9" s="491"/>
      <c r="K9" s="491"/>
      <c r="L9" s="79"/>
    </row>
    <row r="10" customFormat="false" ht="12.8" hidden="false" customHeight="false" outlineLevel="0" collapsed="false">
      <c r="B10" s="63"/>
      <c r="C10" s="76"/>
      <c r="D10" s="76"/>
      <c r="E10" s="487" t="n">
        <v>3</v>
      </c>
      <c r="F10" s="491" t="n">
        <v>118438429.121523</v>
      </c>
      <c r="G10" s="491"/>
      <c r="H10" s="492"/>
      <c r="I10" s="493" t="n">
        <v>2670476025.54537</v>
      </c>
      <c r="J10" s="491"/>
      <c r="K10" s="491"/>
      <c r="L10" s="79"/>
    </row>
    <row r="11" customFormat="false" ht="12.8" hidden="false" customHeight="false" outlineLevel="0" collapsed="false">
      <c r="B11" s="63"/>
      <c r="C11" s="76"/>
      <c r="D11" s="76"/>
      <c r="E11" s="487" t="n">
        <v>4</v>
      </c>
      <c r="F11" s="491" t="n">
        <v>117374371.506445</v>
      </c>
      <c r="G11" s="491"/>
      <c r="H11" s="492"/>
      <c r="I11" s="493" t="n">
        <v>3129368690.01096</v>
      </c>
      <c r="J11" s="491"/>
      <c r="K11" s="491"/>
      <c r="L11" s="79"/>
    </row>
    <row r="12" customFormat="false" ht="12.8" hidden="false" customHeight="false" outlineLevel="0" collapsed="false">
      <c r="B12" s="63"/>
      <c r="C12" s="76"/>
      <c r="D12" s="76"/>
      <c r="E12" s="487" t="n">
        <v>5</v>
      </c>
      <c r="F12" s="491" t="n">
        <v>119285010.276467</v>
      </c>
      <c r="G12" s="491"/>
      <c r="H12" s="492"/>
      <c r="I12" s="493" t="n">
        <v>3047737584.67455</v>
      </c>
      <c r="J12" s="491"/>
      <c r="K12" s="491"/>
      <c r="L12" s="79"/>
    </row>
    <row r="13" customFormat="false" ht="12.8" hidden="false" customHeight="false" outlineLevel="0" collapsed="false">
      <c r="B13" s="63"/>
      <c r="C13" s="76"/>
      <c r="D13" s="76"/>
      <c r="E13" s="487" t="n">
        <v>6</v>
      </c>
      <c r="F13" s="494" t="n">
        <v>69769211.17089</v>
      </c>
      <c r="G13" s="494"/>
      <c r="H13" s="492"/>
      <c r="I13" s="493" t="n">
        <v>1898305126.18475</v>
      </c>
      <c r="J13" s="494"/>
      <c r="K13" s="494"/>
      <c r="L13" s="79"/>
    </row>
    <row r="14" customFormat="false" ht="12.8" hidden="false" customHeight="false" outlineLevel="0" collapsed="false">
      <c r="B14" s="63"/>
      <c r="C14" s="76"/>
      <c r="D14" s="76"/>
      <c r="E14" s="487" t="n">
        <v>7</v>
      </c>
      <c r="F14" s="491" t="n">
        <v>123646765.880775</v>
      </c>
      <c r="G14" s="491"/>
      <c r="H14" s="492"/>
      <c r="I14" s="493" t="n">
        <v>2482707342.0577</v>
      </c>
      <c r="J14" s="491"/>
      <c r="K14" s="491"/>
      <c r="L14" s="79"/>
    </row>
    <row r="15" customFormat="false" ht="12.8" hidden="false" customHeight="false" outlineLevel="0" collapsed="false">
      <c r="B15" s="63"/>
      <c r="C15" s="76"/>
      <c r="D15" s="76"/>
      <c r="E15" s="487" t="n">
        <v>8</v>
      </c>
      <c r="F15" s="491" t="n">
        <v>312121134.246961</v>
      </c>
      <c r="G15" s="491"/>
      <c r="H15" s="492"/>
      <c r="I15" s="493" t="n">
        <v>5249935206.05434</v>
      </c>
      <c r="J15" s="491"/>
      <c r="K15" s="491"/>
      <c r="L15" s="79"/>
    </row>
    <row r="16" customFormat="false" ht="12.8" hidden="false" customHeight="false" outlineLevel="0" collapsed="false">
      <c r="B16" s="63"/>
      <c r="C16" s="81"/>
      <c r="D16" s="81" t="s">
        <v>291</v>
      </c>
      <c r="E16" s="495" t="n">
        <v>1</v>
      </c>
      <c r="F16" s="496" t="n">
        <v>31900349.5085123</v>
      </c>
      <c r="G16" s="496" t="n">
        <f aca="false">AVERAGE(F16:F23)</f>
        <v>26996972.7886539</v>
      </c>
      <c r="H16" s="497" t="n">
        <f aca="false">STDEV(F16:F23)</f>
        <v>8657367.42359112</v>
      </c>
      <c r="I16" s="498" t="n">
        <v>1361804466.2139</v>
      </c>
      <c r="J16" s="496" t="n">
        <f aca="false">AVERAGE(I16:I23)</f>
        <v>1566085468.88414</v>
      </c>
      <c r="K16" s="496" t="n">
        <f aca="false">STDEV(I16:I23)</f>
        <v>285324876.70336</v>
      </c>
      <c r="L16" s="79"/>
    </row>
    <row r="17" customFormat="false" ht="12.8" hidden="false" customHeight="false" outlineLevel="0" collapsed="false">
      <c r="B17" s="63"/>
      <c r="C17" s="76"/>
      <c r="D17" s="76"/>
      <c r="E17" s="487" t="n">
        <v>2</v>
      </c>
      <c r="F17" s="494" t="n">
        <v>33799641.8665097</v>
      </c>
      <c r="G17" s="494"/>
      <c r="H17" s="492"/>
      <c r="I17" s="493" t="n">
        <v>2078059802.51516</v>
      </c>
      <c r="J17" s="494"/>
      <c r="K17" s="494"/>
      <c r="L17" s="79"/>
    </row>
    <row r="18" customFormat="false" ht="12.8" hidden="false" customHeight="false" outlineLevel="0" collapsed="false">
      <c r="B18" s="63"/>
      <c r="C18" s="76"/>
      <c r="D18" s="76"/>
      <c r="E18" s="487" t="n">
        <v>3</v>
      </c>
      <c r="F18" s="494" t="n">
        <v>19136419.5735393</v>
      </c>
      <c r="G18" s="494"/>
      <c r="H18" s="492"/>
      <c r="I18" s="493" t="n">
        <v>1385153981.05909</v>
      </c>
      <c r="J18" s="494"/>
      <c r="K18" s="494"/>
      <c r="L18" s="79"/>
    </row>
    <row r="19" customFormat="false" ht="12.8" hidden="false" customHeight="false" outlineLevel="0" collapsed="false">
      <c r="B19" s="63"/>
      <c r="C19" s="76"/>
      <c r="D19" s="76"/>
      <c r="E19" s="487" t="n">
        <v>4</v>
      </c>
      <c r="F19" s="491" t="n">
        <v>22848508.3638583</v>
      </c>
      <c r="G19" s="491"/>
      <c r="H19" s="492"/>
      <c r="I19" s="493" t="n">
        <v>1464009345.04441</v>
      </c>
      <c r="J19" s="491"/>
      <c r="K19" s="491"/>
      <c r="L19" s="79"/>
    </row>
    <row r="20" customFormat="false" ht="12.8" hidden="false" customHeight="false" outlineLevel="0" collapsed="false">
      <c r="B20" s="63"/>
      <c r="C20" s="76"/>
      <c r="D20" s="76"/>
      <c r="E20" s="487" t="n">
        <v>5</v>
      </c>
      <c r="F20" s="491" t="n">
        <v>23008730.6349984</v>
      </c>
      <c r="G20" s="491"/>
      <c r="H20" s="492"/>
      <c r="I20" s="493" t="n">
        <v>1922532891.21224</v>
      </c>
      <c r="J20" s="491"/>
      <c r="K20" s="491"/>
      <c r="L20" s="79"/>
    </row>
    <row r="21" customFormat="false" ht="12.8" hidden="false" customHeight="false" outlineLevel="0" collapsed="false">
      <c r="B21" s="63"/>
      <c r="C21" s="76"/>
      <c r="D21" s="76"/>
      <c r="E21" s="487" t="n">
        <v>6</v>
      </c>
      <c r="F21" s="491" t="n">
        <v>43557626.5835679</v>
      </c>
      <c r="G21" s="491"/>
      <c r="H21" s="492"/>
      <c r="I21" s="493" t="n">
        <v>1555025373.20058</v>
      </c>
      <c r="J21" s="491"/>
      <c r="K21" s="491"/>
      <c r="L21" s="79"/>
    </row>
    <row r="22" customFormat="false" ht="12.8" hidden="false" customHeight="false" outlineLevel="0" collapsed="false">
      <c r="B22" s="63"/>
      <c r="C22" s="76"/>
      <c r="D22" s="76"/>
      <c r="E22" s="487" t="n">
        <v>7</v>
      </c>
      <c r="F22" s="491" t="n">
        <v>23087304.0228813</v>
      </c>
      <c r="G22" s="491"/>
      <c r="H22" s="492"/>
      <c r="I22" s="493" t="n">
        <v>1497697331.88676</v>
      </c>
      <c r="J22" s="491"/>
      <c r="K22" s="491"/>
      <c r="L22" s="79"/>
    </row>
    <row r="23" customFormat="false" ht="12.8" hidden="false" customHeight="false" outlineLevel="0" collapsed="false">
      <c r="B23" s="63"/>
      <c r="C23" s="84"/>
      <c r="D23" s="84"/>
      <c r="E23" s="499" t="n">
        <v>8</v>
      </c>
      <c r="F23" s="500" t="n">
        <v>18637201.7553637</v>
      </c>
      <c r="G23" s="500"/>
      <c r="H23" s="501"/>
      <c r="I23" s="502" t="n">
        <v>1264400559.94097</v>
      </c>
      <c r="J23" s="500"/>
      <c r="K23" s="500"/>
      <c r="L23" s="79"/>
    </row>
    <row r="24" customFormat="false" ht="12.8" hidden="false" customHeight="false" outlineLevel="0" collapsed="false">
      <c r="B24" s="63"/>
      <c r="C24" s="81"/>
      <c r="D24" s="81" t="s">
        <v>292</v>
      </c>
      <c r="E24" s="487" t="n">
        <v>1</v>
      </c>
      <c r="F24" s="491" t="n">
        <v>29307316.869221</v>
      </c>
      <c r="G24" s="496" t="n">
        <f aca="false">AVERAGE(F24:F31)</f>
        <v>44097927.3374774</v>
      </c>
      <c r="H24" s="497" t="n">
        <f aca="false">STDEV(F24:F31)</f>
        <v>31231612.5442932</v>
      </c>
      <c r="I24" s="493" t="n">
        <v>2075693308.26548</v>
      </c>
      <c r="J24" s="496" t="n">
        <f aca="false">AVERAGE(I24:I31)</f>
        <v>2157265327.91792</v>
      </c>
      <c r="K24" s="496" t="n">
        <f aca="false">STDEV(I24:I31)</f>
        <v>435279053.759128</v>
      </c>
      <c r="L24" s="79"/>
    </row>
    <row r="25" customFormat="false" ht="12.8" hidden="false" customHeight="false" outlineLevel="0" collapsed="false">
      <c r="B25" s="63"/>
      <c r="C25" s="76"/>
      <c r="D25" s="76"/>
      <c r="E25" s="487" t="n">
        <v>2</v>
      </c>
      <c r="F25" s="491" t="n">
        <v>25201759.8095411</v>
      </c>
      <c r="G25" s="491"/>
      <c r="H25" s="492"/>
      <c r="I25" s="493" t="n">
        <v>1775062460.39152</v>
      </c>
      <c r="J25" s="491"/>
      <c r="K25" s="491"/>
      <c r="L25" s="79"/>
    </row>
    <row r="26" customFormat="false" ht="12.8" hidden="false" customHeight="false" outlineLevel="0" collapsed="false">
      <c r="B26" s="63"/>
      <c r="C26" s="76"/>
      <c r="D26" s="76"/>
      <c r="E26" s="487" t="n">
        <v>3</v>
      </c>
      <c r="F26" s="491" t="n">
        <v>45274581.4212928</v>
      </c>
      <c r="G26" s="491"/>
      <c r="H26" s="492"/>
      <c r="I26" s="493" t="n">
        <v>1850571139.12875</v>
      </c>
      <c r="J26" s="491"/>
      <c r="K26" s="491"/>
      <c r="L26" s="79"/>
    </row>
    <row r="27" customFormat="false" ht="12.8" hidden="false" customHeight="false" outlineLevel="0" collapsed="false">
      <c r="B27" s="63"/>
      <c r="C27" s="76"/>
      <c r="D27" s="76"/>
      <c r="E27" s="487" t="n">
        <v>4</v>
      </c>
      <c r="F27" s="494" t="n">
        <v>30208380.1013241</v>
      </c>
      <c r="G27" s="494"/>
      <c r="H27" s="492"/>
      <c r="I27" s="493" t="n">
        <v>2063200197.17832</v>
      </c>
      <c r="J27" s="494"/>
      <c r="K27" s="494"/>
      <c r="L27" s="79"/>
    </row>
    <row r="28" customFormat="false" ht="12.8" hidden="false" customHeight="false" outlineLevel="0" collapsed="false">
      <c r="B28" s="63"/>
      <c r="C28" s="76"/>
      <c r="D28" s="76"/>
      <c r="E28" s="487" t="n">
        <v>5</v>
      </c>
      <c r="F28" s="494" t="n">
        <v>117341344.3712</v>
      </c>
      <c r="G28" s="494"/>
      <c r="H28" s="492"/>
      <c r="I28" s="493" t="n">
        <v>2319939018.71112</v>
      </c>
      <c r="J28" s="494"/>
      <c r="K28" s="494"/>
      <c r="L28" s="79"/>
    </row>
    <row r="29" customFormat="false" ht="12.8" hidden="false" customHeight="false" outlineLevel="0" collapsed="false">
      <c r="B29" s="63"/>
      <c r="C29" s="76"/>
      <c r="D29" s="76"/>
      <c r="E29" s="487" t="n">
        <v>6</v>
      </c>
      <c r="F29" s="491" t="n">
        <v>21952381.0530304</v>
      </c>
      <c r="G29" s="491"/>
      <c r="H29" s="492"/>
      <c r="I29" s="493" t="n">
        <v>2061939530.39394</v>
      </c>
      <c r="J29" s="491"/>
      <c r="K29" s="491"/>
      <c r="L29" s="79"/>
    </row>
    <row r="30" customFormat="false" ht="12.8" hidden="false" customHeight="false" outlineLevel="0" collapsed="false">
      <c r="B30" s="63"/>
      <c r="C30" s="76"/>
      <c r="D30" s="76"/>
      <c r="E30" s="487" t="n">
        <v>7</v>
      </c>
      <c r="F30" s="491" t="n">
        <v>51539233.900876</v>
      </c>
      <c r="G30" s="491"/>
      <c r="H30" s="492"/>
      <c r="I30" s="493" t="n">
        <v>3154744799.13253</v>
      </c>
      <c r="J30" s="491"/>
      <c r="K30" s="491"/>
      <c r="L30" s="79"/>
    </row>
    <row r="31" customFormat="false" ht="12.8" hidden="false" customHeight="false" outlineLevel="0" collapsed="false">
      <c r="B31" s="63"/>
      <c r="C31" s="76"/>
      <c r="D31" s="76"/>
      <c r="E31" s="487" t="n">
        <v>8</v>
      </c>
      <c r="F31" s="491" t="n">
        <v>31958421.1733337</v>
      </c>
      <c r="G31" s="491"/>
      <c r="H31" s="492"/>
      <c r="I31" s="493" t="n">
        <v>1956972170.14172</v>
      </c>
      <c r="J31" s="491"/>
      <c r="K31" s="491"/>
      <c r="L31" s="79"/>
    </row>
    <row r="32" customFormat="false" ht="12.8" hidden="false" customHeight="false" outlineLevel="0" collapsed="false">
      <c r="B32" s="87"/>
      <c r="C32" s="88"/>
      <c r="D32" s="89"/>
      <c r="E32" s="88"/>
      <c r="F32" s="89"/>
      <c r="G32" s="89"/>
      <c r="H32" s="89"/>
      <c r="I32" s="89"/>
      <c r="J32" s="89"/>
      <c r="K32" s="89"/>
      <c r="L32" s="90"/>
    </row>
    <row r="40" customFormat="false" ht="12.8" hidden="false" customHeight="false" outlineLevel="0" collapsed="false">
      <c r="J40" s="1"/>
    </row>
  </sheetData>
  <mergeCells count="6">
    <mergeCell ref="C3:K3"/>
    <mergeCell ref="F5:H5"/>
    <mergeCell ref="I5:K5"/>
    <mergeCell ref="C6:D6"/>
    <mergeCell ref="F6:H6"/>
    <mergeCell ref="I6:K6"/>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1:N29"/>
  <sheetViews>
    <sheetView showFormulas="false" showGridLines="true" showRowColHeaders="true" showZeros="true" rightToLeft="false" tabSelected="false" showOutlineSymbols="true" defaultGridColor="true" view="normal" topLeftCell="A10" colorId="64" zoomScale="110" zoomScaleNormal="110" zoomScalePageLayoutView="100" workbookViewId="0">
      <selection pane="topLeft" activeCell="K18" activeCellId="0" sqref="K18"/>
    </sheetView>
  </sheetViews>
  <sheetFormatPr defaultColWidth="11.53515625" defaultRowHeight="14.65" zeroHeight="false" outlineLevelRow="0" outlineLevelCol="0"/>
  <cols>
    <col collapsed="false" customWidth="true" hidden="false" outlineLevel="0" max="1" min="1" style="1" width="2.96"/>
    <col collapsed="false" customWidth="true" hidden="false" outlineLevel="0" max="2" min="2" style="1" width="2.59"/>
    <col collapsed="false" customWidth="true" hidden="false" outlineLevel="0" max="3" min="3" style="1" width="18.19"/>
    <col collapsed="false" customWidth="true" hidden="false" outlineLevel="0" max="4" min="4" style="1" width="12.59"/>
    <col collapsed="false" customWidth="true" hidden="false" outlineLevel="0" max="6" min="5" style="1" width="16.3"/>
    <col collapsed="false" customWidth="true" hidden="false" outlineLevel="0" max="7" min="7" style="1" width="14.16"/>
    <col collapsed="false" customWidth="true" hidden="false" outlineLevel="0" max="8" min="8" style="1" width="13.89"/>
    <col collapsed="false" customWidth="true" hidden="false" outlineLevel="0" max="10" min="9" style="1" width="16.02"/>
    <col collapsed="false" customWidth="false" hidden="false" outlineLevel="0" max="11" min="11" style="1" width="11.57"/>
    <col collapsed="false" customWidth="true" hidden="false" outlineLevel="0" max="12" min="12" style="1" width="3.76"/>
    <col collapsed="false" customWidth="false" hidden="false" outlineLevel="0" max="1024" min="13" style="1" width="11.52"/>
  </cols>
  <sheetData>
    <row r="11" customFormat="false" ht="12.8" hidden="false" customHeight="false" outlineLevel="0" collapsed="false">
      <c r="B11" s="13"/>
      <c r="C11" s="14"/>
      <c r="D11" s="14"/>
      <c r="E11" s="14"/>
      <c r="F11" s="14"/>
      <c r="G11" s="14"/>
      <c r="H11" s="14"/>
      <c r="I11" s="14"/>
      <c r="J11" s="14"/>
      <c r="K11" s="14"/>
      <c r="L11" s="15"/>
    </row>
    <row r="12" customFormat="false" ht="12.8" hidden="false" customHeight="false" outlineLevel="0" collapsed="false">
      <c r="B12" s="16"/>
      <c r="C12" s="17" t="s">
        <v>11</v>
      </c>
      <c r="D12" s="18" t="s">
        <v>12</v>
      </c>
      <c r="E12" s="18"/>
      <c r="F12" s="17"/>
      <c r="G12" s="17"/>
      <c r="H12" s="17"/>
      <c r="I12" s="17"/>
      <c r="J12" s="17"/>
      <c r="K12" s="18"/>
      <c r="L12" s="19"/>
      <c r="M12" s="20"/>
      <c r="N12" s="20"/>
    </row>
    <row r="13" customFormat="false" ht="12.85" hidden="false" customHeight="false" outlineLevel="0" collapsed="false">
      <c r="B13" s="16"/>
      <c r="C13" s="21"/>
      <c r="D13" s="22" t="s">
        <v>13</v>
      </c>
      <c r="E13" s="23"/>
      <c r="F13" s="23"/>
      <c r="G13" s="23"/>
      <c r="H13" s="23"/>
      <c r="I13" s="21"/>
      <c r="J13" s="23"/>
      <c r="K13" s="23"/>
      <c r="L13" s="19"/>
    </row>
    <row r="14" customFormat="false" ht="12.8" hidden="false" customHeight="false" outlineLevel="0" collapsed="false">
      <c r="B14" s="16"/>
      <c r="C14" s="21"/>
      <c r="D14" s="21" t="s">
        <v>14</v>
      </c>
      <c r="E14" s="23"/>
      <c r="F14" s="23"/>
      <c r="G14" s="23"/>
      <c r="H14" s="23"/>
      <c r="I14" s="21"/>
      <c r="J14" s="23"/>
      <c r="K14" s="23"/>
      <c r="L14" s="19"/>
    </row>
    <row r="15" customFormat="false" ht="12.8" hidden="false" customHeight="false" outlineLevel="0" collapsed="false">
      <c r="B15" s="16"/>
      <c r="C15" s="18"/>
      <c r="D15" s="18"/>
      <c r="E15" s="18"/>
      <c r="F15" s="18"/>
      <c r="G15" s="18"/>
      <c r="H15" s="18"/>
      <c r="I15" s="18"/>
      <c r="J15" s="18"/>
      <c r="K15" s="18"/>
      <c r="L15" s="19"/>
    </row>
    <row r="16" customFormat="false" ht="15" hidden="false" customHeight="false" outlineLevel="0" collapsed="false">
      <c r="B16" s="16"/>
      <c r="C16" s="24" t="s">
        <v>15</v>
      </c>
      <c r="D16" s="25" t="s">
        <v>16</v>
      </c>
      <c r="E16" s="26" t="s">
        <v>17</v>
      </c>
      <c r="F16" s="25" t="s">
        <v>18</v>
      </c>
      <c r="G16" s="27" t="s">
        <v>19</v>
      </c>
      <c r="H16" s="25" t="s">
        <v>20</v>
      </c>
      <c r="I16" s="25" t="s">
        <v>21</v>
      </c>
      <c r="J16" s="25" t="s">
        <v>22</v>
      </c>
      <c r="K16" s="28" t="s">
        <v>23</v>
      </c>
      <c r="L16" s="19"/>
    </row>
    <row r="17" customFormat="false" ht="12.8" hidden="false" customHeight="false" outlineLevel="0" collapsed="false">
      <c r="B17" s="16"/>
      <c r="C17" s="29" t="s">
        <v>24</v>
      </c>
      <c r="D17" s="30" t="s">
        <v>25</v>
      </c>
      <c r="E17" s="31" t="s">
        <v>26</v>
      </c>
      <c r="F17" s="30" t="s">
        <v>27</v>
      </c>
      <c r="G17" s="32" t="s">
        <v>28</v>
      </c>
      <c r="H17" s="30" t="s">
        <v>29</v>
      </c>
      <c r="I17" s="30" t="s">
        <v>30</v>
      </c>
      <c r="J17" s="30" t="s">
        <v>31</v>
      </c>
      <c r="K17" s="33" t="s">
        <v>32</v>
      </c>
      <c r="L17" s="19"/>
    </row>
    <row r="18" customFormat="false" ht="12.8" hidden="false" customHeight="false" outlineLevel="0" collapsed="false">
      <c r="B18" s="16"/>
      <c r="C18" s="34" t="s">
        <v>33</v>
      </c>
      <c r="D18" s="35" t="n">
        <v>6.97072699236372</v>
      </c>
      <c r="E18" s="36" t="n">
        <v>4.27449044241673</v>
      </c>
      <c r="F18" s="35" t="n">
        <v>8.47528277375487</v>
      </c>
      <c r="G18" s="37" t="n">
        <v>18.37338127995</v>
      </c>
      <c r="H18" s="35" t="n">
        <v>35.5171832747028</v>
      </c>
      <c r="I18" s="35" t="n">
        <v>23.525984715837</v>
      </c>
      <c r="J18" s="35" t="n">
        <v>2.86295052097488</v>
      </c>
      <c r="K18" s="38" t="s">
        <v>34</v>
      </c>
      <c r="L18" s="19"/>
    </row>
    <row r="19" customFormat="false" ht="12.8" hidden="false" customHeight="false" outlineLevel="0" collapsed="false">
      <c r="B19" s="16"/>
      <c r="C19" s="34" t="s">
        <v>35</v>
      </c>
      <c r="D19" s="35" t="n">
        <v>4.2661065124429</v>
      </c>
      <c r="E19" s="36" t="n">
        <v>5.71369356614546</v>
      </c>
      <c r="F19" s="35" t="n">
        <v>6.53937182715079</v>
      </c>
      <c r="G19" s="37" t="n">
        <v>18.1033591709413</v>
      </c>
      <c r="H19" s="35" t="n">
        <v>36.0357038604645</v>
      </c>
      <c r="I19" s="35" t="n">
        <v>25.2138361376625</v>
      </c>
      <c r="J19" s="35" t="n">
        <v>4.12792892519253</v>
      </c>
      <c r="K19" s="38" t="s">
        <v>34</v>
      </c>
      <c r="L19" s="19"/>
    </row>
    <row r="20" customFormat="false" ht="12.8" hidden="false" customHeight="false" outlineLevel="0" collapsed="false">
      <c r="B20" s="16"/>
      <c r="C20" s="34" t="s">
        <v>36</v>
      </c>
      <c r="D20" s="35" t="n">
        <v>7.24616728406671</v>
      </c>
      <c r="E20" s="36" t="n">
        <v>3.13857102059826</v>
      </c>
      <c r="F20" s="35" t="n">
        <v>3.45956123861322</v>
      </c>
      <c r="G20" s="37" t="n">
        <v>18.968952599217</v>
      </c>
      <c r="H20" s="35" t="n">
        <v>35.7820635630824</v>
      </c>
      <c r="I20" s="35" t="n">
        <v>25.7020434123151</v>
      </c>
      <c r="J20" s="35" t="n">
        <v>5.7026408821074</v>
      </c>
      <c r="K20" s="38" t="s">
        <v>34</v>
      </c>
      <c r="L20" s="19"/>
    </row>
    <row r="21" customFormat="false" ht="12.8" hidden="false" customHeight="false" outlineLevel="0" collapsed="false">
      <c r="B21" s="16"/>
      <c r="C21" s="34" t="s">
        <v>37</v>
      </c>
      <c r="D21" s="35" t="n">
        <v>5.87203635677532</v>
      </c>
      <c r="E21" s="36" t="n">
        <v>3.48282630812417</v>
      </c>
      <c r="F21" s="35" t="n">
        <v>6.92899128668533</v>
      </c>
      <c r="G21" s="37" t="n">
        <v>16.0571490883139</v>
      </c>
      <c r="H21" s="35" t="n">
        <v>35.9967329769423</v>
      </c>
      <c r="I21" s="35" t="n">
        <v>26.6673044760375</v>
      </c>
      <c r="J21" s="35" t="n">
        <v>4.99495950712157</v>
      </c>
      <c r="K21" s="38" t="s">
        <v>34</v>
      </c>
      <c r="L21" s="19"/>
    </row>
    <row r="22" customFormat="false" ht="12.8" hidden="false" customHeight="false" outlineLevel="0" collapsed="false">
      <c r="B22" s="16"/>
      <c r="C22" s="34" t="s">
        <v>38</v>
      </c>
      <c r="D22" s="35" t="n">
        <v>7.13199236328569</v>
      </c>
      <c r="E22" s="36" t="n">
        <v>4.7385106092871</v>
      </c>
      <c r="F22" s="35" t="n">
        <v>7.34288285255819</v>
      </c>
      <c r="G22" s="37" t="n">
        <v>17.9817434663238</v>
      </c>
      <c r="H22" s="35" t="n">
        <v>35.9641380257104</v>
      </c>
      <c r="I22" s="35" t="n">
        <v>22.8899723334646</v>
      </c>
      <c r="J22" s="35" t="n">
        <v>3.95076034937022</v>
      </c>
      <c r="K22" s="38" t="s">
        <v>34</v>
      </c>
      <c r="L22" s="19"/>
    </row>
    <row r="23" customFormat="false" ht="12.8" hidden="false" customHeight="false" outlineLevel="0" collapsed="false">
      <c r="B23" s="16"/>
      <c r="C23" s="34" t="s">
        <v>39</v>
      </c>
      <c r="D23" s="35" t="n">
        <v>7.45051727695607</v>
      </c>
      <c r="E23" s="36" t="n">
        <v>3.74063301050791</v>
      </c>
      <c r="F23" s="35" t="n">
        <v>7.99976960663511</v>
      </c>
      <c r="G23" s="37" t="n">
        <v>14.5438033606859</v>
      </c>
      <c r="H23" s="35" t="n">
        <v>36.1143673136288</v>
      </c>
      <c r="I23" s="35" t="n">
        <v>25.8555516564086</v>
      </c>
      <c r="J23" s="35" t="n">
        <v>4.29535777517756</v>
      </c>
      <c r="K23" s="38" t="s">
        <v>34</v>
      </c>
      <c r="L23" s="19"/>
    </row>
    <row r="24" s="39" customFormat="true" ht="12.8" hidden="false" customHeight="false" outlineLevel="0" collapsed="false">
      <c r="B24" s="38"/>
      <c r="C24" s="40" t="s">
        <v>40</v>
      </c>
      <c r="D24" s="41" t="n">
        <f aca="false">AVERAGE(D18:D23)</f>
        <v>6.48959113098174</v>
      </c>
      <c r="E24" s="42" t="n">
        <f aca="false">AVERAGE(E18:E23)</f>
        <v>4.18145415951327</v>
      </c>
      <c r="F24" s="41" t="n">
        <f aca="false">AVERAGE(F18:F23)</f>
        <v>6.79097659756625</v>
      </c>
      <c r="G24" s="43" t="n">
        <f aca="false">AVERAGE(G18:G23)</f>
        <v>17.338064827572</v>
      </c>
      <c r="H24" s="41" t="n">
        <f aca="false">AVERAGE(H18:H23)</f>
        <v>35.9016981690885</v>
      </c>
      <c r="I24" s="41" t="n">
        <f aca="false">AVERAGE(I18:I23)</f>
        <v>24.9757821219542</v>
      </c>
      <c r="J24" s="41" t="n">
        <f aca="false">AVERAGE(J18:J23)</f>
        <v>4.32243299332403</v>
      </c>
      <c r="K24" s="44" t="s">
        <v>34</v>
      </c>
      <c r="L24" s="34"/>
    </row>
    <row r="25" s="45" customFormat="true" ht="12.8" hidden="false" customHeight="false" outlineLevel="0" collapsed="false">
      <c r="B25" s="46"/>
      <c r="C25" s="47" t="s">
        <v>40</v>
      </c>
      <c r="D25" s="48" t="n">
        <f aca="false">D24</f>
        <v>6.48959113098174</v>
      </c>
      <c r="E25" s="49" t="n">
        <f aca="false">SUM(E24:G24)</f>
        <v>28.3104955846515</v>
      </c>
      <c r="F25" s="49"/>
      <c r="G25" s="49"/>
      <c r="H25" s="50" t="n">
        <f aca="false">SUM(H24:J24)</f>
        <v>65.1999132843668</v>
      </c>
      <c r="I25" s="50"/>
      <c r="J25" s="50"/>
      <c r="K25" s="51" t="s">
        <v>34</v>
      </c>
      <c r="L25" s="47"/>
    </row>
    <row r="26" customFormat="false" ht="12.8" hidden="false" customHeight="false" outlineLevel="0" collapsed="false">
      <c r="B26" s="16"/>
      <c r="C26" s="18"/>
      <c r="D26" s="18"/>
      <c r="E26" s="18"/>
      <c r="F26" s="18"/>
      <c r="G26" s="18"/>
      <c r="H26" s="18"/>
      <c r="I26" s="18"/>
      <c r="J26" s="18"/>
      <c r="K26" s="18"/>
      <c r="L26" s="19"/>
    </row>
    <row r="27" customFormat="false" ht="12.85" hidden="false" customHeight="true" outlineLevel="0" collapsed="false">
      <c r="B27" s="16"/>
      <c r="C27" s="17" t="s">
        <v>41</v>
      </c>
      <c r="D27" s="52" t="s">
        <v>42</v>
      </c>
      <c r="E27" s="18"/>
      <c r="F27" s="53"/>
      <c r="G27" s="53"/>
      <c r="H27" s="53"/>
      <c r="I27" s="53"/>
      <c r="J27" s="53"/>
      <c r="K27" s="54"/>
      <c r="L27" s="19"/>
    </row>
    <row r="28" customFormat="false" ht="14.9" hidden="false" customHeight="true" outlineLevel="0" collapsed="false">
      <c r="B28" s="16"/>
      <c r="C28" s="55" t="s">
        <v>43</v>
      </c>
      <c r="D28" s="56" t="s">
        <v>44</v>
      </c>
      <c r="E28" s="23"/>
      <c r="F28" s="57"/>
      <c r="G28" s="57"/>
      <c r="H28" s="57"/>
      <c r="I28" s="58"/>
      <c r="J28" s="57"/>
      <c r="K28" s="57"/>
      <c r="L28" s="19"/>
    </row>
    <row r="29" customFormat="false" ht="12.8" hidden="false" customHeight="false" outlineLevel="0" collapsed="false">
      <c r="B29" s="59"/>
      <c r="C29" s="60"/>
      <c r="D29" s="60"/>
      <c r="E29" s="60"/>
      <c r="F29" s="60"/>
      <c r="G29" s="60"/>
      <c r="H29" s="60"/>
      <c r="I29" s="60"/>
      <c r="J29" s="60"/>
      <c r="K29" s="60"/>
      <c r="L29" s="61"/>
    </row>
  </sheetData>
  <mergeCells count="2">
    <mergeCell ref="E25:G25"/>
    <mergeCell ref="H25:J25"/>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M31"/>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L28" activeCellId="0" sqref="L28"/>
    </sheetView>
  </sheetViews>
  <sheetFormatPr defaultColWidth="11.53515625" defaultRowHeight="12.8" zeroHeight="false" outlineLevelRow="0" outlineLevelCol="0"/>
  <cols>
    <col collapsed="false" customWidth="true" hidden="false" outlineLevel="0" max="1" min="1" style="20" width="2.92"/>
    <col collapsed="false" customWidth="true" hidden="false" outlineLevel="0" max="2" min="2" style="20" width="2.63"/>
    <col collapsed="false" customWidth="true" hidden="false" outlineLevel="0" max="3" min="3" style="20" width="11.76"/>
    <col collapsed="false" customWidth="true" hidden="false" outlineLevel="0" max="4" min="4" style="20" width="11.86"/>
    <col collapsed="false" customWidth="true" hidden="false" outlineLevel="0" max="5" min="5" style="20" width="4.17"/>
    <col collapsed="false" customWidth="true" hidden="false" outlineLevel="0" max="6" min="6" style="20" width="3.95"/>
    <col collapsed="false" customWidth="true" hidden="false" outlineLevel="0" max="7" min="7" style="20" width="7.02"/>
    <col collapsed="false" customWidth="true" hidden="false" outlineLevel="0" max="8" min="8" style="20" width="5.7"/>
    <col collapsed="false" customWidth="true" hidden="false" outlineLevel="0" max="9" min="9" style="20" width="2.63"/>
    <col collapsed="false" customWidth="false" hidden="false" outlineLevel="0" max="1022" min="10" style="20" width="11.52"/>
    <col collapsed="false" customWidth="false" hidden="false" outlineLevel="0" max="1023" min="1023" style="1" width="11.54"/>
    <col collapsed="false" customWidth="false" hidden="false" outlineLevel="0" max="1024" min="1024" style="1" width="11.52"/>
  </cols>
  <sheetData>
    <row r="2" customFormat="false" ht="12.8" hidden="false" customHeight="false" outlineLevel="0" collapsed="false">
      <c r="B2" s="13"/>
      <c r="C2" s="14"/>
      <c r="D2" s="62"/>
      <c r="E2" s="14"/>
      <c r="F2" s="62"/>
      <c r="G2" s="62"/>
      <c r="H2" s="62"/>
      <c r="I2" s="15"/>
    </row>
    <row r="3" customFormat="false" ht="14.15" hidden="false" customHeight="false" outlineLevel="0" collapsed="false">
      <c r="B3" s="63"/>
      <c r="C3" s="64" t="s">
        <v>45</v>
      </c>
      <c r="D3" s="64"/>
      <c r="E3" s="64"/>
      <c r="F3" s="64"/>
      <c r="G3" s="64"/>
      <c r="H3" s="64"/>
      <c r="I3" s="65"/>
    </row>
    <row r="4" customFormat="false" ht="14.65" hidden="false" customHeight="false" outlineLevel="0" collapsed="false">
      <c r="B4" s="63"/>
      <c r="C4" s="66"/>
      <c r="D4" s="67"/>
      <c r="E4" s="66"/>
      <c r="F4" s="67"/>
      <c r="G4" s="67"/>
      <c r="H4" s="67"/>
      <c r="I4" s="65"/>
    </row>
    <row r="5" customFormat="false" ht="14.65" hidden="false" customHeight="true" outlineLevel="0" collapsed="false">
      <c r="B5" s="68"/>
      <c r="C5" s="69" t="s">
        <v>46</v>
      </c>
      <c r="D5" s="69"/>
      <c r="E5" s="70" t="s">
        <v>47</v>
      </c>
      <c r="F5" s="70" t="s">
        <v>48</v>
      </c>
      <c r="G5" s="70" t="s">
        <v>49</v>
      </c>
      <c r="H5" s="70" t="s">
        <v>50</v>
      </c>
      <c r="I5" s="71"/>
    </row>
    <row r="6" customFormat="false" ht="12.8" hidden="false" customHeight="false" outlineLevel="0" collapsed="false">
      <c r="B6" s="63"/>
      <c r="C6" s="72"/>
      <c r="D6" s="72"/>
      <c r="E6" s="72"/>
      <c r="F6" s="73" t="s">
        <v>51</v>
      </c>
      <c r="G6" s="73" t="s">
        <v>51</v>
      </c>
      <c r="H6" s="73" t="s">
        <v>51</v>
      </c>
      <c r="I6" s="74"/>
    </row>
    <row r="7" customFormat="false" ht="12.8" hidden="false" customHeight="false" outlineLevel="0" collapsed="false">
      <c r="B7" s="63"/>
      <c r="C7" s="75" t="s">
        <v>52</v>
      </c>
      <c r="D7" s="76" t="s">
        <v>53</v>
      </c>
      <c r="E7" s="77" t="n">
        <v>1</v>
      </c>
      <c r="F7" s="78" t="n">
        <v>6.53</v>
      </c>
      <c r="G7" s="78" t="n">
        <f aca="false">AVERAGE(F7:F14)</f>
        <v>6.60375</v>
      </c>
      <c r="H7" s="78" t="n">
        <f aca="false">STDEV(F7:F14)</f>
        <v>0.183298156798464</v>
      </c>
      <c r="I7" s="79"/>
      <c r="M7" s="20" t="s">
        <v>54</v>
      </c>
    </row>
    <row r="8" customFormat="false" ht="12.8" hidden="false" customHeight="false" outlineLevel="0" collapsed="false">
      <c r="B8" s="63"/>
      <c r="C8" s="76"/>
      <c r="D8" s="76"/>
      <c r="E8" s="77" t="n">
        <v>2</v>
      </c>
      <c r="F8" s="78" t="n">
        <v>6.71</v>
      </c>
      <c r="G8" s="78"/>
      <c r="H8" s="78"/>
      <c r="I8" s="79"/>
    </row>
    <row r="9" customFormat="false" ht="12.8" hidden="false" customHeight="false" outlineLevel="0" collapsed="false">
      <c r="B9" s="63"/>
      <c r="C9" s="76"/>
      <c r="D9" s="76"/>
      <c r="E9" s="77" t="n">
        <v>3</v>
      </c>
      <c r="F9" s="78" t="n">
        <v>6.77</v>
      </c>
      <c r="G9" s="78"/>
      <c r="H9" s="78"/>
      <c r="I9" s="79"/>
    </row>
    <row r="10" customFormat="false" ht="12.8" hidden="false" customHeight="false" outlineLevel="0" collapsed="false">
      <c r="B10" s="63"/>
      <c r="C10" s="76"/>
      <c r="D10" s="76"/>
      <c r="E10" s="77" t="n">
        <v>4</v>
      </c>
      <c r="F10" s="78" t="n">
        <v>6.58</v>
      </c>
      <c r="G10" s="78"/>
      <c r="H10" s="78"/>
      <c r="I10" s="79"/>
    </row>
    <row r="11" customFormat="false" ht="12.8" hidden="false" customHeight="false" outlineLevel="0" collapsed="false">
      <c r="B11" s="63"/>
      <c r="C11" s="76"/>
      <c r="D11" s="76"/>
      <c r="E11" s="77" t="n">
        <v>5</v>
      </c>
      <c r="F11" s="78" t="n">
        <v>6.37</v>
      </c>
      <c r="G11" s="78"/>
      <c r="H11" s="78"/>
      <c r="I11" s="79"/>
    </row>
    <row r="12" customFormat="false" ht="12.8" hidden="false" customHeight="false" outlineLevel="0" collapsed="false">
      <c r="B12" s="63"/>
      <c r="C12" s="76"/>
      <c r="D12" s="76"/>
      <c r="E12" s="67" t="n">
        <v>6</v>
      </c>
      <c r="F12" s="80" t="n">
        <v>6.51</v>
      </c>
      <c r="G12" s="80"/>
      <c r="H12" s="80"/>
      <c r="I12" s="79"/>
    </row>
    <row r="13" customFormat="false" ht="12.8" hidden="false" customHeight="false" outlineLevel="0" collapsed="false">
      <c r="B13" s="63"/>
      <c r="C13" s="76"/>
      <c r="D13" s="76"/>
      <c r="E13" s="77" t="n">
        <v>7</v>
      </c>
      <c r="F13" s="78" t="n">
        <v>6.92</v>
      </c>
      <c r="G13" s="78"/>
      <c r="H13" s="78"/>
      <c r="I13" s="79"/>
    </row>
    <row r="14" customFormat="false" ht="12.8" hidden="false" customHeight="false" outlineLevel="0" collapsed="false">
      <c r="B14" s="63"/>
      <c r="C14" s="76"/>
      <c r="D14" s="76"/>
      <c r="E14" s="77" t="n">
        <v>8</v>
      </c>
      <c r="F14" s="78" t="n">
        <v>6.44</v>
      </c>
      <c r="G14" s="78"/>
      <c r="H14" s="78"/>
      <c r="I14" s="79"/>
    </row>
    <row r="15" customFormat="false" ht="12.8" hidden="false" customHeight="false" outlineLevel="0" collapsed="false">
      <c r="B15" s="63"/>
      <c r="C15" s="81"/>
      <c r="D15" s="81" t="s">
        <v>55</v>
      </c>
      <c r="E15" s="82" t="n">
        <v>1</v>
      </c>
      <c r="F15" s="83" t="n">
        <v>5.64</v>
      </c>
      <c r="G15" s="83" t="n">
        <f aca="false">AVERAGE(F15:F22)</f>
        <v>5.96875</v>
      </c>
      <c r="H15" s="83" t="n">
        <f aca="false">STDEV(F15:F22)</f>
        <v>0.227309574935027</v>
      </c>
      <c r="I15" s="79"/>
    </row>
    <row r="16" customFormat="false" ht="12.8" hidden="false" customHeight="false" outlineLevel="0" collapsed="false">
      <c r="B16" s="63"/>
      <c r="C16" s="76"/>
      <c r="D16" s="76"/>
      <c r="E16" s="67" t="n">
        <v>2</v>
      </c>
      <c r="F16" s="80" t="n">
        <v>5.72</v>
      </c>
      <c r="G16" s="80"/>
      <c r="H16" s="80"/>
      <c r="I16" s="79"/>
    </row>
    <row r="17" customFormat="false" ht="12.8" hidden="false" customHeight="false" outlineLevel="0" collapsed="false">
      <c r="B17" s="63"/>
      <c r="C17" s="76"/>
      <c r="D17" s="76"/>
      <c r="E17" s="67" t="n">
        <v>3</v>
      </c>
      <c r="F17" s="80" t="n">
        <v>6.34</v>
      </c>
      <c r="G17" s="80"/>
      <c r="H17" s="80"/>
      <c r="I17" s="79"/>
    </row>
    <row r="18" customFormat="false" ht="12.8" hidden="false" customHeight="false" outlineLevel="0" collapsed="false">
      <c r="B18" s="63"/>
      <c r="C18" s="76"/>
      <c r="D18" s="76"/>
      <c r="E18" s="77" t="n">
        <v>4</v>
      </c>
      <c r="F18" s="78" t="n">
        <v>6.06</v>
      </c>
      <c r="G18" s="78"/>
      <c r="H18" s="78"/>
      <c r="I18" s="79"/>
    </row>
    <row r="19" customFormat="false" ht="12.8" hidden="false" customHeight="false" outlineLevel="0" collapsed="false">
      <c r="B19" s="63"/>
      <c r="C19" s="76"/>
      <c r="D19" s="76"/>
      <c r="E19" s="77" t="n">
        <v>5</v>
      </c>
      <c r="F19" s="78" t="n">
        <v>6.11</v>
      </c>
      <c r="G19" s="78"/>
      <c r="H19" s="78"/>
      <c r="I19" s="79"/>
    </row>
    <row r="20" customFormat="false" ht="12.8" hidden="false" customHeight="false" outlineLevel="0" collapsed="false">
      <c r="B20" s="63"/>
      <c r="C20" s="76"/>
      <c r="D20" s="76"/>
      <c r="E20" s="77" t="n">
        <v>6</v>
      </c>
      <c r="F20" s="78" t="n">
        <v>5.89</v>
      </c>
      <c r="G20" s="78"/>
      <c r="H20" s="78"/>
      <c r="I20" s="79"/>
    </row>
    <row r="21" customFormat="false" ht="12.8" hidden="false" customHeight="false" outlineLevel="0" collapsed="false">
      <c r="B21" s="63"/>
      <c r="C21" s="76"/>
      <c r="D21" s="76"/>
      <c r="E21" s="77" t="n">
        <v>7</v>
      </c>
      <c r="F21" s="78" t="n">
        <v>5.9</v>
      </c>
      <c r="G21" s="78"/>
      <c r="H21" s="78"/>
      <c r="I21" s="79"/>
    </row>
    <row r="22" customFormat="false" ht="12.8" hidden="false" customHeight="false" outlineLevel="0" collapsed="false">
      <c r="B22" s="63"/>
      <c r="C22" s="84"/>
      <c r="D22" s="84"/>
      <c r="E22" s="85" t="n">
        <v>8</v>
      </c>
      <c r="F22" s="86" t="n">
        <v>6.09</v>
      </c>
      <c r="G22" s="86"/>
      <c r="H22" s="86"/>
      <c r="I22" s="79"/>
    </row>
    <row r="23" customFormat="false" ht="12.8" hidden="false" customHeight="false" outlineLevel="0" collapsed="false">
      <c r="B23" s="63"/>
      <c r="C23" s="81"/>
      <c r="D23" s="81" t="s">
        <v>56</v>
      </c>
      <c r="E23" s="77" t="n">
        <v>1</v>
      </c>
      <c r="F23" s="78" t="n">
        <v>5.93</v>
      </c>
      <c r="G23" s="78" t="n">
        <f aca="false">AVERAGE(F23:F30)</f>
        <v>6.22125</v>
      </c>
      <c r="H23" s="78" t="n">
        <f aca="false">STDEV(F23:F30)</f>
        <v>0.169405473009919</v>
      </c>
      <c r="I23" s="79"/>
    </row>
    <row r="24" customFormat="false" ht="12.8" hidden="false" customHeight="false" outlineLevel="0" collapsed="false">
      <c r="B24" s="63"/>
      <c r="C24" s="76"/>
      <c r="D24" s="76"/>
      <c r="E24" s="77" t="n">
        <v>2</v>
      </c>
      <c r="F24" s="78" t="n">
        <v>6.32</v>
      </c>
      <c r="G24" s="78"/>
      <c r="H24" s="78"/>
      <c r="I24" s="79"/>
    </row>
    <row r="25" customFormat="false" ht="12.8" hidden="false" customHeight="false" outlineLevel="0" collapsed="false">
      <c r="B25" s="63"/>
      <c r="C25" s="76"/>
      <c r="D25" s="76"/>
      <c r="E25" s="77" t="n">
        <v>3</v>
      </c>
      <c r="F25" s="78" t="n">
        <v>6.1</v>
      </c>
      <c r="G25" s="78"/>
      <c r="H25" s="78"/>
      <c r="I25" s="79"/>
    </row>
    <row r="26" customFormat="false" ht="12.8" hidden="false" customHeight="false" outlineLevel="0" collapsed="false">
      <c r="B26" s="63"/>
      <c r="C26" s="76"/>
      <c r="D26" s="76"/>
      <c r="E26" s="67" t="n">
        <v>4</v>
      </c>
      <c r="F26" s="80" t="n">
        <v>6.07</v>
      </c>
      <c r="G26" s="80"/>
      <c r="H26" s="80"/>
      <c r="I26" s="79"/>
    </row>
    <row r="27" customFormat="false" ht="12.8" hidden="false" customHeight="false" outlineLevel="0" collapsed="false">
      <c r="B27" s="63"/>
      <c r="C27" s="76"/>
      <c r="D27" s="76"/>
      <c r="E27" s="67" t="n">
        <v>5</v>
      </c>
      <c r="F27" s="80" t="n">
        <v>6.25</v>
      </c>
      <c r="G27" s="80"/>
      <c r="H27" s="80"/>
      <c r="I27" s="79"/>
    </row>
    <row r="28" customFormat="false" ht="12.8" hidden="false" customHeight="false" outlineLevel="0" collapsed="false">
      <c r="B28" s="63"/>
      <c r="C28" s="76"/>
      <c r="D28" s="76"/>
      <c r="E28" s="77" t="n">
        <v>6</v>
      </c>
      <c r="F28" s="78" t="n">
        <v>6.33</v>
      </c>
      <c r="G28" s="78"/>
      <c r="H28" s="78"/>
      <c r="I28" s="79"/>
    </row>
    <row r="29" customFormat="false" ht="12.8" hidden="false" customHeight="false" outlineLevel="0" collapsed="false">
      <c r="B29" s="63"/>
      <c r="C29" s="76"/>
      <c r="D29" s="76"/>
      <c r="E29" s="77" t="n">
        <v>7</v>
      </c>
      <c r="F29" s="78" t="n">
        <v>6.42</v>
      </c>
      <c r="G29" s="78"/>
      <c r="H29" s="78"/>
      <c r="I29" s="79"/>
    </row>
    <row r="30" customFormat="false" ht="12.8" hidden="false" customHeight="false" outlineLevel="0" collapsed="false">
      <c r="B30" s="63"/>
      <c r="C30" s="76"/>
      <c r="D30" s="76"/>
      <c r="E30" s="77" t="n">
        <v>8</v>
      </c>
      <c r="F30" s="78" t="n">
        <v>6.35</v>
      </c>
      <c r="G30" s="78"/>
      <c r="H30" s="78"/>
      <c r="I30" s="79"/>
    </row>
    <row r="31" customFormat="false" ht="12.8" hidden="false" customHeight="false" outlineLevel="0" collapsed="false">
      <c r="B31" s="87"/>
      <c r="C31" s="88"/>
      <c r="D31" s="89"/>
      <c r="E31" s="88"/>
      <c r="F31" s="89"/>
      <c r="G31" s="89"/>
      <c r="H31" s="89"/>
      <c r="I31" s="90"/>
    </row>
  </sheetData>
  <mergeCells count="2">
    <mergeCell ref="C3:H3"/>
    <mergeCell ref="C5:D5"/>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L47"/>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Q21" activeCellId="0" sqref="Q21"/>
    </sheetView>
  </sheetViews>
  <sheetFormatPr defaultColWidth="11.53515625" defaultRowHeight="14.65" zeroHeight="false" outlineLevelRow="0" outlineLevelCol="0"/>
  <cols>
    <col collapsed="false" customWidth="true" hidden="false" outlineLevel="0" max="2" min="1" style="20" width="2.77"/>
    <col collapsed="false" customWidth="true" hidden="false" outlineLevel="0" max="3" min="3" style="20" width="6.88"/>
    <col collapsed="false" customWidth="true" hidden="false" outlineLevel="0" max="4" min="4" style="20" width="7.56"/>
    <col collapsed="false" customWidth="true" hidden="false" outlineLevel="0" max="5" min="5" style="20" width="7.26"/>
    <col collapsed="false" customWidth="true" hidden="false" outlineLevel="0" max="6" min="6" style="20" width="6.48"/>
    <col collapsed="false" customWidth="true" hidden="false" outlineLevel="0" max="7" min="7" style="20" width="7.26"/>
    <col collapsed="false" customWidth="true" hidden="false" outlineLevel="0" max="8" min="8" style="20" width="7.1"/>
    <col collapsed="false" customWidth="true" hidden="false" outlineLevel="0" max="9" min="9" style="20" width="7.41"/>
    <col collapsed="false" customWidth="true" hidden="false" outlineLevel="0" max="10" min="10" style="20" width="7.84"/>
    <col collapsed="false" customWidth="true" hidden="false" outlineLevel="0" max="11" min="11" style="20" width="31.81"/>
    <col collapsed="false" customWidth="true" hidden="false" outlineLevel="0" max="12" min="12" style="20" width="2.62"/>
    <col collapsed="false" customWidth="false" hidden="false" outlineLevel="0" max="1024" min="13" style="20" width="11.52"/>
  </cols>
  <sheetData>
    <row r="2" customFormat="false" ht="14.65" hidden="false" customHeight="false" outlineLevel="0" collapsed="false">
      <c r="B2" s="91"/>
      <c r="C2" s="92"/>
      <c r="D2" s="92"/>
      <c r="E2" s="92"/>
      <c r="F2" s="92"/>
      <c r="G2" s="92"/>
      <c r="H2" s="92"/>
      <c r="I2" s="92"/>
      <c r="J2" s="92"/>
      <c r="K2" s="92"/>
      <c r="L2" s="93"/>
    </row>
    <row r="3" customFormat="false" ht="17" hidden="false" customHeight="false" outlineLevel="0" collapsed="false">
      <c r="B3" s="94"/>
      <c r="C3" s="64" t="s">
        <v>57</v>
      </c>
      <c r="D3" s="64"/>
      <c r="E3" s="64"/>
      <c r="F3" s="64"/>
      <c r="G3" s="64"/>
      <c r="H3" s="64"/>
      <c r="I3" s="64"/>
      <c r="J3" s="64"/>
      <c r="K3" s="64"/>
      <c r="L3" s="95"/>
    </row>
    <row r="4" customFormat="false" ht="11.65" hidden="false" customHeight="true" outlineLevel="0" collapsed="false">
      <c r="B4" s="94"/>
      <c r="C4" s="96"/>
      <c r="D4" s="9"/>
      <c r="E4" s="9"/>
      <c r="F4" s="9"/>
      <c r="G4" s="9"/>
      <c r="H4" s="9"/>
      <c r="I4" s="9"/>
      <c r="J4" s="9"/>
      <c r="K4" s="9"/>
      <c r="L4" s="95"/>
    </row>
    <row r="5" customFormat="false" ht="14.65" hidden="false" customHeight="true" outlineLevel="0" collapsed="false">
      <c r="B5" s="94"/>
      <c r="C5" s="97" t="s">
        <v>58</v>
      </c>
      <c r="D5" s="97" t="s">
        <v>59</v>
      </c>
      <c r="E5" s="9"/>
      <c r="F5" s="98"/>
      <c r="G5" s="9"/>
      <c r="H5" s="9"/>
      <c r="I5" s="9"/>
      <c r="J5" s="9"/>
      <c r="K5" s="99" t="s">
        <v>60</v>
      </c>
      <c r="L5" s="95"/>
    </row>
    <row r="6" customFormat="false" ht="14.65" hidden="false" customHeight="false" outlineLevel="0" collapsed="false">
      <c r="B6" s="94"/>
      <c r="C6" s="100" t="s">
        <v>61</v>
      </c>
      <c r="D6" s="100" t="s">
        <v>62</v>
      </c>
      <c r="E6" s="9"/>
      <c r="F6" s="9"/>
      <c r="G6" s="9"/>
      <c r="H6" s="9"/>
      <c r="I6" s="9"/>
      <c r="J6" s="9"/>
      <c r="K6" s="99"/>
      <c r="L6" s="95"/>
    </row>
    <row r="7" customFormat="false" ht="14.65" hidden="false" customHeight="false" outlineLevel="0" collapsed="false">
      <c r="B7" s="94"/>
      <c r="C7" s="101" t="n">
        <v>0</v>
      </c>
      <c r="D7" s="102" t="n">
        <v>4.218</v>
      </c>
      <c r="E7" s="9"/>
      <c r="F7" s="9"/>
      <c r="G7" s="9"/>
      <c r="H7" s="9"/>
      <c r="I7" s="9"/>
      <c r="J7" s="9"/>
      <c r="K7" s="99"/>
      <c r="L7" s="95"/>
    </row>
    <row r="8" customFormat="false" ht="14.65" hidden="false" customHeight="false" outlineLevel="0" collapsed="false">
      <c r="B8" s="94"/>
      <c r="C8" s="77" t="n">
        <v>5</v>
      </c>
      <c r="D8" s="103" t="n">
        <v>4.203</v>
      </c>
      <c r="E8" s="9"/>
      <c r="F8" s="9"/>
      <c r="G8" s="9"/>
      <c r="H8" s="9"/>
      <c r="I8" s="9"/>
      <c r="J8" s="9"/>
      <c r="K8" s="99"/>
      <c r="L8" s="95"/>
    </row>
    <row r="9" customFormat="false" ht="14.65" hidden="false" customHeight="false" outlineLevel="0" collapsed="false">
      <c r="B9" s="94"/>
      <c r="C9" s="77" t="n">
        <v>10</v>
      </c>
      <c r="D9" s="103" t="n">
        <v>4.192</v>
      </c>
      <c r="E9" s="9"/>
      <c r="F9" s="9"/>
      <c r="G9" s="9"/>
      <c r="H9" s="9"/>
      <c r="I9" s="9"/>
      <c r="J9" s="9"/>
      <c r="K9" s="99"/>
      <c r="L9" s="95"/>
    </row>
    <row r="10" customFormat="false" ht="14.65" hidden="false" customHeight="false" outlineLevel="0" collapsed="false">
      <c r="B10" s="94"/>
      <c r="C10" s="77" t="n">
        <v>15</v>
      </c>
      <c r="D10" s="103" t="n">
        <v>4.185</v>
      </c>
      <c r="E10" s="9"/>
      <c r="F10" s="9"/>
      <c r="G10" s="9"/>
      <c r="H10" s="9"/>
      <c r="I10" s="9"/>
      <c r="J10" s="9"/>
      <c r="K10" s="99"/>
      <c r="L10" s="95"/>
    </row>
    <row r="11" customFormat="false" ht="14.65" hidden="false" customHeight="false" outlineLevel="0" collapsed="false">
      <c r="B11" s="94"/>
      <c r="C11" s="77" t="n">
        <v>20</v>
      </c>
      <c r="D11" s="103" t="n">
        <v>4.181</v>
      </c>
      <c r="E11" s="9"/>
      <c r="F11" s="9"/>
      <c r="G11" s="9"/>
      <c r="H11" s="9"/>
      <c r="I11" s="9"/>
      <c r="J11" s="9"/>
      <c r="K11" s="99"/>
      <c r="L11" s="95"/>
    </row>
    <row r="12" customFormat="false" ht="14.65" hidden="false" customHeight="false" outlineLevel="0" collapsed="false">
      <c r="B12" s="94"/>
      <c r="C12" s="104" t="n">
        <v>25</v>
      </c>
      <c r="D12" s="105" t="n">
        <v>4.179</v>
      </c>
      <c r="E12" s="9"/>
      <c r="F12" s="9"/>
      <c r="G12" s="9"/>
      <c r="H12" s="9"/>
      <c r="I12" s="9"/>
      <c r="J12" s="9"/>
      <c r="K12" s="99"/>
      <c r="L12" s="95"/>
    </row>
    <row r="13" customFormat="false" ht="14.65" hidden="false" customHeight="false" outlineLevel="0" collapsed="false">
      <c r="B13" s="94"/>
      <c r="C13" s="106" t="n">
        <v>30</v>
      </c>
      <c r="D13" s="107" t="n">
        <v>4.177</v>
      </c>
      <c r="E13" s="9"/>
      <c r="F13" s="9"/>
      <c r="G13" s="9"/>
      <c r="H13" s="9"/>
      <c r="I13" s="9"/>
      <c r="J13" s="9"/>
      <c r="K13" s="99"/>
      <c r="L13" s="95"/>
    </row>
    <row r="14" customFormat="false" ht="14.65" hidden="false" customHeight="false" outlineLevel="0" collapsed="false">
      <c r="B14" s="94"/>
      <c r="C14" s="106" t="n">
        <v>35</v>
      </c>
      <c r="D14" s="107" t="n">
        <v>4.177</v>
      </c>
      <c r="E14" s="9"/>
      <c r="F14" s="9"/>
      <c r="G14" s="9"/>
      <c r="H14" s="9"/>
      <c r="I14" s="9"/>
      <c r="J14" s="9"/>
      <c r="K14" s="99"/>
      <c r="L14" s="95"/>
    </row>
    <row r="15" customFormat="false" ht="14.65" hidden="false" customHeight="false" outlineLevel="0" collapsed="false">
      <c r="B15" s="94"/>
      <c r="C15" s="106" t="n">
        <v>40</v>
      </c>
      <c r="D15" s="107" t="n">
        <v>4.177</v>
      </c>
      <c r="E15" s="9"/>
      <c r="F15" s="9"/>
      <c r="G15" s="9"/>
      <c r="H15" s="9"/>
      <c r="I15" s="9"/>
      <c r="J15" s="9"/>
      <c r="K15" s="99"/>
      <c r="L15" s="95"/>
    </row>
    <row r="16" customFormat="false" ht="14.65" hidden="false" customHeight="false" outlineLevel="0" collapsed="false">
      <c r="B16" s="94"/>
      <c r="C16" s="108" t="n">
        <v>45</v>
      </c>
      <c r="D16" s="109" t="n">
        <v>4.178</v>
      </c>
      <c r="E16" s="9"/>
      <c r="F16" s="9"/>
      <c r="G16" s="9"/>
      <c r="H16" s="9"/>
      <c r="I16" s="9"/>
      <c r="J16" s="9"/>
      <c r="K16" s="9"/>
      <c r="L16" s="95"/>
    </row>
    <row r="17" customFormat="false" ht="14.65" hidden="false" customHeight="false" outlineLevel="0" collapsed="false">
      <c r="B17" s="94"/>
      <c r="C17" s="77" t="n">
        <v>50</v>
      </c>
      <c r="D17" s="103" t="n">
        <v>4.18</v>
      </c>
      <c r="E17" s="9"/>
      <c r="F17" s="9"/>
      <c r="G17" s="9"/>
      <c r="H17" s="9"/>
      <c r="I17" s="9"/>
      <c r="J17" s="9"/>
      <c r="K17" s="9"/>
      <c r="L17" s="95"/>
    </row>
    <row r="18" customFormat="false" ht="14.65" hidden="false" customHeight="false" outlineLevel="0" collapsed="false">
      <c r="B18" s="94"/>
      <c r="C18" s="77" t="n">
        <v>55</v>
      </c>
      <c r="D18" s="103" t="n">
        <v>4.182</v>
      </c>
      <c r="E18" s="9"/>
      <c r="F18" s="9"/>
      <c r="G18" s="9"/>
      <c r="H18" s="9"/>
      <c r="I18" s="9"/>
      <c r="J18" s="9"/>
      <c r="K18" s="9"/>
      <c r="L18" s="95"/>
    </row>
    <row r="19" customFormat="false" ht="14.65" hidden="false" customHeight="true" outlineLevel="0" collapsed="false">
      <c r="B19" s="94"/>
      <c r="C19" s="77" t="n">
        <v>60</v>
      </c>
      <c r="D19" s="103" t="n">
        <v>4.184</v>
      </c>
      <c r="E19" s="9"/>
      <c r="F19" s="9"/>
      <c r="G19" s="110" t="s">
        <v>63</v>
      </c>
      <c r="H19" s="110"/>
      <c r="I19" s="110"/>
      <c r="J19" s="110"/>
      <c r="K19" s="110"/>
      <c r="L19" s="65"/>
    </row>
    <row r="20" customFormat="false" ht="14.65" hidden="false" customHeight="false" outlineLevel="0" collapsed="false">
      <c r="B20" s="94"/>
      <c r="C20" s="77"/>
      <c r="D20" s="103"/>
      <c r="E20" s="9"/>
      <c r="F20" s="9"/>
      <c r="G20" s="110"/>
      <c r="H20" s="110"/>
      <c r="I20" s="110"/>
      <c r="J20" s="110"/>
      <c r="K20" s="110"/>
      <c r="L20" s="65"/>
    </row>
    <row r="21" customFormat="false" ht="14.65" hidden="false" customHeight="false" outlineLevel="0" collapsed="false">
      <c r="B21" s="94"/>
      <c r="C21" s="111" t="s">
        <v>64</v>
      </c>
      <c r="D21" s="112" t="s">
        <v>65</v>
      </c>
      <c r="E21" s="113" t="n">
        <f aca="false">D14</f>
        <v>4.177</v>
      </c>
      <c r="F21" s="9"/>
      <c r="G21" s="110"/>
      <c r="H21" s="110"/>
      <c r="I21" s="110"/>
      <c r="J21" s="110"/>
      <c r="K21" s="110"/>
      <c r="L21" s="65"/>
    </row>
    <row r="22" customFormat="false" ht="14.65" hidden="false" customHeight="false" outlineLevel="0" collapsed="false">
      <c r="B22" s="114"/>
      <c r="C22" s="115"/>
      <c r="D22" s="115"/>
      <c r="E22" s="115"/>
      <c r="F22" s="115"/>
      <c r="G22" s="115"/>
      <c r="H22" s="115"/>
      <c r="I22" s="115"/>
      <c r="J22" s="115"/>
      <c r="K22" s="115"/>
      <c r="L22" s="116"/>
    </row>
    <row r="24" customFormat="false" ht="14.65" hidden="false" customHeight="false" outlineLevel="0" collapsed="false">
      <c r="B24" s="91"/>
      <c r="C24" s="92"/>
      <c r="D24" s="92"/>
      <c r="E24" s="92"/>
      <c r="F24" s="92"/>
      <c r="G24" s="92"/>
      <c r="H24" s="92"/>
      <c r="I24" s="92"/>
      <c r="J24" s="92"/>
      <c r="K24" s="92"/>
      <c r="L24" s="93"/>
    </row>
    <row r="25" customFormat="false" ht="20.55" hidden="false" customHeight="false" outlineLevel="0" collapsed="false">
      <c r="B25" s="94"/>
      <c r="C25" s="117" t="s">
        <v>66</v>
      </c>
      <c r="D25" s="9"/>
      <c r="E25" s="9"/>
      <c r="F25" s="9"/>
      <c r="G25" s="9"/>
      <c r="H25" s="9"/>
      <c r="I25" s="9"/>
      <c r="J25" s="9"/>
      <c r="K25" s="9"/>
      <c r="L25" s="95"/>
    </row>
    <row r="26" customFormat="false" ht="14.65" hidden="false" customHeight="false" outlineLevel="0" collapsed="false">
      <c r="B26" s="94"/>
      <c r="C26" s="9"/>
      <c r="D26" s="9"/>
      <c r="E26" s="9"/>
      <c r="F26" s="9"/>
      <c r="G26" s="9"/>
      <c r="H26" s="9"/>
      <c r="I26" s="9"/>
      <c r="J26" s="9"/>
      <c r="K26" s="9"/>
      <c r="L26" s="95"/>
    </row>
    <row r="27" customFormat="false" ht="14.65" hidden="false" customHeight="false" outlineLevel="0" collapsed="false">
      <c r="B27" s="94"/>
      <c r="C27" s="9"/>
      <c r="D27" s="9"/>
      <c r="E27" s="9"/>
      <c r="F27" s="9"/>
      <c r="G27" s="9"/>
      <c r="H27" s="9"/>
      <c r="I27" s="9"/>
      <c r="J27" s="9"/>
      <c r="K27" s="9"/>
      <c r="L27" s="95"/>
    </row>
    <row r="28" customFormat="false" ht="14.65" hidden="false" customHeight="false" outlineLevel="0" collapsed="false">
      <c r="B28" s="94"/>
      <c r="C28" s="9"/>
      <c r="D28" s="9"/>
      <c r="E28" s="9"/>
      <c r="F28" s="9"/>
      <c r="G28" s="9"/>
      <c r="H28" s="9"/>
      <c r="I28" s="9"/>
      <c r="J28" s="9"/>
      <c r="K28" s="9"/>
      <c r="L28" s="95"/>
    </row>
    <row r="29" customFormat="false" ht="14.65" hidden="false" customHeight="false" outlineLevel="0" collapsed="false">
      <c r="B29" s="94"/>
      <c r="C29" s="9"/>
      <c r="D29" s="9"/>
      <c r="E29" s="9"/>
      <c r="F29" s="9"/>
      <c r="G29" s="9"/>
      <c r="H29" s="9"/>
      <c r="I29" s="9"/>
      <c r="J29" s="9"/>
      <c r="K29" s="9"/>
      <c r="L29" s="95"/>
    </row>
    <row r="30" customFormat="false" ht="14.65" hidden="false" customHeight="false" outlineLevel="0" collapsed="false">
      <c r="B30" s="94"/>
      <c r="C30" s="9"/>
      <c r="D30" s="9"/>
      <c r="E30" s="9"/>
      <c r="F30" s="9"/>
      <c r="G30" s="9"/>
      <c r="H30" s="9"/>
      <c r="I30" s="9"/>
      <c r="J30" s="9"/>
      <c r="K30" s="9"/>
      <c r="L30" s="95"/>
    </row>
    <row r="31" customFormat="false" ht="14.65" hidden="false" customHeight="false" outlineLevel="0" collapsed="false">
      <c r="B31" s="94"/>
      <c r="C31" s="9"/>
      <c r="D31" s="9"/>
      <c r="E31" s="9"/>
      <c r="F31" s="9"/>
      <c r="G31" s="9"/>
      <c r="H31" s="9"/>
      <c r="I31" s="9"/>
      <c r="J31" s="9"/>
      <c r="K31" s="9"/>
      <c r="L31" s="95"/>
    </row>
    <row r="32" customFormat="false" ht="14.65" hidden="false" customHeight="false" outlineLevel="0" collapsed="false">
      <c r="B32" s="94"/>
      <c r="C32" s="9"/>
      <c r="D32" s="9"/>
      <c r="E32" s="9"/>
      <c r="F32" s="9"/>
      <c r="G32" s="9"/>
      <c r="H32" s="9"/>
      <c r="I32" s="9"/>
      <c r="J32" s="9"/>
      <c r="K32" s="9"/>
      <c r="L32" s="95"/>
    </row>
    <row r="33" customFormat="false" ht="14.65" hidden="false" customHeight="false" outlineLevel="0" collapsed="false">
      <c r="B33" s="94"/>
      <c r="C33" s="9"/>
      <c r="D33" s="9"/>
      <c r="E33" s="9"/>
      <c r="F33" s="9"/>
      <c r="G33" s="9"/>
      <c r="H33" s="9"/>
      <c r="I33" s="9"/>
      <c r="J33" s="9"/>
      <c r="K33" s="9"/>
      <c r="L33" s="95"/>
    </row>
    <row r="34" customFormat="false" ht="14.65" hidden="false" customHeight="false" outlineLevel="0" collapsed="false">
      <c r="B34" s="94"/>
      <c r="C34" s="9"/>
      <c r="D34" s="9"/>
      <c r="E34" s="9"/>
      <c r="F34" s="9"/>
      <c r="G34" s="9"/>
      <c r="H34" s="9"/>
      <c r="I34" s="9"/>
      <c r="J34" s="9"/>
      <c r="K34" s="9"/>
      <c r="L34" s="95"/>
    </row>
    <row r="35" customFormat="false" ht="14.65" hidden="false" customHeight="false" outlineLevel="0" collapsed="false">
      <c r="B35" s="94"/>
      <c r="C35" s="97" t="s">
        <v>67</v>
      </c>
      <c r="D35" s="97" t="s">
        <v>68</v>
      </c>
      <c r="E35" s="97" t="s">
        <v>69</v>
      </c>
      <c r="F35" s="97" t="s">
        <v>70</v>
      </c>
      <c r="G35" s="97" t="s">
        <v>71</v>
      </c>
      <c r="H35" s="97" t="s">
        <v>72</v>
      </c>
      <c r="I35" s="97" t="s">
        <v>73</v>
      </c>
      <c r="J35" s="97"/>
      <c r="K35" s="97"/>
      <c r="L35" s="95"/>
    </row>
    <row r="36" customFormat="false" ht="14.65" hidden="false" customHeight="false" outlineLevel="0" collapsed="false">
      <c r="B36" s="94"/>
      <c r="C36" s="97" t="s">
        <v>74</v>
      </c>
      <c r="D36" s="97" t="s">
        <v>61</v>
      </c>
      <c r="E36" s="97" t="s">
        <v>75</v>
      </c>
      <c r="F36" s="97" t="s">
        <v>61</v>
      </c>
      <c r="G36" s="97" t="s">
        <v>75</v>
      </c>
      <c r="H36" s="97" t="s">
        <v>61</v>
      </c>
      <c r="I36" s="97" t="s">
        <v>76</v>
      </c>
      <c r="J36" s="97"/>
      <c r="K36" s="97"/>
      <c r="L36" s="95"/>
    </row>
    <row r="37" customFormat="false" ht="14.65" hidden="false" customHeight="false" outlineLevel="0" collapsed="false">
      <c r="B37" s="94"/>
      <c r="C37" s="77" t="n">
        <v>1</v>
      </c>
      <c r="D37" s="118" t="n">
        <v>27.4</v>
      </c>
      <c r="E37" s="119" t="n">
        <v>202.02</v>
      </c>
      <c r="F37" s="118" t="n">
        <v>47.9</v>
      </c>
      <c r="G37" s="119" t="n">
        <v>201.07</v>
      </c>
      <c r="H37" s="118" t="n">
        <v>36.8</v>
      </c>
      <c r="I37" s="118" t="n">
        <f aca="false">ROUND((G37*$E$21*((F37-H37)/(H37-D37)))-(E37*$E$21),1)</f>
        <v>147.9</v>
      </c>
      <c r="J37" s="9"/>
      <c r="K37" s="9"/>
      <c r="L37" s="95"/>
    </row>
    <row r="38" customFormat="false" ht="14.65" hidden="false" customHeight="false" outlineLevel="0" collapsed="false">
      <c r="B38" s="94"/>
      <c r="C38" s="77" t="n">
        <v>2</v>
      </c>
      <c r="D38" s="118" t="n">
        <v>28.7</v>
      </c>
      <c r="E38" s="119" t="n">
        <v>194.99</v>
      </c>
      <c r="F38" s="118" t="n">
        <v>59</v>
      </c>
      <c r="G38" s="119" t="n">
        <v>203.92</v>
      </c>
      <c r="H38" s="118" t="n">
        <v>43</v>
      </c>
      <c r="I38" s="118" t="n">
        <f aca="false">ROUND((G38*$E$21*((F38-H38)/(H38-D38)))-(E38*$E$21),1)</f>
        <v>138.6</v>
      </c>
      <c r="J38" s="9"/>
      <c r="K38" s="9"/>
      <c r="L38" s="95"/>
    </row>
    <row r="39" customFormat="false" ht="14.65" hidden="false" customHeight="false" outlineLevel="0" collapsed="false">
      <c r="B39" s="94"/>
      <c r="C39" s="77" t="n">
        <v>3</v>
      </c>
      <c r="D39" s="118" t="n">
        <v>28.1</v>
      </c>
      <c r="E39" s="119" t="n">
        <v>225.64</v>
      </c>
      <c r="F39" s="118" t="n">
        <v>57.5</v>
      </c>
      <c r="G39" s="119" t="n">
        <v>165.69</v>
      </c>
      <c r="H39" s="118" t="n">
        <v>39.6</v>
      </c>
      <c r="I39" s="118" t="n">
        <f aca="false">ROUND((G39*$E$21*((F39-H39)/(H39-D39)))-(E39*$E$21),1)</f>
        <v>134.8</v>
      </c>
      <c r="J39" s="9"/>
      <c r="K39" s="9"/>
      <c r="L39" s="95"/>
    </row>
    <row r="40" customFormat="false" ht="14.65" hidden="false" customHeight="false" outlineLevel="0" collapsed="false">
      <c r="B40" s="94"/>
      <c r="C40" s="77" t="n">
        <v>4</v>
      </c>
      <c r="D40" s="118" t="n">
        <v>28.4</v>
      </c>
      <c r="E40" s="119" t="n">
        <v>149.75</v>
      </c>
      <c r="F40" s="118" t="n">
        <v>49.3</v>
      </c>
      <c r="G40" s="119" t="n">
        <v>245.4</v>
      </c>
      <c r="H40" s="118" t="n">
        <v>40.5</v>
      </c>
      <c r="I40" s="118" t="n">
        <f aca="false">ROUND((G40*$E$21*((F40-H40)/(H40-D40)))-(E40*$E$21),1)</f>
        <v>120</v>
      </c>
      <c r="J40" s="9"/>
      <c r="K40" s="9"/>
      <c r="L40" s="95"/>
    </row>
    <row r="41" customFormat="false" ht="14.65" hidden="false" customHeight="false" outlineLevel="0" collapsed="false">
      <c r="B41" s="94"/>
      <c r="C41" s="77" t="n">
        <v>5</v>
      </c>
      <c r="D41" s="118" t="n">
        <v>29.7</v>
      </c>
      <c r="E41" s="119" t="n">
        <v>199.14</v>
      </c>
      <c r="F41" s="118" t="n">
        <v>41.3</v>
      </c>
      <c r="G41" s="119" t="n">
        <v>199.4</v>
      </c>
      <c r="H41" s="118" t="n">
        <v>35.1</v>
      </c>
      <c r="I41" s="118" t="n">
        <f aca="false">ROUND((G41*$E$21*((F41-H41)/(H41-D41)))-(E41*$E$21),1)</f>
        <v>124.5</v>
      </c>
      <c r="J41" s="9"/>
      <c r="K41" s="9"/>
      <c r="L41" s="95"/>
    </row>
    <row r="42" customFormat="false" ht="14.65" hidden="false" customHeight="false" outlineLevel="0" collapsed="false">
      <c r="B42" s="94"/>
      <c r="C42" s="77" t="n">
        <v>6</v>
      </c>
      <c r="D42" s="118" t="n">
        <v>30.6</v>
      </c>
      <c r="E42" s="119" t="n">
        <v>149.61</v>
      </c>
      <c r="F42" s="118" t="n">
        <v>59.7</v>
      </c>
      <c r="G42" s="119" t="n">
        <v>148.9</v>
      </c>
      <c r="H42" s="118" t="n">
        <v>43.7</v>
      </c>
      <c r="I42" s="118" t="n">
        <f aca="false">ROUND((G42*$E$21*((F42-H42)/(H42-D42)))-(E42*$E$21),1)</f>
        <v>134.7</v>
      </c>
      <c r="J42" s="9"/>
      <c r="K42" s="9"/>
      <c r="L42" s="95"/>
    </row>
    <row r="43" customFormat="false" ht="14.65" hidden="false" customHeight="false" outlineLevel="0" collapsed="false">
      <c r="B43" s="94"/>
      <c r="C43" s="77" t="n">
        <v>7</v>
      </c>
      <c r="D43" s="118" t="n">
        <v>29.9</v>
      </c>
      <c r="E43" s="119" t="n">
        <v>149.35</v>
      </c>
      <c r="F43" s="118" t="n">
        <v>68</v>
      </c>
      <c r="G43" s="119" t="n">
        <v>148.7</v>
      </c>
      <c r="H43" s="118" t="n">
        <v>47</v>
      </c>
      <c r="I43" s="118" t="n">
        <f aca="false">ROUND((G43*$E$21*((F43-H43)/(H43-D43)))-(E43*$E$21),1)</f>
        <v>138.9</v>
      </c>
      <c r="J43" s="9"/>
      <c r="K43" s="9"/>
      <c r="L43" s="95"/>
    </row>
    <row r="44" customFormat="false" ht="14.65" hidden="false" customHeight="false" outlineLevel="0" collapsed="false">
      <c r="B44" s="94"/>
      <c r="C44" s="77" t="n">
        <v>8</v>
      </c>
      <c r="D44" s="118" t="n">
        <v>27.1</v>
      </c>
      <c r="E44" s="119" t="n">
        <v>180.6</v>
      </c>
      <c r="F44" s="118" t="n">
        <v>55.3</v>
      </c>
      <c r="G44" s="119" t="n">
        <v>182.03</v>
      </c>
      <c r="H44" s="118" t="n">
        <v>40.1</v>
      </c>
      <c r="I44" s="118" t="n">
        <f aca="false">ROUND((G44*$E$21*((F44-H44)/(H44-D44)))-(E44*$E$21),1)</f>
        <v>134.6</v>
      </c>
      <c r="J44" s="9"/>
      <c r="K44" s="9"/>
      <c r="L44" s="95"/>
    </row>
    <row r="45" customFormat="false" ht="14.65" hidden="false" customHeight="false" outlineLevel="0" collapsed="false">
      <c r="B45" s="94"/>
      <c r="C45" s="9"/>
      <c r="D45" s="9"/>
      <c r="E45" s="9"/>
      <c r="F45" s="9"/>
      <c r="G45" s="9"/>
      <c r="H45" s="120" t="s">
        <v>77</v>
      </c>
      <c r="I45" s="121" t="n">
        <f aca="false">AVERAGE(I37:I44)</f>
        <v>134.25</v>
      </c>
      <c r="J45" s="122" t="s">
        <v>78</v>
      </c>
      <c r="K45" s="122"/>
      <c r="L45" s="95"/>
    </row>
    <row r="46" customFormat="false" ht="14.65" hidden="false" customHeight="false" outlineLevel="0" collapsed="false">
      <c r="B46" s="94"/>
      <c r="C46" s="9"/>
      <c r="D46" s="9"/>
      <c r="E46" s="9"/>
      <c r="F46" s="9"/>
      <c r="G46" s="9"/>
      <c r="H46" s="123" t="s">
        <v>79</v>
      </c>
      <c r="I46" s="124" t="n">
        <f aca="false">STDEV(I37:I44)</f>
        <v>8.66536620279671</v>
      </c>
      <c r="J46" s="9"/>
      <c r="K46" s="9"/>
      <c r="L46" s="95"/>
    </row>
    <row r="47" customFormat="false" ht="14.65" hidden="false" customHeight="false" outlineLevel="0" collapsed="false">
      <c r="B47" s="114"/>
      <c r="C47" s="115"/>
      <c r="D47" s="115"/>
      <c r="E47" s="115"/>
      <c r="F47" s="115"/>
      <c r="G47" s="115"/>
      <c r="H47" s="115"/>
      <c r="I47" s="115"/>
      <c r="J47" s="115"/>
      <c r="K47" s="115"/>
      <c r="L47" s="116"/>
    </row>
  </sheetData>
  <mergeCells count="4">
    <mergeCell ref="C3:K3"/>
    <mergeCell ref="K5:K15"/>
    <mergeCell ref="G19:K21"/>
    <mergeCell ref="J45:K45"/>
  </mergeCells>
  <hyperlinks>
    <hyperlink ref="G19" r:id="rId1" display="These data of isobaric heat capacity are derived from VDI heat atlas and are nearly similar to other reference, e.g.:&#10;https://www.engineeringtoolbox.com/specific-heat-capacity-water-d_660.html"/>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U30"/>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W54" activeCellId="0" sqref="W54"/>
    </sheetView>
  </sheetViews>
  <sheetFormatPr defaultColWidth="11.53515625" defaultRowHeight="14.65" zeroHeight="false" outlineLevelRow="0" outlineLevelCol="0"/>
  <cols>
    <col collapsed="false" customWidth="true" hidden="false" outlineLevel="0" max="1" min="1" style="20" width="2.46"/>
    <col collapsed="false" customWidth="true" hidden="false" outlineLevel="0" max="2" min="2" style="20" width="2.62"/>
    <col collapsed="false" customWidth="true" hidden="false" outlineLevel="0" max="3" min="3" style="20" width="7.71"/>
    <col collapsed="false" customWidth="true" hidden="false" outlineLevel="0" max="4" min="4" style="20" width="9.47"/>
    <col collapsed="false" customWidth="true" hidden="false" outlineLevel="0" max="5" min="5" style="20" width="8.79"/>
    <col collapsed="false" customWidth="true" hidden="false" outlineLevel="0" max="7" min="6" style="20" width="8.18"/>
    <col collapsed="false" customWidth="true" hidden="false" outlineLevel="0" max="8" min="8" style="20" width="8.48"/>
    <col collapsed="false" customWidth="true" hidden="false" outlineLevel="0" max="9" min="9" style="20" width="8.33"/>
    <col collapsed="false" customWidth="true" hidden="false" outlineLevel="0" max="11" min="10" style="20" width="8.18"/>
    <col collapsed="false" customWidth="true" hidden="false" outlineLevel="0" max="12" min="12" style="20" width="7.87"/>
    <col collapsed="false" customWidth="true" hidden="false" outlineLevel="0" max="13" min="13" style="20" width="8.64"/>
    <col collapsed="false" customWidth="true" hidden="false" outlineLevel="0" max="14" min="14" style="20" width="7.53"/>
    <col collapsed="false" customWidth="true" hidden="false" outlineLevel="0" max="15" min="15" style="20" width="3.76"/>
    <col collapsed="false" customWidth="false" hidden="false" outlineLevel="0" max="1024" min="16" style="20" width="11.52"/>
  </cols>
  <sheetData>
    <row r="2" customFormat="false" ht="14.65" hidden="false" customHeight="false" outlineLevel="0" collapsed="false">
      <c r="B2" s="91"/>
      <c r="C2" s="92"/>
      <c r="D2" s="92"/>
      <c r="E2" s="125"/>
      <c r="F2" s="92"/>
      <c r="G2" s="92"/>
      <c r="H2" s="92"/>
      <c r="I2" s="92"/>
      <c r="J2" s="125"/>
      <c r="K2" s="92"/>
      <c r="L2" s="92"/>
      <c r="M2" s="92"/>
      <c r="N2" s="92"/>
      <c r="O2" s="92"/>
      <c r="P2" s="92"/>
      <c r="Q2" s="92"/>
      <c r="R2" s="92"/>
      <c r="S2" s="92"/>
      <c r="T2" s="92"/>
      <c r="U2" s="93"/>
    </row>
    <row r="3" customFormat="false" ht="20.55" hidden="false" customHeight="false" outlineLevel="0" collapsed="false">
      <c r="B3" s="94"/>
      <c r="C3" s="117" t="s">
        <v>80</v>
      </c>
      <c r="D3" s="9"/>
      <c r="E3" s="126"/>
      <c r="F3" s="9"/>
      <c r="G3" s="9"/>
      <c r="H3" s="9"/>
      <c r="I3" s="9"/>
      <c r="J3" s="126"/>
      <c r="K3" s="9"/>
      <c r="L3" s="9"/>
      <c r="M3" s="9"/>
      <c r="N3" s="9"/>
      <c r="O3" s="66"/>
      <c r="P3" s="9"/>
      <c r="Q3" s="9"/>
      <c r="R3" s="9"/>
      <c r="S3" s="9"/>
      <c r="T3" s="9"/>
      <c r="U3" s="95"/>
    </row>
    <row r="4" customFormat="false" ht="14.65" hidden="false" customHeight="false" outlineLevel="0" collapsed="false">
      <c r="B4" s="94"/>
      <c r="C4" s="9"/>
      <c r="D4" s="9"/>
      <c r="E4" s="126"/>
      <c r="F4" s="9"/>
      <c r="G4" s="9"/>
      <c r="H4" s="9"/>
      <c r="I4" s="9"/>
      <c r="J4" s="126"/>
      <c r="K4" s="9"/>
      <c r="L4" s="9"/>
      <c r="M4" s="9"/>
      <c r="N4" s="9"/>
      <c r="O4" s="66"/>
      <c r="P4" s="9"/>
      <c r="Q4" s="9"/>
      <c r="R4" s="9"/>
      <c r="S4" s="9"/>
      <c r="T4" s="9"/>
      <c r="U4" s="95"/>
    </row>
    <row r="5" customFormat="false" ht="14.65" hidden="false" customHeight="false" outlineLevel="0" collapsed="false">
      <c r="B5" s="94"/>
      <c r="C5" s="9"/>
      <c r="D5" s="9"/>
      <c r="E5" s="126"/>
      <c r="F5" s="9"/>
      <c r="G5" s="9"/>
      <c r="H5" s="9"/>
      <c r="I5" s="9"/>
      <c r="J5" s="126"/>
      <c r="K5" s="9"/>
      <c r="L5" s="9"/>
      <c r="M5" s="9"/>
      <c r="N5" s="9"/>
      <c r="O5" s="9"/>
      <c r="P5" s="9"/>
      <c r="Q5" s="9"/>
      <c r="R5" s="9"/>
      <c r="S5" s="9"/>
      <c r="T5" s="9"/>
      <c r="U5" s="95"/>
    </row>
    <row r="6" customFormat="false" ht="17" hidden="false" customHeight="false" outlineLevel="0" collapsed="false">
      <c r="B6" s="94"/>
      <c r="C6" s="9"/>
      <c r="D6" s="9"/>
      <c r="E6" s="126"/>
      <c r="F6" s="9"/>
      <c r="G6" s="9"/>
      <c r="H6" s="9"/>
      <c r="I6" s="9"/>
      <c r="J6" s="127"/>
      <c r="K6" s="9"/>
      <c r="L6" s="9"/>
      <c r="M6" s="9"/>
      <c r="N6" s="9"/>
      <c r="O6" s="9"/>
      <c r="P6" s="9"/>
      <c r="Q6" s="9"/>
      <c r="R6" s="9"/>
      <c r="S6" s="9"/>
      <c r="T6" s="9"/>
      <c r="U6" s="95"/>
    </row>
    <row r="7" customFormat="false" ht="17" hidden="false" customHeight="false" outlineLevel="0" collapsed="false">
      <c r="B7" s="94"/>
      <c r="C7" s="128"/>
      <c r="D7" s="129"/>
      <c r="E7" s="130"/>
      <c r="F7" s="129"/>
      <c r="G7" s="129"/>
      <c r="H7" s="129"/>
      <c r="I7" s="129"/>
      <c r="J7" s="127"/>
      <c r="K7" s="9"/>
      <c r="L7" s="9"/>
      <c r="M7" s="9"/>
      <c r="N7" s="9"/>
      <c r="O7" s="9"/>
      <c r="P7" s="9"/>
      <c r="Q7" s="9"/>
      <c r="R7" s="9"/>
      <c r="S7" s="9"/>
      <c r="T7" s="9"/>
      <c r="U7" s="95"/>
    </row>
    <row r="8" customFormat="false" ht="17" hidden="false" customHeight="true" outlineLevel="0" collapsed="false">
      <c r="B8" s="94"/>
      <c r="C8" s="131" t="s">
        <v>81</v>
      </c>
      <c r="D8" s="131"/>
      <c r="E8" s="131"/>
      <c r="F8" s="131"/>
      <c r="G8" s="131"/>
      <c r="H8" s="131"/>
      <c r="I8" s="131"/>
      <c r="J8" s="127"/>
      <c r="K8" s="127" t="s">
        <v>82</v>
      </c>
      <c r="L8" s="9"/>
      <c r="M8" s="9"/>
      <c r="N8" s="9"/>
      <c r="O8" s="66"/>
      <c r="P8" s="9"/>
      <c r="Q8" s="9"/>
      <c r="R8" s="9"/>
      <c r="S8" s="9"/>
      <c r="T8" s="9"/>
      <c r="U8" s="95"/>
    </row>
    <row r="9" customFormat="false" ht="17" hidden="false" customHeight="false" outlineLevel="0" collapsed="false">
      <c r="B9" s="94"/>
      <c r="C9" s="131"/>
      <c r="D9" s="131"/>
      <c r="E9" s="131"/>
      <c r="F9" s="131"/>
      <c r="G9" s="131"/>
      <c r="H9" s="131"/>
      <c r="I9" s="131"/>
      <c r="J9" s="127"/>
      <c r="K9" s="127" t="s">
        <v>83</v>
      </c>
      <c r="L9" s="127"/>
      <c r="M9" s="127"/>
      <c r="N9" s="127"/>
      <c r="O9" s="66"/>
      <c r="P9" s="9"/>
      <c r="Q9" s="9"/>
      <c r="R9" s="9"/>
      <c r="S9" s="9"/>
      <c r="T9" s="9"/>
      <c r="U9" s="95"/>
    </row>
    <row r="10" customFormat="false" ht="17" hidden="false" customHeight="false" outlineLevel="0" collapsed="false">
      <c r="B10" s="94"/>
      <c r="C10" s="131"/>
      <c r="D10" s="131"/>
      <c r="E10" s="131"/>
      <c r="F10" s="131"/>
      <c r="G10" s="131"/>
      <c r="H10" s="131"/>
      <c r="I10" s="131"/>
      <c r="J10" s="127"/>
      <c r="K10" s="127" t="s">
        <v>84</v>
      </c>
      <c r="L10" s="127"/>
      <c r="M10" s="127"/>
      <c r="N10" s="127"/>
      <c r="O10" s="66"/>
      <c r="P10" s="9"/>
      <c r="Q10" s="9"/>
      <c r="R10" s="9"/>
      <c r="S10" s="9"/>
      <c r="T10" s="9"/>
      <c r="U10" s="95"/>
    </row>
    <row r="11" customFormat="false" ht="17" hidden="false" customHeight="false" outlineLevel="0" collapsed="false">
      <c r="B11" s="94"/>
      <c r="C11" s="131"/>
      <c r="D11" s="131"/>
      <c r="E11" s="131"/>
      <c r="F11" s="131"/>
      <c r="G11" s="131"/>
      <c r="H11" s="131"/>
      <c r="I11" s="131"/>
      <c r="J11" s="127"/>
      <c r="K11" s="127" t="s">
        <v>85</v>
      </c>
      <c r="L11" s="127"/>
      <c r="M11" s="127"/>
      <c r="N11" s="127"/>
      <c r="O11" s="66"/>
      <c r="P11" s="9"/>
      <c r="Q11" s="9"/>
      <c r="R11" s="9"/>
      <c r="S11" s="9"/>
      <c r="T11" s="9"/>
      <c r="U11" s="95"/>
    </row>
    <row r="12" customFormat="false" ht="17" hidden="false" customHeight="false" outlineLevel="0" collapsed="false">
      <c r="B12" s="94"/>
      <c r="C12" s="131"/>
      <c r="D12" s="131"/>
      <c r="E12" s="131"/>
      <c r="F12" s="131"/>
      <c r="G12" s="131"/>
      <c r="H12" s="131"/>
      <c r="I12" s="131"/>
      <c r="J12" s="127"/>
      <c r="K12" s="132" t="s">
        <v>86</v>
      </c>
      <c r="L12" s="127"/>
      <c r="M12" s="127"/>
      <c r="N12" s="127"/>
      <c r="O12" s="66"/>
      <c r="P12" s="9"/>
      <c r="Q12" s="9"/>
      <c r="R12" s="9"/>
      <c r="S12" s="9"/>
      <c r="T12" s="9"/>
      <c r="U12" s="95"/>
    </row>
    <row r="13" customFormat="false" ht="17" hidden="false" customHeight="false" outlineLevel="0" collapsed="false">
      <c r="B13" s="94"/>
      <c r="C13" s="131"/>
      <c r="D13" s="131"/>
      <c r="E13" s="131"/>
      <c r="F13" s="131"/>
      <c r="G13" s="131"/>
      <c r="H13" s="131"/>
      <c r="I13" s="131"/>
      <c r="J13" s="127"/>
      <c r="K13" s="127" t="s">
        <v>87</v>
      </c>
      <c r="L13" s="127"/>
      <c r="M13" s="127"/>
      <c r="N13" s="127"/>
      <c r="O13" s="66"/>
      <c r="P13" s="9"/>
      <c r="Q13" s="9"/>
      <c r="R13" s="9"/>
      <c r="S13" s="9"/>
      <c r="T13" s="9"/>
      <c r="U13" s="95"/>
    </row>
    <row r="14" customFormat="false" ht="17" hidden="false" customHeight="false" outlineLevel="0" collapsed="false">
      <c r="B14" s="94"/>
      <c r="C14" s="131"/>
      <c r="D14" s="131"/>
      <c r="E14" s="131"/>
      <c r="F14" s="131"/>
      <c r="G14" s="131"/>
      <c r="H14" s="131"/>
      <c r="I14" s="131"/>
      <c r="J14" s="127"/>
      <c r="K14" s="127"/>
      <c r="L14" s="127"/>
      <c r="M14" s="127"/>
      <c r="N14" s="127"/>
      <c r="O14" s="66"/>
      <c r="P14" s="9"/>
      <c r="Q14" s="9"/>
      <c r="R14" s="9"/>
      <c r="S14" s="9"/>
      <c r="T14" s="9"/>
      <c r="U14" s="95"/>
    </row>
    <row r="15" customFormat="false" ht="17" hidden="false" customHeight="false" outlineLevel="0" collapsed="false">
      <c r="B15" s="94"/>
      <c r="C15" s="131"/>
      <c r="D15" s="131"/>
      <c r="E15" s="131"/>
      <c r="F15" s="131"/>
      <c r="G15" s="131"/>
      <c r="H15" s="131"/>
      <c r="I15" s="131"/>
      <c r="J15" s="127"/>
      <c r="K15" s="127" t="s">
        <v>88</v>
      </c>
      <c r="L15" s="127"/>
      <c r="M15" s="127"/>
      <c r="N15" s="127"/>
      <c r="O15" s="66"/>
      <c r="P15" s="9"/>
      <c r="Q15" s="9"/>
      <c r="R15" s="9"/>
      <c r="S15" s="9"/>
      <c r="T15" s="9"/>
      <c r="U15" s="95"/>
    </row>
    <row r="16" customFormat="false" ht="17" hidden="false" customHeight="false" outlineLevel="0" collapsed="false">
      <c r="B16" s="94"/>
      <c r="C16" s="131"/>
      <c r="D16" s="131"/>
      <c r="E16" s="131"/>
      <c r="F16" s="131"/>
      <c r="G16" s="131"/>
      <c r="H16" s="131"/>
      <c r="I16" s="131"/>
      <c r="J16" s="127"/>
      <c r="K16" s="127"/>
      <c r="L16" s="127"/>
      <c r="M16" s="127"/>
      <c r="N16" s="127"/>
      <c r="O16" s="66"/>
      <c r="P16" s="9"/>
      <c r="Q16" s="9"/>
      <c r="R16" s="9"/>
      <c r="S16" s="9"/>
      <c r="T16" s="9"/>
      <c r="U16" s="95"/>
    </row>
    <row r="17" customFormat="false" ht="14.65" hidden="false" customHeight="false" outlineLevel="0" collapsed="false">
      <c r="B17" s="94"/>
      <c r="C17" s="133"/>
      <c r="D17" s="134"/>
      <c r="E17" s="135"/>
      <c r="F17" s="129"/>
      <c r="G17" s="129"/>
      <c r="H17" s="129"/>
      <c r="I17" s="129"/>
      <c r="J17" s="129"/>
      <c r="K17" s="129"/>
      <c r="L17" s="129"/>
      <c r="M17" s="129"/>
      <c r="N17" s="129"/>
      <c r="O17" s="66"/>
      <c r="P17" s="9"/>
      <c r="Q17" s="9"/>
      <c r="R17" s="9"/>
      <c r="S17" s="9"/>
      <c r="T17" s="9"/>
      <c r="U17" s="95"/>
    </row>
    <row r="18" customFormat="false" ht="17" hidden="false" customHeight="false" outlineLevel="0" collapsed="false">
      <c r="B18" s="94"/>
      <c r="C18" s="136" t="s">
        <v>89</v>
      </c>
      <c r="D18" s="9"/>
      <c r="E18" s="9"/>
      <c r="F18" s="9"/>
      <c r="G18" s="9"/>
      <c r="H18" s="9"/>
      <c r="I18" s="9"/>
      <c r="J18" s="9"/>
      <c r="K18" s="9"/>
      <c r="L18" s="9"/>
      <c r="M18" s="9"/>
      <c r="N18" s="9"/>
      <c r="O18" s="66"/>
      <c r="P18" s="9"/>
      <c r="Q18" s="9"/>
      <c r="R18" s="9"/>
      <c r="S18" s="9"/>
      <c r="T18" s="9"/>
      <c r="U18" s="95"/>
    </row>
    <row r="19" customFormat="false" ht="12.8" hidden="false" customHeight="false" outlineLevel="0" collapsed="false">
      <c r="B19" s="94"/>
      <c r="C19" s="9"/>
      <c r="D19" s="9"/>
      <c r="E19" s="137" t="s">
        <v>90</v>
      </c>
      <c r="F19" s="137"/>
      <c r="G19" s="137"/>
      <c r="H19" s="137"/>
      <c r="I19" s="137"/>
      <c r="J19" s="138" t="s">
        <v>91</v>
      </c>
      <c r="K19" s="138"/>
      <c r="L19" s="138"/>
      <c r="M19" s="138"/>
      <c r="N19" s="138"/>
      <c r="O19" s="66"/>
      <c r="P19" s="9"/>
      <c r="Q19" s="9"/>
      <c r="R19" s="9"/>
      <c r="S19" s="9"/>
      <c r="T19" s="9"/>
      <c r="U19" s="95"/>
    </row>
    <row r="20" customFormat="false" ht="12.85" hidden="false" customHeight="false" outlineLevel="0" collapsed="false">
      <c r="B20" s="94"/>
      <c r="C20" s="139" t="s">
        <v>92</v>
      </c>
      <c r="D20" s="140" t="n">
        <v>45092</v>
      </c>
      <c r="E20" s="141" t="n">
        <v>1</v>
      </c>
      <c r="F20" s="97" t="n">
        <v>2</v>
      </c>
      <c r="G20" s="97" t="n">
        <v>3</v>
      </c>
      <c r="H20" s="97" t="n">
        <v>4</v>
      </c>
      <c r="I20" s="142" t="n">
        <v>5</v>
      </c>
      <c r="J20" s="97" t="n">
        <v>1</v>
      </c>
      <c r="K20" s="97" t="n">
        <v>2</v>
      </c>
      <c r="L20" s="97" t="n">
        <v>3</v>
      </c>
      <c r="M20" s="97" t="n">
        <v>4</v>
      </c>
      <c r="N20" s="97" t="n">
        <v>5</v>
      </c>
      <c r="O20" s="66"/>
      <c r="P20" s="9"/>
      <c r="Q20" s="9"/>
      <c r="R20" s="9"/>
      <c r="S20" s="9"/>
      <c r="T20" s="9"/>
      <c r="U20" s="95"/>
    </row>
    <row r="21" customFormat="false" ht="12.8" hidden="false" customHeight="false" outlineLevel="0" collapsed="false">
      <c r="B21" s="94"/>
      <c r="C21" s="8" t="s">
        <v>93</v>
      </c>
      <c r="D21" s="9" t="s">
        <v>75</v>
      </c>
      <c r="E21" s="63" t="n">
        <v>299.98</v>
      </c>
      <c r="F21" s="9" t="n">
        <v>299.95</v>
      </c>
      <c r="G21" s="9" t="n">
        <v>300.05</v>
      </c>
      <c r="H21" s="9" t="n">
        <v>300.06</v>
      </c>
      <c r="I21" s="65" t="n">
        <v>300.02</v>
      </c>
      <c r="J21" s="9" t="n">
        <v>299.99</v>
      </c>
      <c r="K21" s="9" t="n">
        <v>300.08</v>
      </c>
      <c r="L21" s="9" t="n">
        <v>300.06</v>
      </c>
      <c r="M21" s="9" t="n">
        <v>299.99</v>
      </c>
      <c r="N21" s="9" t="n">
        <v>300.01</v>
      </c>
      <c r="O21" s="66"/>
      <c r="P21" s="9"/>
      <c r="Q21" s="9"/>
      <c r="R21" s="9"/>
      <c r="S21" s="9"/>
      <c r="T21" s="9"/>
      <c r="U21" s="95"/>
    </row>
    <row r="22" customFormat="false" ht="12.85" hidden="false" customHeight="false" outlineLevel="0" collapsed="false">
      <c r="B22" s="94"/>
      <c r="C22" s="8" t="s">
        <v>94</v>
      </c>
      <c r="D22" s="9" t="s">
        <v>61</v>
      </c>
      <c r="E22" s="63" t="n">
        <v>24.5</v>
      </c>
      <c r="F22" s="9" t="n">
        <v>26.3</v>
      </c>
      <c r="G22" s="9" t="n">
        <v>24.6</v>
      </c>
      <c r="H22" s="9" t="n">
        <v>26.3</v>
      </c>
      <c r="I22" s="65" t="n">
        <v>25.2</v>
      </c>
      <c r="J22" s="9" t="n">
        <v>25.7</v>
      </c>
      <c r="K22" s="9" t="n">
        <v>27.9</v>
      </c>
      <c r="L22" s="9" t="n">
        <v>25.6</v>
      </c>
      <c r="M22" s="9" t="n">
        <v>25.6</v>
      </c>
      <c r="N22" s="9" t="n">
        <v>25.7</v>
      </c>
      <c r="O22" s="66"/>
      <c r="P22" s="9"/>
      <c r="Q22" s="9"/>
      <c r="R22" s="9"/>
      <c r="S22" s="9"/>
      <c r="T22" s="9"/>
      <c r="U22" s="95"/>
    </row>
    <row r="23" customFormat="false" ht="12.85" hidden="false" customHeight="false" outlineLevel="0" collapsed="false">
      <c r="B23" s="94"/>
      <c r="C23" s="8" t="s">
        <v>95</v>
      </c>
      <c r="D23" s="9" t="s">
        <v>61</v>
      </c>
      <c r="E23" s="63" t="n">
        <v>26.6</v>
      </c>
      <c r="F23" s="9" t="n">
        <v>30.5</v>
      </c>
      <c r="G23" s="9" t="n">
        <v>31.2</v>
      </c>
      <c r="H23" s="9" t="n">
        <v>34.8</v>
      </c>
      <c r="I23" s="65" t="n">
        <v>36.2</v>
      </c>
      <c r="J23" s="9" t="n">
        <v>27.9</v>
      </c>
      <c r="K23" s="9" t="n">
        <v>32.1</v>
      </c>
      <c r="L23" s="9" t="n">
        <v>32.3</v>
      </c>
      <c r="M23" s="9" t="n">
        <v>34.4</v>
      </c>
      <c r="N23" s="9" t="n">
        <v>36.7</v>
      </c>
      <c r="O23" s="66"/>
      <c r="P23" s="9"/>
      <c r="Q23" s="9"/>
      <c r="R23" s="9"/>
      <c r="S23" s="9"/>
      <c r="T23" s="9"/>
      <c r="U23" s="95"/>
    </row>
    <row r="24" customFormat="false" ht="12.85" hidden="false" customHeight="false" outlineLevel="0" collapsed="false">
      <c r="B24" s="94"/>
      <c r="C24" s="8" t="s">
        <v>59</v>
      </c>
      <c r="D24" s="9" t="s">
        <v>96</v>
      </c>
      <c r="E24" s="63" t="n">
        <v>4.177</v>
      </c>
      <c r="F24" s="9" t="n">
        <v>4.177</v>
      </c>
      <c r="G24" s="9" t="n">
        <v>4.177</v>
      </c>
      <c r="H24" s="9" t="n">
        <v>4.117</v>
      </c>
      <c r="I24" s="65" t="n">
        <v>4.177</v>
      </c>
      <c r="J24" s="9" t="n">
        <v>4.177</v>
      </c>
      <c r="K24" s="9" t="n">
        <v>4.177</v>
      </c>
      <c r="L24" s="9" t="n">
        <v>4.177</v>
      </c>
      <c r="M24" s="9" t="n">
        <v>4.177</v>
      </c>
      <c r="N24" s="9" t="n">
        <v>4.177</v>
      </c>
      <c r="O24" s="66"/>
      <c r="P24" s="9"/>
      <c r="Q24" s="9"/>
      <c r="R24" s="9"/>
      <c r="S24" s="9"/>
      <c r="T24" s="9"/>
      <c r="U24" s="95"/>
    </row>
    <row r="25" customFormat="false" ht="12.85" hidden="false" customHeight="false" outlineLevel="0" collapsed="false">
      <c r="B25" s="94"/>
      <c r="C25" s="143" t="s">
        <v>97</v>
      </c>
      <c r="D25" s="9" t="s">
        <v>98</v>
      </c>
      <c r="E25" s="63" t="n">
        <f aca="false">E23-E22</f>
        <v>2.1</v>
      </c>
      <c r="F25" s="9" t="n">
        <f aca="false">F23-F22</f>
        <v>4.2</v>
      </c>
      <c r="G25" s="9" t="n">
        <f aca="false">G23-G22</f>
        <v>6.6</v>
      </c>
      <c r="H25" s="9" t="n">
        <f aca="false">H23-H22</f>
        <v>8.5</v>
      </c>
      <c r="I25" s="65" t="n">
        <f aca="false">I23-I22</f>
        <v>11</v>
      </c>
      <c r="J25" s="9" t="n">
        <f aca="false">J23-J22</f>
        <v>2.2</v>
      </c>
      <c r="K25" s="144" t="n">
        <f aca="false">K23-K22</f>
        <v>4.2</v>
      </c>
      <c r="L25" s="9" t="n">
        <f aca="false">L23-L22</f>
        <v>6.7</v>
      </c>
      <c r="M25" s="9" t="n">
        <f aca="false">M23-M22</f>
        <v>8.8</v>
      </c>
      <c r="N25" s="9" t="n">
        <f aca="false">N23-N22</f>
        <v>11</v>
      </c>
      <c r="O25" s="66"/>
      <c r="P25" s="9"/>
      <c r="Q25" s="9"/>
      <c r="R25" s="9"/>
      <c r="S25" s="9"/>
      <c r="T25" s="9"/>
      <c r="U25" s="95"/>
    </row>
    <row r="26" customFormat="false" ht="12.8" hidden="false" customHeight="false" outlineLevel="0" collapsed="false">
      <c r="B26" s="94"/>
      <c r="C26" s="8" t="s">
        <v>99</v>
      </c>
      <c r="D26" s="9" t="s">
        <v>100</v>
      </c>
      <c r="E26" s="63" t="n">
        <v>60</v>
      </c>
      <c r="F26" s="9" t="n">
        <v>120</v>
      </c>
      <c r="G26" s="9" t="n">
        <v>180</v>
      </c>
      <c r="H26" s="9" t="n">
        <v>240</v>
      </c>
      <c r="I26" s="65" t="n">
        <v>300</v>
      </c>
      <c r="J26" s="9" t="n">
        <v>60</v>
      </c>
      <c r="K26" s="9" t="n">
        <v>120</v>
      </c>
      <c r="L26" s="9" t="n">
        <v>180</v>
      </c>
      <c r="M26" s="9" t="n">
        <v>240</v>
      </c>
      <c r="N26" s="9" t="n">
        <v>300</v>
      </c>
      <c r="O26" s="66"/>
      <c r="P26" s="9"/>
      <c r="Q26" s="9"/>
      <c r="R26" s="9"/>
      <c r="S26" s="9"/>
      <c r="T26" s="9"/>
      <c r="U26" s="95"/>
    </row>
    <row r="27" customFormat="false" ht="12.8" hidden="false" customHeight="false" outlineLevel="0" collapsed="false">
      <c r="B27" s="94"/>
      <c r="C27" s="145" t="s">
        <v>101</v>
      </c>
      <c r="D27" s="146" t="s">
        <v>102</v>
      </c>
      <c r="E27" s="147" t="n">
        <f aca="false">(E21*E24+'Heat capacity (USD)'!$I$45)*(E25/E26)</f>
        <v>48.5543261</v>
      </c>
      <c r="F27" s="146" t="n">
        <f aca="false">(F21*F24+'Heat capacity (USD)'!$I$45)*(F25/F26)</f>
        <v>48.54994025</v>
      </c>
      <c r="G27" s="146" t="n">
        <f aca="false">(G21*G24+'Heat capacity (USD)'!$I$45)*(G25/G26)</f>
        <v>50.8771578333333</v>
      </c>
      <c r="H27" s="146" t="n">
        <f aca="false">(H21*H24+'Heat capacity (USD)'!$I$45)*(H25/H26)</f>
        <v>48.506561125</v>
      </c>
      <c r="I27" s="148" t="n">
        <f aca="false">(I21*I24+'Heat capacity (USD)'!$I$45)*(I25/I26)</f>
        <v>50.8725631333333</v>
      </c>
      <c r="J27" s="146" t="n">
        <f aca="false">(J21*J24+'Heat capacity (USD)'!$I$45)*(J25/J26)</f>
        <v>50.8679684333333</v>
      </c>
      <c r="K27" s="146" t="n">
        <f aca="false">(K21*K24+'Heat capacity (USD)'!$I$45)*(K25/K26)</f>
        <v>48.5689456</v>
      </c>
      <c r="L27" s="146" t="n">
        <f aca="false">(L21*L24+'Heat capacity (USD)'!$I$45)*(L25/L26)</f>
        <v>51.6495786333333</v>
      </c>
      <c r="M27" s="146" t="n">
        <f aca="false">(M21*M24+'Heat capacity (USD)'!$I$45)*(M25/M26)</f>
        <v>50.8679684333333</v>
      </c>
      <c r="N27" s="146" t="n">
        <f aca="false">(N21*N24+'Heat capacity (USD)'!$I$45)*(N25/N26)</f>
        <v>50.8710315666667</v>
      </c>
      <c r="O27" s="66"/>
      <c r="P27" s="9"/>
      <c r="Q27" s="9"/>
      <c r="R27" s="9"/>
      <c r="S27" s="9"/>
      <c r="T27" s="9"/>
      <c r="U27" s="95"/>
    </row>
    <row r="28" customFormat="false" ht="14.65" hidden="false" customHeight="false" outlineLevel="0" collapsed="false">
      <c r="B28" s="94"/>
      <c r="C28" s="149" t="s">
        <v>103</v>
      </c>
      <c r="D28" s="14" t="s">
        <v>102</v>
      </c>
      <c r="E28" s="150" t="n">
        <f aca="false">AVERAGE(E27:N27)</f>
        <v>50.0186041108333</v>
      </c>
      <c r="F28" s="9"/>
      <c r="G28" s="9"/>
      <c r="H28" s="9"/>
      <c r="I28" s="9"/>
      <c r="J28" s="9"/>
      <c r="K28" s="9"/>
      <c r="L28" s="9"/>
      <c r="M28" s="9"/>
      <c r="N28" s="9"/>
      <c r="O28" s="66"/>
      <c r="P28" s="9"/>
      <c r="Q28" s="9"/>
      <c r="R28" s="9"/>
      <c r="S28" s="9"/>
      <c r="T28" s="9"/>
      <c r="U28" s="95"/>
    </row>
    <row r="29" customFormat="false" ht="14.65" hidden="false" customHeight="false" outlineLevel="0" collapsed="false">
      <c r="B29" s="94"/>
      <c r="C29" s="151" t="s">
        <v>104</v>
      </c>
      <c r="D29" s="88" t="s">
        <v>102</v>
      </c>
      <c r="E29" s="152" t="n">
        <f aca="false">STDEV(E27:N27)</f>
        <v>1.29033922714012</v>
      </c>
      <c r="F29" s="9"/>
      <c r="G29" s="9"/>
      <c r="H29" s="9"/>
      <c r="I29" s="9"/>
      <c r="J29" s="9"/>
      <c r="K29" s="9"/>
      <c r="L29" s="9"/>
      <c r="M29" s="9"/>
      <c r="N29" s="9"/>
      <c r="O29" s="66"/>
      <c r="P29" s="9"/>
      <c r="Q29" s="9"/>
      <c r="R29" s="9"/>
      <c r="S29" s="9"/>
      <c r="T29" s="9"/>
      <c r="U29" s="95"/>
    </row>
    <row r="30" customFormat="false" ht="14.65" hidden="false" customHeight="false" outlineLevel="0" collapsed="false">
      <c r="B30" s="114"/>
      <c r="C30" s="115"/>
      <c r="D30" s="115"/>
      <c r="E30" s="115"/>
      <c r="F30" s="115"/>
      <c r="G30" s="115"/>
      <c r="H30" s="115"/>
      <c r="I30" s="115"/>
      <c r="J30" s="115"/>
      <c r="K30" s="115"/>
      <c r="L30" s="115"/>
      <c r="M30" s="115"/>
      <c r="N30" s="115"/>
      <c r="O30" s="115"/>
      <c r="P30" s="115"/>
      <c r="Q30" s="115"/>
      <c r="R30" s="115"/>
      <c r="S30" s="115"/>
      <c r="T30" s="115"/>
      <c r="U30" s="116"/>
    </row>
  </sheetData>
  <mergeCells count="3">
    <mergeCell ref="C8:I16"/>
    <mergeCell ref="E19:I19"/>
    <mergeCell ref="J19:N19"/>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I22"/>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K11" activeCellId="0" sqref="K11"/>
    </sheetView>
  </sheetViews>
  <sheetFormatPr defaultColWidth="11.53515625" defaultRowHeight="14.65" zeroHeight="false" outlineLevelRow="0" outlineLevelCol="0"/>
  <cols>
    <col collapsed="false" customWidth="true" hidden="false" outlineLevel="0" max="2" min="1" style="1" width="2.61"/>
    <col collapsed="false" customWidth="true" hidden="false" outlineLevel="0" max="3" min="3" style="1" width="25.01"/>
    <col collapsed="false" customWidth="true" hidden="false" outlineLevel="0" max="5" min="4" style="1" width="11.26"/>
    <col collapsed="false" customWidth="true" hidden="false" outlineLevel="0" max="6" min="6" style="1" width="12.61"/>
    <col collapsed="false" customWidth="true" hidden="false" outlineLevel="0" max="7" min="7" style="153" width="13.04"/>
    <col collapsed="false" customWidth="true" hidden="false" outlineLevel="0" max="9" min="8" style="1" width="2.77"/>
    <col collapsed="false" customWidth="true" hidden="false" outlineLevel="0" max="10" min="10" style="1" width="3.33"/>
    <col collapsed="false" customWidth="false" hidden="false" outlineLevel="0" max="1023" min="11" style="1" width="11.52"/>
    <col collapsed="false" customWidth="false" hidden="false" outlineLevel="0" max="1024" min="1024" style="1" width="11.54"/>
  </cols>
  <sheetData>
    <row r="2" customFormat="false" ht="14.65" hidden="false" customHeight="false" outlineLevel="0" collapsed="false">
      <c r="B2" s="2"/>
      <c r="C2" s="3"/>
      <c r="D2" s="3"/>
      <c r="E2" s="3"/>
      <c r="F2" s="3"/>
      <c r="G2" s="154"/>
      <c r="H2" s="3"/>
      <c r="I2" s="4"/>
    </row>
    <row r="3" customFormat="false" ht="17" hidden="false" customHeight="false" outlineLevel="0" collapsed="false">
      <c r="B3" s="5"/>
      <c r="C3" s="64" t="s">
        <v>105</v>
      </c>
      <c r="D3" s="64"/>
      <c r="E3" s="64"/>
      <c r="F3" s="64"/>
      <c r="G3" s="64"/>
      <c r="H3" s="64"/>
      <c r="I3" s="155"/>
    </row>
    <row r="4" customFormat="false" ht="14.65" hidden="false" customHeight="false" outlineLevel="0" collapsed="false">
      <c r="B4" s="5"/>
      <c r="C4" s="9"/>
      <c r="D4" s="9"/>
      <c r="E4" s="9"/>
      <c r="F4" s="9"/>
      <c r="G4" s="119"/>
      <c r="H4" s="156"/>
      <c r="I4" s="155"/>
    </row>
    <row r="5" customFormat="false" ht="14.65" hidden="false" customHeight="false" outlineLevel="0" collapsed="false">
      <c r="B5" s="5"/>
      <c r="C5" s="9" t="s">
        <v>106</v>
      </c>
      <c r="D5" s="157" t="n">
        <v>20</v>
      </c>
      <c r="E5" s="156" t="s">
        <v>107</v>
      </c>
      <c r="F5" s="9"/>
      <c r="G5" s="158"/>
      <c r="H5" s="9"/>
      <c r="I5" s="155"/>
    </row>
    <row r="6" customFormat="false" ht="14.65" hidden="false" customHeight="false" outlineLevel="0" collapsed="false">
      <c r="B6" s="5"/>
      <c r="C6" s="9" t="s">
        <v>108</v>
      </c>
      <c r="D6" s="157" t="n">
        <v>100</v>
      </c>
      <c r="E6" s="156" t="s">
        <v>109</v>
      </c>
      <c r="F6" s="9"/>
      <c r="G6" s="158"/>
      <c r="H6" s="9"/>
      <c r="I6" s="155"/>
    </row>
    <row r="7" customFormat="false" ht="14.65" hidden="false" customHeight="false" outlineLevel="0" collapsed="false">
      <c r="B7" s="5"/>
      <c r="C7" s="156" t="s">
        <v>110</v>
      </c>
      <c r="D7" s="159" t="n">
        <v>0.3</v>
      </c>
      <c r="E7" s="156" t="s">
        <v>111</v>
      </c>
      <c r="F7" s="9"/>
      <c r="G7" s="158"/>
      <c r="H7" s="9"/>
      <c r="I7" s="155"/>
    </row>
    <row r="8" customFormat="false" ht="14.65" hidden="false" customHeight="false" outlineLevel="0" collapsed="false">
      <c r="B8" s="5"/>
      <c r="C8" s="9" t="s">
        <v>112</v>
      </c>
      <c r="D8" s="160" t="n">
        <v>1</v>
      </c>
      <c r="E8" s="156" t="s">
        <v>113</v>
      </c>
      <c r="F8" s="9"/>
      <c r="G8" s="158"/>
      <c r="H8" s="9"/>
      <c r="I8" s="155"/>
    </row>
    <row r="9" customFormat="false" ht="14.65" hidden="false" customHeight="false" outlineLevel="0" collapsed="false">
      <c r="B9" s="5"/>
      <c r="C9" s="9" t="s">
        <v>114</v>
      </c>
      <c r="D9" s="157" t="n">
        <v>1.6</v>
      </c>
      <c r="E9" s="156" t="s">
        <v>113</v>
      </c>
      <c r="F9" s="9"/>
      <c r="G9" s="158"/>
      <c r="H9" s="9"/>
      <c r="I9" s="155"/>
    </row>
    <row r="10" customFormat="false" ht="14.65" hidden="false" customHeight="false" outlineLevel="0" collapsed="false">
      <c r="B10" s="5"/>
      <c r="C10" s="9" t="s">
        <v>115</v>
      </c>
      <c r="D10" s="161" t="n">
        <f aca="false">(D9/100)*(D6+D5*D7)</f>
        <v>1.696</v>
      </c>
      <c r="E10" s="9" t="s">
        <v>113</v>
      </c>
      <c r="F10" s="160"/>
      <c r="G10" s="159"/>
      <c r="H10" s="156"/>
      <c r="I10" s="155"/>
    </row>
    <row r="11" customFormat="false" ht="14.65" hidden="false" customHeight="false" outlineLevel="0" collapsed="false">
      <c r="B11" s="5"/>
      <c r="C11" s="9" t="s">
        <v>116</v>
      </c>
      <c r="D11" s="161" t="n">
        <f aca="false">20+20*D7</f>
        <v>26</v>
      </c>
      <c r="E11" s="9" t="s">
        <v>107</v>
      </c>
      <c r="F11" s="160"/>
      <c r="G11" s="159"/>
      <c r="H11" s="156"/>
      <c r="I11" s="155"/>
    </row>
    <row r="12" customFormat="false" ht="14.65" hidden="false" customHeight="false" outlineLevel="0" collapsed="false">
      <c r="B12" s="5"/>
      <c r="C12" s="9" t="s">
        <v>117</v>
      </c>
      <c r="D12" s="161" t="n">
        <f aca="false">4+4*D7</f>
        <v>5.2</v>
      </c>
      <c r="E12" s="9" t="s">
        <v>107</v>
      </c>
      <c r="F12" s="160"/>
      <c r="G12" s="159"/>
      <c r="H12" s="156"/>
      <c r="I12" s="155"/>
    </row>
    <row r="13" customFormat="false" ht="14.65" hidden="false" customHeight="false" outlineLevel="0" collapsed="false">
      <c r="B13" s="10"/>
      <c r="C13" s="11"/>
      <c r="D13" s="11"/>
      <c r="E13" s="11"/>
      <c r="F13" s="11"/>
      <c r="G13" s="162"/>
      <c r="H13" s="11"/>
      <c r="I13" s="12"/>
    </row>
    <row r="22" customFormat="false" ht="14.65" hidden="false" customHeight="false" outlineLevel="0" collapsed="false">
      <c r="E22" s="163"/>
    </row>
  </sheetData>
  <mergeCells count="1">
    <mergeCell ref="C3:H3"/>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1:AMJ104857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N26" activeCellId="0" sqref="N26"/>
    </sheetView>
  </sheetViews>
  <sheetFormatPr defaultColWidth="11.06640625" defaultRowHeight="14.1" zeroHeight="false" outlineLevelRow="0" outlineLevelCol="0"/>
  <cols>
    <col collapsed="false" customWidth="true" hidden="false" outlineLevel="0" max="1" min="1" style="20" width="2.65"/>
    <col collapsed="false" customWidth="true" hidden="false" outlineLevel="0" max="2" min="2" style="20" width="2.52"/>
    <col collapsed="false" customWidth="true" hidden="false" outlineLevel="0" max="3" min="3" style="164" width="14.96"/>
    <col collapsed="false" customWidth="true" hidden="false" outlineLevel="0" max="4" min="4" style="164" width="10.62"/>
    <col collapsed="false" customWidth="true" hidden="false" outlineLevel="0" max="5" min="5" style="164" width="7.68"/>
    <col collapsed="false" customWidth="true" hidden="false" outlineLevel="0" max="6" min="6" style="164" width="10.53"/>
    <col collapsed="false" customWidth="true" hidden="false" outlineLevel="0" max="7" min="7" style="164" width="10.05"/>
    <col collapsed="false" customWidth="true" hidden="false" outlineLevel="0" max="8" min="8" style="165" width="12.33"/>
    <col collapsed="false" customWidth="true" hidden="false" outlineLevel="0" max="9" min="9" style="20" width="8.71"/>
    <col collapsed="false" customWidth="true" hidden="false" outlineLevel="0" max="10" min="10" style="20" width="7.68"/>
    <col collapsed="false" customWidth="true" hidden="false" outlineLevel="0" max="11" min="11" style="165" width="10.73"/>
    <col collapsed="false" customWidth="true" hidden="false" outlineLevel="0" max="13" min="12" style="20" width="10.35"/>
    <col collapsed="false" customWidth="true" hidden="false" outlineLevel="0" max="14" min="14" style="165" width="10.35"/>
    <col collapsed="false" customWidth="true" hidden="false" outlineLevel="0" max="15" min="15" style="20" width="8.21"/>
    <col collapsed="false" customWidth="true" hidden="false" outlineLevel="0" max="16" min="16" style="166" width="10.07"/>
    <col collapsed="false" customWidth="true" hidden="false" outlineLevel="0" max="17" min="17" style="166" width="9.6"/>
    <col collapsed="false" customWidth="true" hidden="false" outlineLevel="0" max="18" min="18" style="165" width="10.77"/>
    <col collapsed="false" customWidth="true" hidden="false" outlineLevel="0" max="19" min="19" style="167" width="9.6"/>
    <col collapsed="false" customWidth="true" hidden="false" outlineLevel="0" max="20" min="20" style="168" width="8.17"/>
    <col collapsed="false" customWidth="true" hidden="false" outlineLevel="0" max="21" min="21" style="168" width="7.68"/>
    <col collapsed="false" customWidth="true" hidden="false" outlineLevel="0" max="22" min="22" style="20" width="2.38"/>
    <col collapsed="false" customWidth="false" hidden="false" outlineLevel="0" max="1023" min="23" style="20" width="11.05"/>
    <col collapsed="false" customWidth="true" hidden="false" outlineLevel="0" max="1024" min="1024" style="1" width="11.52"/>
  </cols>
  <sheetData>
    <row r="1" customFormat="false" ht="12.8" hidden="false" customHeight="true" outlineLevel="0" collapsed="false">
      <c r="C1" s="20"/>
      <c r="D1" s="20"/>
      <c r="E1" s="20"/>
      <c r="F1" s="20"/>
      <c r="G1" s="20"/>
      <c r="H1" s="169"/>
    </row>
    <row r="2" customFormat="false" ht="15.85" hidden="false" customHeight="true" outlineLevel="0" collapsed="false">
      <c r="B2" s="91"/>
      <c r="C2" s="92"/>
      <c r="D2" s="92"/>
      <c r="E2" s="92"/>
      <c r="F2" s="92"/>
      <c r="G2" s="92"/>
      <c r="H2" s="170"/>
      <c r="I2" s="92"/>
      <c r="J2" s="92"/>
      <c r="K2" s="171"/>
      <c r="L2" s="92"/>
      <c r="M2" s="92"/>
      <c r="N2" s="171"/>
      <c r="O2" s="92"/>
      <c r="P2" s="172"/>
      <c r="Q2" s="172"/>
      <c r="R2" s="171"/>
      <c r="S2" s="173"/>
      <c r="T2" s="174"/>
      <c r="U2" s="174"/>
      <c r="V2" s="93"/>
    </row>
    <row r="3" customFormat="false" ht="21.8" hidden="false" customHeight="true" outlineLevel="0" collapsed="false">
      <c r="B3" s="94"/>
      <c r="C3" s="175" t="s">
        <v>118</v>
      </c>
      <c r="D3" s="175"/>
      <c r="E3" s="175"/>
      <c r="F3" s="66"/>
      <c r="G3" s="66"/>
      <c r="H3" s="176"/>
      <c r="I3" s="66"/>
      <c r="J3" s="66"/>
      <c r="K3" s="177"/>
      <c r="L3" s="66"/>
      <c r="M3" s="66"/>
      <c r="N3" s="177"/>
      <c r="O3" s="66"/>
      <c r="P3" s="178"/>
      <c r="Q3" s="178"/>
      <c r="R3" s="177"/>
      <c r="S3" s="179"/>
      <c r="T3" s="179"/>
      <c r="U3" s="179"/>
      <c r="V3" s="95"/>
    </row>
    <row r="4" customFormat="false" ht="33.2" hidden="false" customHeight="true" outlineLevel="0" collapsed="false">
      <c r="B4" s="94"/>
      <c r="C4" s="180" t="s">
        <v>119</v>
      </c>
      <c r="D4" s="180"/>
      <c r="E4" s="180"/>
      <c r="F4" s="180"/>
      <c r="G4" s="180"/>
      <c r="H4" s="180"/>
      <c r="I4" s="180"/>
      <c r="J4" s="180"/>
      <c r="K4" s="180"/>
      <c r="L4" s="180"/>
      <c r="M4" s="180"/>
      <c r="N4" s="180"/>
      <c r="O4" s="180"/>
      <c r="P4" s="180"/>
      <c r="Q4" s="180"/>
      <c r="R4" s="180"/>
      <c r="S4" s="180"/>
      <c r="T4" s="180"/>
      <c r="U4" s="180"/>
      <c r="V4" s="95"/>
    </row>
    <row r="5" customFormat="false" ht="25.75" hidden="false" customHeight="true" outlineLevel="0" collapsed="false">
      <c r="B5" s="94"/>
      <c r="C5" s="180" t="s">
        <v>120</v>
      </c>
      <c r="D5" s="180"/>
      <c r="E5" s="180"/>
      <c r="F5" s="180"/>
      <c r="G5" s="180"/>
      <c r="H5" s="180"/>
      <c r="I5" s="180"/>
      <c r="J5" s="180"/>
      <c r="K5" s="180"/>
      <c r="L5" s="180"/>
      <c r="M5" s="180"/>
      <c r="N5" s="180"/>
      <c r="O5" s="180"/>
      <c r="P5" s="180"/>
      <c r="Q5" s="180"/>
      <c r="R5" s="180"/>
      <c r="S5" s="180"/>
      <c r="T5" s="180"/>
      <c r="U5" s="180"/>
      <c r="V5" s="95"/>
    </row>
    <row r="6" customFormat="false" ht="12.8" hidden="false" customHeight="true" outlineLevel="0" collapsed="false">
      <c r="B6" s="94"/>
      <c r="C6" s="66"/>
      <c r="D6" s="66"/>
      <c r="E6" s="66"/>
      <c r="F6" s="66"/>
      <c r="G6" s="66"/>
      <c r="H6" s="176"/>
      <c r="I6" s="66"/>
      <c r="J6" s="66"/>
      <c r="K6" s="177"/>
      <c r="L6" s="66"/>
      <c r="M6" s="66"/>
      <c r="N6" s="177"/>
      <c r="O6" s="66"/>
      <c r="P6" s="178"/>
      <c r="Q6" s="178"/>
      <c r="R6" s="177"/>
      <c r="S6" s="181"/>
      <c r="T6" s="182"/>
      <c r="U6" s="182"/>
      <c r="V6" s="95"/>
    </row>
    <row r="7" customFormat="false" ht="12.8" hidden="false" customHeight="true" outlineLevel="0" collapsed="false">
      <c r="B7" s="94"/>
      <c r="C7" s="66"/>
      <c r="D7" s="66"/>
      <c r="E7" s="66"/>
      <c r="F7" s="66"/>
      <c r="G7" s="66"/>
      <c r="H7" s="176"/>
      <c r="I7" s="66"/>
      <c r="J7" s="66"/>
      <c r="K7" s="177"/>
      <c r="L7" s="66"/>
      <c r="M7" s="66"/>
      <c r="N7" s="177"/>
      <c r="O7" s="66"/>
      <c r="P7" s="178"/>
      <c r="Q7" s="178"/>
      <c r="R7" s="177"/>
      <c r="S7" s="181"/>
      <c r="T7" s="182"/>
      <c r="U7" s="182"/>
      <c r="V7" s="95"/>
    </row>
    <row r="8" customFormat="false" ht="14.1" hidden="false" customHeight="true" outlineLevel="0" collapsed="false">
      <c r="B8" s="94"/>
      <c r="C8" s="183" t="s">
        <v>121</v>
      </c>
      <c r="D8" s="183"/>
      <c r="E8" s="183"/>
      <c r="F8" s="9" t="s">
        <v>122</v>
      </c>
      <c r="G8" s="9"/>
      <c r="H8" s="159" t="n">
        <f aca="false">'SPT density (USD)'!D9</f>
        <v>1.6</v>
      </c>
      <c r="I8" s="122" t="s">
        <v>123</v>
      </c>
      <c r="J8" s="122"/>
      <c r="K8" s="122"/>
      <c r="L8" s="122"/>
      <c r="M8" s="122"/>
      <c r="N8" s="122"/>
      <c r="O8" s="122"/>
      <c r="P8" s="122"/>
      <c r="Q8" s="122"/>
      <c r="R8" s="122"/>
      <c r="S8" s="122"/>
      <c r="T8" s="122"/>
      <c r="U8" s="122"/>
      <c r="V8" s="95"/>
    </row>
    <row r="9" customFormat="false" ht="14.1" hidden="false" customHeight="true" outlineLevel="0" collapsed="false">
      <c r="B9" s="94"/>
      <c r="C9" s="8" t="s">
        <v>124</v>
      </c>
      <c r="D9" s="8"/>
      <c r="E9" s="8"/>
      <c r="F9" s="9" t="s">
        <v>125</v>
      </c>
      <c r="G9" s="9"/>
      <c r="H9" s="176" t="n">
        <f aca="false">'Calibration (USD)'!E28</f>
        <v>50.0186041108333</v>
      </c>
      <c r="I9" s="122" t="s">
        <v>126</v>
      </c>
      <c r="J9" s="122"/>
      <c r="K9" s="122"/>
      <c r="L9" s="122"/>
      <c r="M9" s="122"/>
      <c r="N9" s="122"/>
      <c r="O9" s="122"/>
      <c r="P9" s="122"/>
      <c r="Q9" s="122"/>
      <c r="R9" s="122"/>
      <c r="S9" s="122"/>
      <c r="T9" s="122"/>
      <c r="U9" s="122"/>
      <c r="V9" s="95"/>
    </row>
    <row r="10" customFormat="false" ht="14.3" hidden="false" customHeight="true" outlineLevel="0" collapsed="false">
      <c r="B10" s="94"/>
      <c r="C10" s="8" t="s">
        <v>127</v>
      </c>
      <c r="D10" s="8"/>
      <c r="E10" s="8"/>
      <c r="F10" s="9" t="s">
        <v>125</v>
      </c>
      <c r="G10" s="9"/>
      <c r="H10" s="176" t="n">
        <f aca="false">'Calibration (USD)'!E29</f>
        <v>1.29033922714012</v>
      </c>
      <c r="I10" s="122" t="s">
        <v>128</v>
      </c>
      <c r="J10" s="122"/>
      <c r="K10" s="122"/>
      <c r="L10" s="122"/>
      <c r="M10" s="122"/>
      <c r="N10" s="122"/>
      <c r="O10" s="122"/>
      <c r="P10" s="122"/>
      <c r="Q10" s="122"/>
      <c r="R10" s="122"/>
      <c r="S10" s="122"/>
      <c r="T10" s="122"/>
      <c r="U10" s="122"/>
      <c r="V10" s="95"/>
    </row>
    <row r="11" customFormat="false" ht="14.1" hidden="false" customHeight="true" outlineLevel="0" collapsed="false">
      <c r="B11" s="94"/>
      <c r="C11" s="184" t="s">
        <v>129</v>
      </c>
      <c r="D11" s="184"/>
      <c r="E11" s="184"/>
      <c r="F11" s="9" t="s">
        <v>130</v>
      </c>
      <c r="G11" s="9"/>
      <c r="H11" s="185" t="s">
        <v>131</v>
      </c>
      <c r="I11" s="122" t="s">
        <v>132</v>
      </c>
      <c r="J11" s="122"/>
      <c r="K11" s="122"/>
      <c r="L11" s="122"/>
      <c r="M11" s="122"/>
      <c r="N11" s="122"/>
      <c r="O11" s="122"/>
      <c r="P11" s="122"/>
      <c r="Q11" s="122"/>
      <c r="R11" s="122"/>
      <c r="S11" s="122"/>
      <c r="T11" s="122"/>
      <c r="U11" s="122"/>
      <c r="V11" s="95"/>
    </row>
    <row r="12" customFormat="false" ht="14.1" hidden="false" customHeight="true" outlineLevel="0" collapsed="false">
      <c r="B12" s="94"/>
      <c r="C12" s="139"/>
      <c r="D12" s="139"/>
      <c r="E12" s="139"/>
      <c r="F12" s="139"/>
      <c r="G12" s="139"/>
      <c r="H12" s="119"/>
      <c r="I12" s="9"/>
      <c r="J12" s="9"/>
      <c r="K12" s="119"/>
      <c r="L12" s="9"/>
      <c r="M12" s="9"/>
      <c r="N12" s="119"/>
      <c r="O12" s="9"/>
      <c r="P12" s="146"/>
      <c r="Q12" s="146"/>
      <c r="R12" s="119"/>
      <c r="S12" s="118"/>
      <c r="T12" s="8"/>
      <c r="U12" s="8"/>
      <c r="V12" s="95"/>
    </row>
    <row r="13" s="168" customFormat="true" ht="64.25" hidden="false" customHeight="true" outlineLevel="0" collapsed="false">
      <c r="B13" s="186"/>
      <c r="C13" s="187" t="s">
        <v>46</v>
      </c>
      <c r="D13" s="187"/>
      <c r="E13" s="70" t="s">
        <v>133</v>
      </c>
      <c r="F13" s="70" t="s">
        <v>134</v>
      </c>
      <c r="G13" s="70" t="s">
        <v>135</v>
      </c>
      <c r="H13" s="188" t="s">
        <v>136</v>
      </c>
      <c r="I13" s="70" t="s">
        <v>137</v>
      </c>
      <c r="J13" s="70" t="s">
        <v>138</v>
      </c>
      <c r="K13" s="188" t="s">
        <v>139</v>
      </c>
      <c r="L13" s="70" t="s">
        <v>140</v>
      </c>
      <c r="M13" s="70" t="s">
        <v>141</v>
      </c>
      <c r="N13" s="188" t="s">
        <v>142</v>
      </c>
      <c r="O13" s="70" t="s">
        <v>143</v>
      </c>
      <c r="P13" s="189" t="s">
        <v>144</v>
      </c>
      <c r="Q13" s="189" t="s">
        <v>145</v>
      </c>
      <c r="R13" s="188" t="s">
        <v>146</v>
      </c>
      <c r="S13" s="190" t="s">
        <v>147</v>
      </c>
      <c r="T13" s="191" t="s">
        <v>148</v>
      </c>
      <c r="U13" s="191"/>
      <c r="V13" s="192"/>
      <c r="AMJ13" s="1"/>
    </row>
    <row r="14" s="168" customFormat="true" ht="14.3" hidden="false" customHeight="true" outlineLevel="0" collapsed="false">
      <c r="B14" s="186"/>
      <c r="C14" s="193"/>
      <c r="D14" s="73"/>
      <c r="E14" s="193"/>
      <c r="F14" s="89" t="s">
        <v>149</v>
      </c>
      <c r="G14" s="193"/>
      <c r="H14" s="194" t="s">
        <v>75</v>
      </c>
      <c r="I14" s="89" t="s">
        <v>75</v>
      </c>
      <c r="J14" s="89" t="s">
        <v>150</v>
      </c>
      <c r="K14" s="194" t="s">
        <v>75</v>
      </c>
      <c r="L14" s="89" t="s">
        <v>151</v>
      </c>
      <c r="M14" s="89" t="s">
        <v>152</v>
      </c>
      <c r="N14" s="194" t="s">
        <v>75</v>
      </c>
      <c r="O14" s="89" t="s">
        <v>75</v>
      </c>
      <c r="P14" s="195" t="s">
        <v>153</v>
      </c>
      <c r="Q14" s="196" t="s">
        <v>151</v>
      </c>
      <c r="R14" s="197" t="s">
        <v>151</v>
      </c>
      <c r="S14" s="198" t="s">
        <v>154</v>
      </c>
      <c r="T14" s="89" t="s">
        <v>100</v>
      </c>
      <c r="U14" s="89" t="s">
        <v>155</v>
      </c>
      <c r="V14" s="192"/>
      <c r="AMJ14" s="1"/>
    </row>
    <row r="15" customFormat="false" ht="14.1" hidden="false" customHeight="true" outlineLevel="0" collapsed="false">
      <c r="B15" s="94"/>
      <c r="C15" s="14" t="s">
        <v>156</v>
      </c>
      <c r="D15" s="62" t="s">
        <v>157</v>
      </c>
      <c r="E15" s="62" t="s">
        <v>158</v>
      </c>
      <c r="F15" s="62" t="n">
        <v>0</v>
      </c>
      <c r="G15" s="199" t="n">
        <v>45763</v>
      </c>
      <c r="H15" s="200" t="n">
        <v>23.89</v>
      </c>
      <c r="I15" s="201" t="n">
        <v>20</v>
      </c>
      <c r="J15" s="202" t="n">
        <f aca="false">'SPT density (USD)'!$D$7*I15</f>
        <v>6</v>
      </c>
      <c r="K15" s="202" t="n">
        <f aca="false">SUM(H15:J15)</f>
        <v>49.89</v>
      </c>
      <c r="L15" s="62" t="n">
        <v>100</v>
      </c>
      <c r="M15" s="202" t="n">
        <f aca="false">'SPT density (USD)'!$D$10</f>
        <v>1.696</v>
      </c>
      <c r="N15" s="202" t="n">
        <f aca="false">K15+L15*M15</f>
        <v>219.49</v>
      </c>
      <c r="O15" s="202" t="n">
        <f aca="false">N15-I15-H15</f>
        <v>175.6</v>
      </c>
      <c r="P15" s="202" t="n">
        <f aca="false">(O15/$H$8)</f>
        <v>109.75</v>
      </c>
      <c r="Q15" s="202" t="n">
        <f aca="false">I15/2.65</f>
        <v>7.54716981132076</v>
      </c>
      <c r="R15" s="202" t="n">
        <f aca="false">P15+Q15</f>
        <v>117.297169811321</v>
      </c>
      <c r="S15" s="203" t="n">
        <f aca="false">F15*R15</f>
        <v>0</v>
      </c>
      <c r="T15" s="204" t="n">
        <f aca="false">ROUND(S15/$H$9,0)</f>
        <v>0</v>
      </c>
      <c r="U15" s="205" t="n">
        <f aca="false">INT(T15/60)+(MOD(T15,60)/100)</f>
        <v>0</v>
      </c>
      <c r="V15" s="95"/>
    </row>
    <row r="16" customFormat="false" ht="14.1" hidden="false" customHeight="true" outlineLevel="0" collapsed="false">
      <c r="B16" s="94"/>
      <c r="C16" s="9"/>
      <c r="D16" s="77"/>
      <c r="E16" s="77" t="s">
        <v>158</v>
      </c>
      <c r="F16" s="77" t="n">
        <v>50</v>
      </c>
      <c r="G16" s="206" t="n">
        <v>45763</v>
      </c>
      <c r="H16" s="207" t="n">
        <v>23.89</v>
      </c>
      <c r="I16" s="208" t="n">
        <v>20</v>
      </c>
      <c r="J16" s="209" t="n">
        <f aca="false">'SPT density (USD)'!$D$7*I16</f>
        <v>6</v>
      </c>
      <c r="K16" s="209" t="n">
        <f aca="false">SUM(H16:J16)</f>
        <v>49.89</v>
      </c>
      <c r="L16" s="77" t="n">
        <v>100</v>
      </c>
      <c r="M16" s="209" t="n">
        <f aca="false">'SPT density (USD)'!$D$10</f>
        <v>1.696</v>
      </c>
      <c r="N16" s="209" t="n">
        <f aca="false">K16+L16*M16</f>
        <v>219.49</v>
      </c>
      <c r="O16" s="209" t="n">
        <f aca="false">N16-I16-H16</f>
        <v>175.6</v>
      </c>
      <c r="P16" s="209" t="n">
        <f aca="false">(O16/$H$8)</f>
        <v>109.75</v>
      </c>
      <c r="Q16" s="209" t="n">
        <f aca="false">I16/2.65</f>
        <v>7.54716981132076</v>
      </c>
      <c r="R16" s="209" t="n">
        <f aca="false">P16+Q16</f>
        <v>117.297169811321</v>
      </c>
      <c r="S16" s="78" t="n">
        <f aca="false">F16*R16</f>
        <v>5864.85849056604</v>
      </c>
      <c r="T16" s="210" t="n">
        <f aca="false">ROUND(S16/$H$9,0)</f>
        <v>117</v>
      </c>
      <c r="U16" s="211" t="n">
        <f aca="false">INT(T16/60)+(MOD(T16,60)/100)</f>
        <v>1.57</v>
      </c>
      <c r="V16" s="95"/>
    </row>
    <row r="17" customFormat="false" ht="14.1" hidden="false" customHeight="true" outlineLevel="0" collapsed="false">
      <c r="B17" s="94"/>
      <c r="C17" s="9"/>
      <c r="D17" s="77"/>
      <c r="E17" s="77" t="s">
        <v>159</v>
      </c>
      <c r="F17" s="77" t="n">
        <v>0</v>
      </c>
      <c r="G17" s="206" t="n">
        <v>45763</v>
      </c>
      <c r="H17" s="207" t="n">
        <v>22.7</v>
      </c>
      <c r="I17" s="208" t="n">
        <v>20</v>
      </c>
      <c r="J17" s="209" t="n">
        <f aca="false">'SPT density (USD)'!$D$7*I17</f>
        <v>6</v>
      </c>
      <c r="K17" s="209" t="n">
        <f aca="false">SUM(H17:J17)</f>
        <v>48.7</v>
      </c>
      <c r="L17" s="77" t="n">
        <v>100</v>
      </c>
      <c r="M17" s="209" t="n">
        <f aca="false">'SPT density (USD)'!$D$10</f>
        <v>1.696</v>
      </c>
      <c r="N17" s="209" t="n">
        <f aca="false">K17+L17*M17</f>
        <v>218.3</v>
      </c>
      <c r="O17" s="209" t="n">
        <f aca="false">N17-I17-H17</f>
        <v>175.6</v>
      </c>
      <c r="P17" s="209" t="n">
        <f aca="false">(O17/$H$8)</f>
        <v>109.75</v>
      </c>
      <c r="Q17" s="209" t="n">
        <f aca="false">I17/2.65</f>
        <v>7.54716981132076</v>
      </c>
      <c r="R17" s="209" t="n">
        <f aca="false">P17+Q17</f>
        <v>117.297169811321</v>
      </c>
      <c r="S17" s="78" t="n">
        <f aca="false">F17*R17</f>
        <v>0</v>
      </c>
      <c r="T17" s="210" t="n">
        <f aca="false">ROUND(S17/$H$9,0)</f>
        <v>0</v>
      </c>
      <c r="U17" s="211" t="n">
        <f aca="false">INT(T17/60)+(MOD(T17,60)/100)</f>
        <v>0</v>
      </c>
      <c r="V17" s="95"/>
    </row>
    <row r="18" customFormat="false" ht="14.1" hidden="false" customHeight="true" outlineLevel="0" collapsed="false">
      <c r="B18" s="94"/>
      <c r="C18" s="9"/>
      <c r="D18" s="77"/>
      <c r="E18" s="77" t="s">
        <v>159</v>
      </c>
      <c r="F18" s="77" t="n">
        <v>50</v>
      </c>
      <c r="G18" s="206" t="n">
        <v>45763</v>
      </c>
      <c r="H18" s="207" t="n">
        <v>22.7</v>
      </c>
      <c r="I18" s="208" t="n">
        <v>20</v>
      </c>
      <c r="J18" s="209" t="n">
        <f aca="false">'SPT density (USD)'!$D$7*I18</f>
        <v>6</v>
      </c>
      <c r="K18" s="209" t="n">
        <f aca="false">SUM(H18:J18)</f>
        <v>48.7</v>
      </c>
      <c r="L18" s="77" t="n">
        <v>100</v>
      </c>
      <c r="M18" s="209" t="n">
        <f aca="false">'SPT density (USD)'!$D$10</f>
        <v>1.696</v>
      </c>
      <c r="N18" s="209" t="n">
        <f aca="false">K18+L18*M18</f>
        <v>218.3</v>
      </c>
      <c r="O18" s="209" t="n">
        <f aca="false">N18-I18-H18</f>
        <v>175.6</v>
      </c>
      <c r="P18" s="209" t="n">
        <f aca="false">(O18/$H$8)</f>
        <v>109.75</v>
      </c>
      <c r="Q18" s="209" t="n">
        <f aca="false">I18/2.65</f>
        <v>7.54716981132076</v>
      </c>
      <c r="R18" s="209" t="n">
        <f aca="false">P18+Q18</f>
        <v>117.297169811321</v>
      </c>
      <c r="S18" s="78" t="n">
        <f aca="false">F18*R18</f>
        <v>5864.85849056604</v>
      </c>
      <c r="T18" s="210" t="n">
        <f aca="false">ROUND(S18/$H$9,0)</f>
        <v>117</v>
      </c>
      <c r="U18" s="211" t="n">
        <f aca="false">INT(T18/60)+(MOD(T18,60)/100)</f>
        <v>1.57</v>
      </c>
      <c r="V18" s="95"/>
    </row>
    <row r="19" customFormat="false" ht="14.1" hidden="false" customHeight="true" outlineLevel="0" collapsed="false">
      <c r="B19" s="94"/>
      <c r="C19" s="9"/>
      <c r="D19" s="77"/>
      <c r="E19" s="77" t="s">
        <v>33</v>
      </c>
      <c r="F19" s="77" t="n">
        <v>0</v>
      </c>
      <c r="G19" s="206" t="n">
        <v>45763</v>
      </c>
      <c r="H19" s="207" t="n">
        <v>23.71</v>
      </c>
      <c r="I19" s="208" t="n">
        <v>20</v>
      </c>
      <c r="J19" s="209" t="n">
        <f aca="false">'SPT density (USD)'!$D$7*I19</f>
        <v>6</v>
      </c>
      <c r="K19" s="209" t="n">
        <f aca="false">SUM(H19:J19)</f>
        <v>49.71</v>
      </c>
      <c r="L19" s="77" t="n">
        <v>100</v>
      </c>
      <c r="M19" s="209" t="n">
        <f aca="false">'SPT density (USD)'!$D$10</f>
        <v>1.696</v>
      </c>
      <c r="N19" s="209" t="n">
        <f aca="false">K19+L19*M19</f>
        <v>219.31</v>
      </c>
      <c r="O19" s="209" t="n">
        <f aca="false">N19-I19-H19</f>
        <v>175.6</v>
      </c>
      <c r="P19" s="209" t="n">
        <f aca="false">(O19/$H$8)</f>
        <v>109.75</v>
      </c>
      <c r="Q19" s="209" t="n">
        <f aca="false">I19/2.65</f>
        <v>7.54716981132076</v>
      </c>
      <c r="R19" s="209" t="n">
        <f aca="false">P19+Q19</f>
        <v>117.297169811321</v>
      </c>
      <c r="S19" s="78" t="n">
        <f aca="false">F19*R19</f>
        <v>0</v>
      </c>
      <c r="T19" s="210" t="n">
        <f aca="false">ROUND(S19/$H$9,0)</f>
        <v>0</v>
      </c>
      <c r="U19" s="211" t="n">
        <f aca="false">INT(T19/60)+(MOD(T19,60)/100)</f>
        <v>0</v>
      </c>
      <c r="V19" s="95"/>
    </row>
    <row r="20" customFormat="false" ht="14.1" hidden="false" customHeight="true" outlineLevel="0" collapsed="false">
      <c r="B20" s="94"/>
      <c r="C20" s="9"/>
      <c r="D20" s="77"/>
      <c r="E20" s="77" t="s">
        <v>33</v>
      </c>
      <c r="F20" s="77" t="n">
        <v>50</v>
      </c>
      <c r="G20" s="206" t="n">
        <v>45763</v>
      </c>
      <c r="H20" s="207" t="n">
        <v>23.71</v>
      </c>
      <c r="I20" s="208" t="n">
        <v>20</v>
      </c>
      <c r="J20" s="209" t="n">
        <f aca="false">'SPT density (USD)'!$D$7*I20</f>
        <v>6</v>
      </c>
      <c r="K20" s="209" t="n">
        <f aca="false">SUM(H20:J20)</f>
        <v>49.71</v>
      </c>
      <c r="L20" s="77" t="n">
        <v>100</v>
      </c>
      <c r="M20" s="209" t="n">
        <f aca="false">'SPT density (USD)'!$D$10</f>
        <v>1.696</v>
      </c>
      <c r="N20" s="209" t="n">
        <f aca="false">K20+L20*M20</f>
        <v>219.31</v>
      </c>
      <c r="O20" s="209" t="n">
        <f aca="false">N20-I20-H20</f>
        <v>175.6</v>
      </c>
      <c r="P20" s="209" t="n">
        <f aca="false">(O20/$H$8)</f>
        <v>109.75</v>
      </c>
      <c r="Q20" s="209" t="n">
        <f aca="false">I20/2.65</f>
        <v>7.54716981132076</v>
      </c>
      <c r="R20" s="209" t="n">
        <f aca="false">P20+Q20</f>
        <v>117.297169811321</v>
      </c>
      <c r="S20" s="78" t="n">
        <f aca="false">F20*R20</f>
        <v>5864.85849056604</v>
      </c>
      <c r="T20" s="210" t="n">
        <f aca="false">ROUND(S20/$H$9,0)</f>
        <v>117</v>
      </c>
      <c r="U20" s="211" t="n">
        <f aca="false">INT(T20/60)+(MOD(T20,60)/100)</f>
        <v>1.57</v>
      </c>
      <c r="V20" s="95"/>
    </row>
    <row r="21" customFormat="false" ht="14.1" hidden="false" customHeight="true" outlineLevel="0" collapsed="false">
      <c r="B21" s="94"/>
      <c r="C21" s="9"/>
      <c r="D21" s="77"/>
      <c r="E21" s="77" t="s">
        <v>160</v>
      </c>
      <c r="F21" s="77" t="n">
        <v>0</v>
      </c>
      <c r="G21" s="206" t="n">
        <v>45763</v>
      </c>
      <c r="H21" s="207" t="n">
        <v>24.36</v>
      </c>
      <c r="I21" s="208" t="n">
        <v>20</v>
      </c>
      <c r="J21" s="209" t="n">
        <f aca="false">'SPT density (USD)'!$D$7*I21</f>
        <v>6</v>
      </c>
      <c r="K21" s="209" t="n">
        <f aca="false">SUM(H21:J21)</f>
        <v>50.36</v>
      </c>
      <c r="L21" s="77" t="n">
        <v>100</v>
      </c>
      <c r="M21" s="209" t="n">
        <f aca="false">'SPT density (USD)'!$D$10</f>
        <v>1.696</v>
      </c>
      <c r="N21" s="209" t="n">
        <f aca="false">K21+L21*M21</f>
        <v>219.96</v>
      </c>
      <c r="O21" s="209" t="n">
        <f aca="false">N21-I21-H21</f>
        <v>175.6</v>
      </c>
      <c r="P21" s="209" t="n">
        <f aca="false">(O21/$H$8)</f>
        <v>109.75</v>
      </c>
      <c r="Q21" s="209" t="n">
        <f aca="false">I21/2.65</f>
        <v>7.54716981132076</v>
      </c>
      <c r="R21" s="209" t="n">
        <f aca="false">P21+Q21</f>
        <v>117.297169811321</v>
      </c>
      <c r="S21" s="78" t="n">
        <f aca="false">F21*R21</f>
        <v>0</v>
      </c>
      <c r="T21" s="210" t="n">
        <f aca="false">ROUND(S21/$H$9,0)</f>
        <v>0</v>
      </c>
      <c r="U21" s="211" t="n">
        <f aca="false">INT(T21/60)+(MOD(T21,60)/100)</f>
        <v>0</v>
      </c>
      <c r="V21" s="95"/>
    </row>
    <row r="22" customFormat="false" ht="14.1" hidden="false" customHeight="true" outlineLevel="0" collapsed="false">
      <c r="B22" s="94"/>
      <c r="C22" s="9"/>
      <c r="D22" s="77"/>
      <c r="E22" s="77" t="s">
        <v>160</v>
      </c>
      <c r="F22" s="77" t="n">
        <v>50</v>
      </c>
      <c r="G22" s="206" t="n">
        <v>45763</v>
      </c>
      <c r="H22" s="207" t="n">
        <v>24.36</v>
      </c>
      <c r="I22" s="208" t="n">
        <v>20</v>
      </c>
      <c r="J22" s="209" t="n">
        <f aca="false">'SPT density (USD)'!$D$7*I22</f>
        <v>6</v>
      </c>
      <c r="K22" s="209" t="n">
        <f aca="false">SUM(H22:J22)</f>
        <v>50.36</v>
      </c>
      <c r="L22" s="77" t="n">
        <v>100</v>
      </c>
      <c r="M22" s="209" t="n">
        <f aca="false">'SPT density (USD)'!$D$10</f>
        <v>1.696</v>
      </c>
      <c r="N22" s="209" t="n">
        <f aca="false">K22+L22*M22</f>
        <v>219.96</v>
      </c>
      <c r="O22" s="209" t="n">
        <f aca="false">N22-I22-H22</f>
        <v>175.6</v>
      </c>
      <c r="P22" s="209" t="n">
        <f aca="false">(O22/$H$8)</f>
        <v>109.75</v>
      </c>
      <c r="Q22" s="209" t="n">
        <f aca="false">I22/2.65</f>
        <v>7.54716981132076</v>
      </c>
      <c r="R22" s="209" t="n">
        <f aca="false">P22+Q22</f>
        <v>117.297169811321</v>
      </c>
      <c r="S22" s="78" t="n">
        <f aca="false">F22*R22</f>
        <v>5864.85849056604</v>
      </c>
      <c r="T22" s="210" t="n">
        <f aca="false">ROUND(S22/$H$9,0)</f>
        <v>117</v>
      </c>
      <c r="U22" s="211" t="n">
        <f aca="false">INT(T22/60)+(MOD(T22,60)/100)</f>
        <v>1.57</v>
      </c>
      <c r="V22" s="95"/>
    </row>
    <row r="23" customFormat="false" ht="14.1" hidden="false" customHeight="true" outlineLevel="0" collapsed="false">
      <c r="B23" s="94"/>
      <c r="C23" s="9"/>
      <c r="D23" s="77"/>
      <c r="E23" s="77" t="s">
        <v>161</v>
      </c>
      <c r="F23" s="77" t="n">
        <v>0</v>
      </c>
      <c r="G23" s="206" t="n">
        <v>45763</v>
      </c>
      <c r="H23" s="207" t="n">
        <v>22.62</v>
      </c>
      <c r="I23" s="208" t="n">
        <v>20</v>
      </c>
      <c r="J23" s="209" t="n">
        <f aca="false">'SPT density (USD)'!$D$7*I23</f>
        <v>6</v>
      </c>
      <c r="K23" s="209" t="n">
        <f aca="false">SUM(H23:J23)</f>
        <v>48.62</v>
      </c>
      <c r="L23" s="77" t="n">
        <v>100</v>
      </c>
      <c r="M23" s="209" t="n">
        <f aca="false">'SPT density (USD)'!$D$10</f>
        <v>1.696</v>
      </c>
      <c r="N23" s="209" t="n">
        <f aca="false">K23+L23*M23</f>
        <v>218.22</v>
      </c>
      <c r="O23" s="209" t="n">
        <f aca="false">N23-I23-H23</f>
        <v>175.6</v>
      </c>
      <c r="P23" s="209" t="n">
        <f aca="false">(O23/$H$8)</f>
        <v>109.75</v>
      </c>
      <c r="Q23" s="209" t="n">
        <f aca="false">I23/2.65</f>
        <v>7.54716981132076</v>
      </c>
      <c r="R23" s="209" t="n">
        <f aca="false">P23+Q23</f>
        <v>117.297169811321</v>
      </c>
      <c r="S23" s="78" t="n">
        <f aca="false">F23*R23</f>
        <v>0</v>
      </c>
      <c r="T23" s="210" t="n">
        <f aca="false">ROUND(S23/$H$9,0)</f>
        <v>0</v>
      </c>
      <c r="U23" s="211" t="n">
        <f aca="false">INT(T23/60)+(MOD(T23,60)/100)</f>
        <v>0</v>
      </c>
      <c r="V23" s="95"/>
    </row>
    <row r="24" customFormat="false" ht="14.1" hidden="false" customHeight="true" outlineLevel="0" collapsed="false">
      <c r="B24" s="94"/>
      <c r="C24" s="9"/>
      <c r="D24" s="77"/>
      <c r="E24" s="77" t="s">
        <v>161</v>
      </c>
      <c r="F24" s="77" t="n">
        <v>50</v>
      </c>
      <c r="G24" s="206" t="n">
        <v>45763</v>
      </c>
      <c r="H24" s="207" t="n">
        <v>22.62</v>
      </c>
      <c r="I24" s="208" t="n">
        <v>20</v>
      </c>
      <c r="J24" s="209" t="n">
        <f aca="false">'SPT density (USD)'!$D$7*I24</f>
        <v>6</v>
      </c>
      <c r="K24" s="209" t="n">
        <f aca="false">SUM(H24:J24)</f>
        <v>48.62</v>
      </c>
      <c r="L24" s="77" t="n">
        <v>100</v>
      </c>
      <c r="M24" s="209" t="n">
        <f aca="false">'SPT density (USD)'!$D$10</f>
        <v>1.696</v>
      </c>
      <c r="N24" s="209" t="n">
        <f aca="false">K24+L24*M24</f>
        <v>218.22</v>
      </c>
      <c r="O24" s="209" t="n">
        <f aca="false">N24-I24-H24</f>
        <v>175.6</v>
      </c>
      <c r="P24" s="209" t="n">
        <f aca="false">(O24/$H$8)</f>
        <v>109.75</v>
      </c>
      <c r="Q24" s="209" t="n">
        <f aca="false">I24/2.65</f>
        <v>7.54716981132076</v>
      </c>
      <c r="R24" s="209" t="n">
        <f aca="false">P24+Q24</f>
        <v>117.297169811321</v>
      </c>
      <c r="S24" s="78" t="n">
        <f aca="false">F24*R24</f>
        <v>5864.85849056604</v>
      </c>
      <c r="T24" s="210" t="n">
        <f aca="false">ROUND(S24/$H$9,0)</f>
        <v>117</v>
      </c>
      <c r="U24" s="211" t="n">
        <f aca="false">INT(T24/60)+(MOD(T24,60)/100)</f>
        <v>1.57</v>
      </c>
      <c r="V24" s="95"/>
    </row>
    <row r="25" customFormat="false" ht="14.1" hidden="false" customHeight="true" outlineLevel="0" collapsed="false">
      <c r="B25" s="94"/>
      <c r="C25" s="9"/>
      <c r="D25" s="77"/>
      <c r="E25" s="77" t="s">
        <v>35</v>
      </c>
      <c r="F25" s="77" t="n">
        <v>0</v>
      </c>
      <c r="G25" s="206" t="n">
        <v>45763</v>
      </c>
      <c r="H25" s="207" t="n">
        <v>24.87</v>
      </c>
      <c r="I25" s="208" t="n">
        <v>20</v>
      </c>
      <c r="J25" s="209" t="n">
        <f aca="false">'SPT density (USD)'!$D$7*I25</f>
        <v>6</v>
      </c>
      <c r="K25" s="209" t="n">
        <f aca="false">SUM(H25:J25)</f>
        <v>50.87</v>
      </c>
      <c r="L25" s="77" t="n">
        <v>100</v>
      </c>
      <c r="M25" s="209" t="n">
        <f aca="false">'SPT density (USD)'!$D$10</f>
        <v>1.696</v>
      </c>
      <c r="N25" s="209" t="n">
        <f aca="false">K25+L25*M25</f>
        <v>220.47</v>
      </c>
      <c r="O25" s="209" t="n">
        <f aca="false">N25-I25-H25</f>
        <v>175.6</v>
      </c>
      <c r="P25" s="209" t="n">
        <f aca="false">(O25/$H$8)</f>
        <v>109.75</v>
      </c>
      <c r="Q25" s="209" t="n">
        <f aca="false">I25/2.65</f>
        <v>7.54716981132076</v>
      </c>
      <c r="R25" s="209" t="n">
        <f aca="false">P25+Q25</f>
        <v>117.297169811321</v>
      </c>
      <c r="S25" s="78" t="n">
        <f aca="false">F25*R25</f>
        <v>0</v>
      </c>
      <c r="T25" s="210" t="n">
        <f aca="false">ROUND(S25/$H$9,0)</f>
        <v>0</v>
      </c>
      <c r="U25" s="211" t="n">
        <f aca="false">INT(T25/60)+(MOD(T25,60)/100)</f>
        <v>0</v>
      </c>
      <c r="V25" s="95"/>
    </row>
    <row r="26" customFormat="false" ht="14.1" hidden="false" customHeight="true" outlineLevel="0" collapsed="false">
      <c r="B26" s="94"/>
      <c r="C26" s="9"/>
      <c r="D26" s="77"/>
      <c r="E26" s="77" t="s">
        <v>35</v>
      </c>
      <c r="F26" s="77" t="n">
        <v>50</v>
      </c>
      <c r="G26" s="206" t="n">
        <v>45763</v>
      </c>
      <c r="H26" s="207" t="n">
        <v>24.87</v>
      </c>
      <c r="I26" s="208" t="n">
        <v>20</v>
      </c>
      <c r="J26" s="209" t="n">
        <f aca="false">'SPT density (USD)'!$D$7*I26</f>
        <v>6</v>
      </c>
      <c r="K26" s="209" t="n">
        <f aca="false">SUM(H26:J26)</f>
        <v>50.87</v>
      </c>
      <c r="L26" s="77" t="n">
        <v>100</v>
      </c>
      <c r="M26" s="209" t="n">
        <f aca="false">'SPT density (USD)'!$D$10</f>
        <v>1.696</v>
      </c>
      <c r="N26" s="209" t="n">
        <f aca="false">K26+L26*M26</f>
        <v>220.47</v>
      </c>
      <c r="O26" s="209" t="n">
        <f aca="false">N26-I26-H26</f>
        <v>175.6</v>
      </c>
      <c r="P26" s="209" t="n">
        <f aca="false">(O26/$H$8)</f>
        <v>109.75</v>
      </c>
      <c r="Q26" s="209" t="n">
        <f aca="false">I26/2.65</f>
        <v>7.54716981132076</v>
      </c>
      <c r="R26" s="209" t="n">
        <f aca="false">P26+Q26</f>
        <v>117.297169811321</v>
      </c>
      <c r="S26" s="78" t="n">
        <f aca="false">F26*R26</f>
        <v>5864.85849056604</v>
      </c>
      <c r="T26" s="210" t="n">
        <f aca="false">ROUND(S26/$H$9,0)</f>
        <v>117</v>
      </c>
      <c r="U26" s="211" t="n">
        <f aca="false">INT(T26/60)+(MOD(T26,60)/100)</f>
        <v>1.57</v>
      </c>
      <c r="V26" s="95"/>
    </row>
    <row r="27" customFormat="false" ht="14.1" hidden="false" customHeight="true" outlineLevel="0" collapsed="false">
      <c r="B27" s="94"/>
      <c r="C27" s="9"/>
      <c r="D27" s="77"/>
      <c r="E27" s="77" t="s">
        <v>162</v>
      </c>
      <c r="F27" s="77" t="n">
        <v>0</v>
      </c>
      <c r="G27" s="206" t="n">
        <v>45763</v>
      </c>
      <c r="H27" s="207" t="n">
        <v>22.25</v>
      </c>
      <c r="I27" s="208" t="n">
        <v>20</v>
      </c>
      <c r="J27" s="209" t="n">
        <f aca="false">'SPT density (USD)'!$D$7*I27</f>
        <v>6</v>
      </c>
      <c r="K27" s="209" t="n">
        <f aca="false">SUM(H27:J27)</f>
        <v>48.25</v>
      </c>
      <c r="L27" s="77" t="n">
        <v>100</v>
      </c>
      <c r="M27" s="209" t="n">
        <f aca="false">'SPT density (USD)'!$D$10</f>
        <v>1.696</v>
      </c>
      <c r="N27" s="209" t="n">
        <f aca="false">K27+L27*M27</f>
        <v>217.85</v>
      </c>
      <c r="O27" s="209" t="n">
        <f aca="false">N27-I27-H27</f>
        <v>175.6</v>
      </c>
      <c r="P27" s="209" t="n">
        <f aca="false">(O27/$H$8)</f>
        <v>109.75</v>
      </c>
      <c r="Q27" s="209" t="n">
        <f aca="false">I27/2.65</f>
        <v>7.54716981132076</v>
      </c>
      <c r="R27" s="209" t="n">
        <f aca="false">P27+Q27</f>
        <v>117.297169811321</v>
      </c>
      <c r="S27" s="78" t="n">
        <f aca="false">F27*R27</f>
        <v>0</v>
      </c>
      <c r="T27" s="210" t="n">
        <f aca="false">ROUND(S27/$H$9,0)</f>
        <v>0</v>
      </c>
      <c r="U27" s="211" t="n">
        <f aca="false">INT(T27/60)+(MOD(T27,60)/100)</f>
        <v>0</v>
      </c>
      <c r="V27" s="95"/>
    </row>
    <row r="28" customFormat="false" ht="14.1" hidden="false" customHeight="true" outlineLevel="0" collapsed="false">
      <c r="B28" s="94"/>
      <c r="C28" s="9"/>
      <c r="D28" s="77"/>
      <c r="E28" s="77" t="s">
        <v>162</v>
      </c>
      <c r="F28" s="77" t="n">
        <v>50</v>
      </c>
      <c r="G28" s="206" t="n">
        <v>45763</v>
      </c>
      <c r="H28" s="207" t="n">
        <v>22.25</v>
      </c>
      <c r="I28" s="208" t="n">
        <v>20</v>
      </c>
      <c r="J28" s="209" t="n">
        <f aca="false">'SPT density (USD)'!$D$7*I28</f>
        <v>6</v>
      </c>
      <c r="K28" s="209" t="n">
        <f aca="false">SUM(H28:J28)</f>
        <v>48.25</v>
      </c>
      <c r="L28" s="77" t="n">
        <v>100</v>
      </c>
      <c r="M28" s="209" t="n">
        <f aca="false">'SPT density (USD)'!$D$10</f>
        <v>1.696</v>
      </c>
      <c r="N28" s="209" t="n">
        <f aca="false">K28+L28*M28</f>
        <v>217.85</v>
      </c>
      <c r="O28" s="209" t="n">
        <f aca="false">N28-I28-H28</f>
        <v>175.6</v>
      </c>
      <c r="P28" s="209" t="n">
        <f aca="false">(O28/$H$8)</f>
        <v>109.75</v>
      </c>
      <c r="Q28" s="209" t="n">
        <f aca="false">I28/2.65</f>
        <v>7.54716981132076</v>
      </c>
      <c r="R28" s="209" t="n">
        <f aca="false">P28+Q28</f>
        <v>117.297169811321</v>
      </c>
      <c r="S28" s="78" t="n">
        <f aca="false">F28*R28</f>
        <v>5864.85849056604</v>
      </c>
      <c r="T28" s="210" t="n">
        <f aca="false">ROUND(S28/$H$9,0)</f>
        <v>117</v>
      </c>
      <c r="U28" s="211" t="n">
        <f aca="false">INT(T28/60)+(MOD(T28,60)/100)</f>
        <v>1.57</v>
      </c>
      <c r="V28" s="95"/>
    </row>
    <row r="29" customFormat="false" ht="14.1" hidden="false" customHeight="true" outlineLevel="0" collapsed="false">
      <c r="B29" s="94"/>
      <c r="C29" s="9"/>
      <c r="D29" s="77"/>
      <c r="E29" s="77" t="s">
        <v>163</v>
      </c>
      <c r="F29" s="77" t="n">
        <v>0</v>
      </c>
      <c r="G29" s="206" t="n">
        <v>45763</v>
      </c>
      <c r="H29" s="207" t="n">
        <v>23.2</v>
      </c>
      <c r="I29" s="208" t="n">
        <v>20</v>
      </c>
      <c r="J29" s="209" t="n">
        <f aca="false">'SPT density (USD)'!$D$7*I29</f>
        <v>6</v>
      </c>
      <c r="K29" s="209" t="n">
        <f aca="false">SUM(H29:J29)</f>
        <v>49.2</v>
      </c>
      <c r="L29" s="77" t="n">
        <v>100</v>
      </c>
      <c r="M29" s="209" t="n">
        <f aca="false">'SPT density (USD)'!$D$10</f>
        <v>1.696</v>
      </c>
      <c r="N29" s="209" t="n">
        <f aca="false">K29+L29*M29</f>
        <v>218.8</v>
      </c>
      <c r="O29" s="209" t="n">
        <f aca="false">N29-I29-H29</f>
        <v>175.6</v>
      </c>
      <c r="P29" s="209" t="n">
        <f aca="false">(O29/$H$8)</f>
        <v>109.75</v>
      </c>
      <c r="Q29" s="209" t="n">
        <f aca="false">I29/2.65</f>
        <v>7.54716981132076</v>
      </c>
      <c r="R29" s="209" t="n">
        <f aca="false">P29+Q29</f>
        <v>117.297169811321</v>
      </c>
      <c r="S29" s="78" t="n">
        <f aca="false">F29*R29</f>
        <v>0</v>
      </c>
      <c r="T29" s="210" t="n">
        <f aca="false">ROUND(S29/$H$9,0)</f>
        <v>0</v>
      </c>
      <c r="U29" s="211" t="n">
        <f aca="false">INT(T29/60)+(MOD(T29,60)/100)</f>
        <v>0</v>
      </c>
      <c r="V29" s="95"/>
    </row>
    <row r="30" customFormat="false" ht="14.1" hidden="false" customHeight="true" outlineLevel="0" collapsed="false">
      <c r="B30" s="94"/>
      <c r="C30" s="88"/>
      <c r="D30" s="89"/>
      <c r="E30" s="89" t="s">
        <v>163</v>
      </c>
      <c r="F30" s="89" t="n">
        <v>50</v>
      </c>
      <c r="G30" s="212" t="n">
        <v>45763</v>
      </c>
      <c r="H30" s="207" t="n">
        <v>23.2</v>
      </c>
      <c r="I30" s="30" t="n">
        <v>20</v>
      </c>
      <c r="J30" s="194" t="n">
        <f aca="false">'SPT density (USD)'!$D$7*I30</f>
        <v>6</v>
      </c>
      <c r="K30" s="209" t="n">
        <f aca="false">SUM(H30:J30)</f>
        <v>49.2</v>
      </c>
      <c r="L30" s="89" t="n">
        <v>100</v>
      </c>
      <c r="M30" s="209" t="n">
        <f aca="false">'SPT density (USD)'!$D$10</f>
        <v>1.696</v>
      </c>
      <c r="N30" s="209" t="n">
        <f aca="false">K30+L30*M30</f>
        <v>218.8</v>
      </c>
      <c r="O30" s="209" t="n">
        <f aca="false">N30-I30-H30</f>
        <v>175.6</v>
      </c>
      <c r="P30" s="209" t="n">
        <f aca="false">(O30/$H$8)</f>
        <v>109.75</v>
      </c>
      <c r="Q30" s="209" t="n">
        <f aca="false">I30/2.65</f>
        <v>7.54716981132076</v>
      </c>
      <c r="R30" s="209" t="n">
        <f aca="false">P30+Q30</f>
        <v>117.297169811321</v>
      </c>
      <c r="S30" s="78" t="n">
        <f aca="false">F30*R30</f>
        <v>5864.85849056604</v>
      </c>
      <c r="T30" s="210" t="n">
        <f aca="false">ROUND(S30/$H$9,0)</f>
        <v>117</v>
      </c>
      <c r="U30" s="211" t="n">
        <f aca="false">INT(T30/60)+(MOD(T30,60)/100)</f>
        <v>1.57</v>
      </c>
      <c r="V30" s="95"/>
    </row>
    <row r="31" customFormat="false" ht="14.1" hidden="false" customHeight="true" outlineLevel="0" collapsed="false">
      <c r="B31" s="94"/>
      <c r="C31" s="14"/>
      <c r="D31" s="62" t="s">
        <v>164</v>
      </c>
      <c r="E31" s="62" t="s">
        <v>165</v>
      </c>
      <c r="F31" s="62" t="n">
        <v>0</v>
      </c>
      <c r="G31" s="206" t="n">
        <v>45763</v>
      </c>
      <c r="H31" s="200" t="n">
        <v>23.65</v>
      </c>
      <c r="I31" s="201" t="n">
        <v>20</v>
      </c>
      <c r="J31" s="202" t="n">
        <f aca="false">'SPT density (USD)'!$D$7*I31</f>
        <v>6</v>
      </c>
      <c r="K31" s="202" t="n">
        <f aca="false">SUM(H31:J31)</f>
        <v>49.65</v>
      </c>
      <c r="L31" s="62" t="n">
        <v>100</v>
      </c>
      <c r="M31" s="202" t="n">
        <f aca="false">'SPT density (USD)'!$D$10</f>
        <v>1.696</v>
      </c>
      <c r="N31" s="202" t="n">
        <f aca="false">K31+L31*M31</f>
        <v>219.25</v>
      </c>
      <c r="O31" s="202" t="n">
        <f aca="false">N31-I31-H31</f>
        <v>175.6</v>
      </c>
      <c r="P31" s="202" t="n">
        <f aca="false">(O31/$H$8)</f>
        <v>109.75</v>
      </c>
      <c r="Q31" s="202" t="n">
        <f aca="false">I31/2.65</f>
        <v>7.54716981132076</v>
      </c>
      <c r="R31" s="202" t="n">
        <f aca="false">P31+Q31</f>
        <v>117.297169811321</v>
      </c>
      <c r="S31" s="203" t="n">
        <f aca="false">F31*R31</f>
        <v>0</v>
      </c>
      <c r="T31" s="204" t="n">
        <f aca="false">ROUND(S31/$H$9,0)</f>
        <v>0</v>
      </c>
      <c r="U31" s="205" t="n">
        <f aca="false">INT(T31/60)+(MOD(T31,60)/100)</f>
        <v>0</v>
      </c>
      <c r="V31" s="95"/>
    </row>
    <row r="32" customFormat="false" ht="14.1" hidden="false" customHeight="true" outlineLevel="0" collapsed="false">
      <c r="B32" s="94"/>
      <c r="C32" s="9"/>
      <c r="D32" s="77"/>
      <c r="E32" s="77" t="s">
        <v>165</v>
      </c>
      <c r="F32" s="77" t="n">
        <v>50</v>
      </c>
      <c r="G32" s="206" t="n">
        <v>45763</v>
      </c>
      <c r="H32" s="207" t="n">
        <v>23.65</v>
      </c>
      <c r="I32" s="208" t="n">
        <v>20</v>
      </c>
      <c r="J32" s="209" t="n">
        <f aca="false">'SPT density (USD)'!$D$7*I32</f>
        <v>6</v>
      </c>
      <c r="K32" s="209" t="n">
        <f aca="false">SUM(H32:J32)</f>
        <v>49.65</v>
      </c>
      <c r="L32" s="77" t="n">
        <v>100</v>
      </c>
      <c r="M32" s="209" t="n">
        <f aca="false">'SPT density (USD)'!$D$10</f>
        <v>1.696</v>
      </c>
      <c r="N32" s="209" t="n">
        <f aca="false">K32+L32*M32</f>
        <v>219.25</v>
      </c>
      <c r="O32" s="209" t="n">
        <f aca="false">N32-I32-H32</f>
        <v>175.6</v>
      </c>
      <c r="P32" s="209" t="n">
        <f aca="false">(O32/$H$8)</f>
        <v>109.75</v>
      </c>
      <c r="Q32" s="209" t="n">
        <f aca="false">I32/2.65</f>
        <v>7.54716981132076</v>
      </c>
      <c r="R32" s="209" t="n">
        <f aca="false">P32+Q32</f>
        <v>117.297169811321</v>
      </c>
      <c r="S32" s="78" t="n">
        <f aca="false">F32*R32</f>
        <v>5864.85849056604</v>
      </c>
      <c r="T32" s="210" t="n">
        <f aca="false">ROUND(S32/$H$9,0)</f>
        <v>117</v>
      </c>
      <c r="U32" s="211" t="n">
        <f aca="false">INT(T32/60)+(MOD(T32,60)/100)</f>
        <v>1.57</v>
      </c>
      <c r="V32" s="95"/>
    </row>
    <row r="33" customFormat="false" ht="14.1" hidden="false" customHeight="true" outlineLevel="0" collapsed="false">
      <c r="B33" s="94"/>
      <c r="C33" s="9"/>
      <c r="D33" s="77"/>
      <c r="E33" s="77" t="s">
        <v>166</v>
      </c>
      <c r="F33" s="77" t="n">
        <v>0</v>
      </c>
      <c r="G33" s="206" t="n">
        <v>45763</v>
      </c>
      <c r="H33" s="207" t="n">
        <v>22.61</v>
      </c>
      <c r="I33" s="208" t="n">
        <v>20</v>
      </c>
      <c r="J33" s="209" t="n">
        <f aca="false">'SPT density (USD)'!$D$7*I33</f>
        <v>6</v>
      </c>
      <c r="K33" s="209" t="n">
        <f aca="false">SUM(H33:J33)</f>
        <v>48.61</v>
      </c>
      <c r="L33" s="77" t="n">
        <v>100</v>
      </c>
      <c r="M33" s="209" t="n">
        <f aca="false">'SPT density (USD)'!$D$10</f>
        <v>1.696</v>
      </c>
      <c r="N33" s="209" t="n">
        <f aca="false">K33+L33*M33</f>
        <v>218.21</v>
      </c>
      <c r="O33" s="209" t="n">
        <f aca="false">N33-I33-H33</f>
        <v>175.6</v>
      </c>
      <c r="P33" s="209" t="n">
        <f aca="false">(O33/$H$8)</f>
        <v>109.75</v>
      </c>
      <c r="Q33" s="209" t="n">
        <f aca="false">I33/2.65</f>
        <v>7.54716981132076</v>
      </c>
      <c r="R33" s="209" t="n">
        <f aca="false">P33+Q33</f>
        <v>117.297169811321</v>
      </c>
      <c r="S33" s="78" t="n">
        <f aca="false">F33*R33</f>
        <v>0</v>
      </c>
      <c r="T33" s="210" t="n">
        <f aca="false">ROUND(S33/$H$9,0)</f>
        <v>0</v>
      </c>
      <c r="U33" s="211" t="n">
        <f aca="false">INT(T33/60)+(MOD(T33,60)/100)</f>
        <v>0</v>
      </c>
      <c r="V33" s="95"/>
    </row>
    <row r="34" customFormat="false" ht="14.1" hidden="false" customHeight="true" outlineLevel="0" collapsed="false">
      <c r="B34" s="94"/>
      <c r="C34" s="9"/>
      <c r="D34" s="77"/>
      <c r="E34" s="77" t="s">
        <v>166</v>
      </c>
      <c r="F34" s="77" t="n">
        <v>50</v>
      </c>
      <c r="G34" s="206" t="n">
        <v>45763</v>
      </c>
      <c r="H34" s="207" t="n">
        <v>22.61</v>
      </c>
      <c r="I34" s="208" t="n">
        <v>20</v>
      </c>
      <c r="J34" s="209" t="n">
        <f aca="false">'SPT density (USD)'!$D$7*I34</f>
        <v>6</v>
      </c>
      <c r="K34" s="209" t="n">
        <f aca="false">SUM(H34:J34)</f>
        <v>48.61</v>
      </c>
      <c r="L34" s="77" t="n">
        <v>100</v>
      </c>
      <c r="M34" s="209" t="n">
        <f aca="false">'SPT density (USD)'!$D$10</f>
        <v>1.696</v>
      </c>
      <c r="N34" s="209" t="n">
        <f aca="false">K34+L34*M34</f>
        <v>218.21</v>
      </c>
      <c r="O34" s="209" t="n">
        <f aca="false">N34-I34-H34</f>
        <v>175.6</v>
      </c>
      <c r="P34" s="209" t="n">
        <f aca="false">(O34/$H$8)</f>
        <v>109.75</v>
      </c>
      <c r="Q34" s="209" t="n">
        <f aca="false">I34/2.65</f>
        <v>7.54716981132076</v>
      </c>
      <c r="R34" s="209" t="n">
        <f aca="false">P34+Q34</f>
        <v>117.297169811321</v>
      </c>
      <c r="S34" s="78" t="n">
        <f aca="false">F34*R34</f>
        <v>5864.85849056604</v>
      </c>
      <c r="T34" s="210" t="n">
        <f aca="false">ROUND(S34/$H$9,0)</f>
        <v>117</v>
      </c>
      <c r="U34" s="211" t="n">
        <f aca="false">INT(T34/60)+(MOD(T34,60)/100)</f>
        <v>1.57</v>
      </c>
      <c r="V34" s="95"/>
    </row>
    <row r="35" customFormat="false" ht="14.1" hidden="false" customHeight="true" outlineLevel="0" collapsed="false">
      <c r="B35" s="94"/>
      <c r="C35" s="9"/>
      <c r="D35" s="77"/>
      <c r="E35" s="77" t="s">
        <v>38</v>
      </c>
      <c r="F35" s="77" t="n">
        <v>0</v>
      </c>
      <c r="G35" s="206" t="n">
        <v>45763</v>
      </c>
      <c r="H35" s="207" t="n">
        <v>23.8</v>
      </c>
      <c r="I35" s="208" t="n">
        <v>20</v>
      </c>
      <c r="J35" s="209" t="n">
        <f aca="false">'SPT density (USD)'!$D$7*I35</f>
        <v>6</v>
      </c>
      <c r="K35" s="209" t="n">
        <f aca="false">SUM(H35:J35)</f>
        <v>49.8</v>
      </c>
      <c r="L35" s="77" t="n">
        <v>100</v>
      </c>
      <c r="M35" s="209" t="n">
        <f aca="false">'SPT density (USD)'!$D$10</f>
        <v>1.696</v>
      </c>
      <c r="N35" s="209" t="n">
        <f aca="false">K35+L35*M35</f>
        <v>219.4</v>
      </c>
      <c r="O35" s="209" t="n">
        <f aca="false">N35-I35-H35</f>
        <v>175.6</v>
      </c>
      <c r="P35" s="209" t="n">
        <f aca="false">(O35/$H$8)</f>
        <v>109.75</v>
      </c>
      <c r="Q35" s="209" t="n">
        <f aca="false">I35/2.65</f>
        <v>7.54716981132076</v>
      </c>
      <c r="R35" s="209" t="n">
        <f aca="false">P35+Q35</f>
        <v>117.297169811321</v>
      </c>
      <c r="S35" s="78" t="n">
        <f aca="false">F35*R35</f>
        <v>0</v>
      </c>
      <c r="T35" s="210" t="n">
        <f aca="false">ROUND(S35/$H$9,0)</f>
        <v>0</v>
      </c>
      <c r="U35" s="211" t="n">
        <f aca="false">INT(T35/60)+(MOD(T35,60)/100)</f>
        <v>0</v>
      </c>
      <c r="V35" s="95"/>
    </row>
    <row r="36" customFormat="false" ht="14.1" hidden="false" customHeight="true" outlineLevel="0" collapsed="false">
      <c r="B36" s="94"/>
      <c r="C36" s="9"/>
      <c r="D36" s="77"/>
      <c r="E36" s="77" t="s">
        <v>38</v>
      </c>
      <c r="F36" s="77" t="n">
        <v>50</v>
      </c>
      <c r="G36" s="206" t="n">
        <v>45763</v>
      </c>
      <c r="H36" s="207" t="n">
        <v>23.8</v>
      </c>
      <c r="I36" s="208" t="n">
        <v>20</v>
      </c>
      <c r="J36" s="209" t="n">
        <f aca="false">'SPT density (USD)'!$D$7*I36</f>
        <v>6</v>
      </c>
      <c r="K36" s="209" t="n">
        <f aca="false">SUM(H36:J36)</f>
        <v>49.8</v>
      </c>
      <c r="L36" s="77" t="n">
        <v>100</v>
      </c>
      <c r="M36" s="209" t="n">
        <f aca="false">'SPT density (USD)'!$D$10</f>
        <v>1.696</v>
      </c>
      <c r="N36" s="209" t="n">
        <f aca="false">K36+L36*M36</f>
        <v>219.4</v>
      </c>
      <c r="O36" s="209" t="n">
        <f aca="false">N36-I36-H36</f>
        <v>175.6</v>
      </c>
      <c r="P36" s="209" t="n">
        <f aca="false">(O36/$H$8)</f>
        <v>109.75</v>
      </c>
      <c r="Q36" s="209" t="n">
        <f aca="false">I36/2.65</f>
        <v>7.54716981132076</v>
      </c>
      <c r="R36" s="209" t="n">
        <f aca="false">P36+Q36</f>
        <v>117.297169811321</v>
      </c>
      <c r="S36" s="78" t="n">
        <f aca="false">F36*R36</f>
        <v>5864.85849056604</v>
      </c>
      <c r="T36" s="210" t="n">
        <f aca="false">ROUND(S36/$H$9,0)</f>
        <v>117</v>
      </c>
      <c r="U36" s="211" t="n">
        <f aca="false">INT(T36/60)+(MOD(T36,60)/100)</f>
        <v>1.57</v>
      </c>
      <c r="V36" s="95"/>
    </row>
    <row r="37" customFormat="false" ht="14.1" hidden="false" customHeight="true" outlineLevel="0" collapsed="false">
      <c r="B37" s="94"/>
      <c r="C37" s="9"/>
      <c r="D37" s="77"/>
      <c r="E37" s="77" t="s">
        <v>167</v>
      </c>
      <c r="F37" s="77" t="n">
        <v>0</v>
      </c>
      <c r="G37" s="206" t="n">
        <v>45763</v>
      </c>
      <c r="H37" s="207" t="n">
        <v>24.39</v>
      </c>
      <c r="I37" s="208" t="n">
        <v>20</v>
      </c>
      <c r="J37" s="209" t="n">
        <f aca="false">'SPT density (USD)'!$D$7*I37</f>
        <v>6</v>
      </c>
      <c r="K37" s="209" t="n">
        <f aca="false">SUM(H37:J37)</f>
        <v>50.39</v>
      </c>
      <c r="L37" s="77" t="n">
        <v>100</v>
      </c>
      <c r="M37" s="209" t="n">
        <f aca="false">'SPT density (USD)'!$D$10</f>
        <v>1.696</v>
      </c>
      <c r="N37" s="209" t="n">
        <f aca="false">K37+L37*M37</f>
        <v>219.99</v>
      </c>
      <c r="O37" s="209" t="n">
        <f aca="false">N37-I37-H37</f>
        <v>175.6</v>
      </c>
      <c r="P37" s="209" t="n">
        <f aca="false">(O37/$H$8)</f>
        <v>109.75</v>
      </c>
      <c r="Q37" s="209" t="n">
        <f aca="false">I37/2.65</f>
        <v>7.54716981132076</v>
      </c>
      <c r="R37" s="209" t="n">
        <f aca="false">P37+Q37</f>
        <v>117.297169811321</v>
      </c>
      <c r="S37" s="78" t="n">
        <f aca="false">F37*R37</f>
        <v>0</v>
      </c>
      <c r="T37" s="210" t="n">
        <f aca="false">ROUND(S37/$H$9,0)</f>
        <v>0</v>
      </c>
      <c r="U37" s="211" t="n">
        <f aca="false">INT(T37/60)+(MOD(T37,60)/100)</f>
        <v>0</v>
      </c>
      <c r="V37" s="95"/>
    </row>
    <row r="38" customFormat="false" ht="14.1" hidden="false" customHeight="true" outlineLevel="0" collapsed="false">
      <c r="B38" s="94"/>
      <c r="C38" s="9"/>
      <c r="D38" s="77"/>
      <c r="E38" s="77" t="s">
        <v>167</v>
      </c>
      <c r="F38" s="77" t="n">
        <v>50</v>
      </c>
      <c r="G38" s="206" t="n">
        <v>45763</v>
      </c>
      <c r="H38" s="207" t="n">
        <v>24.39</v>
      </c>
      <c r="I38" s="208" t="n">
        <v>20</v>
      </c>
      <c r="J38" s="209" t="n">
        <f aca="false">'SPT density (USD)'!$D$7*I38</f>
        <v>6</v>
      </c>
      <c r="K38" s="209" t="n">
        <f aca="false">SUM(H38:J38)</f>
        <v>50.39</v>
      </c>
      <c r="L38" s="77" t="n">
        <v>100</v>
      </c>
      <c r="M38" s="209" t="n">
        <f aca="false">'SPT density (USD)'!$D$10</f>
        <v>1.696</v>
      </c>
      <c r="N38" s="209" t="n">
        <f aca="false">K38+L38*M38</f>
        <v>219.99</v>
      </c>
      <c r="O38" s="209" t="n">
        <f aca="false">N38-I38-H38</f>
        <v>175.6</v>
      </c>
      <c r="P38" s="209" t="n">
        <f aca="false">(O38/$H$8)</f>
        <v>109.75</v>
      </c>
      <c r="Q38" s="209" t="n">
        <f aca="false">I38/2.65</f>
        <v>7.54716981132076</v>
      </c>
      <c r="R38" s="209" t="n">
        <f aca="false">P38+Q38</f>
        <v>117.297169811321</v>
      </c>
      <c r="S38" s="78" t="n">
        <f aca="false">F38*R38</f>
        <v>5864.85849056604</v>
      </c>
      <c r="T38" s="210" t="n">
        <f aca="false">ROUND(S38/$H$9,0)</f>
        <v>117</v>
      </c>
      <c r="U38" s="211" t="n">
        <f aca="false">INT(T38/60)+(MOD(T38,60)/100)</f>
        <v>1.57</v>
      </c>
      <c r="V38" s="95"/>
    </row>
    <row r="39" customFormat="false" ht="14.1" hidden="false" customHeight="true" outlineLevel="0" collapsed="false">
      <c r="B39" s="94"/>
      <c r="C39" s="9"/>
      <c r="D39" s="77"/>
      <c r="E39" s="77" t="s">
        <v>168</v>
      </c>
      <c r="F39" s="77" t="n">
        <v>0</v>
      </c>
      <c r="G39" s="206" t="n">
        <v>45764</v>
      </c>
      <c r="H39" s="207" t="n">
        <v>23.78</v>
      </c>
      <c r="I39" s="208" t="n">
        <v>20</v>
      </c>
      <c r="J39" s="209" t="n">
        <f aca="false">'SPT density (USD)'!$D$7*I39</f>
        <v>6</v>
      </c>
      <c r="K39" s="209" t="n">
        <f aca="false">SUM(H39:J39)</f>
        <v>49.78</v>
      </c>
      <c r="L39" s="77" t="n">
        <v>100</v>
      </c>
      <c r="M39" s="209" t="n">
        <f aca="false">'SPT density (USD)'!$D$10</f>
        <v>1.696</v>
      </c>
      <c r="N39" s="209" t="n">
        <f aca="false">K39+L39*M39</f>
        <v>219.38</v>
      </c>
      <c r="O39" s="209" t="n">
        <f aca="false">N39-I39-H39</f>
        <v>175.6</v>
      </c>
      <c r="P39" s="209" t="n">
        <f aca="false">(O39/$H$8)</f>
        <v>109.75</v>
      </c>
      <c r="Q39" s="209" t="n">
        <f aca="false">I39/2.65</f>
        <v>7.54716981132076</v>
      </c>
      <c r="R39" s="209" t="n">
        <f aca="false">P39+Q39</f>
        <v>117.297169811321</v>
      </c>
      <c r="S39" s="78" t="n">
        <f aca="false">F39*R39</f>
        <v>0</v>
      </c>
      <c r="T39" s="210" t="n">
        <f aca="false">ROUND(S39/$H$9,0)</f>
        <v>0</v>
      </c>
      <c r="U39" s="211" t="n">
        <f aca="false">INT(T39/60)+(MOD(T39,60)/100)</f>
        <v>0</v>
      </c>
      <c r="V39" s="95"/>
    </row>
    <row r="40" customFormat="false" ht="14.1" hidden="false" customHeight="true" outlineLevel="0" collapsed="false">
      <c r="B40" s="94"/>
      <c r="C40" s="9"/>
      <c r="D40" s="77"/>
      <c r="E40" s="77" t="s">
        <v>168</v>
      </c>
      <c r="F40" s="77" t="n">
        <v>50</v>
      </c>
      <c r="G40" s="206" t="n">
        <v>45764</v>
      </c>
      <c r="H40" s="207" t="n">
        <v>23.78</v>
      </c>
      <c r="I40" s="208" t="n">
        <v>20</v>
      </c>
      <c r="J40" s="209" t="n">
        <f aca="false">'SPT density (USD)'!$D$7*I40</f>
        <v>6</v>
      </c>
      <c r="K40" s="209" t="n">
        <f aca="false">SUM(H40:J40)</f>
        <v>49.78</v>
      </c>
      <c r="L40" s="77" t="n">
        <v>100</v>
      </c>
      <c r="M40" s="209" t="n">
        <f aca="false">'SPT density (USD)'!$D$10</f>
        <v>1.696</v>
      </c>
      <c r="N40" s="209" t="n">
        <f aca="false">K40+L40*M40</f>
        <v>219.38</v>
      </c>
      <c r="O40" s="209" t="n">
        <f aca="false">N40-I40-H40</f>
        <v>175.6</v>
      </c>
      <c r="P40" s="209" t="n">
        <f aca="false">(O40/$H$8)</f>
        <v>109.75</v>
      </c>
      <c r="Q40" s="209" t="n">
        <f aca="false">I40/2.65</f>
        <v>7.54716981132076</v>
      </c>
      <c r="R40" s="209" t="n">
        <f aca="false">P40+Q40</f>
        <v>117.297169811321</v>
      </c>
      <c r="S40" s="78" t="n">
        <f aca="false">F40*R40</f>
        <v>5864.85849056604</v>
      </c>
      <c r="T40" s="210" t="n">
        <f aca="false">ROUND(S40/$H$9,0)</f>
        <v>117</v>
      </c>
      <c r="U40" s="211" t="n">
        <f aca="false">INT(T40/60)+(MOD(T40,60)/100)</f>
        <v>1.57</v>
      </c>
      <c r="V40" s="95"/>
    </row>
    <row r="41" customFormat="false" ht="14.1" hidden="false" customHeight="true" outlineLevel="0" collapsed="false">
      <c r="B41" s="94"/>
      <c r="C41" s="9"/>
      <c r="D41" s="77"/>
      <c r="E41" s="77" t="s">
        <v>39</v>
      </c>
      <c r="F41" s="77" t="n">
        <v>0</v>
      </c>
      <c r="G41" s="206" t="n">
        <v>45764</v>
      </c>
      <c r="H41" s="207" t="n">
        <v>22.01</v>
      </c>
      <c r="I41" s="208" t="n">
        <v>20</v>
      </c>
      <c r="J41" s="209" t="n">
        <f aca="false">'SPT density (USD)'!$D$7*I41</f>
        <v>6</v>
      </c>
      <c r="K41" s="209" t="n">
        <f aca="false">SUM(H41:J41)</f>
        <v>48.01</v>
      </c>
      <c r="L41" s="77" t="n">
        <v>100</v>
      </c>
      <c r="M41" s="209" t="n">
        <f aca="false">'SPT density (USD)'!$D$10</f>
        <v>1.696</v>
      </c>
      <c r="N41" s="209" t="n">
        <f aca="false">K41+L41*M41</f>
        <v>217.61</v>
      </c>
      <c r="O41" s="209" t="n">
        <f aca="false">N41-I41-H41</f>
        <v>175.6</v>
      </c>
      <c r="P41" s="209" t="n">
        <f aca="false">(O41/$H$8)</f>
        <v>109.75</v>
      </c>
      <c r="Q41" s="209" t="n">
        <f aca="false">I41/2.65</f>
        <v>7.54716981132076</v>
      </c>
      <c r="R41" s="209" t="n">
        <f aca="false">P41+Q41</f>
        <v>117.297169811321</v>
      </c>
      <c r="S41" s="78" t="n">
        <f aca="false">F41*R41</f>
        <v>0</v>
      </c>
      <c r="T41" s="210" t="n">
        <f aca="false">ROUND(S41/$H$9,0)</f>
        <v>0</v>
      </c>
      <c r="U41" s="211" t="n">
        <f aca="false">INT(T41/60)+(MOD(T41,60)/100)</f>
        <v>0</v>
      </c>
      <c r="V41" s="95"/>
    </row>
    <row r="42" customFormat="false" ht="14.1" hidden="false" customHeight="true" outlineLevel="0" collapsed="false">
      <c r="B42" s="94"/>
      <c r="C42" s="9"/>
      <c r="D42" s="77"/>
      <c r="E42" s="77" t="s">
        <v>39</v>
      </c>
      <c r="F42" s="77" t="n">
        <v>50</v>
      </c>
      <c r="G42" s="206" t="n">
        <v>45764</v>
      </c>
      <c r="H42" s="207" t="n">
        <v>22.01</v>
      </c>
      <c r="I42" s="208" t="n">
        <v>20</v>
      </c>
      <c r="J42" s="209" t="n">
        <f aca="false">'SPT density (USD)'!$D$7*I42</f>
        <v>6</v>
      </c>
      <c r="K42" s="209" t="n">
        <f aca="false">SUM(H42:J42)</f>
        <v>48.01</v>
      </c>
      <c r="L42" s="77" t="n">
        <v>100</v>
      </c>
      <c r="M42" s="209" t="n">
        <f aca="false">'SPT density (USD)'!$D$10</f>
        <v>1.696</v>
      </c>
      <c r="N42" s="209" t="n">
        <f aca="false">K42+L42*M42</f>
        <v>217.61</v>
      </c>
      <c r="O42" s="209" t="n">
        <f aca="false">N42-I42-H42</f>
        <v>175.6</v>
      </c>
      <c r="P42" s="209" t="n">
        <f aca="false">(O42/$H$8)</f>
        <v>109.75</v>
      </c>
      <c r="Q42" s="209" t="n">
        <f aca="false">I42/2.65</f>
        <v>7.54716981132076</v>
      </c>
      <c r="R42" s="209" t="n">
        <f aca="false">P42+Q42</f>
        <v>117.297169811321</v>
      </c>
      <c r="S42" s="78" t="n">
        <f aca="false">F42*R42</f>
        <v>5864.85849056604</v>
      </c>
      <c r="T42" s="210" t="n">
        <f aca="false">ROUND(S42/$H$9,0)</f>
        <v>117</v>
      </c>
      <c r="U42" s="211" t="n">
        <f aca="false">INT(T42/60)+(MOD(T42,60)/100)</f>
        <v>1.57</v>
      </c>
      <c r="V42" s="95"/>
    </row>
    <row r="43" customFormat="false" ht="14.1" hidden="false" customHeight="true" outlineLevel="0" collapsed="false">
      <c r="B43" s="94"/>
      <c r="C43" s="9"/>
      <c r="D43" s="77"/>
      <c r="E43" s="77" t="s">
        <v>169</v>
      </c>
      <c r="F43" s="77" t="n">
        <v>0</v>
      </c>
      <c r="G43" s="206" t="n">
        <v>45764</v>
      </c>
      <c r="H43" s="207" t="n">
        <v>22.58</v>
      </c>
      <c r="I43" s="208" t="n">
        <v>20</v>
      </c>
      <c r="J43" s="209" t="n">
        <f aca="false">'SPT density (USD)'!$D$7*I43</f>
        <v>6</v>
      </c>
      <c r="K43" s="209" t="n">
        <f aca="false">SUM(H43:J43)</f>
        <v>48.58</v>
      </c>
      <c r="L43" s="77" t="n">
        <v>100</v>
      </c>
      <c r="M43" s="209" t="n">
        <f aca="false">'SPT density (USD)'!$D$10</f>
        <v>1.696</v>
      </c>
      <c r="N43" s="209" t="n">
        <f aca="false">K43+L43*M43</f>
        <v>218.18</v>
      </c>
      <c r="O43" s="209" t="n">
        <f aca="false">N43-I43-H43</f>
        <v>175.6</v>
      </c>
      <c r="P43" s="209" t="n">
        <f aca="false">(O43/$H$8)</f>
        <v>109.75</v>
      </c>
      <c r="Q43" s="209" t="n">
        <f aca="false">I43/2.65</f>
        <v>7.54716981132076</v>
      </c>
      <c r="R43" s="209" t="n">
        <f aca="false">P43+Q43</f>
        <v>117.297169811321</v>
      </c>
      <c r="S43" s="78" t="n">
        <f aca="false">F43*R43</f>
        <v>0</v>
      </c>
      <c r="T43" s="210" t="n">
        <f aca="false">ROUND(S43/$H$9,0)</f>
        <v>0</v>
      </c>
      <c r="U43" s="211" t="n">
        <f aca="false">INT(T43/60)+(MOD(T43,60)/100)</f>
        <v>0</v>
      </c>
      <c r="V43" s="95"/>
    </row>
    <row r="44" customFormat="false" ht="14.1" hidden="false" customHeight="true" outlineLevel="0" collapsed="false">
      <c r="B44" s="94"/>
      <c r="C44" s="9"/>
      <c r="D44" s="77"/>
      <c r="E44" s="77" t="s">
        <v>169</v>
      </c>
      <c r="F44" s="77" t="n">
        <v>50</v>
      </c>
      <c r="G44" s="206" t="n">
        <v>45764</v>
      </c>
      <c r="H44" s="207" t="n">
        <v>22.58</v>
      </c>
      <c r="I44" s="208" t="n">
        <v>20</v>
      </c>
      <c r="J44" s="209" t="n">
        <f aca="false">'SPT density (USD)'!$D$7*I44</f>
        <v>6</v>
      </c>
      <c r="K44" s="209" t="n">
        <f aca="false">SUM(H44:J44)</f>
        <v>48.58</v>
      </c>
      <c r="L44" s="77" t="n">
        <v>100</v>
      </c>
      <c r="M44" s="209" t="n">
        <f aca="false">'SPT density (USD)'!$D$10</f>
        <v>1.696</v>
      </c>
      <c r="N44" s="209" t="n">
        <f aca="false">K44+L44*M44</f>
        <v>218.18</v>
      </c>
      <c r="O44" s="209" t="n">
        <f aca="false">N44-I44-H44</f>
        <v>175.6</v>
      </c>
      <c r="P44" s="209" t="n">
        <f aca="false">(O44/$H$8)</f>
        <v>109.75</v>
      </c>
      <c r="Q44" s="209" t="n">
        <f aca="false">I44/2.65</f>
        <v>7.54716981132076</v>
      </c>
      <c r="R44" s="209" t="n">
        <f aca="false">P44+Q44</f>
        <v>117.297169811321</v>
      </c>
      <c r="S44" s="78" t="n">
        <f aca="false">F44*R44</f>
        <v>5864.85849056604</v>
      </c>
      <c r="T44" s="210" t="n">
        <f aca="false">ROUND(S44/$H$9,0)</f>
        <v>117</v>
      </c>
      <c r="U44" s="211" t="n">
        <f aca="false">INT(T44/60)+(MOD(T44,60)/100)</f>
        <v>1.57</v>
      </c>
      <c r="V44" s="95"/>
    </row>
    <row r="45" customFormat="false" ht="14.1" hidden="false" customHeight="true" outlineLevel="0" collapsed="false">
      <c r="B45" s="94"/>
      <c r="C45" s="9"/>
      <c r="D45" s="77"/>
      <c r="E45" s="77" t="s">
        <v>170</v>
      </c>
      <c r="F45" s="77" t="n">
        <v>0</v>
      </c>
      <c r="G45" s="206" t="n">
        <v>45764</v>
      </c>
      <c r="H45" s="207" t="n">
        <v>22.6</v>
      </c>
      <c r="I45" s="208" t="n">
        <v>20</v>
      </c>
      <c r="J45" s="209" t="n">
        <f aca="false">'SPT density (USD)'!$D$7*I45</f>
        <v>6</v>
      </c>
      <c r="K45" s="209" t="n">
        <f aca="false">SUM(H45:J45)</f>
        <v>48.6</v>
      </c>
      <c r="L45" s="77" t="n">
        <v>100</v>
      </c>
      <c r="M45" s="209" t="n">
        <f aca="false">'SPT density (USD)'!$D$10</f>
        <v>1.696</v>
      </c>
      <c r="N45" s="209" t="n">
        <f aca="false">K45+L45*M45</f>
        <v>218.2</v>
      </c>
      <c r="O45" s="209" t="n">
        <f aca="false">N45-I45-H45</f>
        <v>175.6</v>
      </c>
      <c r="P45" s="209" t="n">
        <f aca="false">(O45/$H$8)</f>
        <v>109.75</v>
      </c>
      <c r="Q45" s="209" t="n">
        <f aca="false">I45/2.65</f>
        <v>7.54716981132076</v>
      </c>
      <c r="R45" s="209" t="n">
        <f aca="false">P45+Q45</f>
        <v>117.297169811321</v>
      </c>
      <c r="S45" s="78" t="n">
        <f aca="false">F45*R45</f>
        <v>0</v>
      </c>
      <c r="T45" s="210" t="n">
        <f aca="false">ROUND(S45/$H$9,0)</f>
        <v>0</v>
      </c>
      <c r="U45" s="211" t="n">
        <f aca="false">INT(T45/60)+(MOD(T45,60)/100)</f>
        <v>0</v>
      </c>
      <c r="V45" s="95"/>
    </row>
    <row r="46" customFormat="false" ht="14.1" hidden="false" customHeight="true" outlineLevel="0" collapsed="false">
      <c r="B46" s="94"/>
      <c r="C46" s="88"/>
      <c r="D46" s="89"/>
      <c r="E46" s="89" t="s">
        <v>170</v>
      </c>
      <c r="F46" s="89" t="n">
        <v>50</v>
      </c>
      <c r="G46" s="212" t="n">
        <v>45764</v>
      </c>
      <c r="H46" s="213" t="n">
        <v>22.6</v>
      </c>
      <c r="I46" s="30" t="n">
        <v>20</v>
      </c>
      <c r="J46" s="194" t="n">
        <f aca="false">'SPT density (USD)'!$D$7*I46</f>
        <v>6</v>
      </c>
      <c r="K46" s="209" t="n">
        <f aca="false">SUM(H46:J46)</f>
        <v>48.6</v>
      </c>
      <c r="L46" s="89" t="n">
        <v>100</v>
      </c>
      <c r="M46" s="209" t="n">
        <f aca="false">'SPT density (USD)'!$D$10</f>
        <v>1.696</v>
      </c>
      <c r="N46" s="209" t="n">
        <f aca="false">K46+L46*M46</f>
        <v>218.2</v>
      </c>
      <c r="O46" s="209" t="n">
        <f aca="false">N46-I46-H46</f>
        <v>175.6</v>
      </c>
      <c r="P46" s="209" t="n">
        <f aca="false">(O46/$H$8)</f>
        <v>109.75</v>
      </c>
      <c r="Q46" s="209" t="n">
        <f aca="false">I46/2.65</f>
        <v>7.54716981132076</v>
      </c>
      <c r="R46" s="209" t="n">
        <f aca="false">P46+Q46</f>
        <v>117.297169811321</v>
      </c>
      <c r="S46" s="78" t="n">
        <f aca="false">F46*R46</f>
        <v>5864.85849056604</v>
      </c>
      <c r="T46" s="210" t="n">
        <f aca="false">ROUND(S46/$H$9,0)</f>
        <v>117</v>
      </c>
      <c r="U46" s="211" t="n">
        <f aca="false">INT(T46/60)+(MOD(T46,60)/100)</f>
        <v>1.57</v>
      </c>
      <c r="V46" s="95"/>
    </row>
    <row r="47" customFormat="false" ht="14.1" hidden="false" customHeight="true" outlineLevel="0" collapsed="false">
      <c r="B47" s="94"/>
      <c r="C47" s="14"/>
      <c r="D47" s="62" t="s">
        <v>171</v>
      </c>
      <c r="E47" s="62" t="s">
        <v>172</v>
      </c>
      <c r="F47" s="62" t="n">
        <v>0</v>
      </c>
      <c r="G47" s="199" t="n">
        <v>45764</v>
      </c>
      <c r="H47" s="200" t="n">
        <v>25.08</v>
      </c>
      <c r="I47" s="201" t="n">
        <v>20</v>
      </c>
      <c r="J47" s="202" t="n">
        <f aca="false">'SPT density (USD)'!$D$7*I47</f>
        <v>6</v>
      </c>
      <c r="K47" s="202" t="n">
        <f aca="false">SUM(H47:J47)</f>
        <v>51.08</v>
      </c>
      <c r="L47" s="62" t="n">
        <v>100</v>
      </c>
      <c r="M47" s="202" t="n">
        <f aca="false">'SPT density (USD)'!$D$10</f>
        <v>1.696</v>
      </c>
      <c r="N47" s="202" t="n">
        <f aca="false">K47+L47*M47</f>
        <v>220.68</v>
      </c>
      <c r="O47" s="202" t="n">
        <f aca="false">N47-I47-H47</f>
        <v>175.6</v>
      </c>
      <c r="P47" s="202" t="n">
        <f aca="false">(O47/$H$8)</f>
        <v>109.75</v>
      </c>
      <c r="Q47" s="202" t="n">
        <f aca="false">I47/2.65</f>
        <v>7.54716981132076</v>
      </c>
      <c r="R47" s="202" t="n">
        <f aca="false">P47+Q47</f>
        <v>117.297169811321</v>
      </c>
      <c r="S47" s="203" t="n">
        <f aca="false">F47*R47</f>
        <v>0</v>
      </c>
      <c r="T47" s="204" t="n">
        <f aca="false">ROUND(S47/$H$9,0)</f>
        <v>0</v>
      </c>
      <c r="U47" s="205" t="n">
        <f aca="false">INT(T47/60)+(MOD(T47,60)/100)</f>
        <v>0</v>
      </c>
      <c r="V47" s="95"/>
    </row>
    <row r="48" customFormat="false" ht="14.1" hidden="false" customHeight="true" outlineLevel="0" collapsed="false">
      <c r="B48" s="94"/>
      <c r="C48" s="9"/>
      <c r="D48" s="77"/>
      <c r="E48" s="77" t="s">
        <v>172</v>
      </c>
      <c r="F48" s="77" t="n">
        <v>50</v>
      </c>
      <c r="G48" s="206" t="n">
        <v>45764</v>
      </c>
      <c r="H48" s="207" t="n">
        <v>25.08</v>
      </c>
      <c r="I48" s="208" t="n">
        <v>20</v>
      </c>
      <c r="J48" s="209" t="n">
        <f aca="false">'SPT density (USD)'!$D$7*I48</f>
        <v>6</v>
      </c>
      <c r="K48" s="209" t="n">
        <f aca="false">SUM(H48:J48)</f>
        <v>51.08</v>
      </c>
      <c r="L48" s="77" t="n">
        <v>100</v>
      </c>
      <c r="M48" s="209" t="n">
        <f aca="false">'SPT density (USD)'!$D$10</f>
        <v>1.696</v>
      </c>
      <c r="N48" s="209" t="n">
        <f aca="false">K48+L48*M48</f>
        <v>220.68</v>
      </c>
      <c r="O48" s="209" t="n">
        <f aca="false">N48-I48-H48</f>
        <v>175.6</v>
      </c>
      <c r="P48" s="209" t="n">
        <f aca="false">(O48/$H$8)</f>
        <v>109.75</v>
      </c>
      <c r="Q48" s="209" t="n">
        <f aca="false">I48/2.65</f>
        <v>7.54716981132076</v>
      </c>
      <c r="R48" s="209" t="n">
        <f aca="false">P48+Q48</f>
        <v>117.297169811321</v>
      </c>
      <c r="S48" s="78" t="n">
        <f aca="false">F48*R48</f>
        <v>5864.85849056604</v>
      </c>
      <c r="T48" s="210" t="n">
        <f aca="false">ROUND(S48/$H$9,0)</f>
        <v>117</v>
      </c>
      <c r="U48" s="211" t="n">
        <f aca="false">INT(T48/60)+(MOD(T48,60)/100)</f>
        <v>1.57</v>
      </c>
      <c r="V48" s="95"/>
    </row>
    <row r="49" customFormat="false" ht="14.1" hidden="false" customHeight="true" outlineLevel="0" collapsed="false">
      <c r="B49" s="94"/>
      <c r="C49" s="9"/>
      <c r="D49" s="77"/>
      <c r="E49" s="77" t="s">
        <v>173</v>
      </c>
      <c r="F49" s="77" t="n">
        <v>0</v>
      </c>
      <c r="G49" s="206" t="n">
        <v>45764</v>
      </c>
      <c r="H49" s="207" t="n">
        <v>22.62</v>
      </c>
      <c r="I49" s="208" t="n">
        <v>20</v>
      </c>
      <c r="J49" s="209" t="n">
        <f aca="false">'SPT density (USD)'!$D$7*I49</f>
        <v>6</v>
      </c>
      <c r="K49" s="209" t="n">
        <f aca="false">SUM(H49:J49)</f>
        <v>48.62</v>
      </c>
      <c r="L49" s="77" t="n">
        <v>100</v>
      </c>
      <c r="M49" s="209" t="n">
        <f aca="false">'SPT density (USD)'!$D$10</f>
        <v>1.696</v>
      </c>
      <c r="N49" s="209" t="n">
        <f aca="false">K49+L49*M49</f>
        <v>218.22</v>
      </c>
      <c r="O49" s="209" t="n">
        <f aca="false">N49-I49-H49</f>
        <v>175.6</v>
      </c>
      <c r="P49" s="209" t="n">
        <f aca="false">(O49/$H$8)</f>
        <v>109.75</v>
      </c>
      <c r="Q49" s="209" t="n">
        <f aca="false">I49/2.65</f>
        <v>7.54716981132076</v>
      </c>
      <c r="R49" s="209" t="n">
        <f aca="false">P49+Q49</f>
        <v>117.297169811321</v>
      </c>
      <c r="S49" s="78" t="n">
        <f aca="false">F49*R49</f>
        <v>0</v>
      </c>
      <c r="T49" s="210" t="n">
        <f aca="false">ROUND(S49/$H$9,0)</f>
        <v>0</v>
      </c>
      <c r="U49" s="211" t="n">
        <f aca="false">INT(T49/60)+(MOD(T49,60)/100)</f>
        <v>0</v>
      </c>
      <c r="V49" s="95"/>
    </row>
    <row r="50" customFormat="false" ht="14.1" hidden="false" customHeight="true" outlineLevel="0" collapsed="false">
      <c r="B50" s="94"/>
      <c r="C50" s="9"/>
      <c r="D50" s="77"/>
      <c r="E50" s="77" t="s">
        <v>173</v>
      </c>
      <c r="F50" s="77" t="n">
        <v>50</v>
      </c>
      <c r="G50" s="206" t="n">
        <v>45764</v>
      </c>
      <c r="H50" s="207" t="n">
        <v>22.62</v>
      </c>
      <c r="I50" s="208" t="n">
        <v>20</v>
      </c>
      <c r="J50" s="209" t="n">
        <f aca="false">'SPT density (USD)'!$D$7*I50</f>
        <v>6</v>
      </c>
      <c r="K50" s="209" t="n">
        <f aca="false">SUM(H50:J50)</f>
        <v>48.62</v>
      </c>
      <c r="L50" s="77" t="n">
        <v>100</v>
      </c>
      <c r="M50" s="209" t="n">
        <f aca="false">'SPT density (USD)'!$D$10</f>
        <v>1.696</v>
      </c>
      <c r="N50" s="209" t="n">
        <f aca="false">K50+L50*M50</f>
        <v>218.22</v>
      </c>
      <c r="O50" s="209" t="n">
        <f aca="false">N50-I50-H50</f>
        <v>175.6</v>
      </c>
      <c r="P50" s="209" t="n">
        <f aca="false">(O50/$H$8)</f>
        <v>109.75</v>
      </c>
      <c r="Q50" s="209" t="n">
        <f aca="false">I50/2.65</f>
        <v>7.54716981132076</v>
      </c>
      <c r="R50" s="209" t="n">
        <f aca="false">P50+Q50</f>
        <v>117.297169811321</v>
      </c>
      <c r="S50" s="78" t="n">
        <f aca="false">F50*R50</f>
        <v>5864.85849056604</v>
      </c>
      <c r="T50" s="210" t="n">
        <f aca="false">ROUND(S50/$H$9,0)</f>
        <v>117</v>
      </c>
      <c r="U50" s="211" t="n">
        <f aca="false">INT(T50/60)+(MOD(T50,60)/100)</f>
        <v>1.57</v>
      </c>
      <c r="V50" s="95"/>
    </row>
    <row r="51" customFormat="false" ht="14.1" hidden="false" customHeight="true" outlineLevel="0" collapsed="false">
      <c r="B51" s="94"/>
      <c r="C51" s="9"/>
      <c r="D51" s="77"/>
      <c r="E51" s="77" t="s">
        <v>36</v>
      </c>
      <c r="F51" s="77" t="n">
        <v>0</v>
      </c>
      <c r="G51" s="206" t="n">
        <v>45764</v>
      </c>
      <c r="H51" s="207" t="n">
        <v>23.59</v>
      </c>
      <c r="I51" s="208" t="n">
        <v>20</v>
      </c>
      <c r="J51" s="209" t="n">
        <f aca="false">'SPT density (USD)'!$D$7*I51</f>
        <v>6</v>
      </c>
      <c r="K51" s="209" t="n">
        <f aca="false">SUM(H51:J51)</f>
        <v>49.59</v>
      </c>
      <c r="L51" s="77" t="n">
        <v>100</v>
      </c>
      <c r="M51" s="209" t="n">
        <f aca="false">'SPT density (USD)'!$D$10</f>
        <v>1.696</v>
      </c>
      <c r="N51" s="209" t="n">
        <f aca="false">K51+L51*M51</f>
        <v>219.19</v>
      </c>
      <c r="O51" s="209" t="n">
        <f aca="false">N51-I51-H51</f>
        <v>175.6</v>
      </c>
      <c r="P51" s="209" t="n">
        <f aca="false">(O51/$H$8)</f>
        <v>109.75</v>
      </c>
      <c r="Q51" s="209" t="n">
        <f aca="false">I51/2.65</f>
        <v>7.54716981132076</v>
      </c>
      <c r="R51" s="209" t="n">
        <f aca="false">P51+Q51</f>
        <v>117.297169811321</v>
      </c>
      <c r="S51" s="78" t="n">
        <f aca="false">F51*R51</f>
        <v>0</v>
      </c>
      <c r="T51" s="210" t="n">
        <f aca="false">ROUND(S51/$H$9,0)</f>
        <v>0</v>
      </c>
      <c r="U51" s="211" t="n">
        <f aca="false">INT(T51/60)+(MOD(T51,60)/100)</f>
        <v>0</v>
      </c>
      <c r="V51" s="95"/>
    </row>
    <row r="52" customFormat="false" ht="14.1" hidden="false" customHeight="true" outlineLevel="0" collapsed="false">
      <c r="B52" s="94"/>
      <c r="C52" s="9"/>
      <c r="D52" s="77"/>
      <c r="E52" s="77" t="s">
        <v>36</v>
      </c>
      <c r="F52" s="77" t="n">
        <v>50</v>
      </c>
      <c r="G52" s="206" t="n">
        <v>45764</v>
      </c>
      <c r="H52" s="207" t="n">
        <v>23.59</v>
      </c>
      <c r="I52" s="208" t="n">
        <v>20</v>
      </c>
      <c r="J52" s="209" t="n">
        <f aca="false">'SPT density (USD)'!$D$7*I52</f>
        <v>6</v>
      </c>
      <c r="K52" s="209" t="n">
        <f aca="false">SUM(H52:J52)</f>
        <v>49.59</v>
      </c>
      <c r="L52" s="77" t="n">
        <v>100</v>
      </c>
      <c r="M52" s="209" t="n">
        <f aca="false">'SPT density (USD)'!$D$10</f>
        <v>1.696</v>
      </c>
      <c r="N52" s="209" t="n">
        <f aca="false">K52+L52*M52</f>
        <v>219.19</v>
      </c>
      <c r="O52" s="209" t="n">
        <f aca="false">N52-I52-H52</f>
        <v>175.6</v>
      </c>
      <c r="P52" s="209" t="n">
        <f aca="false">(O52/$H$8)</f>
        <v>109.75</v>
      </c>
      <c r="Q52" s="209" t="n">
        <f aca="false">I52/2.65</f>
        <v>7.54716981132076</v>
      </c>
      <c r="R52" s="209" t="n">
        <f aca="false">P52+Q52</f>
        <v>117.297169811321</v>
      </c>
      <c r="S52" s="78" t="n">
        <f aca="false">F52*R52</f>
        <v>5864.85849056604</v>
      </c>
      <c r="T52" s="210" t="n">
        <f aca="false">ROUND(S52/$H$9,0)</f>
        <v>117</v>
      </c>
      <c r="U52" s="211" t="n">
        <f aca="false">INT(T52/60)+(MOD(T52,60)/100)</f>
        <v>1.57</v>
      </c>
      <c r="V52" s="95"/>
    </row>
    <row r="53" customFormat="false" ht="14.1" hidden="false" customHeight="true" outlineLevel="0" collapsed="false">
      <c r="B53" s="94"/>
      <c r="C53" s="9"/>
      <c r="D53" s="77"/>
      <c r="E53" s="77" t="s">
        <v>174</v>
      </c>
      <c r="F53" s="77" t="n">
        <v>0</v>
      </c>
      <c r="G53" s="206" t="n">
        <v>45764</v>
      </c>
      <c r="H53" s="207" t="n">
        <v>22.65</v>
      </c>
      <c r="I53" s="208" t="n">
        <v>20</v>
      </c>
      <c r="J53" s="209" t="n">
        <f aca="false">'SPT density (USD)'!$D$7*I53</f>
        <v>6</v>
      </c>
      <c r="K53" s="209" t="n">
        <f aca="false">SUM(H53:J53)</f>
        <v>48.65</v>
      </c>
      <c r="L53" s="77" t="n">
        <v>100</v>
      </c>
      <c r="M53" s="209" t="n">
        <f aca="false">'SPT density (USD)'!$D$10</f>
        <v>1.696</v>
      </c>
      <c r="N53" s="209" t="n">
        <f aca="false">K53+L53*M53</f>
        <v>218.25</v>
      </c>
      <c r="O53" s="209" t="n">
        <f aca="false">N53-I53-H53</f>
        <v>175.6</v>
      </c>
      <c r="P53" s="209" t="n">
        <f aca="false">(O53/$H$8)</f>
        <v>109.75</v>
      </c>
      <c r="Q53" s="209" t="n">
        <f aca="false">I53/2.65</f>
        <v>7.54716981132076</v>
      </c>
      <c r="R53" s="209" t="n">
        <f aca="false">P53+Q53</f>
        <v>117.297169811321</v>
      </c>
      <c r="S53" s="78" t="n">
        <f aca="false">F53*R53</f>
        <v>0</v>
      </c>
      <c r="T53" s="210" t="n">
        <f aca="false">ROUND(S53/$H$9,0)</f>
        <v>0</v>
      </c>
      <c r="U53" s="211" t="n">
        <f aca="false">INT(T53/60)+(MOD(T53,60)/100)</f>
        <v>0</v>
      </c>
      <c r="V53" s="95"/>
    </row>
    <row r="54" customFormat="false" ht="14.1" hidden="false" customHeight="true" outlineLevel="0" collapsed="false">
      <c r="B54" s="94"/>
      <c r="C54" s="9"/>
      <c r="D54" s="77"/>
      <c r="E54" s="77" t="s">
        <v>174</v>
      </c>
      <c r="F54" s="77" t="n">
        <v>50</v>
      </c>
      <c r="G54" s="206" t="n">
        <v>45764</v>
      </c>
      <c r="H54" s="207" t="n">
        <v>22.65</v>
      </c>
      <c r="I54" s="208" t="n">
        <v>20</v>
      </c>
      <c r="J54" s="209" t="n">
        <f aca="false">'SPT density (USD)'!$D$7*I54</f>
        <v>6</v>
      </c>
      <c r="K54" s="209" t="n">
        <f aca="false">SUM(H54:J54)</f>
        <v>48.65</v>
      </c>
      <c r="L54" s="77" t="n">
        <v>100</v>
      </c>
      <c r="M54" s="209" t="n">
        <f aca="false">'SPT density (USD)'!$D$10</f>
        <v>1.696</v>
      </c>
      <c r="N54" s="209" t="n">
        <f aca="false">K54+L54*M54</f>
        <v>218.25</v>
      </c>
      <c r="O54" s="209" t="n">
        <f aca="false">N54-I54-H54</f>
        <v>175.6</v>
      </c>
      <c r="P54" s="209" t="n">
        <f aca="false">(O54/$H$8)</f>
        <v>109.75</v>
      </c>
      <c r="Q54" s="209" t="n">
        <f aca="false">I54/2.65</f>
        <v>7.54716981132076</v>
      </c>
      <c r="R54" s="209" t="n">
        <f aca="false">P54+Q54</f>
        <v>117.297169811321</v>
      </c>
      <c r="S54" s="78" t="n">
        <f aca="false">F54*R54</f>
        <v>5864.85849056604</v>
      </c>
      <c r="T54" s="210" t="n">
        <f aca="false">ROUND(S54/$H$9,0)</f>
        <v>117</v>
      </c>
      <c r="U54" s="211" t="n">
        <f aca="false">INT(T54/60)+(MOD(T54,60)/100)</f>
        <v>1.57</v>
      </c>
      <c r="V54" s="95"/>
    </row>
    <row r="55" customFormat="false" ht="14.1" hidden="false" customHeight="true" outlineLevel="0" collapsed="false">
      <c r="B55" s="94"/>
      <c r="C55" s="9"/>
      <c r="D55" s="77"/>
      <c r="E55" s="77" t="s">
        <v>175</v>
      </c>
      <c r="F55" s="77" t="n">
        <v>0</v>
      </c>
      <c r="G55" s="206" t="n">
        <v>45764</v>
      </c>
      <c r="H55" s="207" t="n">
        <v>23.12</v>
      </c>
      <c r="I55" s="208" t="n">
        <v>20</v>
      </c>
      <c r="J55" s="209" t="n">
        <f aca="false">'SPT density (USD)'!$D$7*I55</f>
        <v>6</v>
      </c>
      <c r="K55" s="209" t="n">
        <f aca="false">SUM(H55:J55)</f>
        <v>49.12</v>
      </c>
      <c r="L55" s="77" t="n">
        <v>100</v>
      </c>
      <c r="M55" s="209" t="n">
        <f aca="false">'SPT density (USD)'!$D$10</f>
        <v>1.696</v>
      </c>
      <c r="N55" s="209" t="n">
        <f aca="false">K55+L55*M55</f>
        <v>218.72</v>
      </c>
      <c r="O55" s="209" t="n">
        <f aca="false">N55-I55-H55</f>
        <v>175.6</v>
      </c>
      <c r="P55" s="209" t="n">
        <f aca="false">(O55/$H$8)</f>
        <v>109.75</v>
      </c>
      <c r="Q55" s="209" t="n">
        <f aca="false">I55/2.65</f>
        <v>7.54716981132076</v>
      </c>
      <c r="R55" s="209" t="n">
        <f aca="false">P55+Q55</f>
        <v>117.297169811321</v>
      </c>
      <c r="S55" s="78" t="n">
        <f aca="false">F55*R55</f>
        <v>0</v>
      </c>
      <c r="T55" s="210" t="n">
        <f aca="false">ROUND(S55/$H$9,0)</f>
        <v>0</v>
      </c>
      <c r="U55" s="211" t="n">
        <f aca="false">INT(T55/60)+(MOD(T55,60)/100)</f>
        <v>0</v>
      </c>
      <c r="V55" s="95"/>
    </row>
    <row r="56" customFormat="false" ht="14.1" hidden="false" customHeight="true" outlineLevel="0" collapsed="false">
      <c r="B56" s="94"/>
      <c r="C56" s="9"/>
      <c r="D56" s="77"/>
      <c r="E56" s="77" t="s">
        <v>175</v>
      </c>
      <c r="F56" s="77" t="n">
        <v>50</v>
      </c>
      <c r="G56" s="206" t="n">
        <v>45764</v>
      </c>
      <c r="H56" s="207" t="n">
        <v>23.12</v>
      </c>
      <c r="I56" s="208" t="n">
        <v>20</v>
      </c>
      <c r="J56" s="209" t="n">
        <f aca="false">'SPT density (USD)'!$D$7*I56</f>
        <v>6</v>
      </c>
      <c r="K56" s="209" t="n">
        <f aca="false">SUM(H56:J56)</f>
        <v>49.12</v>
      </c>
      <c r="L56" s="77" t="n">
        <v>100</v>
      </c>
      <c r="M56" s="209" t="n">
        <f aca="false">'SPT density (USD)'!$D$10</f>
        <v>1.696</v>
      </c>
      <c r="N56" s="209" t="n">
        <f aca="false">K56+L56*M56</f>
        <v>218.72</v>
      </c>
      <c r="O56" s="209" t="n">
        <f aca="false">N56-I56-H56</f>
        <v>175.6</v>
      </c>
      <c r="P56" s="209" t="n">
        <f aca="false">(O56/$H$8)</f>
        <v>109.75</v>
      </c>
      <c r="Q56" s="209" t="n">
        <f aca="false">I56/2.65</f>
        <v>7.54716981132076</v>
      </c>
      <c r="R56" s="209" t="n">
        <f aca="false">P56+Q56</f>
        <v>117.297169811321</v>
      </c>
      <c r="S56" s="78" t="n">
        <f aca="false">F56*R56</f>
        <v>5864.85849056604</v>
      </c>
      <c r="T56" s="210" t="n">
        <f aca="false">ROUND(S56/$H$9,0)</f>
        <v>117</v>
      </c>
      <c r="U56" s="211" t="n">
        <f aca="false">INT(T56/60)+(MOD(T56,60)/100)</f>
        <v>1.57</v>
      </c>
      <c r="V56" s="95"/>
    </row>
    <row r="57" customFormat="false" ht="14.1" hidden="false" customHeight="true" outlineLevel="0" collapsed="false">
      <c r="B57" s="94"/>
      <c r="C57" s="9"/>
      <c r="D57" s="77"/>
      <c r="E57" s="77" t="s">
        <v>37</v>
      </c>
      <c r="F57" s="77" t="n">
        <v>0</v>
      </c>
      <c r="G57" s="206" t="n">
        <v>45764</v>
      </c>
      <c r="H57" s="207" t="n">
        <v>22.85</v>
      </c>
      <c r="I57" s="208" t="n">
        <v>20</v>
      </c>
      <c r="J57" s="209" t="n">
        <f aca="false">'SPT density (USD)'!$D$7*I57</f>
        <v>6</v>
      </c>
      <c r="K57" s="209" t="n">
        <f aca="false">SUM(H57:J57)</f>
        <v>48.85</v>
      </c>
      <c r="L57" s="77" t="n">
        <v>100</v>
      </c>
      <c r="M57" s="209" t="n">
        <f aca="false">'SPT density (USD)'!$D$10</f>
        <v>1.696</v>
      </c>
      <c r="N57" s="209" t="n">
        <f aca="false">K57+L57*M57</f>
        <v>218.45</v>
      </c>
      <c r="O57" s="209" t="n">
        <f aca="false">N57-I57-H57</f>
        <v>175.6</v>
      </c>
      <c r="P57" s="209" t="n">
        <f aca="false">(O57/$H$8)</f>
        <v>109.75</v>
      </c>
      <c r="Q57" s="209" t="n">
        <f aca="false">I57/2.65</f>
        <v>7.54716981132076</v>
      </c>
      <c r="R57" s="209" t="n">
        <f aca="false">P57+Q57</f>
        <v>117.297169811321</v>
      </c>
      <c r="S57" s="78" t="n">
        <f aca="false">F57*R57</f>
        <v>0</v>
      </c>
      <c r="T57" s="210" t="n">
        <f aca="false">ROUND(S57/$H$9,0)</f>
        <v>0</v>
      </c>
      <c r="U57" s="211" t="n">
        <f aca="false">INT(T57/60)+(MOD(T57,60)/100)</f>
        <v>0</v>
      </c>
      <c r="V57" s="95"/>
    </row>
    <row r="58" customFormat="false" ht="14.1" hidden="false" customHeight="true" outlineLevel="0" collapsed="false">
      <c r="B58" s="94"/>
      <c r="C58" s="9"/>
      <c r="D58" s="77"/>
      <c r="E58" s="77" t="s">
        <v>37</v>
      </c>
      <c r="F58" s="77" t="n">
        <v>50</v>
      </c>
      <c r="G58" s="206" t="n">
        <v>45764</v>
      </c>
      <c r="H58" s="207" t="n">
        <v>22.85</v>
      </c>
      <c r="I58" s="208" t="n">
        <v>20</v>
      </c>
      <c r="J58" s="209" t="n">
        <f aca="false">'SPT density (USD)'!$D$7*I58</f>
        <v>6</v>
      </c>
      <c r="K58" s="209" t="n">
        <f aca="false">SUM(H58:J58)</f>
        <v>48.85</v>
      </c>
      <c r="L58" s="77" t="n">
        <v>100</v>
      </c>
      <c r="M58" s="209" t="n">
        <f aca="false">'SPT density (USD)'!$D$10</f>
        <v>1.696</v>
      </c>
      <c r="N58" s="209" t="n">
        <f aca="false">K58+L58*M58</f>
        <v>218.45</v>
      </c>
      <c r="O58" s="209" t="n">
        <f aca="false">N58-I58-H58</f>
        <v>175.6</v>
      </c>
      <c r="P58" s="209" t="n">
        <f aca="false">(O58/$H$8)</f>
        <v>109.75</v>
      </c>
      <c r="Q58" s="209" t="n">
        <f aca="false">I58/2.65</f>
        <v>7.54716981132076</v>
      </c>
      <c r="R58" s="209" t="n">
        <f aca="false">P58+Q58</f>
        <v>117.297169811321</v>
      </c>
      <c r="S58" s="78" t="n">
        <f aca="false">F58*R58</f>
        <v>5864.85849056604</v>
      </c>
      <c r="T58" s="210" t="n">
        <f aca="false">ROUND(S58/$H$9,0)</f>
        <v>117</v>
      </c>
      <c r="U58" s="211" t="n">
        <f aca="false">INT(T58/60)+(MOD(T58,60)/100)</f>
        <v>1.57</v>
      </c>
      <c r="V58" s="95"/>
    </row>
    <row r="59" customFormat="false" ht="14.1" hidden="false" customHeight="true" outlineLevel="0" collapsed="false">
      <c r="B59" s="94"/>
      <c r="C59" s="9"/>
      <c r="D59" s="77"/>
      <c r="E59" s="77" t="s">
        <v>176</v>
      </c>
      <c r="F59" s="77" t="n">
        <v>0</v>
      </c>
      <c r="G59" s="206" t="n">
        <v>45764</v>
      </c>
      <c r="H59" s="207" t="n">
        <v>23.95</v>
      </c>
      <c r="I59" s="208" t="n">
        <v>20</v>
      </c>
      <c r="J59" s="209" t="n">
        <f aca="false">'SPT density (USD)'!$D$7*I59</f>
        <v>6</v>
      </c>
      <c r="K59" s="209" t="n">
        <f aca="false">SUM(H59:J59)</f>
        <v>49.95</v>
      </c>
      <c r="L59" s="77" t="n">
        <v>100</v>
      </c>
      <c r="M59" s="209" t="n">
        <f aca="false">'SPT density (USD)'!$D$10</f>
        <v>1.696</v>
      </c>
      <c r="N59" s="209" t="n">
        <f aca="false">K59+L59*M59</f>
        <v>219.55</v>
      </c>
      <c r="O59" s="209" t="n">
        <f aca="false">N59-I59-H59</f>
        <v>175.6</v>
      </c>
      <c r="P59" s="209" t="n">
        <f aca="false">(O59/$H$8)</f>
        <v>109.75</v>
      </c>
      <c r="Q59" s="209" t="n">
        <f aca="false">I59/2.65</f>
        <v>7.54716981132076</v>
      </c>
      <c r="R59" s="209" t="n">
        <f aca="false">P59+Q59</f>
        <v>117.297169811321</v>
      </c>
      <c r="S59" s="78" t="n">
        <f aca="false">F59*R59</f>
        <v>0</v>
      </c>
      <c r="T59" s="210" t="n">
        <f aca="false">ROUND(S59/$H$9,0)</f>
        <v>0</v>
      </c>
      <c r="U59" s="211" t="n">
        <f aca="false">INT(T59/60)+(MOD(T59,60)/100)</f>
        <v>0</v>
      </c>
      <c r="V59" s="95"/>
    </row>
    <row r="60" customFormat="false" ht="14.1" hidden="false" customHeight="true" outlineLevel="0" collapsed="false">
      <c r="B60" s="94"/>
      <c r="C60" s="9"/>
      <c r="D60" s="77"/>
      <c r="E60" s="77" t="s">
        <v>176</v>
      </c>
      <c r="F60" s="77" t="n">
        <v>50</v>
      </c>
      <c r="G60" s="206" t="n">
        <v>45764</v>
      </c>
      <c r="H60" s="207" t="n">
        <v>23.95</v>
      </c>
      <c r="I60" s="208" t="n">
        <v>20</v>
      </c>
      <c r="J60" s="209" t="n">
        <f aca="false">'SPT density (USD)'!$D$7*I60</f>
        <v>6</v>
      </c>
      <c r="K60" s="209" t="n">
        <f aca="false">SUM(H60:J60)</f>
        <v>49.95</v>
      </c>
      <c r="L60" s="77" t="n">
        <v>100</v>
      </c>
      <c r="M60" s="209" t="n">
        <f aca="false">'SPT density (USD)'!$D$10</f>
        <v>1.696</v>
      </c>
      <c r="N60" s="209" t="n">
        <f aca="false">K60+L60*M60</f>
        <v>219.55</v>
      </c>
      <c r="O60" s="209" t="n">
        <f aca="false">N60-I60-H60</f>
        <v>175.6</v>
      </c>
      <c r="P60" s="209" t="n">
        <f aca="false">(O60/$H$8)</f>
        <v>109.75</v>
      </c>
      <c r="Q60" s="209" t="n">
        <f aca="false">I60/2.65</f>
        <v>7.54716981132076</v>
      </c>
      <c r="R60" s="209" t="n">
        <f aca="false">P60+Q60</f>
        <v>117.297169811321</v>
      </c>
      <c r="S60" s="78" t="n">
        <f aca="false">F60*R60</f>
        <v>5864.85849056604</v>
      </c>
      <c r="T60" s="210" t="n">
        <f aca="false">ROUND(S60/$H$9,0)</f>
        <v>117</v>
      </c>
      <c r="U60" s="211" t="n">
        <f aca="false">INT(T60/60)+(MOD(T60,60)/100)</f>
        <v>1.57</v>
      </c>
      <c r="V60" s="95"/>
    </row>
    <row r="61" customFormat="false" ht="14.1" hidden="false" customHeight="true" outlineLevel="0" collapsed="false">
      <c r="B61" s="94"/>
      <c r="C61" s="9"/>
      <c r="D61" s="77"/>
      <c r="E61" s="77" t="s">
        <v>177</v>
      </c>
      <c r="F61" s="77" t="n">
        <v>0</v>
      </c>
      <c r="G61" s="206" t="n">
        <v>45764</v>
      </c>
      <c r="H61" s="207" t="n">
        <v>23.56</v>
      </c>
      <c r="I61" s="208" t="n">
        <v>20</v>
      </c>
      <c r="J61" s="209" t="n">
        <f aca="false">'SPT density (USD)'!$D$7*I61</f>
        <v>6</v>
      </c>
      <c r="K61" s="209" t="n">
        <f aca="false">SUM(H61:J61)</f>
        <v>49.56</v>
      </c>
      <c r="L61" s="77" t="n">
        <v>100</v>
      </c>
      <c r="M61" s="209" t="n">
        <f aca="false">'SPT density (USD)'!$D$10</f>
        <v>1.696</v>
      </c>
      <c r="N61" s="209" t="n">
        <f aca="false">K61+L61*M61</f>
        <v>219.16</v>
      </c>
      <c r="O61" s="209" t="n">
        <f aca="false">N61-I61-H61</f>
        <v>175.6</v>
      </c>
      <c r="P61" s="209" t="n">
        <f aca="false">(O61/$H$8)</f>
        <v>109.75</v>
      </c>
      <c r="Q61" s="209" t="n">
        <f aca="false">I61/2.65</f>
        <v>7.54716981132076</v>
      </c>
      <c r="R61" s="209" t="n">
        <f aca="false">P61+Q61</f>
        <v>117.297169811321</v>
      </c>
      <c r="S61" s="78" t="n">
        <f aca="false">F61*R61</f>
        <v>0</v>
      </c>
      <c r="T61" s="210" t="n">
        <f aca="false">ROUND(S61/$H$9,0)</f>
        <v>0</v>
      </c>
      <c r="U61" s="211" t="n">
        <f aca="false">INT(T61/60)+(MOD(T61,60)/100)</f>
        <v>0</v>
      </c>
      <c r="V61" s="95"/>
    </row>
    <row r="62" customFormat="false" ht="14.1" hidden="false" customHeight="true" outlineLevel="0" collapsed="false">
      <c r="B62" s="94"/>
      <c r="C62" s="66"/>
      <c r="D62" s="67"/>
      <c r="E62" s="67" t="s">
        <v>177</v>
      </c>
      <c r="F62" s="67" t="n">
        <v>50</v>
      </c>
      <c r="G62" s="206" t="n">
        <v>45764</v>
      </c>
      <c r="H62" s="207" t="n">
        <v>23.56</v>
      </c>
      <c r="I62" s="214" t="n">
        <v>20</v>
      </c>
      <c r="J62" s="215" t="n">
        <f aca="false">'SPT density (USD)'!$D$7*I62</f>
        <v>6</v>
      </c>
      <c r="K62" s="209" t="n">
        <f aca="false">SUM(H62:J62)</f>
        <v>49.56</v>
      </c>
      <c r="L62" s="67" t="n">
        <v>100</v>
      </c>
      <c r="M62" s="209" t="n">
        <f aca="false">'SPT density (USD)'!$D$10</f>
        <v>1.696</v>
      </c>
      <c r="N62" s="209" t="n">
        <f aca="false">K62+L62*M62</f>
        <v>219.16</v>
      </c>
      <c r="O62" s="209" t="n">
        <f aca="false">N62-I62-H62</f>
        <v>175.6</v>
      </c>
      <c r="P62" s="209" t="n">
        <f aca="false">(O62/$H$8)</f>
        <v>109.75</v>
      </c>
      <c r="Q62" s="209" t="n">
        <f aca="false">I62/2.65</f>
        <v>7.54716981132076</v>
      </c>
      <c r="R62" s="209" t="n">
        <f aca="false">P62+Q62</f>
        <v>117.297169811321</v>
      </c>
      <c r="S62" s="78" t="n">
        <f aca="false">F62*R62</f>
        <v>5864.85849056604</v>
      </c>
      <c r="T62" s="210" t="n">
        <f aca="false">ROUND(S62/$H$9,0)</f>
        <v>117</v>
      </c>
      <c r="U62" s="211" t="n">
        <f aca="false">INT(T62/60)+(MOD(T62,60)/100)</f>
        <v>1.57</v>
      </c>
      <c r="V62" s="95"/>
    </row>
    <row r="63" customFormat="false" ht="14.1" hidden="false" customHeight="true" outlineLevel="0" collapsed="false">
      <c r="B63" s="114"/>
      <c r="C63" s="216"/>
      <c r="D63" s="216"/>
      <c r="E63" s="216"/>
      <c r="F63" s="217"/>
      <c r="G63" s="217"/>
      <c r="H63" s="218"/>
      <c r="I63" s="115"/>
      <c r="J63" s="115"/>
      <c r="K63" s="218"/>
      <c r="L63" s="115"/>
      <c r="M63" s="115"/>
      <c r="N63" s="218"/>
      <c r="O63" s="115"/>
      <c r="P63" s="219"/>
      <c r="Q63" s="219"/>
      <c r="R63" s="218"/>
      <c r="S63" s="220"/>
      <c r="T63" s="221"/>
      <c r="U63" s="222"/>
      <c r="V63" s="116"/>
    </row>
    <row r="64" customFormat="false" ht="14.1" hidden="false" customHeight="true" outlineLevel="0" collapsed="false">
      <c r="F64" s="223"/>
      <c r="G64" s="223"/>
      <c r="T64" s="224"/>
      <c r="U64" s="225"/>
    </row>
    <row r="65" customFormat="false" ht="14.1" hidden="false" customHeight="true" outlineLevel="0" collapsed="false">
      <c r="F65" s="223"/>
      <c r="G65" s="223"/>
      <c r="T65" s="224"/>
      <c r="U65" s="225"/>
    </row>
    <row r="66" customFormat="false" ht="14.1" hidden="false" customHeight="true" outlineLevel="0" collapsed="false">
      <c r="F66" s="223"/>
      <c r="G66" s="223"/>
      <c r="T66" s="224"/>
      <c r="U66" s="225"/>
    </row>
    <row r="67" customFormat="false" ht="14.1" hidden="false" customHeight="true" outlineLevel="0" collapsed="false">
      <c r="F67" s="223"/>
      <c r="G67" s="223"/>
      <c r="T67" s="224"/>
      <c r="U67" s="225"/>
    </row>
    <row r="68" customFormat="false" ht="14.1" hidden="false" customHeight="true" outlineLevel="0" collapsed="false">
      <c r="F68" s="223"/>
      <c r="G68" s="223"/>
      <c r="T68" s="224"/>
      <c r="U68" s="225"/>
    </row>
    <row r="69" customFormat="false" ht="14.1" hidden="false" customHeight="true" outlineLevel="0" collapsed="false">
      <c r="F69" s="223"/>
      <c r="G69" s="223"/>
      <c r="T69" s="224"/>
      <c r="U69" s="225"/>
    </row>
    <row r="70" customFormat="false" ht="14.1" hidden="false" customHeight="true" outlineLevel="0" collapsed="false">
      <c r="F70" s="223"/>
      <c r="G70" s="223"/>
      <c r="T70" s="224"/>
      <c r="U70" s="225"/>
    </row>
    <row r="71" customFormat="false" ht="14.1" hidden="false" customHeight="true" outlineLevel="0" collapsed="false">
      <c r="F71" s="223"/>
      <c r="G71" s="223"/>
      <c r="T71" s="224"/>
      <c r="U71" s="225"/>
    </row>
    <row r="73" customFormat="false" ht="14.1" hidden="false" customHeight="true" outlineLevel="0" collapsed="false">
      <c r="F73" s="223"/>
      <c r="G73" s="223"/>
      <c r="T73" s="224"/>
      <c r="U73" s="225"/>
    </row>
    <row r="74" customFormat="false" ht="14.1" hidden="false" customHeight="true" outlineLevel="0" collapsed="false">
      <c r="F74" s="223"/>
      <c r="G74" s="223"/>
      <c r="T74" s="224"/>
      <c r="U74" s="225"/>
    </row>
    <row r="75" customFormat="false" ht="14.1" hidden="false" customHeight="true" outlineLevel="0" collapsed="false">
      <c r="F75" s="223"/>
      <c r="G75" s="223"/>
      <c r="T75" s="224"/>
      <c r="U75" s="225"/>
    </row>
    <row r="76" customFormat="false" ht="14.1" hidden="false" customHeight="true" outlineLevel="0" collapsed="false">
      <c r="F76" s="223"/>
      <c r="G76" s="223"/>
      <c r="T76" s="224"/>
      <c r="U76" s="225"/>
    </row>
    <row r="77" customFormat="false" ht="14.1" hidden="false" customHeight="true" outlineLevel="0" collapsed="false">
      <c r="F77" s="223"/>
      <c r="G77" s="223"/>
      <c r="T77" s="224"/>
      <c r="U77" s="225"/>
    </row>
    <row r="78" customFormat="false" ht="14.1" hidden="false" customHeight="true" outlineLevel="0" collapsed="false">
      <c r="F78" s="223"/>
      <c r="G78" s="223"/>
      <c r="T78" s="224"/>
      <c r="U78" s="225"/>
    </row>
    <row r="80" customFormat="false" ht="14.1" hidden="false" customHeight="true" outlineLevel="0" collapsed="false">
      <c r="K80" s="165" t="s">
        <v>54</v>
      </c>
    </row>
    <row r="1048425" customFormat="false" ht="12.8" hidden="false" customHeight="true" outlineLevel="0" collapsed="false"/>
    <row r="1048426" customFormat="false" ht="12.8" hidden="false" customHeight="true" outlineLevel="0" collapsed="false"/>
    <row r="1048427" customFormat="false" ht="12.8" hidden="false" customHeight="true" outlineLevel="0" collapsed="false"/>
    <row r="1048428" customFormat="false" ht="12.8" hidden="false" customHeight="true" outlineLevel="0" collapsed="false"/>
    <row r="1048429" customFormat="false" ht="12.8" hidden="false" customHeight="true" outlineLevel="0" collapsed="false"/>
    <row r="1048430" customFormat="false" ht="12.8" hidden="false" customHeight="true" outlineLevel="0" collapsed="false"/>
    <row r="1048431" customFormat="false" ht="12.8" hidden="false" customHeight="true" outlineLevel="0" collapsed="false"/>
    <row r="1048432" customFormat="false" ht="12.8" hidden="false" customHeight="true" outlineLevel="0" collapsed="false"/>
    <row r="1048433" customFormat="false" ht="12.8" hidden="false" customHeight="true" outlineLevel="0" collapsed="false"/>
    <row r="1048434" customFormat="false" ht="12.8" hidden="false" customHeight="true" outlineLevel="0" collapsed="false"/>
    <row r="1048435" customFormat="false" ht="12.8" hidden="false" customHeight="true" outlineLevel="0" collapsed="false"/>
    <row r="1048436" customFormat="false" ht="12.8" hidden="false" customHeight="true" outlineLevel="0" collapsed="false"/>
    <row r="1048437" customFormat="false" ht="12.8" hidden="false" customHeight="true" outlineLevel="0" collapsed="false"/>
    <row r="1048438" customFormat="false" ht="12.8" hidden="false" customHeight="true" outlineLevel="0" collapsed="false"/>
    <row r="1048439" customFormat="false" ht="12.8" hidden="false" customHeight="true" outlineLevel="0" collapsed="false"/>
    <row r="1048440" customFormat="false" ht="12.8" hidden="false" customHeight="true" outlineLevel="0" collapsed="false"/>
    <row r="1048441" customFormat="false" ht="12.8" hidden="false" customHeight="true" outlineLevel="0" collapsed="false"/>
    <row r="1048442" customFormat="false" ht="12.8" hidden="false" customHeight="true" outlineLevel="0" collapsed="false"/>
    <row r="1048443" customFormat="false" ht="12.8" hidden="false" customHeight="true" outlineLevel="0" collapsed="false"/>
    <row r="1048444" customFormat="false" ht="12.8" hidden="false" customHeight="true" outlineLevel="0" collapsed="false"/>
    <row r="1048445" customFormat="false" ht="12.8" hidden="false" customHeight="true" outlineLevel="0" collapsed="false"/>
    <row r="1048446" customFormat="false" ht="12.8" hidden="false" customHeight="true" outlineLevel="0" collapsed="false"/>
    <row r="1048447" customFormat="false" ht="12.8" hidden="false" customHeight="true" outlineLevel="0" collapsed="false"/>
    <row r="1048448" customFormat="false" ht="12.8" hidden="false" customHeight="true" outlineLevel="0" collapsed="false"/>
    <row r="1048449" customFormat="false" ht="12.8" hidden="false" customHeight="true" outlineLevel="0" collapsed="false"/>
    <row r="1048450" customFormat="false" ht="12.8" hidden="false" customHeight="true" outlineLevel="0" collapsed="false"/>
    <row r="1048451" customFormat="false" ht="12.8" hidden="false" customHeight="true" outlineLevel="0" collapsed="false"/>
    <row r="1048452" customFormat="false" ht="12.8" hidden="false" customHeight="true" outlineLevel="0" collapsed="false"/>
    <row r="1048453" customFormat="false" ht="12.8" hidden="false" customHeight="true" outlineLevel="0" collapsed="false"/>
    <row r="1048454" customFormat="false" ht="12.8" hidden="false" customHeight="true" outlineLevel="0" collapsed="false"/>
    <row r="1048455" customFormat="false" ht="12.8" hidden="false" customHeight="true" outlineLevel="0" collapsed="false"/>
    <row r="1048456" customFormat="false" ht="12.8" hidden="false" customHeight="true" outlineLevel="0" collapsed="false"/>
    <row r="1048457" customFormat="false" ht="12.8" hidden="false" customHeight="true" outlineLevel="0" collapsed="false"/>
    <row r="1048458" customFormat="false" ht="12.8" hidden="false" customHeight="true" outlineLevel="0" collapsed="false"/>
    <row r="1048459" customFormat="false" ht="12.8" hidden="false" customHeight="true" outlineLevel="0" collapsed="false"/>
    <row r="1048460" customFormat="false" ht="12.8" hidden="false" customHeight="true" outlineLevel="0" collapsed="false"/>
    <row r="1048461" customFormat="false" ht="12.8" hidden="false" customHeight="true" outlineLevel="0" collapsed="false"/>
    <row r="1048462" customFormat="false" ht="12.8" hidden="false" customHeight="true" outlineLevel="0" collapsed="false"/>
    <row r="1048463" customFormat="false" ht="12.8" hidden="false" customHeight="true" outlineLevel="0" collapsed="false"/>
    <row r="1048464" customFormat="false" ht="12.8" hidden="false" customHeight="true" outlineLevel="0" collapsed="false"/>
    <row r="1048465" customFormat="false" ht="12.8" hidden="false" customHeight="true" outlineLevel="0" collapsed="false"/>
    <row r="1048466" customFormat="false" ht="12.8" hidden="false" customHeight="true" outlineLevel="0" collapsed="false"/>
    <row r="1048467" customFormat="false" ht="12.8" hidden="false" customHeight="true" outlineLevel="0" collapsed="false"/>
    <row r="1048468" customFormat="false" ht="12.8" hidden="false" customHeight="true" outlineLevel="0" collapsed="false"/>
    <row r="1048469" customFormat="false" ht="12.8" hidden="false" customHeight="true" outlineLevel="0" collapsed="false"/>
    <row r="1048470" customFormat="false" ht="12.8" hidden="false" customHeight="true" outlineLevel="0" collapsed="false"/>
    <row r="1048471" customFormat="false" ht="12.8" hidden="false" customHeight="true" outlineLevel="0" collapsed="false"/>
    <row r="1048472" customFormat="false" ht="12.8" hidden="false" customHeight="true" outlineLevel="0" collapsed="false"/>
    <row r="1048473" customFormat="false" ht="12.8" hidden="false" customHeight="true" outlineLevel="0" collapsed="false"/>
    <row r="1048474" customFormat="false" ht="12.8" hidden="false" customHeight="true" outlineLevel="0" collapsed="false"/>
    <row r="1048475" customFormat="false" ht="12.8" hidden="false" customHeight="true" outlineLevel="0" collapsed="false"/>
    <row r="1048476" customFormat="false" ht="12.8" hidden="false" customHeight="true" outlineLevel="0" collapsed="false"/>
    <row r="1048477" customFormat="false" ht="12.8" hidden="false" customHeight="true" outlineLevel="0" collapsed="false"/>
    <row r="1048478" customFormat="false" ht="12.8" hidden="false" customHeight="true" outlineLevel="0" collapsed="false"/>
    <row r="1048479" customFormat="false" ht="12.8" hidden="false" customHeight="true" outlineLevel="0" collapsed="false"/>
    <row r="1048480" customFormat="false" ht="12.8" hidden="false" customHeight="true" outlineLevel="0" collapsed="false"/>
    <row r="1048481" customFormat="false" ht="12.8" hidden="false" customHeight="true" outlineLevel="0" collapsed="false"/>
    <row r="1048482" customFormat="false" ht="12.8" hidden="false" customHeight="true" outlineLevel="0" collapsed="false"/>
    <row r="1048483" customFormat="false" ht="12.8" hidden="false" customHeight="true" outlineLevel="0" collapsed="false"/>
    <row r="1048484" customFormat="false" ht="12.8" hidden="false" customHeight="true" outlineLevel="0" collapsed="false"/>
    <row r="1048485" customFormat="false" ht="12.8" hidden="false" customHeight="true" outlineLevel="0" collapsed="false"/>
    <row r="1048486" customFormat="false" ht="12.8" hidden="false" customHeight="true" outlineLevel="0" collapsed="false"/>
    <row r="1048487" customFormat="false" ht="12.8" hidden="false" customHeight="true" outlineLevel="0" collapsed="false"/>
    <row r="1048488" customFormat="false" ht="12.8" hidden="false" customHeight="true" outlineLevel="0" collapsed="false"/>
    <row r="1048489" customFormat="false" ht="12.8" hidden="false" customHeight="true" outlineLevel="0" collapsed="false"/>
    <row r="1048490" customFormat="false" ht="12.8" hidden="false" customHeight="true" outlineLevel="0" collapsed="false"/>
    <row r="1048491" customFormat="false" ht="12.8" hidden="false" customHeight="true" outlineLevel="0" collapsed="false"/>
    <row r="1048492" customFormat="false" ht="12.8" hidden="false" customHeight="true" outlineLevel="0" collapsed="false"/>
    <row r="1048493" customFormat="false" ht="12.8" hidden="false" customHeight="true" outlineLevel="0" collapsed="false"/>
    <row r="1048494" customFormat="false" ht="12.8" hidden="false" customHeight="true" outlineLevel="0" collapsed="false"/>
    <row r="1048495" customFormat="false" ht="12.8" hidden="false" customHeight="true" outlineLevel="0" collapsed="false"/>
    <row r="1048496" customFormat="false" ht="12.8" hidden="false" customHeight="true" outlineLevel="0" collapsed="false"/>
    <row r="1048497" customFormat="false" ht="12.8" hidden="false" customHeight="true" outlineLevel="0" collapsed="false"/>
    <row r="1048498" customFormat="false" ht="12.8" hidden="false" customHeight="true" outlineLevel="0" collapsed="false"/>
    <row r="1048499" customFormat="false" ht="12.8" hidden="false" customHeight="true" outlineLevel="0" collapsed="false"/>
    <row r="1048500" customFormat="false" ht="12.8" hidden="false" customHeight="true" outlineLevel="0" collapsed="false"/>
    <row r="1048501" customFormat="false" ht="12.8" hidden="false" customHeight="true" outlineLevel="0" collapsed="false"/>
    <row r="1048502" customFormat="false" ht="12.8" hidden="false" customHeight="true" outlineLevel="0" collapsed="false"/>
    <row r="1048503" customFormat="false" ht="12.8" hidden="false" customHeight="true" outlineLevel="0" collapsed="false"/>
    <row r="1048504" customFormat="false" ht="12.8" hidden="false" customHeight="true" outlineLevel="0" collapsed="false"/>
    <row r="1048505" customFormat="false" ht="12.8" hidden="false" customHeight="true" outlineLevel="0" collapsed="false"/>
    <row r="1048506" customFormat="false" ht="12.8" hidden="false" customHeight="true" outlineLevel="0" collapsed="false"/>
    <row r="1048507" customFormat="false" ht="12.8" hidden="false" customHeight="true" outlineLevel="0" collapsed="false"/>
    <row r="1048508" customFormat="false" ht="12.8" hidden="false" customHeight="true" outlineLevel="0" collapsed="false"/>
    <row r="1048509" customFormat="false" ht="12.8" hidden="false" customHeight="true" outlineLevel="0" collapsed="false"/>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mergeCells count="10">
    <mergeCell ref="S3:U3"/>
    <mergeCell ref="C4:U4"/>
    <mergeCell ref="C5:U5"/>
    <mergeCell ref="C8:E8"/>
    <mergeCell ref="I8:U8"/>
    <mergeCell ref="I9:U9"/>
    <mergeCell ref="I10:U10"/>
    <mergeCell ref="I11:U11"/>
    <mergeCell ref="C13:D13"/>
    <mergeCell ref="T13:U13"/>
  </mergeCells>
  <hyperlinks>
    <hyperlink ref="C4" r:id="rId1" display="Ultrasonication is a common tool to test the susceptibility of soil aggregate structure to mechanical stress and measure soil carbon pools. To help you with your work, we provide this open access sheet to calculate the sonication time needed for the application of a certain amount of mechanical stress (J/ml). The document is CCL by-sa (Frederick Büks) – feel free to optimize and share."/>
    <hyperlink ref="C5" r:id="rId2" display="The calculations are based on:&#10;North, P.: Towards an absolute measurement of soil structural stability using ultrasound, J. Soil Sci., 27, 451–459, https://doi.org/10.1111/j.1365-2389.1976.tb02014.x, 1976."/>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AMJ104857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pane xSplit="0" ySplit="5" topLeftCell="A14" activePane="bottomLeft" state="frozen"/>
      <selection pane="topLeft" activeCell="A1" activeCellId="0" sqref="A1"/>
      <selection pane="bottomLeft" activeCell="B81" activeCellId="0" sqref="B81"/>
    </sheetView>
  </sheetViews>
  <sheetFormatPr defaultColWidth="11.53515625" defaultRowHeight="12.8" zeroHeight="false" outlineLevelRow="0" outlineLevelCol="0"/>
  <cols>
    <col collapsed="false" customWidth="true" hidden="false" outlineLevel="0" max="2" min="1" style="20" width="2.46"/>
    <col collapsed="false" customWidth="true" hidden="false" outlineLevel="0" max="3" min="3" style="226" width="16.22"/>
    <col collapsed="false" customWidth="true" hidden="false" outlineLevel="0" max="4" min="4" style="226" width="11.6"/>
    <col collapsed="false" customWidth="true" hidden="false" outlineLevel="0" max="5" min="5" style="227" width="4.1"/>
    <col collapsed="false" customWidth="true" hidden="false" outlineLevel="0" max="6" min="6" style="227" width="8.7"/>
    <col collapsed="false" customWidth="true" hidden="false" outlineLevel="0" max="7" min="7" style="228" width="8.67"/>
    <col collapsed="false" customWidth="true" hidden="false" outlineLevel="0" max="8" min="8" style="229" width="9.38"/>
    <col collapsed="false" customWidth="true" hidden="false" outlineLevel="0" max="9" min="9" style="229" width="11.97"/>
    <col collapsed="false" customWidth="true" hidden="false" outlineLevel="0" max="10" min="10" style="229" width="9.32"/>
    <col collapsed="false" customWidth="true" hidden="false" outlineLevel="0" max="13" min="11" style="229" width="6.88"/>
    <col collapsed="false" customWidth="true" hidden="false" outlineLevel="0" max="15" min="14" style="228" width="6.88"/>
    <col collapsed="false" customWidth="true" hidden="false" outlineLevel="0" max="19" min="16" style="228" width="8.96"/>
    <col collapsed="false" customWidth="true" hidden="false" outlineLevel="0" max="20" min="20" style="229" width="8.96"/>
    <col collapsed="false" customWidth="true" hidden="false" outlineLevel="0" max="21" min="21" style="228" width="7.64"/>
    <col collapsed="false" customWidth="true" hidden="false" outlineLevel="0" max="22" min="22" style="228" width="8.14"/>
    <col collapsed="false" customWidth="true" hidden="false" outlineLevel="0" max="23" min="23" style="228" width="7.6"/>
    <col collapsed="false" customWidth="true" hidden="false" outlineLevel="0" max="26" min="24" style="229" width="7.8"/>
    <col collapsed="false" customWidth="true" hidden="false" outlineLevel="0" max="29" min="27" style="228" width="7.8"/>
    <col collapsed="false" customWidth="true" hidden="false" outlineLevel="0" max="30" min="30" style="230" width="7.8"/>
    <col collapsed="false" customWidth="true" hidden="false" outlineLevel="0" max="31" min="31" style="230" width="6.48"/>
    <col collapsed="false" customWidth="true" hidden="false" outlineLevel="0" max="32" min="32" style="230" width="7.04"/>
    <col collapsed="false" customWidth="true" hidden="false" outlineLevel="0" max="33" min="33" style="20" width="3.3"/>
    <col collapsed="false" customWidth="true" hidden="false" outlineLevel="0" max="34" min="34" style="20" width="3.33"/>
    <col collapsed="false" customWidth="false" hidden="false" outlineLevel="0" max="986" min="35" style="20" width="11.52"/>
    <col collapsed="false" customWidth="false" hidden="false" outlineLevel="0" max="1006" min="987" style="1" width="11.54"/>
    <col collapsed="false" customWidth="false" hidden="false" outlineLevel="0" max="1024" min="1007" style="1" width="11.52"/>
  </cols>
  <sheetData>
    <row r="2" customFormat="false" ht="14.4" hidden="false" customHeight="true" outlineLevel="0" collapsed="false">
      <c r="B2" s="231"/>
      <c r="C2" s="232"/>
      <c r="D2" s="232"/>
      <c r="E2" s="233"/>
      <c r="F2" s="233"/>
      <c r="G2" s="234"/>
      <c r="H2" s="235"/>
      <c r="I2" s="235"/>
      <c r="J2" s="235"/>
      <c r="K2" s="235"/>
      <c r="L2" s="235"/>
      <c r="M2" s="235"/>
      <c r="N2" s="234"/>
      <c r="O2" s="234"/>
      <c r="P2" s="234"/>
      <c r="Q2" s="234"/>
      <c r="R2" s="234"/>
      <c r="S2" s="234"/>
      <c r="T2" s="235"/>
      <c r="U2" s="234"/>
      <c r="V2" s="234"/>
      <c r="W2" s="234"/>
      <c r="X2" s="235"/>
      <c r="Y2" s="235"/>
      <c r="Z2" s="235"/>
      <c r="AA2" s="234"/>
      <c r="AB2" s="234"/>
      <c r="AC2" s="234"/>
      <c r="AD2" s="236"/>
      <c r="AE2" s="236"/>
      <c r="AF2" s="236"/>
      <c r="AG2" s="237"/>
    </row>
    <row r="3" s="168" customFormat="true" ht="36.1" hidden="false" customHeight="true" outlineLevel="0" collapsed="false">
      <c r="B3" s="238"/>
      <c r="C3" s="239"/>
      <c r="D3" s="239"/>
      <c r="E3" s="70"/>
      <c r="F3" s="240"/>
      <c r="G3" s="241"/>
      <c r="H3" s="242"/>
      <c r="I3" s="242"/>
      <c r="J3" s="242"/>
      <c r="K3" s="242"/>
      <c r="L3" s="242"/>
      <c r="M3" s="243"/>
      <c r="N3" s="241"/>
      <c r="O3" s="241"/>
      <c r="P3" s="241"/>
      <c r="Q3" s="244"/>
      <c r="R3" s="241"/>
      <c r="S3" s="245"/>
      <c r="T3" s="242"/>
      <c r="U3" s="246" t="s">
        <v>178</v>
      </c>
      <c r="V3" s="246"/>
      <c r="W3" s="246"/>
      <c r="X3" s="246"/>
      <c r="Y3" s="246"/>
      <c r="Z3" s="246"/>
      <c r="AA3" s="246"/>
      <c r="AB3" s="246"/>
      <c r="AC3" s="246"/>
      <c r="AD3" s="247" t="s">
        <v>179</v>
      </c>
      <c r="AE3" s="247"/>
      <c r="AF3" s="247"/>
      <c r="AG3" s="248"/>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168" customFormat="true" ht="36.1" hidden="false" customHeight="true" outlineLevel="0" collapsed="false">
      <c r="B4" s="238"/>
      <c r="C4" s="239"/>
      <c r="D4" s="239"/>
      <c r="E4" s="70"/>
      <c r="F4" s="240"/>
      <c r="G4" s="241"/>
      <c r="H4" s="242"/>
      <c r="I4" s="242"/>
      <c r="J4" s="242"/>
      <c r="K4" s="242"/>
      <c r="L4" s="242"/>
      <c r="M4" s="243"/>
      <c r="N4" s="241"/>
      <c r="O4" s="241"/>
      <c r="P4" s="241"/>
      <c r="Q4" s="244"/>
      <c r="R4" s="241"/>
      <c r="S4" s="245"/>
      <c r="T4" s="242"/>
      <c r="U4" s="246"/>
      <c r="V4" s="249"/>
      <c r="W4" s="249"/>
      <c r="X4" s="246" t="s">
        <v>180</v>
      </c>
      <c r="Y4" s="246"/>
      <c r="Z4" s="246"/>
      <c r="AA4" s="246"/>
      <c r="AB4" s="249"/>
      <c r="AC4" s="249"/>
      <c r="AD4" s="247"/>
      <c r="AE4" s="250"/>
      <c r="AF4" s="250"/>
      <c r="AG4" s="248"/>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s="251" customFormat="true" ht="36.55" hidden="false" customHeight="true" outlineLevel="0" collapsed="false">
      <c r="B5" s="238"/>
      <c r="C5" s="187" t="s">
        <v>46</v>
      </c>
      <c r="D5" s="187" t="s">
        <v>46</v>
      </c>
      <c r="E5" s="69" t="s">
        <v>181</v>
      </c>
      <c r="F5" s="70" t="s">
        <v>134</v>
      </c>
      <c r="G5" s="188" t="s">
        <v>182</v>
      </c>
      <c r="H5" s="252" t="s">
        <v>136</v>
      </c>
      <c r="I5" s="252" t="s">
        <v>183</v>
      </c>
      <c r="J5" s="252" t="s">
        <v>184</v>
      </c>
      <c r="K5" s="188" t="s">
        <v>49</v>
      </c>
      <c r="L5" s="253" t="s">
        <v>50</v>
      </c>
      <c r="M5" s="254" t="s">
        <v>185</v>
      </c>
      <c r="N5" s="188" t="s">
        <v>186</v>
      </c>
      <c r="O5" s="188" t="s">
        <v>187</v>
      </c>
      <c r="P5" s="188" t="s">
        <v>188</v>
      </c>
      <c r="Q5" s="255" t="s">
        <v>189</v>
      </c>
      <c r="R5" s="188" t="s">
        <v>49</v>
      </c>
      <c r="S5" s="253" t="s">
        <v>50</v>
      </c>
      <c r="T5" s="252" t="s">
        <v>187</v>
      </c>
      <c r="U5" s="256" t="s">
        <v>187</v>
      </c>
      <c r="V5" s="188" t="s">
        <v>49</v>
      </c>
      <c r="W5" s="188" t="s">
        <v>50</v>
      </c>
      <c r="X5" s="256" t="s">
        <v>187</v>
      </c>
      <c r="Y5" s="188" t="s">
        <v>49</v>
      </c>
      <c r="Z5" s="188" t="s">
        <v>50</v>
      </c>
      <c r="AA5" s="255" t="s">
        <v>190</v>
      </c>
      <c r="AB5" s="188" t="s">
        <v>49</v>
      </c>
      <c r="AC5" s="188" t="s">
        <v>50</v>
      </c>
      <c r="AD5" s="257" t="s">
        <v>191</v>
      </c>
      <c r="AE5" s="190" t="s">
        <v>49</v>
      </c>
      <c r="AF5" s="190" t="s">
        <v>50</v>
      </c>
      <c r="AG5" s="248"/>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row>
    <row r="6" s="168" customFormat="true" ht="12.8" hidden="false" customHeight="false" outlineLevel="0" collapsed="false">
      <c r="B6" s="238"/>
      <c r="C6" s="187"/>
      <c r="D6" s="187"/>
      <c r="E6" s="69"/>
      <c r="F6" s="70" t="s">
        <v>192</v>
      </c>
      <c r="G6" s="188" t="s">
        <v>193</v>
      </c>
      <c r="H6" s="252" t="s">
        <v>193</v>
      </c>
      <c r="I6" s="252" t="s">
        <v>193</v>
      </c>
      <c r="J6" s="252" t="s">
        <v>193</v>
      </c>
      <c r="K6" s="188" t="s">
        <v>51</v>
      </c>
      <c r="L6" s="253" t="s">
        <v>51</v>
      </c>
      <c r="M6" s="254" t="s">
        <v>194</v>
      </c>
      <c r="N6" s="188" t="s">
        <v>194</v>
      </c>
      <c r="O6" s="188" t="s">
        <v>194</v>
      </c>
      <c r="P6" s="188" t="s">
        <v>194</v>
      </c>
      <c r="Q6" s="255" t="s">
        <v>51</v>
      </c>
      <c r="R6" s="188" t="s">
        <v>51</v>
      </c>
      <c r="S6" s="253" t="s">
        <v>51</v>
      </c>
      <c r="T6" s="252" t="s">
        <v>193</v>
      </c>
      <c r="U6" s="255" t="s">
        <v>195</v>
      </c>
      <c r="V6" s="188" t="s">
        <v>195</v>
      </c>
      <c r="W6" s="188" t="s">
        <v>195</v>
      </c>
      <c r="X6" s="255" t="s">
        <v>196</v>
      </c>
      <c r="Y6" s="188" t="s">
        <v>196</v>
      </c>
      <c r="Z6" s="188" t="s">
        <v>196</v>
      </c>
      <c r="AA6" s="255" t="s">
        <v>195</v>
      </c>
      <c r="AB6" s="188" t="s">
        <v>195</v>
      </c>
      <c r="AC6" s="188" t="s">
        <v>195</v>
      </c>
      <c r="AD6" s="257" t="s">
        <v>194</v>
      </c>
      <c r="AE6" s="190" t="s">
        <v>194</v>
      </c>
      <c r="AF6" s="190" t="s">
        <v>194</v>
      </c>
      <c r="AG6" s="248"/>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row>
    <row r="7" customFormat="false" ht="14.4" hidden="false" customHeight="true" outlineLevel="0" collapsed="false">
      <c r="B7" s="258"/>
      <c r="C7" s="232" t="s">
        <v>197</v>
      </c>
      <c r="D7" s="232" t="s">
        <v>53</v>
      </c>
      <c r="E7" s="233" t="s">
        <v>158</v>
      </c>
      <c r="F7" s="233" t="n">
        <v>0</v>
      </c>
      <c r="G7" s="236" t="n">
        <f aca="false">J7+J15+J23</f>
        <v>21.2725</v>
      </c>
      <c r="H7" s="259" t="n">
        <v>5.3091</v>
      </c>
      <c r="I7" s="235" t="n">
        <v>5.3818</v>
      </c>
      <c r="J7" s="235" t="n">
        <f aca="false">I7-H7</f>
        <v>0.0727000000000002</v>
      </c>
      <c r="K7" s="235" t="n">
        <f aca="false">AVERAGE(J7:J14)</f>
        <v>0.1214125</v>
      </c>
      <c r="L7" s="235" t="n">
        <f aca="false">STDEV(J7:J14)</f>
        <v>0.0964593243289625</v>
      </c>
      <c r="M7" s="260" t="n">
        <v>21.3819275488069</v>
      </c>
      <c r="N7" s="261" t="n">
        <v>0</v>
      </c>
      <c r="O7" s="261" t="n">
        <f aca="false">M7-N7</f>
        <v>21.3819275488069</v>
      </c>
      <c r="P7" s="234" t="n">
        <v>1.33500726681128</v>
      </c>
      <c r="Q7" s="260" t="n">
        <f aca="false">O7/P7</f>
        <v>16.0163379483907</v>
      </c>
      <c r="R7" s="234" t="n">
        <f aca="false">AVERAGE(Q7:Q14)</f>
        <v>15.8931210627114</v>
      </c>
      <c r="S7" s="234" t="n">
        <f aca="false">STDEV(Q7:Q14)</f>
        <v>0.916610434443713</v>
      </c>
      <c r="T7" s="259" t="n">
        <f aca="false">(I7-H7)*O7/100</f>
        <v>0.0155446613279827</v>
      </c>
      <c r="U7" s="260" t="n">
        <f aca="false">1000*T7/G7</f>
        <v>0.730739749817025</v>
      </c>
      <c r="V7" s="234" t="n">
        <f aca="false">AVERAGE(U7:U14)</f>
        <v>1.60262533549141</v>
      </c>
      <c r="W7" s="234" t="n">
        <f aca="false">STDEV(U7:U14)</f>
        <v>1.32578178609888</v>
      </c>
      <c r="X7" s="260"/>
      <c r="Y7" s="234"/>
      <c r="Z7" s="234"/>
      <c r="AA7" s="260" t="n">
        <f aca="false">U7+U15+U23</f>
        <v>17.6580958314916</v>
      </c>
      <c r="AB7" s="234" t="n">
        <f aca="false">AVERAGE(AA7:AA14)</f>
        <v>22.8758708784455</v>
      </c>
      <c r="AC7" s="234" t="n">
        <f aca="false">STDEV(AA7:AA14)</f>
        <v>7.21420614631543</v>
      </c>
      <c r="AD7" s="260" t="n">
        <f aca="false">100*U7/(U7+U15+U23)</f>
        <v>4.13827038198432</v>
      </c>
      <c r="AE7" s="234" t="n">
        <f aca="false">AVERAGE(AD7:AD14)</f>
        <v>7.11573068284764</v>
      </c>
      <c r="AF7" s="234" t="n">
        <f aca="false">STDEV(AD7:AD14)</f>
        <v>6.21685302129053</v>
      </c>
      <c r="AG7" s="262"/>
    </row>
    <row r="8" customFormat="false" ht="14.4" hidden="false" customHeight="true" outlineLevel="0" collapsed="false">
      <c r="B8" s="258"/>
      <c r="C8" s="263"/>
      <c r="D8" s="263"/>
      <c r="E8" s="264" t="s">
        <v>159</v>
      </c>
      <c r="F8" s="264" t="n">
        <v>0</v>
      </c>
      <c r="G8" s="265" t="n">
        <f aca="false">J8+J16+J24</f>
        <v>21.5305</v>
      </c>
      <c r="H8" s="266" t="n">
        <v>5.3258</v>
      </c>
      <c r="I8" s="266" t="n">
        <v>5.6381</v>
      </c>
      <c r="J8" s="266" t="n">
        <f aca="false">I8-H8</f>
        <v>0.3123</v>
      </c>
      <c r="K8" s="266"/>
      <c r="L8" s="266"/>
      <c r="M8" s="267" t="n">
        <v>27.6420166324657</v>
      </c>
      <c r="N8" s="268" t="n">
        <v>0</v>
      </c>
      <c r="O8" s="268" t="n">
        <f aca="false">M8-N8</f>
        <v>27.6420166324657</v>
      </c>
      <c r="P8" s="269" t="n">
        <v>1.55043665622637</v>
      </c>
      <c r="Q8" s="267" t="n">
        <f aca="false">O8/P8</f>
        <v>17.828536574815</v>
      </c>
      <c r="R8" s="269"/>
      <c r="S8" s="268"/>
      <c r="T8" s="270" t="n">
        <f aca="false">(I8-H8)*O8/100</f>
        <v>0.0863260179431903</v>
      </c>
      <c r="U8" s="267" t="n">
        <f aca="false">1000*T8/G8</f>
        <v>4.00947576429671</v>
      </c>
      <c r="V8" s="271" t="n">
        <f aca="false">PERCENTILE(U7:U14, 25%)-1.5*(PERCENTILE(U7:U14, 75%)-PERCENTILE(U7:U14, 25%))</f>
        <v>-1.52888362215914</v>
      </c>
      <c r="W8" s="268"/>
      <c r="X8" s="267"/>
      <c r="Y8" s="268"/>
      <c r="Z8" s="268"/>
      <c r="AA8" s="267" t="n">
        <f aca="false">U8+U16+U24</f>
        <v>19.0052067410441</v>
      </c>
      <c r="AB8" s="268"/>
      <c r="AC8" s="268"/>
      <c r="AD8" s="267" t="n">
        <f aca="false">100*U8/(U8+U16+U24)</f>
        <v>21.0967226977739</v>
      </c>
      <c r="AE8" s="269"/>
      <c r="AF8" s="268"/>
      <c r="AG8" s="262"/>
    </row>
    <row r="9" customFormat="false" ht="14.4" hidden="false" customHeight="true" outlineLevel="0" collapsed="false">
      <c r="B9" s="258"/>
      <c r="C9" s="263"/>
      <c r="D9" s="263"/>
      <c r="E9" s="264" t="s">
        <v>33</v>
      </c>
      <c r="F9" s="264" t="n">
        <v>0</v>
      </c>
      <c r="G9" s="265" t="n">
        <f aca="false">J9+J17+J25</f>
        <v>21.8435</v>
      </c>
      <c r="H9" s="266" t="n">
        <v>5.3149</v>
      </c>
      <c r="I9" s="266" t="n">
        <v>5.38</v>
      </c>
      <c r="J9" s="266" t="n">
        <f aca="false">I9-H9</f>
        <v>0.0651000000000002</v>
      </c>
      <c r="K9" s="266"/>
      <c r="L9" s="266"/>
      <c r="M9" s="267" t="n">
        <v>25.5221962914964</v>
      </c>
      <c r="N9" s="268" t="n">
        <v>0</v>
      </c>
      <c r="O9" s="268" t="n">
        <f aca="false">M9-N9</f>
        <v>25.5221962914964</v>
      </c>
      <c r="P9" s="269" t="n">
        <v>1.75556255607616</v>
      </c>
      <c r="Q9" s="267" t="n">
        <f aca="false">O9/P9</f>
        <v>14.5379019409828</v>
      </c>
      <c r="R9" s="269"/>
      <c r="S9" s="268"/>
      <c r="T9" s="270" t="n">
        <f aca="false">(I9-H9)*O9/100</f>
        <v>0.0166149497857642</v>
      </c>
      <c r="U9" s="267" t="n">
        <f aca="false">1000*T9/G9</f>
        <v>0.760635877298244</v>
      </c>
      <c r="V9" s="271" t="n">
        <f aca="false">PERCENTILE(U7:U14, 75%)+1.5*(PERCENTILE(U7:U14, 75%)-PERCENTILE(U7:U14, 25%))</f>
        <v>4.41733492847616</v>
      </c>
      <c r="W9" s="268"/>
      <c r="X9" s="267"/>
      <c r="Y9" s="268"/>
      <c r="Z9" s="268"/>
      <c r="AA9" s="267" t="n">
        <f aca="false">U9+U17+U25</f>
        <v>13.550425242152</v>
      </c>
      <c r="AB9" s="268"/>
      <c r="AC9" s="268"/>
      <c r="AD9" s="267" t="n">
        <f aca="false">100*U9/(U9+U17+U25)</f>
        <v>5.61337274443679</v>
      </c>
      <c r="AE9" s="269"/>
      <c r="AF9" s="268"/>
      <c r="AG9" s="262"/>
    </row>
    <row r="10" customFormat="false" ht="14.4" hidden="false" customHeight="true" outlineLevel="0" collapsed="false">
      <c r="B10" s="258"/>
      <c r="C10" s="263"/>
      <c r="D10" s="263"/>
      <c r="E10" s="264" t="s">
        <v>160</v>
      </c>
      <c r="F10" s="264" t="n">
        <v>0</v>
      </c>
      <c r="G10" s="265" t="n">
        <f aca="false">J10+J18+J26</f>
        <v>21.4472</v>
      </c>
      <c r="H10" s="266" t="n">
        <v>5.3154</v>
      </c>
      <c r="I10" s="266" t="n">
        <v>5.3504</v>
      </c>
      <c r="J10" s="266" t="n">
        <f aca="false">I10-H10</f>
        <v>0.0349999999999993</v>
      </c>
      <c r="K10" s="266"/>
      <c r="L10" s="266"/>
      <c r="M10" s="267" t="n">
        <v>24.2266370486349</v>
      </c>
      <c r="N10" s="268" t="n">
        <v>0</v>
      </c>
      <c r="O10" s="268" t="n">
        <f aca="false">M10-N10</f>
        <v>24.2266370486349</v>
      </c>
      <c r="P10" s="269" t="n">
        <v>1.5069058616303</v>
      </c>
      <c r="Q10" s="267" t="n">
        <f aca="false">O10/P10</f>
        <v>16.0770740001134</v>
      </c>
      <c r="R10" s="269"/>
      <c r="S10" s="268"/>
      <c r="T10" s="270" t="n">
        <f aca="false">(I10-H10)*O10/100</f>
        <v>0.00847932296702203</v>
      </c>
      <c r="U10" s="267" t="n">
        <f aca="false">1000*T10/G10</f>
        <v>0.395358040537787</v>
      </c>
      <c r="V10" s="268"/>
      <c r="W10" s="268"/>
      <c r="X10" s="267"/>
      <c r="Y10" s="268"/>
      <c r="Z10" s="268"/>
      <c r="AA10" s="267" t="n">
        <f aca="false">U10+U18+U26</f>
        <v>18.3046663773576</v>
      </c>
      <c r="AB10" s="268"/>
      <c r="AC10" s="268"/>
      <c r="AD10" s="267" t="n">
        <f aca="false">100*U10/(U10+U18+U26)</f>
        <v>2.15987569719837</v>
      </c>
      <c r="AE10" s="269"/>
      <c r="AF10" s="268"/>
      <c r="AG10" s="262"/>
    </row>
    <row r="11" customFormat="false" ht="14.4" hidden="false" customHeight="true" outlineLevel="0" collapsed="false">
      <c r="B11" s="258"/>
      <c r="C11" s="263"/>
      <c r="D11" s="263"/>
      <c r="E11" s="264" t="s">
        <v>161</v>
      </c>
      <c r="F11" s="264" t="n">
        <v>0</v>
      </c>
      <c r="G11" s="265" t="n">
        <f aca="false">J11+J19+J27</f>
        <v>19.4074</v>
      </c>
      <c r="H11" s="266" t="n">
        <v>5.2578</v>
      </c>
      <c r="I11" s="266" t="n">
        <v>5.376</v>
      </c>
      <c r="J11" s="266" t="n">
        <f aca="false">I11-H11</f>
        <v>0.118200000000001</v>
      </c>
      <c r="K11" s="266"/>
      <c r="L11" s="266"/>
      <c r="M11" s="267" t="n">
        <v>30.576538962963</v>
      </c>
      <c r="N11" s="268" t="n">
        <v>0</v>
      </c>
      <c r="O11" s="268" t="n">
        <f aca="false">M11-N11</f>
        <v>30.576538962963</v>
      </c>
      <c r="P11" s="269" t="n">
        <v>1.93823022222222</v>
      </c>
      <c r="Q11" s="267" t="n">
        <f aca="false">O11/P11</f>
        <v>15.7754938564039</v>
      </c>
      <c r="R11" s="269"/>
      <c r="S11" s="268"/>
      <c r="T11" s="270" t="n">
        <f aca="false">(I11-H11)*O11/100</f>
        <v>0.0361414690542225</v>
      </c>
      <c r="U11" s="267" t="n">
        <f aca="false">1000*T11/G11</f>
        <v>1.86225197884428</v>
      </c>
      <c r="V11" s="268"/>
      <c r="W11" s="268"/>
      <c r="X11" s="267"/>
      <c r="Y11" s="268"/>
      <c r="Z11" s="268"/>
      <c r="AA11" s="267" t="n">
        <f aca="false">U11+U19+U27</f>
        <v>23.3526106094864</v>
      </c>
      <c r="AB11" s="268"/>
      <c r="AC11" s="268"/>
      <c r="AD11" s="267" t="n">
        <f aca="false">100*U11/(U11+U19+U27)</f>
        <v>7.97449163173127</v>
      </c>
      <c r="AE11" s="269"/>
      <c r="AF11" s="268"/>
      <c r="AG11" s="262"/>
    </row>
    <row r="12" customFormat="false" ht="14.4" hidden="false" customHeight="true" outlineLevel="0" collapsed="false">
      <c r="B12" s="258"/>
      <c r="C12" s="263"/>
      <c r="D12" s="263"/>
      <c r="E12" s="264" t="s">
        <v>35</v>
      </c>
      <c r="F12" s="264" t="n">
        <v>0</v>
      </c>
      <c r="G12" s="265" t="n">
        <f aca="false">J12+J20+J28</f>
        <v>20.3183</v>
      </c>
      <c r="H12" s="266" t="n">
        <v>5.3919</v>
      </c>
      <c r="I12" s="266" t="n">
        <v>5.4387</v>
      </c>
      <c r="J12" s="266" t="n">
        <f aca="false">I12-H12</f>
        <v>0.0468000000000002</v>
      </c>
      <c r="K12" s="266"/>
      <c r="L12" s="266"/>
      <c r="M12" s="267" t="n">
        <v>26.5515935672515</v>
      </c>
      <c r="N12" s="268" t="n">
        <v>0</v>
      </c>
      <c r="O12" s="268" t="n">
        <f aca="false">M12-N12</f>
        <v>26.5515935672515</v>
      </c>
      <c r="P12" s="269" t="n">
        <v>1.69757456140351</v>
      </c>
      <c r="Q12" s="267" t="n">
        <f aca="false">O12/P12</f>
        <v>15.6408997701399</v>
      </c>
      <c r="R12" s="269"/>
      <c r="S12" s="268"/>
      <c r="T12" s="270" t="n">
        <f aca="false">(I12-H12)*O12/100</f>
        <v>0.0124261457894737</v>
      </c>
      <c r="U12" s="267" t="n">
        <f aca="false">1000*T12/G12</f>
        <v>0.611574087865311</v>
      </c>
      <c r="V12" s="268"/>
      <c r="W12" s="268"/>
      <c r="X12" s="267"/>
      <c r="Y12" s="268"/>
      <c r="Z12" s="268"/>
      <c r="AA12" s="267" t="n">
        <f aca="false">U12+U20+U28</f>
        <v>24.9015624101381</v>
      </c>
      <c r="AB12" s="268"/>
      <c r="AC12" s="268"/>
      <c r="AD12" s="267" t="n">
        <f aca="false">100*U12/(U12+U20+U28)</f>
        <v>2.45596672928572</v>
      </c>
      <c r="AE12" s="269"/>
      <c r="AF12" s="268"/>
      <c r="AG12" s="262"/>
    </row>
    <row r="13" customFormat="false" ht="14.4" hidden="false" customHeight="true" outlineLevel="0" collapsed="false">
      <c r="B13" s="258"/>
      <c r="C13" s="263"/>
      <c r="D13" s="263"/>
      <c r="E13" s="264" t="s">
        <v>162</v>
      </c>
      <c r="F13" s="264" t="n">
        <v>0</v>
      </c>
      <c r="G13" s="265" t="n">
        <f aca="false">J13+J21+J29</f>
        <v>19.6525</v>
      </c>
      <c r="H13" s="266" t="n">
        <v>5.3159</v>
      </c>
      <c r="I13" s="266" t="n">
        <v>5.5358</v>
      </c>
      <c r="J13" s="266" t="n">
        <f aca="false">I13-H13</f>
        <v>0.2199</v>
      </c>
      <c r="K13" s="266"/>
      <c r="L13" s="266"/>
      <c r="M13" s="267" t="n">
        <v>28.2700716622368</v>
      </c>
      <c r="N13" s="268" t="n">
        <v>0</v>
      </c>
      <c r="O13" s="268" t="n">
        <f aca="false">M13-N13</f>
        <v>28.2700716622368</v>
      </c>
      <c r="P13" s="269" t="n">
        <v>1.82436710284195</v>
      </c>
      <c r="Q13" s="267" t="n">
        <f aca="false">O13/P13</f>
        <v>15.4958240686309</v>
      </c>
      <c r="R13" s="269"/>
      <c r="S13" s="268"/>
      <c r="T13" s="270" t="n">
        <f aca="false">(I13-H13)*O13/100</f>
        <v>0.0621658875852587</v>
      </c>
      <c r="U13" s="267" t="n">
        <f aca="false">1000*T13/G13</f>
        <v>3.16325595141884</v>
      </c>
      <c r="V13" s="268"/>
      <c r="W13" s="268"/>
      <c r="X13" s="267"/>
      <c r="Y13" s="268"/>
      <c r="Z13" s="268"/>
      <c r="AA13" s="267" t="n">
        <f aca="false">U13+U21+U29</f>
        <v>32.8470328248453</v>
      </c>
      <c r="AB13" s="268"/>
      <c r="AC13" s="268"/>
      <c r="AD13" s="267" t="n">
        <f aca="false">100*U13/(U13+U21+U29)</f>
        <v>9.6302639215137</v>
      </c>
      <c r="AE13" s="269"/>
      <c r="AF13" s="268"/>
      <c r="AG13" s="262"/>
    </row>
    <row r="14" customFormat="false" ht="14.4" hidden="false" customHeight="true" outlineLevel="0" collapsed="false">
      <c r="B14" s="258"/>
      <c r="C14" s="263"/>
      <c r="D14" s="263"/>
      <c r="E14" s="264" t="s">
        <v>163</v>
      </c>
      <c r="F14" s="264" t="n">
        <v>0</v>
      </c>
      <c r="G14" s="265" t="n">
        <f aca="false">J14+J22+J30</f>
        <v>19.0035</v>
      </c>
      <c r="H14" s="266" t="n">
        <v>5.3362</v>
      </c>
      <c r="I14" s="266" t="n">
        <v>5.4375</v>
      </c>
      <c r="J14" s="266" t="n">
        <f aca="false">I14-H14</f>
        <v>0.1013</v>
      </c>
      <c r="K14" s="266"/>
      <c r="L14" s="266"/>
      <c r="M14" s="267" t="n">
        <v>24.1569796964725</v>
      </c>
      <c r="N14" s="268" t="n">
        <v>0</v>
      </c>
      <c r="O14" s="268" t="n">
        <f aca="false">M14-N14</f>
        <v>24.1569796964725</v>
      </c>
      <c r="P14" s="269" t="n">
        <v>1.53154963084496</v>
      </c>
      <c r="Q14" s="267" t="n">
        <f aca="false">O14/P14</f>
        <v>15.7729003422142</v>
      </c>
      <c r="R14" s="269"/>
      <c r="S14" s="268"/>
      <c r="T14" s="270" t="n">
        <f aca="false">(I14-H14)*O14/100</f>
        <v>0.0244710204325267</v>
      </c>
      <c r="U14" s="267" t="n">
        <f aca="false">1000*T14/G14</f>
        <v>1.28771123385306</v>
      </c>
      <c r="V14" s="268"/>
      <c r="W14" s="268"/>
      <c r="X14" s="267"/>
      <c r="Y14" s="268"/>
      <c r="Z14" s="268"/>
      <c r="AA14" s="267" t="n">
        <f aca="false">U14+U22+U30</f>
        <v>33.3873669910491</v>
      </c>
      <c r="AB14" s="268"/>
      <c r="AC14" s="268"/>
      <c r="AD14" s="267" t="n">
        <f aca="false">100*U14/(U14+U22+U30)</f>
        <v>3.85688165885704</v>
      </c>
      <c r="AE14" s="269"/>
      <c r="AF14" s="268"/>
      <c r="AG14" s="262"/>
    </row>
    <row r="15" customFormat="false" ht="14.4" hidden="false" customHeight="true" outlineLevel="0" collapsed="false">
      <c r="B15" s="258"/>
      <c r="C15" s="263"/>
      <c r="D15" s="263"/>
      <c r="E15" s="272" t="s">
        <v>158</v>
      </c>
      <c r="F15" s="272" t="n">
        <v>50</v>
      </c>
      <c r="G15" s="273" t="n">
        <f aca="false">G7</f>
        <v>21.2725</v>
      </c>
      <c r="H15" s="274" t="n">
        <v>5.3449</v>
      </c>
      <c r="I15" s="274" t="n">
        <v>5.4175</v>
      </c>
      <c r="J15" s="274" t="n">
        <f aca="false">I15-H15</f>
        <v>0.0726000000000004</v>
      </c>
      <c r="K15" s="274" t="n">
        <f aca="false">AVERAGE(J15:J22)</f>
        <v>0.130725</v>
      </c>
      <c r="L15" s="274" t="n">
        <f aca="false">STDEV(J15:J22)</f>
        <v>0.0616033104398037</v>
      </c>
      <c r="M15" s="275" t="n">
        <v>22.9485087154733</v>
      </c>
      <c r="N15" s="276" t="n">
        <v>0</v>
      </c>
      <c r="O15" s="276" t="n">
        <f aca="false">M15-N15</f>
        <v>22.9485087154733</v>
      </c>
      <c r="P15" s="276" t="n">
        <v>2.27672137302226</v>
      </c>
      <c r="Q15" s="275" t="n">
        <f aca="false">O15/P15</f>
        <v>10.0796298516801</v>
      </c>
      <c r="R15" s="276" t="n">
        <f aca="false">AVERAGE(Q15:Q22)</f>
        <v>10.9541097082231</v>
      </c>
      <c r="S15" s="276" t="n">
        <f aca="false">STDEV(Q15:Q22)</f>
        <v>1.07954682086444</v>
      </c>
      <c r="T15" s="274" t="n">
        <f aca="false">(I15-H15)*O15/100</f>
        <v>0.0166606173274337</v>
      </c>
      <c r="U15" s="275" t="n">
        <f aca="false">1000*T15/G15</f>
        <v>0.783199780347101</v>
      </c>
      <c r="V15" s="276" t="n">
        <f aca="false">AVERAGE(U15:U22)</f>
        <v>1.67405505970166</v>
      </c>
      <c r="W15" s="276" t="n">
        <f aca="false">STDEV(U15:U22)</f>
        <v>1.09643923361098</v>
      </c>
      <c r="X15" s="275"/>
      <c r="Y15" s="276"/>
      <c r="Z15" s="276"/>
      <c r="AA15" s="275"/>
      <c r="AB15" s="276"/>
      <c r="AC15" s="276"/>
      <c r="AD15" s="275" t="n">
        <f aca="false">100*U15/(U7+U15+U23)</f>
        <v>4.43535808062801</v>
      </c>
      <c r="AE15" s="276" t="n">
        <f aca="false">AVERAGE(AD15:AD22)</f>
        <v>7.07989214752061</v>
      </c>
      <c r="AF15" s="276" t="n">
        <f aca="false">STDEV(AD15:AD22)</f>
        <v>3.91202143382483</v>
      </c>
      <c r="AG15" s="262"/>
    </row>
    <row r="16" customFormat="false" ht="14.4" hidden="false" customHeight="true" outlineLevel="0" collapsed="false">
      <c r="B16" s="258"/>
      <c r="C16" s="263"/>
      <c r="D16" s="263"/>
      <c r="E16" s="264" t="s">
        <v>159</v>
      </c>
      <c r="F16" s="264" t="n">
        <v>50</v>
      </c>
      <c r="G16" s="277" t="n">
        <f aca="false">G8</f>
        <v>21.5305</v>
      </c>
      <c r="H16" s="266" t="n">
        <v>5.3671</v>
      </c>
      <c r="I16" s="266" t="n">
        <v>5.4448</v>
      </c>
      <c r="J16" s="266" t="n">
        <f aca="false">I16-H16</f>
        <v>0.0777000000000001</v>
      </c>
      <c r="K16" s="266"/>
      <c r="L16" s="266"/>
      <c r="M16" s="267" t="n">
        <v>19.798523441525</v>
      </c>
      <c r="N16" s="268" t="n">
        <v>0</v>
      </c>
      <c r="O16" s="268" t="n">
        <f aca="false">M16-N16</f>
        <v>19.798523441525</v>
      </c>
      <c r="P16" s="269" t="n">
        <v>2.04854988837369</v>
      </c>
      <c r="Q16" s="267" t="n">
        <f aca="false">O16/P16</f>
        <v>9.66465281313833</v>
      </c>
      <c r="R16" s="269"/>
      <c r="S16" s="268"/>
      <c r="T16" s="270" t="n">
        <f aca="false">(I16-H16)*O16/100</f>
        <v>0.0153834527140649</v>
      </c>
      <c r="U16" s="267" t="n">
        <f aca="false">1000*T16/G16</f>
        <v>0.714495841437261</v>
      </c>
      <c r="V16" s="271" t="n">
        <f aca="false">PERCENTILE(U15:U22, 25%)-1.5*(PERCENTILE(U15:U22, 75%)-PERCENTILE(U15:U22, 25%))</f>
        <v>-1.4747701931781</v>
      </c>
      <c r="W16" s="268"/>
      <c r="X16" s="267"/>
      <c r="Y16" s="268"/>
      <c r="Z16" s="268"/>
      <c r="AA16" s="267"/>
      <c r="AB16" s="268"/>
      <c r="AC16" s="268"/>
      <c r="AD16" s="267" t="n">
        <f aca="false">100*U16/(U8+U16+U24)</f>
        <v>3.75947418606197</v>
      </c>
      <c r="AE16" s="269"/>
      <c r="AF16" s="268"/>
      <c r="AG16" s="262"/>
    </row>
    <row r="17" customFormat="false" ht="14.4" hidden="false" customHeight="true" outlineLevel="0" collapsed="false">
      <c r="B17" s="258"/>
      <c r="C17" s="263"/>
      <c r="D17" s="263"/>
      <c r="E17" s="264" t="s">
        <v>33</v>
      </c>
      <c r="F17" s="264" t="n">
        <v>50</v>
      </c>
      <c r="G17" s="277" t="n">
        <f aca="false">G9</f>
        <v>21.8435</v>
      </c>
      <c r="H17" s="278" t="n">
        <v>5.2676</v>
      </c>
      <c r="I17" s="266" t="n">
        <v>5.3592</v>
      </c>
      <c r="J17" s="266" t="n">
        <f aca="false">I17-H17</f>
        <v>0.0916000000000006</v>
      </c>
      <c r="K17" s="266"/>
      <c r="L17" s="266"/>
      <c r="M17" s="267" t="n">
        <v>20.8069139816442</v>
      </c>
      <c r="N17" s="268" t="n">
        <v>0</v>
      </c>
      <c r="O17" s="268" t="n">
        <f aca="false">M17-N17</f>
        <v>20.8069139816442</v>
      </c>
      <c r="P17" s="269" t="n">
        <v>2.01003124389768</v>
      </c>
      <c r="Q17" s="267" t="n">
        <f aca="false">O17/P17</f>
        <v>10.3515375916731</v>
      </c>
      <c r="R17" s="269"/>
      <c r="S17" s="268"/>
      <c r="T17" s="270" t="n">
        <f aca="false">(I17-H17)*O17/100</f>
        <v>0.0190591332071862</v>
      </c>
      <c r="U17" s="267" t="n">
        <f aca="false">1000*T17/G17</f>
        <v>0.872531105692137</v>
      </c>
      <c r="V17" s="271" t="n">
        <f aca="false">PERCENTILE(U15:U22, 75%)+1.5*(PERCENTILE(U15:U22, 75%)-PERCENTILE(U15:U22, 25%))</f>
        <v>4.72514572024585</v>
      </c>
      <c r="W17" s="268"/>
      <c r="X17" s="267"/>
      <c r="Y17" s="268"/>
      <c r="Z17" s="268"/>
      <c r="AA17" s="267"/>
      <c r="AB17" s="268"/>
      <c r="AC17" s="268"/>
      <c r="AD17" s="267" t="n">
        <f aca="false">100*U17/(U9+U17+U25)</f>
        <v>6.43914187266913</v>
      </c>
      <c r="AE17" s="269"/>
      <c r="AF17" s="268"/>
      <c r="AG17" s="262"/>
    </row>
    <row r="18" customFormat="false" ht="14.4" hidden="false" customHeight="true" outlineLevel="0" collapsed="false">
      <c r="B18" s="258"/>
      <c r="C18" s="263"/>
      <c r="D18" s="263"/>
      <c r="E18" s="264" t="s">
        <v>160</v>
      </c>
      <c r="F18" s="264" t="n">
        <v>50</v>
      </c>
      <c r="G18" s="277" t="n">
        <f aca="false">G10</f>
        <v>21.4472</v>
      </c>
      <c r="H18" s="266" t="n">
        <v>5.3275</v>
      </c>
      <c r="I18" s="266" t="n">
        <v>5.4283</v>
      </c>
      <c r="J18" s="266" t="n">
        <f aca="false">I18-H18</f>
        <v>0.1008</v>
      </c>
      <c r="K18" s="266"/>
      <c r="L18" s="266"/>
      <c r="M18" s="267" t="n">
        <v>22.3437466196837</v>
      </c>
      <c r="N18" s="268" t="n">
        <v>0</v>
      </c>
      <c r="O18" s="268" t="n">
        <f aca="false">M18-N18</f>
        <v>22.3437466196837</v>
      </c>
      <c r="P18" s="269" t="n">
        <v>2.07197508809309</v>
      </c>
      <c r="Q18" s="267" t="n">
        <f aca="false">O18/P18</f>
        <v>10.7837911508132</v>
      </c>
      <c r="R18" s="269"/>
      <c r="S18" s="268"/>
      <c r="T18" s="270" t="n">
        <f aca="false">(I18-H18)*O18/100</f>
        <v>0.0225224965926413</v>
      </c>
      <c r="U18" s="267" t="n">
        <f aca="false">1000*T18/G18</f>
        <v>1.0501369219591</v>
      </c>
      <c r="V18" s="268"/>
      <c r="W18" s="268"/>
      <c r="X18" s="267"/>
      <c r="Y18" s="268"/>
      <c r="Z18" s="268"/>
      <c r="AA18" s="267"/>
      <c r="AB18" s="268"/>
      <c r="AC18" s="268"/>
      <c r="AD18" s="267" t="n">
        <f aca="false">100*U18/(U10+U18+U26)</f>
        <v>5.73699023139858</v>
      </c>
      <c r="AE18" s="269"/>
      <c r="AF18" s="268"/>
      <c r="AG18" s="262"/>
    </row>
    <row r="19" customFormat="false" ht="14.4" hidden="false" customHeight="true" outlineLevel="0" collapsed="false">
      <c r="B19" s="258"/>
      <c r="C19" s="263"/>
      <c r="D19" s="263"/>
      <c r="E19" s="264" t="s">
        <v>161</v>
      </c>
      <c r="F19" s="264" t="n">
        <v>50</v>
      </c>
      <c r="G19" s="277" t="n">
        <f aca="false">G11</f>
        <v>19.4074</v>
      </c>
      <c r="H19" s="266" t="n">
        <v>5.3291</v>
      </c>
      <c r="I19" s="266" t="n">
        <v>5.5857</v>
      </c>
      <c r="J19" s="266" t="n">
        <f aca="false">I19-H19</f>
        <v>0.2566</v>
      </c>
      <c r="K19" s="266"/>
      <c r="L19" s="266"/>
      <c r="M19" s="267" t="n">
        <v>28.7189452079897</v>
      </c>
      <c r="N19" s="268" t="n">
        <v>0</v>
      </c>
      <c r="O19" s="268" t="n">
        <f aca="false">M19-N19</f>
        <v>28.7189452079897</v>
      </c>
      <c r="P19" s="269" t="n">
        <v>2.62597471137988</v>
      </c>
      <c r="Q19" s="267" t="n">
        <f aca="false">O19/P19</f>
        <v>10.9364896331765</v>
      </c>
      <c r="R19" s="269"/>
      <c r="S19" s="268"/>
      <c r="T19" s="270" t="n">
        <f aca="false">(I19-H19)*O19/100</f>
        <v>0.0736928134037015</v>
      </c>
      <c r="U19" s="267" t="n">
        <f aca="false">1000*T19/G19</f>
        <v>3.79715023154577</v>
      </c>
      <c r="V19" s="268"/>
      <c r="W19" s="268"/>
      <c r="X19" s="267"/>
      <c r="Y19" s="268"/>
      <c r="Z19" s="268"/>
      <c r="AA19" s="267"/>
      <c r="AB19" s="268"/>
      <c r="AC19" s="268"/>
      <c r="AD19" s="267" t="n">
        <f aca="false">100*U19/(U11+U19+U27)</f>
        <v>16.2600674290492</v>
      </c>
      <c r="AE19" s="269"/>
      <c r="AF19" s="268"/>
      <c r="AG19" s="262"/>
    </row>
    <row r="20" customFormat="false" ht="14.4" hidden="false" customHeight="true" outlineLevel="0" collapsed="false">
      <c r="B20" s="258"/>
      <c r="C20" s="263"/>
      <c r="D20" s="263"/>
      <c r="E20" s="264" t="s">
        <v>35</v>
      </c>
      <c r="F20" s="264" t="n">
        <v>50</v>
      </c>
      <c r="G20" s="277" t="n">
        <f aca="false">G12</f>
        <v>20.3183</v>
      </c>
      <c r="H20" s="266" t="n">
        <v>5.3031</v>
      </c>
      <c r="I20" s="266" t="n">
        <v>5.4247</v>
      </c>
      <c r="J20" s="266" t="n">
        <f aca="false">I20-H20</f>
        <v>0.1216</v>
      </c>
      <c r="K20" s="266"/>
      <c r="L20" s="266"/>
      <c r="M20" s="267" t="n">
        <v>22.8279068439285</v>
      </c>
      <c r="N20" s="268" t="n">
        <v>0</v>
      </c>
      <c r="O20" s="268" t="n">
        <f aca="false">M20-N20</f>
        <v>22.8279068439285</v>
      </c>
      <c r="P20" s="269" t="n">
        <v>2.13442355584683</v>
      </c>
      <c r="Q20" s="267" t="n">
        <f aca="false">O20/P20</f>
        <v>10.695115681888</v>
      </c>
      <c r="R20" s="269"/>
      <c r="S20" s="268"/>
      <c r="T20" s="270" t="n">
        <f aca="false">(I20-H20)*O20/100</f>
        <v>0.027758734722217</v>
      </c>
      <c r="U20" s="267" t="n">
        <f aca="false">1000*T20/G20</f>
        <v>1.36619376238253</v>
      </c>
      <c r="V20" s="268"/>
      <c r="W20" s="268"/>
      <c r="X20" s="267"/>
      <c r="Y20" s="268"/>
      <c r="Z20" s="268"/>
      <c r="AA20" s="267"/>
      <c r="AB20" s="268"/>
      <c r="AC20" s="268"/>
      <c r="AD20" s="267" t="n">
        <f aca="false">100*U20/(U12+U20+U28)</f>
        <v>5.48637768137118</v>
      </c>
      <c r="AE20" s="269"/>
      <c r="AF20" s="268"/>
      <c r="AG20" s="262"/>
    </row>
    <row r="21" customFormat="false" ht="14.4" hidden="false" customHeight="true" outlineLevel="0" collapsed="false">
      <c r="B21" s="258"/>
      <c r="C21" s="263"/>
      <c r="D21" s="263"/>
      <c r="E21" s="264" t="s">
        <v>162</v>
      </c>
      <c r="F21" s="264" t="n">
        <v>50</v>
      </c>
      <c r="G21" s="277" t="n">
        <f aca="false">G13</f>
        <v>19.6525</v>
      </c>
      <c r="H21" s="266" t="n">
        <v>5.2217</v>
      </c>
      <c r="I21" s="266" t="n">
        <v>5.3861</v>
      </c>
      <c r="J21" s="266" t="n">
        <f aca="false">I21-H21</f>
        <v>0.1644</v>
      </c>
      <c r="K21" s="266"/>
      <c r="L21" s="266"/>
      <c r="M21" s="267" t="n">
        <v>28.8421326762699</v>
      </c>
      <c r="N21" s="268" t="n">
        <v>0</v>
      </c>
      <c r="O21" s="268" t="n">
        <f aca="false">M21-N21</f>
        <v>28.8421326762699</v>
      </c>
      <c r="P21" s="269" t="n">
        <v>2.33946550416983</v>
      </c>
      <c r="Q21" s="267" t="n">
        <f aca="false">O21/P21</f>
        <v>12.3285137672952</v>
      </c>
      <c r="R21" s="269"/>
      <c r="S21" s="268"/>
      <c r="T21" s="270" t="n">
        <f aca="false">(I21-H21)*O21/100</f>
        <v>0.0474164661197876</v>
      </c>
      <c r="U21" s="267" t="n">
        <f aca="false">1000*T21/G21</f>
        <v>2.41274474595027</v>
      </c>
      <c r="V21" s="268"/>
      <c r="W21" s="268"/>
      <c r="X21" s="267"/>
      <c r="Y21" s="268"/>
      <c r="Z21" s="268"/>
      <c r="AA21" s="267"/>
      <c r="AB21" s="268"/>
      <c r="AC21" s="268"/>
      <c r="AD21" s="267" t="n">
        <f aca="false">100*U21/(U13+U21+U29)</f>
        <v>7.34539633706361</v>
      </c>
      <c r="AE21" s="269"/>
      <c r="AF21" s="268"/>
      <c r="AG21" s="262"/>
    </row>
    <row r="22" customFormat="false" ht="14.4" hidden="false" customHeight="true" outlineLevel="0" collapsed="false">
      <c r="B22" s="258"/>
      <c r="C22" s="263"/>
      <c r="D22" s="263"/>
      <c r="E22" s="279" t="s">
        <v>163</v>
      </c>
      <c r="F22" s="279" t="n">
        <v>50</v>
      </c>
      <c r="G22" s="280" t="n">
        <f aca="false">G14</f>
        <v>19.0035</v>
      </c>
      <c r="H22" s="281" t="n">
        <v>5.3104</v>
      </c>
      <c r="I22" s="281" t="n">
        <v>5.4709</v>
      </c>
      <c r="J22" s="281" t="n">
        <f aca="false">I22-H22</f>
        <v>0.160500000000001</v>
      </c>
      <c r="K22" s="281"/>
      <c r="L22" s="281"/>
      <c r="M22" s="282" t="n">
        <v>28.3689468137016</v>
      </c>
      <c r="N22" s="283" t="n">
        <v>0</v>
      </c>
      <c r="O22" s="283" t="n">
        <f aca="false">M22-N22</f>
        <v>28.3689468137016</v>
      </c>
      <c r="P22" s="283" t="n">
        <v>2.21751117400215</v>
      </c>
      <c r="Q22" s="282" t="n">
        <f aca="false">O22/P22</f>
        <v>12.7931471761207</v>
      </c>
      <c r="R22" s="283"/>
      <c r="S22" s="283"/>
      <c r="T22" s="281" t="n">
        <f aca="false">(I22-H22)*O22/100</f>
        <v>0.0455321596359913</v>
      </c>
      <c r="U22" s="282" t="n">
        <f aca="false">1000*T22/G22</f>
        <v>2.39598808829906</v>
      </c>
      <c r="V22" s="283"/>
      <c r="W22" s="283"/>
      <c r="X22" s="282"/>
      <c r="Y22" s="283"/>
      <c r="Z22" s="283"/>
      <c r="AA22" s="282"/>
      <c r="AB22" s="283"/>
      <c r="AC22" s="283"/>
      <c r="AD22" s="282" t="n">
        <f aca="false">100*U22/(U14+U22+U30)</f>
        <v>7.17633136192325</v>
      </c>
      <c r="AE22" s="283"/>
      <c r="AF22" s="283"/>
      <c r="AG22" s="262"/>
    </row>
    <row r="23" customFormat="false" ht="14.4" hidden="false" customHeight="true" outlineLevel="0" collapsed="false">
      <c r="B23" s="258"/>
      <c r="C23" s="263"/>
      <c r="D23" s="263"/>
      <c r="E23" s="264" t="s">
        <v>158</v>
      </c>
      <c r="F23" s="264" t="s">
        <v>198</v>
      </c>
      <c r="G23" s="273" t="n">
        <f aca="false">G7</f>
        <v>21.2725</v>
      </c>
      <c r="H23" s="270" t="n">
        <v>25.2325</v>
      </c>
      <c r="I23" s="266" t="n">
        <f aca="false">46.3947-0.035</f>
        <v>46.3597</v>
      </c>
      <c r="J23" s="266" t="n">
        <f aca="false">I23-H23</f>
        <v>21.1272</v>
      </c>
      <c r="K23" s="266" t="n">
        <f aca="false">AVERAGE(J23:J30)</f>
        <v>20.3072875</v>
      </c>
      <c r="L23" s="266" t="n">
        <f aca="false">STDEV(J23:J30)</f>
        <v>1.16239668227515</v>
      </c>
      <c r="M23" s="267" t="n">
        <v>1.62751859650114</v>
      </c>
      <c r="N23" s="268" t="n">
        <v>0.002</v>
      </c>
      <c r="O23" s="268" t="n">
        <f aca="false">M23-N23</f>
        <v>1.62551859650114</v>
      </c>
      <c r="P23" s="269" t="n">
        <v>0.162502656643021</v>
      </c>
      <c r="Q23" s="267" t="n">
        <f aca="false">O23/P23</f>
        <v>10.0030278278589</v>
      </c>
      <c r="R23" s="269" t="n">
        <f aca="false">AVERAGE(Q23:Q30)</f>
        <v>10.4029021511876</v>
      </c>
      <c r="S23" s="268" t="n">
        <f aca="false">STDEV(Q23:Q30)</f>
        <v>0.597400432392933</v>
      </c>
      <c r="T23" s="274" t="n">
        <f aca="false">(I23-H23)*O23/100</f>
        <v>0.343426564919989</v>
      </c>
      <c r="U23" s="267" t="n">
        <f aca="false">1000*T23/G23</f>
        <v>16.1441563013275</v>
      </c>
      <c r="V23" s="268" t="n">
        <f aca="false">AVERAGE(U23:U30)</f>
        <v>19.5991904832525</v>
      </c>
      <c r="W23" s="268" t="n">
        <f aca="false">STDEV(U23:U30)</f>
        <v>6.35138984623985</v>
      </c>
      <c r="X23" s="267" t="n">
        <f aca="false">U23*0.04*1*'Available water-holding capacit'!R6*((SUM('Available water-holding capacit'!$R$16:$R$23)+SUM('Available water-holding capacit'!$R$26:$R$33))/16)/'Available water-holding capacit'!R6*10000/1000</f>
        <v>10.4915802513671</v>
      </c>
      <c r="Y23" s="268" t="n">
        <f aca="false">AVERAGE(X23:X30)</f>
        <v>12.7368984776222</v>
      </c>
      <c r="Z23" s="268" t="n">
        <f aca="false">STDEV(X23:X30)</f>
        <v>4.12756882650252</v>
      </c>
      <c r="AA23" s="267"/>
      <c r="AB23" s="268"/>
      <c r="AC23" s="268"/>
      <c r="AD23" s="267" t="n">
        <f aca="false">100*U23/(U7+U15+U23)</f>
        <v>91.4263715373877</v>
      </c>
      <c r="AE23" s="269" t="n">
        <f aca="false">AVERAGE(AD23:AD30)</f>
        <v>85.8043771696318</v>
      </c>
      <c r="AF23" s="268" t="n">
        <f aca="false">STDEV(AD23:AD30)</f>
        <v>7.04206835160404</v>
      </c>
      <c r="AG23" s="262"/>
    </row>
    <row r="24" customFormat="false" ht="14.4" hidden="false" customHeight="true" outlineLevel="0" collapsed="false">
      <c r="B24" s="258"/>
      <c r="C24" s="263"/>
      <c r="D24" s="263"/>
      <c r="E24" s="264" t="s">
        <v>159</v>
      </c>
      <c r="F24" s="264" t="s">
        <v>198</v>
      </c>
      <c r="G24" s="277" t="n">
        <f aca="false">G8</f>
        <v>21.5305</v>
      </c>
      <c r="H24" s="266" t="n">
        <v>23.951</v>
      </c>
      <c r="I24" s="266" t="n">
        <f aca="false">45.0915-0</f>
        <v>45.0915</v>
      </c>
      <c r="J24" s="266" t="n">
        <f aca="false">I24-H24</f>
        <v>21.1405</v>
      </c>
      <c r="K24" s="266"/>
      <c r="L24" s="266"/>
      <c r="M24" s="267" t="n">
        <v>1.46246953989165</v>
      </c>
      <c r="N24" s="268" t="n">
        <v>0.008</v>
      </c>
      <c r="O24" s="268" t="n">
        <f aca="false">M24-N24</f>
        <v>1.45446953989165</v>
      </c>
      <c r="P24" s="269" t="n">
        <v>0.141994461798482</v>
      </c>
      <c r="Q24" s="267" t="n">
        <f aca="false">O24/P24</f>
        <v>10.2431427357768</v>
      </c>
      <c r="R24" s="269"/>
      <c r="S24" s="268"/>
      <c r="T24" s="270" t="n">
        <f aca="false">(I24-H24)*O24/100</f>
        <v>0.307482133080794</v>
      </c>
      <c r="U24" s="267" t="n">
        <f aca="false">1000*T24/G24</f>
        <v>14.2812351353101</v>
      </c>
      <c r="V24" s="271" t="n">
        <f aca="false">PERCENTILE(U23:U30, 25%)-1.5*(PERCENTILE(U23:U30, 75%)-PERCENTILE(U23:U30, 25%))</f>
        <v>3.18015909687771</v>
      </c>
      <c r="W24" s="268"/>
      <c r="X24" s="267" t="n">
        <f aca="false">U24*0.04*1*'Available water-holding capacit'!R7*((SUM('Available water-holding capacit'!$R$16:$R$23)+SUM('Available water-holding capacit'!$R$26:$R$33))/16)/'Available water-holding capacit'!R7*10000/1000</f>
        <v>9.28092628156909</v>
      </c>
      <c r="Y24" s="271"/>
      <c r="Z24" s="268"/>
      <c r="AA24" s="267"/>
      <c r="AB24" s="268"/>
      <c r="AC24" s="268"/>
      <c r="AD24" s="267" t="n">
        <f aca="false">100*U24/(U8+U16+U24)</f>
        <v>75.1438031161641</v>
      </c>
      <c r="AE24" s="269"/>
      <c r="AF24" s="268"/>
      <c r="AG24" s="262"/>
    </row>
    <row r="25" customFormat="false" ht="14.4" hidden="false" customHeight="true" outlineLevel="0" collapsed="false">
      <c r="B25" s="258"/>
      <c r="C25" s="263"/>
      <c r="D25" s="263"/>
      <c r="E25" s="264" t="s">
        <v>33</v>
      </c>
      <c r="F25" s="264" t="s">
        <v>198</v>
      </c>
      <c r="G25" s="277" t="n">
        <f aca="false">G9</f>
        <v>21.8435</v>
      </c>
      <c r="H25" s="266" t="n">
        <v>24.651</v>
      </c>
      <c r="I25" s="266" t="n">
        <f aca="false">46.5478-0.21</f>
        <v>46.3378</v>
      </c>
      <c r="J25" s="266" t="n">
        <f aca="false">I25-H25</f>
        <v>21.6868</v>
      </c>
      <c r="K25" s="266"/>
      <c r="L25" s="266"/>
      <c r="M25" s="267" t="n">
        <v>1.20833675223637</v>
      </c>
      <c r="N25" s="268" t="n">
        <v>0.008</v>
      </c>
      <c r="O25" s="268" t="n">
        <f aca="false">M25-N25</f>
        <v>1.20033675223637</v>
      </c>
      <c r="P25" s="269" t="n">
        <v>0.124927445438387</v>
      </c>
      <c r="Q25" s="267" t="n">
        <f aca="false">O25/P25</f>
        <v>9.6082710090183</v>
      </c>
      <c r="R25" s="269"/>
      <c r="S25" s="268"/>
      <c r="T25" s="270" t="n">
        <f aca="false">(I25-H25)*O25/100</f>
        <v>0.260314630783997</v>
      </c>
      <c r="U25" s="267" t="n">
        <f aca="false">1000*T25/G25</f>
        <v>11.9172582591616</v>
      </c>
      <c r="V25" s="271" t="n">
        <f aca="false">PERCENTILE(U23:U30, 75%)+1.5*(PERCENTILE(U23:U30, 75%)-PERCENTILE(U23:U30, 25%))</f>
        <v>36.5088708647322</v>
      </c>
      <c r="W25" s="268"/>
      <c r="X25" s="267" t="n">
        <f aca="false">U25*0.04*1*'Available water-holding capacit'!R8*((SUM('Available water-holding capacit'!$R$16:$R$23)+SUM('Available water-holding capacit'!$R$26:$R$33))/16)/'Available water-holding capacit'!R8*10000/1000</f>
        <v>7.74465193897936</v>
      </c>
      <c r="Y25" s="271"/>
      <c r="Z25" s="268"/>
      <c r="AA25" s="267"/>
      <c r="AB25" s="268"/>
      <c r="AC25" s="268"/>
      <c r="AD25" s="267" t="n">
        <f aca="false">100*U25/(U9+U17+U25)</f>
        <v>87.9474853828941</v>
      </c>
      <c r="AE25" s="269"/>
      <c r="AF25" s="268"/>
      <c r="AG25" s="262"/>
    </row>
    <row r="26" customFormat="false" ht="14.4" hidden="false" customHeight="true" outlineLevel="0" collapsed="false">
      <c r="B26" s="258"/>
      <c r="C26" s="263"/>
      <c r="D26" s="263"/>
      <c r="E26" s="264" t="s">
        <v>160</v>
      </c>
      <c r="F26" s="264" t="s">
        <v>198</v>
      </c>
      <c r="G26" s="277" t="n">
        <f aca="false">G10</f>
        <v>21.4472</v>
      </c>
      <c r="H26" s="266" t="n">
        <v>25.1123</v>
      </c>
      <c r="I26" s="266" t="n">
        <f aca="false">46.4597-0.036</f>
        <v>46.4237</v>
      </c>
      <c r="J26" s="266" t="n">
        <f aca="false">I26-H26</f>
        <v>21.3114</v>
      </c>
      <c r="K26" s="266"/>
      <c r="L26" s="266"/>
      <c r="M26" s="267" t="n">
        <v>1.70166010289704</v>
      </c>
      <c r="N26" s="268" t="n">
        <v>0.005</v>
      </c>
      <c r="O26" s="268" t="n">
        <f aca="false">M26-N26</f>
        <v>1.69666010289704</v>
      </c>
      <c r="P26" s="269" t="n">
        <v>0.173484550131684</v>
      </c>
      <c r="Q26" s="267" t="n">
        <f aca="false">O26/P26</f>
        <v>9.77989164804119</v>
      </c>
      <c r="R26" s="269"/>
      <c r="S26" s="268"/>
      <c r="T26" s="270" t="n">
        <f aca="false">(I26-H26)*O26/100</f>
        <v>0.3615820211688</v>
      </c>
      <c r="U26" s="267" t="n">
        <f aca="false">1000*T26/G26</f>
        <v>16.8591714148607</v>
      </c>
      <c r="V26" s="268"/>
      <c r="W26" s="268"/>
      <c r="X26" s="267" t="n">
        <f aca="false">U26*0.04*1*'Available water-holding capacit'!R9*((SUM('Available water-holding capacit'!$R$16:$R$23)+SUM('Available water-holding capacit'!$R$26:$R$33))/16)/'Available water-holding capacit'!R9*10000/1000</f>
        <v>10.9562461220733</v>
      </c>
      <c r="Y26" s="268"/>
      <c r="Z26" s="268"/>
      <c r="AA26" s="267"/>
      <c r="AB26" s="268"/>
      <c r="AC26" s="268"/>
      <c r="AD26" s="267" t="n">
        <f aca="false">100*U26/(U10+U18+U26)</f>
        <v>92.1031340714031</v>
      </c>
      <c r="AE26" s="269"/>
      <c r="AF26" s="268"/>
      <c r="AG26" s="262"/>
    </row>
    <row r="27" customFormat="false" ht="14.4" hidden="false" customHeight="true" outlineLevel="0" collapsed="false">
      <c r="B27" s="258"/>
      <c r="C27" s="263"/>
      <c r="D27" s="263"/>
      <c r="E27" s="284" t="s">
        <v>161</v>
      </c>
      <c r="F27" s="284" t="s">
        <v>198</v>
      </c>
      <c r="G27" s="265" t="n">
        <f aca="false">G11</f>
        <v>19.4074</v>
      </c>
      <c r="H27" s="270" t="n">
        <v>24.634</v>
      </c>
      <c r="I27" s="270" t="n">
        <f aca="false">43.6666-0</f>
        <v>43.6666</v>
      </c>
      <c r="J27" s="270" t="n">
        <f aca="false">I27-H27</f>
        <v>19.0326</v>
      </c>
      <c r="K27" s="270"/>
      <c r="L27" s="270"/>
      <c r="M27" s="267" t="n">
        <v>1.81016323930846</v>
      </c>
      <c r="N27" s="268" t="n">
        <v>0.006</v>
      </c>
      <c r="O27" s="268" t="n">
        <f aca="false">M27-N27</f>
        <v>1.80416323930846</v>
      </c>
      <c r="P27" s="268" t="n">
        <v>0.16243660903852</v>
      </c>
      <c r="Q27" s="267" t="n">
        <f aca="false">O27/P27</f>
        <v>11.1068757836518</v>
      </c>
      <c r="R27" s="268"/>
      <c r="S27" s="268"/>
      <c r="T27" s="270" t="n">
        <f aca="false">(I27-H27)*O27/100</f>
        <v>0.343379172684622</v>
      </c>
      <c r="U27" s="267" t="n">
        <f aca="false">1000*T27/G27</f>
        <v>17.6932083990963</v>
      </c>
      <c r="V27" s="268"/>
      <c r="W27" s="268"/>
      <c r="X27" s="267" t="n">
        <f aca="false">U27*0.04*1*'Available water-holding capacit'!R10*((SUM('Available water-holding capacit'!$R$16:$R$23)+SUM('Available water-holding capacit'!$R$26:$R$33))/16)/'Available water-holding capacit'!R10*10000/1000</f>
        <v>11.498260569245</v>
      </c>
      <c r="Y27" s="268"/>
      <c r="Z27" s="268"/>
      <c r="AA27" s="267"/>
      <c r="AB27" s="268"/>
      <c r="AC27" s="268"/>
      <c r="AD27" s="267" t="n">
        <f aca="false">100*U27/(U11+U19+U27)</f>
        <v>75.7654409392196</v>
      </c>
      <c r="AE27" s="268"/>
      <c r="AF27" s="268"/>
      <c r="AG27" s="262"/>
    </row>
    <row r="28" customFormat="false" ht="14.4" hidden="false" customHeight="true" outlineLevel="0" collapsed="false">
      <c r="B28" s="258"/>
      <c r="C28" s="263"/>
      <c r="D28" s="263"/>
      <c r="E28" s="284" t="s">
        <v>35</v>
      </c>
      <c r="F28" s="284" t="s">
        <v>198</v>
      </c>
      <c r="G28" s="265" t="n">
        <f aca="false">G12</f>
        <v>20.3183</v>
      </c>
      <c r="H28" s="270" t="n">
        <v>24.9475</v>
      </c>
      <c r="I28" s="270" t="n">
        <f aca="false">45.1304-0.033</f>
        <v>45.0974</v>
      </c>
      <c r="J28" s="270" t="n">
        <f aca="false">I28-H28</f>
        <v>20.1499</v>
      </c>
      <c r="K28" s="270"/>
      <c r="L28" s="270"/>
      <c r="M28" s="267" t="n">
        <v>2.31953769996982</v>
      </c>
      <c r="N28" s="268" t="n">
        <v>0.008</v>
      </c>
      <c r="O28" s="268" t="n">
        <f aca="false">M28-N28</f>
        <v>2.31153769996982</v>
      </c>
      <c r="P28" s="268" t="n">
        <v>0.220529872220545</v>
      </c>
      <c r="Q28" s="267" t="n">
        <f aca="false">O28/P28</f>
        <v>10.4817441587148</v>
      </c>
      <c r="R28" s="268"/>
      <c r="S28" s="268"/>
      <c r="T28" s="270" t="n">
        <f aca="false">(I28-H28)*O28/100</f>
        <v>0.465772535006219</v>
      </c>
      <c r="U28" s="267" t="n">
        <f aca="false">1000*T28/G28</f>
        <v>22.9237945598903</v>
      </c>
      <c r="V28" s="268"/>
      <c r="W28" s="268"/>
      <c r="X28" s="267" t="n">
        <f aca="false">U28*0.04*1*'Available water-holding capacit'!R11*((SUM('Available water-holding capacit'!$R$16:$R$23)+SUM('Available water-holding capacit'!$R$26:$R$33))/16)/'Available water-holding capacit'!R11*10000/1000</f>
        <v>14.8974542739756</v>
      </c>
      <c r="Y28" s="268"/>
      <c r="Z28" s="268"/>
      <c r="AA28" s="267"/>
      <c r="AB28" s="268"/>
      <c r="AC28" s="268"/>
      <c r="AD28" s="267" t="n">
        <f aca="false">100*U28/(U12+U20+U28)</f>
        <v>92.0576555893431</v>
      </c>
      <c r="AE28" s="268"/>
      <c r="AF28" s="268"/>
      <c r="AG28" s="262"/>
    </row>
    <row r="29" customFormat="false" ht="14.4" hidden="false" customHeight="true" outlineLevel="0" collapsed="false">
      <c r="B29" s="258"/>
      <c r="C29" s="263"/>
      <c r="D29" s="263"/>
      <c r="E29" s="284" t="s">
        <v>162</v>
      </c>
      <c r="F29" s="284" t="s">
        <v>198</v>
      </c>
      <c r="G29" s="265" t="n">
        <f aca="false">G13</f>
        <v>19.6525</v>
      </c>
      <c r="H29" s="270" t="n">
        <v>25.0565</v>
      </c>
      <c r="I29" s="270" t="n">
        <f aca="false">44.3287-0.004</f>
        <v>44.3247</v>
      </c>
      <c r="J29" s="270" t="n">
        <f aca="false">I29-H29</f>
        <v>19.2682</v>
      </c>
      <c r="K29" s="270"/>
      <c r="L29" s="270"/>
      <c r="M29" s="267" t="n">
        <v>2.80649468494839</v>
      </c>
      <c r="N29" s="268" t="n">
        <v>0.025</v>
      </c>
      <c r="O29" s="268" t="n">
        <f aca="false">M29-N29</f>
        <v>2.78149468494839</v>
      </c>
      <c r="P29" s="268" t="n">
        <v>0.25748405484517</v>
      </c>
      <c r="Q29" s="267" t="n">
        <f aca="false">O29/P29</f>
        <v>10.8025900346371</v>
      </c>
      <c r="R29" s="268"/>
      <c r="S29" s="268"/>
      <c r="T29" s="270" t="n">
        <f aca="false">(I29-H29)*O29/100</f>
        <v>0.535943958885226</v>
      </c>
      <c r="U29" s="267" t="n">
        <f aca="false">1000*T29/G29</f>
        <v>27.2710321274762</v>
      </c>
      <c r="V29" s="268"/>
      <c r="W29" s="268"/>
      <c r="X29" s="267" t="n">
        <f aca="false">U29*0.04*1*'Available water-holding capacit'!R12*((SUM('Available water-holding capacit'!$R$16:$R$23)+SUM('Available water-holding capacit'!$R$26:$R$33))/16)/'Available water-holding capacit'!R12*10000/1000</f>
        <v>17.7225874652552</v>
      </c>
      <c r="Y29" s="268"/>
      <c r="Z29" s="268"/>
      <c r="AA29" s="267"/>
      <c r="AB29" s="268"/>
      <c r="AC29" s="268"/>
      <c r="AD29" s="267" t="n">
        <f aca="false">100*U29/(U13+U21+U29)</f>
        <v>83.0243397414227</v>
      </c>
      <c r="AE29" s="268"/>
      <c r="AF29" s="268"/>
      <c r="AG29" s="262"/>
    </row>
    <row r="30" customFormat="false" ht="14.4" hidden="false" customHeight="true" outlineLevel="0" collapsed="false">
      <c r="B30" s="258"/>
      <c r="C30" s="263"/>
      <c r="D30" s="263"/>
      <c r="E30" s="285" t="s">
        <v>163</v>
      </c>
      <c r="F30" s="285" t="s">
        <v>198</v>
      </c>
      <c r="G30" s="265" t="n">
        <f aca="false">G14</f>
        <v>19.0035</v>
      </c>
      <c r="H30" s="286" t="n">
        <v>24.8281</v>
      </c>
      <c r="I30" s="286" t="n">
        <f aca="false">43.6438-0.074</f>
        <v>43.5698</v>
      </c>
      <c r="J30" s="286" t="n">
        <f aca="false">I30-H30</f>
        <v>18.7417</v>
      </c>
      <c r="K30" s="286"/>
      <c r="L30" s="286"/>
      <c r="M30" s="287" t="n">
        <v>3.01985937532819</v>
      </c>
      <c r="N30" s="288" t="n">
        <v>0.008</v>
      </c>
      <c r="O30" s="288" t="n">
        <f aca="false">M30-N30</f>
        <v>3.01185937532819</v>
      </c>
      <c r="P30" s="288" t="n">
        <v>0.268971875065639</v>
      </c>
      <c r="Q30" s="287" t="n">
        <f aca="false">O30/P30</f>
        <v>11.1976740118021</v>
      </c>
      <c r="R30" s="288"/>
      <c r="S30" s="288"/>
      <c r="T30" s="270" t="n">
        <f aca="false">(I30-H30)*O30/100</f>
        <v>0.564473648545883</v>
      </c>
      <c r="U30" s="287" t="n">
        <f aca="false">1000*T30/G30</f>
        <v>29.703667668897</v>
      </c>
      <c r="V30" s="288"/>
      <c r="W30" s="288"/>
      <c r="X30" s="267" t="n">
        <f aca="false">U30*0.04*1*'Available water-holding capacit'!R13*((SUM('Available water-holding capacit'!$R$16:$R$23)+SUM('Available water-holding capacit'!$R$26:$R$33))/16)/'Available water-holding capacit'!R13*10000/1000</f>
        <v>19.3034809185133</v>
      </c>
      <c r="Y30" s="288"/>
      <c r="Z30" s="288"/>
      <c r="AA30" s="287"/>
      <c r="AB30" s="288"/>
      <c r="AC30" s="288"/>
      <c r="AD30" s="287" t="n">
        <f aca="false">100*U30/(U14+U22+U30)</f>
        <v>88.9667869792197</v>
      </c>
      <c r="AE30" s="288"/>
      <c r="AF30" s="288"/>
      <c r="AG30" s="262"/>
    </row>
    <row r="31" customFormat="false" ht="14.4" hidden="false" customHeight="true" outlineLevel="0" collapsed="false">
      <c r="B31" s="258"/>
      <c r="C31" s="232"/>
      <c r="D31" s="232" t="s">
        <v>55</v>
      </c>
      <c r="E31" s="289" t="s">
        <v>165</v>
      </c>
      <c r="F31" s="289" t="n">
        <v>0</v>
      </c>
      <c r="G31" s="236" t="n">
        <f aca="false">J31+J38+J46</f>
        <v>21.7606</v>
      </c>
      <c r="H31" s="259" t="n">
        <v>5.2459</v>
      </c>
      <c r="I31" s="259" t="n">
        <v>5.2516</v>
      </c>
      <c r="J31" s="259" t="n">
        <f aca="false">I31-H31</f>
        <v>0.00570000000000004</v>
      </c>
      <c r="K31" s="259" t="n">
        <f aca="false">AVERAGE(J31:J37)</f>
        <v>0.00979999999999987</v>
      </c>
      <c r="L31" s="259" t="n">
        <f aca="false">STDEV(J31:J37)</f>
        <v>0.00394630628985304</v>
      </c>
      <c r="M31" s="290" t="n">
        <v>24.766</v>
      </c>
      <c r="N31" s="261" t="n">
        <v>0</v>
      </c>
      <c r="O31" s="261" t="n">
        <f aca="false">M31-N31</f>
        <v>24.766</v>
      </c>
      <c r="P31" s="261" t="n">
        <v>1.361</v>
      </c>
      <c r="Q31" s="290" t="n">
        <f aca="false">O31/P31</f>
        <v>18.1969140337987</v>
      </c>
      <c r="R31" s="261" t="n">
        <f aca="false">AVERAGE(Q31:Q37)</f>
        <v>16.1713646707896</v>
      </c>
      <c r="S31" s="261" t="n">
        <f aca="false">STDEV(Q31:Q37)</f>
        <v>1.89099094306509</v>
      </c>
      <c r="T31" s="259" t="n">
        <f aca="false">(I31-H31)*O31/100</f>
        <v>0.00141166200000001</v>
      </c>
      <c r="U31" s="290" t="n">
        <f aca="false">1000*T31/G31</f>
        <v>0.0648723840335289</v>
      </c>
      <c r="V31" s="261" t="n">
        <f aca="false">AVERAGE(U31:U37)</f>
        <v>0.113142897576408</v>
      </c>
      <c r="W31" s="261" t="n">
        <f aca="false">STDEV(U31:U37)</f>
        <v>0.0445570202386258</v>
      </c>
      <c r="X31" s="290"/>
      <c r="Y31" s="261"/>
      <c r="Z31" s="261"/>
      <c r="AA31" s="290" t="n">
        <f aca="false">U31+U38+U46</f>
        <v>9.70169218181042</v>
      </c>
      <c r="AB31" s="261" t="n">
        <f aca="false">AVERAGE(AA31:AA37)</f>
        <v>10.7057890469519</v>
      </c>
      <c r="AC31" s="261" t="n">
        <f aca="false">STDEV(AA31:AA37)</f>
        <v>1.55634370679977</v>
      </c>
      <c r="AD31" s="290" t="n">
        <f aca="false">100*U31/(U31+U38+U46)</f>
        <v>0.668670813480944</v>
      </c>
      <c r="AE31" s="261" t="n">
        <f aca="false">AVERAGE(AD31:AD37)</f>
        <v>1.05362909585959</v>
      </c>
      <c r="AF31" s="261" t="n">
        <f aca="false">STDEV(AD31:AD37)</f>
        <v>0.407091346568544</v>
      </c>
      <c r="AG31" s="262"/>
    </row>
    <row r="32" customFormat="false" ht="14.4" hidden="false" customHeight="true" outlineLevel="0" collapsed="false">
      <c r="B32" s="258"/>
      <c r="C32" s="263"/>
      <c r="D32" s="263"/>
      <c r="E32" s="264" t="s">
        <v>166</v>
      </c>
      <c r="F32" s="264" t="n">
        <v>0</v>
      </c>
      <c r="G32" s="265" t="n">
        <f aca="false">J32+J39+J47</f>
        <v>21.2651</v>
      </c>
      <c r="H32" s="266" t="n">
        <v>5.2597</v>
      </c>
      <c r="I32" s="266" t="n">
        <v>5.2669</v>
      </c>
      <c r="J32" s="266" t="n">
        <f aca="false">I32-H32</f>
        <v>0.0072000000000001</v>
      </c>
      <c r="K32" s="266"/>
      <c r="L32" s="266"/>
      <c r="M32" s="267" t="n">
        <v>23.661</v>
      </c>
      <c r="N32" s="268" t="n">
        <v>0</v>
      </c>
      <c r="O32" s="268" t="n">
        <f aca="false">M32-N32</f>
        <v>23.661</v>
      </c>
      <c r="P32" s="269" t="n">
        <v>1.382</v>
      </c>
      <c r="Q32" s="267" t="n">
        <f aca="false">O32/P32</f>
        <v>17.1208393632417</v>
      </c>
      <c r="R32" s="269"/>
      <c r="S32" s="268"/>
      <c r="T32" s="270" t="n">
        <f aca="false">(I32-H32)*O32/100</f>
        <v>0.00170359200000002</v>
      </c>
      <c r="U32" s="267" t="n">
        <f aca="false">1000*T32/G32</f>
        <v>0.0801121085722627</v>
      </c>
      <c r="V32" s="271" t="n">
        <f aca="false">PERCENTILE(U31:U37, 25%)-1.5*(PERCENTILE(U31:U37, 75%)-PERCENTILE(U31:U37, 25%))</f>
        <v>-0.0387885670409591</v>
      </c>
      <c r="W32" s="268"/>
      <c r="X32" s="267"/>
      <c r="Y32" s="268"/>
      <c r="Z32" s="268"/>
      <c r="AA32" s="267" t="n">
        <f aca="false">U32+U39+U47</f>
        <v>10.2776213902251</v>
      </c>
      <c r="AB32" s="268"/>
      <c r="AC32" s="268"/>
      <c r="AD32" s="267" t="n">
        <f aca="false">100*U32/(U32+U39+U47)</f>
        <v>0.779481025137354</v>
      </c>
      <c r="AE32" s="269"/>
      <c r="AF32" s="268"/>
      <c r="AG32" s="262"/>
    </row>
    <row r="33" customFormat="false" ht="14.4" hidden="false" customHeight="true" outlineLevel="0" collapsed="false">
      <c r="B33" s="258"/>
      <c r="C33" s="263"/>
      <c r="D33" s="263"/>
      <c r="E33" s="264" t="s">
        <v>38</v>
      </c>
      <c r="F33" s="264" t="n">
        <v>0</v>
      </c>
      <c r="G33" s="265" t="n">
        <f aca="false">J33+J40+J48</f>
        <v>21.7371</v>
      </c>
      <c r="H33" s="266" t="n">
        <v>5.2777</v>
      </c>
      <c r="I33" s="266" t="n">
        <v>5.2862</v>
      </c>
      <c r="J33" s="266" t="n">
        <f aca="false">I33-H33</f>
        <v>0.00849999999999973</v>
      </c>
      <c r="K33" s="266"/>
      <c r="L33" s="266"/>
      <c r="M33" s="267" t="n">
        <v>29.201</v>
      </c>
      <c r="N33" s="268" t="n">
        <v>0</v>
      </c>
      <c r="O33" s="268" t="n">
        <f aca="false">M33-N33</f>
        <v>29.201</v>
      </c>
      <c r="P33" s="269" t="n">
        <v>1.676</v>
      </c>
      <c r="Q33" s="267" t="n">
        <f aca="false">O33/P33</f>
        <v>17.423031026253</v>
      </c>
      <c r="R33" s="269"/>
      <c r="S33" s="268"/>
      <c r="T33" s="270" t="n">
        <f aca="false">(I33-H33)*O33/100</f>
        <v>0.00248208499999992</v>
      </c>
      <c r="U33" s="267" t="n">
        <f aca="false">1000*T33/G33</f>
        <v>0.114186575026104</v>
      </c>
      <c r="V33" s="271" t="n">
        <f aca="false">PERCENTILE(U31:U37, 75%)+1.5*(PERCENTILE(U31:U37, 75%)-PERCENTILE(U31:U37, 25%))</f>
        <v>0.259419279272761</v>
      </c>
      <c r="W33" s="268"/>
      <c r="X33" s="267"/>
      <c r="Y33" s="268"/>
      <c r="Z33" s="268"/>
      <c r="AA33" s="267" t="n">
        <f aca="false">U33+U40+U48</f>
        <v>10.8877321498325</v>
      </c>
      <c r="AB33" s="268"/>
      <c r="AC33" s="268"/>
      <c r="AD33" s="267" t="n">
        <f aca="false">100*U33/(U33+U40+U48)</f>
        <v>1.04876363098132</v>
      </c>
      <c r="AE33" s="269"/>
      <c r="AF33" s="268"/>
      <c r="AG33" s="262"/>
    </row>
    <row r="34" customFormat="false" ht="14.4" hidden="false" customHeight="true" outlineLevel="0" collapsed="false">
      <c r="B34" s="258"/>
      <c r="C34" s="263"/>
      <c r="D34" s="263"/>
      <c r="E34" s="264" t="s">
        <v>167</v>
      </c>
      <c r="F34" s="264" t="n">
        <v>0</v>
      </c>
      <c r="G34" s="265" t="n">
        <f aca="false">J34+J41+J49</f>
        <v>22.0997</v>
      </c>
      <c r="H34" s="266" t="n">
        <v>5.291</v>
      </c>
      <c r="I34" s="266" t="n">
        <v>5.2981</v>
      </c>
      <c r="J34" s="266" t="n">
        <f aca="false">I34-H34</f>
        <v>0.00709999999999944</v>
      </c>
      <c r="K34" s="266"/>
      <c r="L34" s="266"/>
      <c r="M34" s="267" t="n">
        <v>20.533</v>
      </c>
      <c r="N34" s="268" t="n">
        <v>0</v>
      </c>
      <c r="O34" s="268" t="n">
        <f aca="false">M34-N34</f>
        <v>20.533</v>
      </c>
      <c r="P34" s="269" t="n">
        <v>1.39</v>
      </c>
      <c r="Q34" s="267" t="n">
        <f aca="false">O34/P34</f>
        <v>14.7719424460432</v>
      </c>
      <c r="R34" s="269"/>
      <c r="S34" s="268"/>
      <c r="T34" s="270" t="n">
        <f aca="false">(I34-H34)*O34/100</f>
        <v>0.00145784299999989</v>
      </c>
      <c r="U34" s="267" t="n">
        <f aca="false">1000*T34/G34</f>
        <v>0.065966642081109</v>
      </c>
      <c r="V34" s="268"/>
      <c r="W34" s="268"/>
      <c r="X34" s="267"/>
      <c r="Y34" s="268"/>
      <c r="Z34" s="268"/>
      <c r="AA34" s="267" t="n">
        <f aca="false">U34+U41+U49</f>
        <v>9.85909595470494</v>
      </c>
      <c r="AB34" s="268"/>
      <c r="AC34" s="268"/>
      <c r="AD34" s="267" t="n">
        <f aca="false">100*U34/(U34+U41+U49)</f>
        <v>0.669094229168431</v>
      </c>
      <c r="AE34" s="269"/>
      <c r="AF34" s="268"/>
      <c r="AG34" s="262"/>
    </row>
    <row r="35" customFormat="false" ht="14.4" hidden="false" customHeight="true" outlineLevel="0" collapsed="false">
      <c r="B35" s="258"/>
      <c r="C35" s="263"/>
      <c r="D35" s="263"/>
      <c r="E35" s="264" t="s">
        <v>168</v>
      </c>
      <c r="F35" s="264" t="n">
        <v>0</v>
      </c>
      <c r="G35" s="265" t="n">
        <f aca="false">J35+J42+J50</f>
        <v>21.3358</v>
      </c>
      <c r="H35" s="266" t="n">
        <v>5.3655</v>
      </c>
      <c r="I35" s="266" t="n">
        <v>5.3799</v>
      </c>
      <c r="J35" s="266" t="n">
        <f aca="false">I35-H35</f>
        <v>0.0144000000000002</v>
      </c>
      <c r="K35" s="266"/>
      <c r="L35" s="266"/>
      <c r="M35" s="267" t="n">
        <v>25.437</v>
      </c>
      <c r="N35" s="268" t="n">
        <v>0</v>
      </c>
      <c r="O35" s="268" t="n">
        <f aca="false">M35-N35</f>
        <v>25.437</v>
      </c>
      <c r="P35" s="269" t="n">
        <v>1.549</v>
      </c>
      <c r="Q35" s="267" t="n">
        <f aca="false">O35/P35</f>
        <v>16.4215622982569</v>
      </c>
      <c r="R35" s="269"/>
      <c r="S35" s="268"/>
      <c r="T35" s="270" t="n">
        <f aca="false">(I35-H35)*O35/100</f>
        <v>0.00366292800000005</v>
      </c>
      <c r="U35" s="267" t="n">
        <f aca="false">1000*T35/G35</f>
        <v>0.171679899511621</v>
      </c>
      <c r="V35" s="268"/>
      <c r="W35" s="268"/>
      <c r="X35" s="267"/>
      <c r="Y35" s="268"/>
      <c r="Z35" s="268"/>
      <c r="AA35" s="267" t="n">
        <f aca="false">U35+U42+U50</f>
        <v>9.46109701401596</v>
      </c>
      <c r="AB35" s="268"/>
      <c r="AC35" s="268"/>
      <c r="AD35" s="267" t="n">
        <f aca="false">100*U35/(U35+U42+U50)</f>
        <v>1.81458766628531</v>
      </c>
      <c r="AE35" s="269"/>
      <c r="AF35" s="268"/>
      <c r="AG35" s="262"/>
    </row>
    <row r="36" customFormat="false" ht="14.4" hidden="false" customHeight="true" outlineLevel="0" collapsed="false">
      <c r="B36" s="258"/>
      <c r="C36" s="263"/>
      <c r="D36" s="263"/>
      <c r="E36" s="264" t="s">
        <v>169</v>
      </c>
      <c r="F36" s="264" t="n">
        <v>0</v>
      </c>
      <c r="G36" s="265" t="n">
        <f aca="false">J36+J44+J52</f>
        <v>21.7479</v>
      </c>
      <c r="H36" s="266" t="n">
        <v>5.2893</v>
      </c>
      <c r="I36" s="266" t="n">
        <v>5.2989</v>
      </c>
      <c r="J36" s="266" t="n">
        <f aca="false">I36-H36</f>
        <v>0.00959999999999983</v>
      </c>
      <c r="K36" s="266"/>
      <c r="L36" s="266"/>
      <c r="M36" s="267" t="n">
        <v>29.984</v>
      </c>
      <c r="N36" s="268" t="n">
        <v>0</v>
      </c>
      <c r="O36" s="268" t="n">
        <f aca="false">M36-N36</f>
        <v>29.984</v>
      </c>
      <c r="P36" s="269" t="n">
        <v>1.801</v>
      </c>
      <c r="Q36" s="267" t="n">
        <f aca="false">O36/P36</f>
        <v>16.6485285952249</v>
      </c>
      <c r="R36" s="269"/>
      <c r="S36" s="268"/>
      <c r="T36" s="270" t="n">
        <f aca="false">(I36-H36)*O36/100</f>
        <v>0.00287846399999995</v>
      </c>
      <c r="U36" s="267" t="n">
        <f aca="false">1000*T36/G36</f>
        <v>0.132355951609119</v>
      </c>
      <c r="V36" s="268"/>
      <c r="W36" s="268"/>
      <c r="X36" s="267"/>
      <c r="Y36" s="268"/>
      <c r="Z36" s="268"/>
      <c r="AA36" s="267" t="n">
        <f aca="false">U36+U44+U52</f>
        <v>10.724530898817</v>
      </c>
      <c r="AB36" s="268"/>
      <c r="AC36" s="268"/>
      <c r="AD36" s="267" t="n">
        <f aca="false">100*U36/(U36+U44+U52)</f>
        <v>1.23414210708012</v>
      </c>
      <c r="AE36" s="269"/>
      <c r="AF36" s="268"/>
      <c r="AG36" s="262"/>
    </row>
    <row r="37" customFormat="false" ht="14.4" hidden="false" customHeight="true" outlineLevel="0" collapsed="false">
      <c r="B37" s="258"/>
      <c r="C37" s="263"/>
      <c r="D37" s="263"/>
      <c r="E37" s="264" t="s">
        <v>170</v>
      </c>
      <c r="F37" s="264" t="n">
        <v>0</v>
      </c>
      <c r="G37" s="265" t="n">
        <f aca="false">J37+J45+J53</f>
        <v>21.3201</v>
      </c>
      <c r="H37" s="266" t="n">
        <v>5.2661</v>
      </c>
      <c r="I37" s="266" t="n">
        <v>5.2822</v>
      </c>
      <c r="J37" s="266" t="n">
        <f aca="false">I37-H37</f>
        <v>0.0160999999999998</v>
      </c>
      <c r="K37" s="266"/>
      <c r="L37" s="266"/>
      <c r="M37" s="267" t="n">
        <v>21.562</v>
      </c>
      <c r="N37" s="268" t="n">
        <v>0</v>
      </c>
      <c r="O37" s="268" t="n">
        <f aca="false">M37-N37</f>
        <v>21.562</v>
      </c>
      <c r="P37" s="269" t="n">
        <v>1.709</v>
      </c>
      <c r="Q37" s="267" t="n">
        <f aca="false">O37/P37</f>
        <v>12.6167349327092</v>
      </c>
      <c r="R37" s="269"/>
      <c r="S37" s="268"/>
      <c r="T37" s="270" t="n">
        <f aca="false">(I37-H37)*O37/100</f>
        <v>0.00347148199999995</v>
      </c>
      <c r="U37" s="267" t="n">
        <f aca="false">1000*T37/G37</f>
        <v>0.162826722201113</v>
      </c>
      <c r="V37" s="283"/>
      <c r="W37" s="283"/>
      <c r="X37" s="267"/>
      <c r="Y37" s="268"/>
      <c r="Z37" s="268"/>
      <c r="AA37" s="267" t="n">
        <f aca="false">U37+U45+U53</f>
        <v>14.0287537392572</v>
      </c>
      <c r="AB37" s="268"/>
      <c r="AC37" s="268"/>
      <c r="AD37" s="267" t="n">
        <f aca="false">100*U37/(U37+U45+U53)</f>
        <v>1.16066419888368</v>
      </c>
      <c r="AE37" s="269"/>
      <c r="AF37" s="268"/>
      <c r="AG37" s="262"/>
    </row>
    <row r="38" customFormat="false" ht="14.4" hidden="false" customHeight="true" outlineLevel="0" collapsed="false">
      <c r="B38" s="258"/>
      <c r="C38" s="263"/>
      <c r="D38" s="263"/>
      <c r="E38" s="272" t="s">
        <v>165</v>
      </c>
      <c r="F38" s="272" t="n">
        <v>50</v>
      </c>
      <c r="G38" s="273" t="n">
        <f aca="false">G31</f>
        <v>21.7606</v>
      </c>
      <c r="H38" s="274" t="n">
        <v>5.2963</v>
      </c>
      <c r="I38" s="274" t="n">
        <v>5.3549</v>
      </c>
      <c r="J38" s="274" t="n">
        <f aca="false">I38-H38</f>
        <v>0.0586000000000002</v>
      </c>
      <c r="K38" s="274" t="n">
        <f aca="false">AVERAGE(J38:J45)</f>
        <v>0.0502625000000001</v>
      </c>
      <c r="L38" s="274" t="n">
        <f aca="false">STDEV(J38:J45)</f>
        <v>0.0191535850803075</v>
      </c>
      <c r="M38" s="275" t="n">
        <v>15.0804817561554</v>
      </c>
      <c r="N38" s="276" t="n">
        <v>0</v>
      </c>
      <c r="O38" s="276" t="n">
        <f aca="false">M38-N38</f>
        <v>15.0804817561554</v>
      </c>
      <c r="P38" s="276" t="n">
        <v>1.41411153960249</v>
      </c>
      <c r="Q38" s="275" t="n">
        <f aca="false">O38/P38</f>
        <v>10.6642802451033</v>
      </c>
      <c r="R38" s="276" t="n">
        <f aca="false">AVERAGE(Q38:Q45)</f>
        <v>10.51220498543</v>
      </c>
      <c r="S38" s="276" t="n">
        <f aca="false">STDEV(Q38:Q45)</f>
        <v>0.422524355256787</v>
      </c>
      <c r="T38" s="274" t="n">
        <f aca="false">(I38-H38)*O38/100</f>
        <v>0.0088371623091071</v>
      </c>
      <c r="U38" s="275" t="n">
        <f aca="false">1000*T38/G38</f>
        <v>0.406108393569437</v>
      </c>
      <c r="V38" s="276" t="n">
        <f aca="false">AVERAGE(U38:U45)</f>
        <v>0.375818968079379</v>
      </c>
      <c r="W38" s="276" t="n">
        <f aca="false">STDEV(U38:U45)</f>
        <v>0.112824722864906</v>
      </c>
      <c r="X38" s="275"/>
      <c r="Y38" s="276"/>
      <c r="Z38" s="276"/>
      <c r="AA38" s="275"/>
      <c r="AB38" s="276"/>
      <c r="AC38" s="276"/>
      <c r="AD38" s="275" t="n">
        <f aca="false">100*U38/(U31+U38+U46)</f>
        <v>4.18595422281945</v>
      </c>
      <c r="AE38" s="276" t="n">
        <f aca="false">AVERAGE(AD38:AD45)</f>
        <v>3.54300113914864</v>
      </c>
      <c r="AF38" s="276" t="n">
        <f aca="false">STDEV(AD38:AD45)</f>
        <v>1.2120136882045</v>
      </c>
      <c r="AG38" s="262"/>
    </row>
    <row r="39" customFormat="false" ht="14.4" hidden="false" customHeight="true" outlineLevel="0" collapsed="false">
      <c r="B39" s="258"/>
      <c r="C39" s="263"/>
      <c r="D39" s="263"/>
      <c r="E39" s="264" t="s">
        <v>166</v>
      </c>
      <c r="F39" s="264" t="n">
        <v>50</v>
      </c>
      <c r="G39" s="277" t="n">
        <f aca="false">G32</f>
        <v>21.2651</v>
      </c>
      <c r="H39" s="266" t="n">
        <v>5.2881</v>
      </c>
      <c r="I39" s="266" t="n">
        <v>5.3531</v>
      </c>
      <c r="J39" s="266" t="n">
        <f aca="false">I39-H39</f>
        <v>0.0650000000000004</v>
      </c>
      <c r="K39" s="266"/>
      <c r="L39" s="266"/>
      <c r="M39" s="267" t="n">
        <v>16.9903482542525</v>
      </c>
      <c r="N39" s="268" t="n">
        <v>0</v>
      </c>
      <c r="O39" s="268" t="n">
        <f aca="false">M39-N39</f>
        <v>16.9903482542525</v>
      </c>
      <c r="P39" s="269" t="n">
        <v>1.63047627573859</v>
      </c>
      <c r="Q39" s="267" t="n">
        <f aca="false">O39/P39</f>
        <v>10.4204817371881</v>
      </c>
      <c r="R39" s="269"/>
      <c r="S39" s="268"/>
      <c r="T39" s="270" t="n">
        <f aca="false">(I39-H39)*O39/100</f>
        <v>0.0110437263652642</v>
      </c>
      <c r="U39" s="267" t="n">
        <f aca="false">1000*T39/G39</f>
        <v>0.519335736265721</v>
      </c>
      <c r="V39" s="271" t="n">
        <f aca="false">PERCENTILE(U38:U45, 25%)-1.5*(PERCENTILE(U38:U45, 75%)-PERCENTILE(U38:U45, 25%))</f>
        <v>-0.0135321798058543</v>
      </c>
      <c r="W39" s="268"/>
      <c r="X39" s="267"/>
      <c r="Y39" s="268"/>
      <c r="Z39" s="268"/>
      <c r="AA39" s="267"/>
      <c r="AB39" s="268"/>
      <c r="AC39" s="268"/>
      <c r="AD39" s="267" t="n">
        <f aca="false">100*U39/(U32+U39+U47)</f>
        <v>5.05307324085371</v>
      </c>
      <c r="AE39" s="269"/>
      <c r="AF39" s="268"/>
      <c r="AG39" s="262"/>
    </row>
    <row r="40" customFormat="false" ht="14.4" hidden="false" customHeight="true" outlineLevel="0" collapsed="false">
      <c r="B40" s="258"/>
      <c r="C40" s="263"/>
      <c r="D40" s="263"/>
      <c r="E40" s="264" t="s">
        <v>38</v>
      </c>
      <c r="F40" s="264" t="n">
        <v>50</v>
      </c>
      <c r="G40" s="277" t="n">
        <f aca="false">G33</f>
        <v>21.7371</v>
      </c>
      <c r="H40" s="278" t="n">
        <v>5.3172</v>
      </c>
      <c r="I40" s="266" t="n">
        <v>5.3986</v>
      </c>
      <c r="J40" s="266" t="n">
        <f aca="false">I40-H40</f>
        <v>0.0814000000000004</v>
      </c>
      <c r="K40" s="266"/>
      <c r="L40" s="266"/>
      <c r="M40" s="267" t="n">
        <v>14.1885214408233</v>
      </c>
      <c r="N40" s="268" t="n">
        <v>0</v>
      </c>
      <c r="O40" s="268" t="n">
        <f aca="false">M40-N40</f>
        <v>14.1885214408233</v>
      </c>
      <c r="P40" s="269" t="n">
        <v>1.34095744507065</v>
      </c>
      <c r="Q40" s="267" t="n">
        <f aca="false">O40/P40</f>
        <v>10.5808886724782</v>
      </c>
      <c r="R40" s="269"/>
      <c r="S40" s="268"/>
      <c r="T40" s="270" t="n">
        <f aca="false">(I40-H40)*O40/100</f>
        <v>0.0115494564528302</v>
      </c>
      <c r="U40" s="267" t="n">
        <f aca="false">1000*T40/G40</f>
        <v>0.531324622549936</v>
      </c>
      <c r="V40" s="271" t="n">
        <f aca="false">PERCENTILE(U38:U45, 75%)+1.5*(PERCENTILE(U38:U45, 75%)-PERCENTILE(U38:U45, 25%))</f>
        <v>0.728653380772032</v>
      </c>
      <c r="W40" s="268"/>
      <c r="X40" s="267"/>
      <c r="Y40" s="268"/>
      <c r="Z40" s="268"/>
      <c r="AA40" s="267"/>
      <c r="AB40" s="268"/>
      <c r="AC40" s="268"/>
      <c r="AD40" s="267" t="n">
        <f aca="false">100*U40/(U33+U40+U48)</f>
        <v>4.88003025091052</v>
      </c>
      <c r="AE40" s="269"/>
      <c r="AF40" s="268"/>
      <c r="AG40" s="262"/>
    </row>
    <row r="41" customFormat="false" ht="14.4" hidden="false" customHeight="true" outlineLevel="0" collapsed="false">
      <c r="B41" s="258"/>
      <c r="C41" s="263"/>
      <c r="D41" s="263"/>
      <c r="E41" s="264" t="s">
        <v>167</v>
      </c>
      <c r="F41" s="264" t="n">
        <v>50</v>
      </c>
      <c r="G41" s="277" t="n">
        <f aca="false">G34</f>
        <v>22.0997</v>
      </c>
      <c r="H41" s="266" t="n">
        <v>5.3224</v>
      </c>
      <c r="I41" s="266" t="n">
        <v>5.384</v>
      </c>
      <c r="J41" s="266" t="n">
        <f aca="false">I41-H41</f>
        <v>0.0616000000000003</v>
      </c>
      <c r="K41" s="266"/>
      <c r="L41" s="266"/>
      <c r="M41" s="267" t="n">
        <v>15.3310623137361</v>
      </c>
      <c r="N41" s="268" t="n">
        <v>0</v>
      </c>
      <c r="O41" s="268" t="n">
        <f aca="false">M41-N41</f>
        <v>15.3310623137361</v>
      </c>
      <c r="P41" s="269" t="n">
        <v>1.43307613112978</v>
      </c>
      <c r="Q41" s="267" t="n">
        <f aca="false">O41/P41</f>
        <v>10.6980096735333</v>
      </c>
      <c r="R41" s="269"/>
      <c r="S41" s="268"/>
      <c r="T41" s="270" t="n">
        <f aca="false">(I41-H41)*O41/100</f>
        <v>0.00944393438526149</v>
      </c>
      <c r="U41" s="267" t="n">
        <f aca="false">1000*T41/G41</f>
        <v>0.427333148651859</v>
      </c>
      <c r="V41" s="268"/>
      <c r="W41" s="268"/>
      <c r="X41" s="267"/>
      <c r="Y41" s="268"/>
      <c r="Z41" s="268"/>
      <c r="AA41" s="267"/>
      <c r="AB41" s="268"/>
      <c r="AC41" s="268"/>
      <c r="AD41" s="267" t="n">
        <f aca="false">100*U41/(U34+U41+U49)</f>
        <v>4.33440500645425</v>
      </c>
      <c r="AE41" s="269"/>
      <c r="AF41" s="268"/>
      <c r="AG41" s="262"/>
    </row>
    <row r="42" customFormat="false" ht="14.4" hidden="false" customHeight="true" outlineLevel="0" collapsed="false">
      <c r="B42" s="258"/>
      <c r="C42" s="263"/>
      <c r="D42" s="263"/>
      <c r="E42" s="264" t="s">
        <v>168</v>
      </c>
      <c r="F42" s="264" t="n">
        <v>50</v>
      </c>
      <c r="G42" s="277" t="n">
        <f aca="false">G35</f>
        <v>21.3358</v>
      </c>
      <c r="H42" s="266" t="n">
        <v>5.2751</v>
      </c>
      <c r="I42" s="266" t="n">
        <v>5.3093</v>
      </c>
      <c r="J42" s="266" t="n">
        <f aca="false">I42-H42</f>
        <v>0.0342000000000002</v>
      </c>
      <c r="K42" s="266"/>
      <c r="L42" s="266"/>
      <c r="M42" s="267" t="n">
        <v>16.534435666797</v>
      </c>
      <c r="N42" s="268" t="n">
        <v>0</v>
      </c>
      <c r="O42" s="268" t="n">
        <f aca="false">M42-N42</f>
        <v>16.534435666797</v>
      </c>
      <c r="P42" s="269" t="n">
        <v>1.66052072741494</v>
      </c>
      <c r="Q42" s="267" t="n">
        <f aca="false">O42/P42</f>
        <v>9.95737987115489</v>
      </c>
      <c r="R42" s="269"/>
      <c r="S42" s="268"/>
      <c r="T42" s="270" t="n">
        <f aca="false">(I42-H42)*O42/100</f>
        <v>0.00565477699804461</v>
      </c>
      <c r="U42" s="267" t="n">
        <f aca="false">1000*T42/G42</f>
        <v>0.265037026877108</v>
      </c>
      <c r="V42" s="268"/>
      <c r="W42" s="268"/>
      <c r="X42" s="267"/>
      <c r="Y42" s="268"/>
      <c r="Z42" s="268"/>
      <c r="AA42" s="267"/>
      <c r="AB42" s="268"/>
      <c r="AC42" s="268"/>
      <c r="AD42" s="267" t="n">
        <f aca="false">100*U42/(U35+U42+U50)</f>
        <v>2.80133505115183</v>
      </c>
      <c r="AE42" s="269"/>
      <c r="AF42" s="268"/>
      <c r="AG42" s="262"/>
    </row>
    <row r="43" customFormat="false" ht="14.4" hidden="false" customHeight="true" outlineLevel="0" collapsed="false">
      <c r="B43" s="258"/>
      <c r="C43" s="263"/>
      <c r="D43" s="263"/>
      <c r="E43" s="264" t="s">
        <v>39</v>
      </c>
      <c r="F43" s="264" t="n">
        <v>50</v>
      </c>
      <c r="G43" s="277" t="n">
        <f aca="false">G83</f>
        <v>21.5946</v>
      </c>
      <c r="H43" s="266" t="n">
        <v>5.2487</v>
      </c>
      <c r="I43" s="266" t="n">
        <v>5.2909</v>
      </c>
      <c r="J43" s="266" t="n">
        <f aca="false">I43-H43</f>
        <v>0.0421999999999994</v>
      </c>
      <c r="K43" s="266"/>
      <c r="L43" s="266"/>
      <c r="M43" s="267" t="n">
        <v>17.3118813384572</v>
      </c>
      <c r="N43" s="268" t="n">
        <v>0</v>
      </c>
      <c r="O43" s="268" t="n">
        <f aca="false">M43-N43</f>
        <v>17.3118813384572</v>
      </c>
      <c r="P43" s="269" t="n">
        <v>1.66877439310151</v>
      </c>
      <c r="Q43" s="267" t="n">
        <f aca="false">O43/P43</f>
        <v>10.3740094586915</v>
      </c>
      <c r="R43" s="269"/>
      <c r="S43" s="268"/>
      <c r="T43" s="270" t="n">
        <f aca="false">(I43-H43)*O43/100</f>
        <v>0.00730561392482883</v>
      </c>
      <c r="U43" s="267" t="n">
        <f aca="false">1000*T43/G43</f>
        <v>0.338307443751161</v>
      </c>
      <c r="V43" s="268"/>
      <c r="W43" s="268"/>
      <c r="X43" s="267"/>
      <c r="Y43" s="268"/>
      <c r="Z43" s="268"/>
      <c r="AA43" s="267"/>
      <c r="AB43" s="268"/>
      <c r="AC43" s="268"/>
      <c r="AD43" s="267" t="n">
        <f aca="false">100*U43/(U83+U43+U51)</f>
        <v>2.8287377949683</v>
      </c>
      <c r="AE43" s="269"/>
      <c r="AF43" s="268"/>
      <c r="AG43" s="262"/>
    </row>
    <row r="44" customFormat="false" ht="14.4" hidden="false" customHeight="true" outlineLevel="0" collapsed="false">
      <c r="B44" s="258"/>
      <c r="C44" s="263"/>
      <c r="D44" s="263"/>
      <c r="E44" s="264" t="s">
        <v>169</v>
      </c>
      <c r="F44" s="264" t="n">
        <v>50</v>
      </c>
      <c r="G44" s="277" t="n">
        <f aca="false">G36</f>
        <v>21.7479</v>
      </c>
      <c r="H44" s="266" t="n">
        <v>5.3033</v>
      </c>
      <c r="I44" s="266" t="n">
        <v>5.3318</v>
      </c>
      <c r="J44" s="266" t="n">
        <f aca="false">I44-H44</f>
        <v>0.0285000000000002</v>
      </c>
      <c r="K44" s="266"/>
      <c r="L44" s="266"/>
      <c r="M44" s="267" t="n">
        <v>19.4637472095907</v>
      </c>
      <c r="N44" s="268" t="n">
        <v>0</v>
      </c>
      <c r="O44" s="268" t="n">
        <f aca="false">M44-N44</f>
        <v>19.4637472095907</v>
      </c>
      <c r="P44" s="269" t="n">
        <v>1.71850413393964</v>
      </c>
      <c r="Q44" s="267" t="n">
        <f aca="false">O44/P44</f>
        <v>11.3259821871772</v>
      </c>
      <c r="R44" s="269"/>
      <c r="S44" s="268"/>
      <c r="T44" s="270" t="n">
        <f aca="false">(I44-H44)*O44/100</f>
        <v>0.00554716795473339</v>
      </c>
      <c r="U44" s="267" t="n">
        <f aca="false">1000*T44/G44</f>
        <v>0.255066831957724</v>
      </c>
      <c r="V44" s="268"/>
      <c r="W44" s="268"/>
      <c r="X44" s="267"/>
      <c r="Y44" s="268"/>
      <c r="Z44" s="268"/>
      <c r="AA44" s="267"/>
      <c r="AB44" s="268"/>
      <c r="AC44" s="268"/>
      <c r="AD44" s="267" t="n">
        <f aca="false">100*U44/(U36+U44+U52)</f>
        <v>2.37834954614061</v>
      </c>
      <c r="AE44" s="269"/>
      <c r="AF44" s="268"/>
      <c r="AG44" s="262"/>
    </row>
    <row r="45" customFormat="false" ht="14.4" hidden="false" customHeight="true" outlineLevel="0" collapsed="false">
      <c r="B45" s="258"/>
      <c r="C45" s="263"/>
      <c r="D45" s="263"/>
      <c r="E45" s="279" t="s">
        <v>170</v>
      </c>
      <c r="F45" s="279" t="n">
        <v>50</v>
      </c>
      <c r="G45" s="280" t="n">
        <f aca="false">G37</f>
        <v>21.3201</v>
      </c>
      <c r="H45" s="281" t="n">
        <v>5.2622</v>
      </c>
      <c r="I45" s="281" t="n">
        <v>5.2928</v>
      </c>
      <c r="J45" s="281" t="n">
        <f aca="false">I45-H45</f>
        <v>0.0305999999999997</v>
      </c>
      <c r="K45" s="281"/>
      <c r="L45" s="281"/>
      <c r="M45" s="282" t="n">
        <v>18.3964970530452</v>
      </c>
      <c r="N45" s="283" t="n">
        <v>0</v>
      </c>
      <c r="O45" s="283" t="n">
        <f aca="false">M45-N45</f>
        <v>18.3964970530452</v>
      </c>
      <c r="P45" s="283" t="n">
        <v>1.82566365422397</v>
      </c>
      <c r="Q45" s="282" t="n">
        <f aca="false">O45/P45</f>
        <v>10.0766080381137</v>
      </c>
      <c r="R45" s="283"/>
      <c r="S45" s="283"/>
      <c r="T45" s="281" t="n">
        <f aca="false">(I45-H45)*O45/100</f>
        <v>0.00562932809823178</v>
      </c>
      <c r="U45" s="282" t="n">
        <f aca="false">1000*T45/G45</f>
        <v>0.264038541012086</v>
      </c>
      <c r="V45" s="283"/>
      <c r="W45" s="283"/>
      <c r="X45" s="282"/>
      <c r="Y45" s="283"/>
      <c r="Z45" s="283"/>
      <c r="AA45" s="282"/>
      <c r="AB45" s="283"/>
      <c r="AC45" s="283"/>
      <c r="AD45" s="282" t="n">
        <f aca="false">100*U45/(U37+U45+U53)</f>
        <v>1.88212399989043</v>
      </c>
      <c r="AE45" s="283"/>
      <c r="AF45" s="283"/>
      <c r="AG45" s="262"/>
    </row>
    <row r="46" customFormat="false" ht="14.4" hidden="false" customHeight="true" outlineLevel="0" collapsed="false">
      <c r="B46" s="258"/>
      <c r="C46" s="263"/>
      <c r="D46" s="263"/>
      <c r="E46" s="264" t="s">
        <v>165</v>
      </c>
      <c r="F46" s="264" t="s">
        <v>198</v>
      </c>
      <c r="G46" s="273" t="n">
        <f aca="false">G31</f>
        <v>21.7606</v>
      </c>
      <c r="H46" s="270" t="n">
        <v>25.2941</v>
      </c>
      <c r="I46" s="266" t="n">
        <f aca="false">47.2794-0.289</f>
        <v>46.9904</v>
      </c>
      <c r="J46" s="266" t="n">
        <f aca="false">I46-H46</f>
        <v>21.6963</v>
      </c>
      <c r="K46" s="266" t="n">
        <f aca="false">AVERAGE(J46:J53)</f>
        <v>21.55265</v>
      </c>
      <c r="L46" s="266" t="n">
        <f aca="false">STDEV(J46:J53)</f>
        <v>0.28332206812339</v>
      </c>
      <c r="M46" s="267" t="n">
        <v>0.925806790016716</v>
      </c>
      <c r="N46" s="268" t="n">
        <v>0</v>
      </c>
      <c r="O46" s="268" t="n">
        <f aca="false">M46-N46</f>
        <v>0.925806790016716</v>
      </c>
      <c r="P46" s="269" t="n">
        <v>0.109040905335562</v>
      </c>
      <c r="Q46" s="267" t="n">
        <f aca="false">O46/P46</f>
        <v>8.49045399217516</v>
      </c>
      <c r="R46" s="269" t="n">
        <f aca="false">AVERAGE(Q46:Q53)</f>
        <v>8.64046486815364</v>
      </c>
      <c r="S46" s="268" t="n">
        <f aca="false">STDEV(Q46:Q53)</f>
        <v>0.23433659541921</v>
      </c>
      <c r="T46" s="274" t="n">
        <f aca="false">(I46-H46)*O46/100</f>
        <v>0.200865818582397</v>
      </c>
      <c r="U46" s="267" t="n">
        <f aca="false">1000*T46/G46</f>
        <v>9.23071140420745</v>
      </c>
      <c r="V46" s="268" t="n">
        <f aca="false">AVERAGE(U46:U53)</f>
        <v>10.4329290277567</v>
      </c>
      <c r="W46" s="268" t="n">
        <f aca="false">STDEV(U46:U53)</f>
        <v>1.58694750855955</v>
      </c>
      <c r="X46" s="267" t="n">
        <f aca="false">U46*0.04*1*'Available water-holding capacit'!R16*10000/1000</f>
        <v>5.86595199032675</v>
      </c>
      <c r="Y46" s="268" t="n">
        <f aca="false">AVERAGE(X46:X53)</f>
        <v>6.78184438714679</v>
      </c>
      <c r="Z46" s="268" t="n">
        <f aca="false">STDEV(X46:X53)</f>
        <v>1.13292120877153</v>
      </c>
      <c r="AA46" s="267"/>
      <c r="AB46" s="268"/>
      <c r="AC46" s="268"/>
      <c r="AD46" s="267" t="n">
        <f aca="false">100*U46/(U31+U38+U46)</f>
        <v>95.1453749636996</v>
      </c>
      <c r="AE46" s="269" t="n">
        <f aca="false">AVERAGE(AD46:AD53)</f>
        <v>95.9132197598274</v>
      </c>
      <c r="AF46" s="268" t="n">
        <f aca="false">STDEV(AD46:AD53)</f>
        <v>1.99325568579231</v>
      </c>
      <c r="AG46" s="262"/>
    </row>
    <row r="47" customFormat="false" ht="14.4" hidden="false" customHeight="true" outlineLevel="0" collapsed="false">
      <c r="B47" s="258"/>
      <c r="C47" s="263"/>
      <c r="D47" s="263"/>
      <c r="E47" s="264" t="s">
        <v>166</v>
      </c>
      <c r="F47" s="264" t="s">
        <v>198</v>
      </c>
      <c r="G47" s="277" t="n">
        <f aca="false">G32</f>
        <v>21.2651</v>
      </c>
      <c r="H47" s="266" t="n">
        <v>24.7485</v>
      </c>
      <c r="I47" s="266" t="n">
        <f aca="false">46.0954-0.154</f>
        <v>45.9414</v>
      </c>
      <c r="J47" s="266" t="n">
        <f aca="false">I47-H47</f>
        <v>21.1929</v>
      </c>
      <c r="K47" s="266"/>
      <c r="L47" s="266"/>
      <c r="M47" s="267" t="n">
        <v>0.971114515993619</v>
      </c>
      <c r="N47" s="268" t="n">
        <v>0</v>
      </c>
      <c r="O47" s="268" t="n">
        <f aca="false">M47-N47</f>
        <v>0.971114515993619</v>
      </c>
      <c r="P47" s="269" t="n">
        <v>0.10794274200319</v>
      </c>
      <c r="Q47" s="267" t="n">
        <f aca="false">O47/P47</f>
        <v>8.99657075567823</v>
      </c>
      <c r="R47" s="269"/>
      <c r="S47" s="268"/>
      <c r="T47" s="270" t="n">
        <f aca="false">(I47-H47)*O47/100</f>
        <v>0.205807328260012</v>
      </c>
      <c r="U47" s="267" t="n">
        <f aca="false">1000*T47/G47</f>
        <v>9.67817354538712</v>
      </c>
      <c r="V47" s="271" t="n">
        <f aca="false">PERCENTILE(U46:U53, 25%)-1.5*(PERCENTILE(U46:U53, 75%)-PERCENTILE(U46:U53, 25%))</f>
        <v>7.20713325142965</v>
      </c>
      <c r="W47" s="268"/>
      <c r="X47" s="267" t="n">
        <f aca="false">U47*0.04*1*'Available water-holding capacit'!R17*10000/1000</f>
        <v>6.08926733539483</v>
      </c>
      <c r="Y47" s="271"/>
      <c r="Z47" s="268"/>
      <c r="AA47" s="267"/>
      <c r="AB47" s="268"/>
      <c r="AC47" s="268"/>
      <c r="AD47" s="267" t="n">
        <f aca="false">100*U47/(U32+U39+U47)</f>
        <v>94.1674457340089</v>
      </c>
      <c r="AE47" s="269"/>
      <c r="AF47" s="268"/>
      <c r="AG47" s="262"/>
    </row>
    <row r="48" customFormat="false" ht="14.4" hidden="false" customHeight="true" outlineLevel="0" collapsed="false">
      <c r="B48" s="258"/>
      <c r="C48" s="263"/>
      <c r="D48" s="263"/>
      <c r="E48" s="264" t="s">
        <v>38</v>
      </c>
      <c r="F48" s="264" t="s">
        <v>198</v>
      </c>
      <c r="G48" s="277" t="n">
        <f aca="false">G33</f>
        <v>21.7371</v>
      </c>
      <c r="H48" s="266" t="n">
        <v>25.0107</v>
      </c>
      <c r="I48" s="266" t="n">
        <f aca="false">46.7289-0.071</f>
        <v>46.6579</v>
      </c>
      <c r="J48" s="266" t="n">
        <f aca="false">I48-H48</f>
        <v>21.6472</v>
      </c>
      <c r="K48" s="266"/>
      <c r="L48" s="266"/>
      <c r="M48" s="267" t="n">
        <v>1.02847565071369</v>
      </c>
      <c r="N48" s="268" t="n">
        <v>0</v>
      </c>
      <c r="O48" s="268" t="n">
        <f aca="false">M48-N48</f>
        <v>1.02847565071369</v>
      </c>
      <c r="P48" s="269" t="n">
        <v>0.117485390428212</v>
      </c>
      <c r="Q48" s="267" t="n">
        <f aca="false">O48/P48</f>
        <v>8.75407271461661</v>
      </c>
      <c r="R48" s="269"/>
      <c r="S48" s="268"/>
      <c r="T48" s="270" t="n">
        <f aca="false">(I48-H48)*O48/100</f>
        <v>0.222636181061294</v>
      </c>
      <c r="U48" s="267" t="n">
        <f aca="false">1000*T48/G48</f>
        <v>10.2422209522565</v>
      </c>
      <c r="V48" s="271" t="n">
        <f aca="false">PERCENTILE(U46:U53, 75%)+1.5*(PERCENTILE(U46:U53, 75%)-PERCENTILE(U46:U53, 25%))</f>
        <v>12.8735111783662</v>
      </c>
      <c r="W48" s="268"/>
      <c r="X48" s="267" t="n">
        <f aca="false">U48*0.04*1*'Available water-holding capacit'!R18*10000/1000</f>
        <v>6.85130487025322</v>
      </c>
      <c r="Y48" s="271"/>
      <c r="Z48" s="268"/>
      <c r="AA48" s="267"/>
      <c r="AB48" s="268"/>
      <c r="AC48" s="268"/>
      <c r="AD48" s="267" t="n">
        <f aca="false">100*U48/(U33+U40+U48)</f>
        <v>94.0712061181081</v>
      </c>
      <c r="AE48" s="269"/>
      <c r="AF48" s="268"/>
      <c r="AG48" s="262"/>
    </row>
    <row r="49" customFormat="false" ht="14.4" hidden="false" customHeight="true" outlineLevel="0" collapsed="false">
      <c r="B49" s="258"/>
      <c r="C49" s="263"/>
      <c r="D49" s="263"/>
      <c r="E49" s="264" t="s">
        <v>167</v>
      </c>
      <c r="F49" s="264" t="s">
        <v>198</v>
      </c>
      <c r="G49" s="277" t="n">
        <f aca="false">G34</f>
        <v>22.0997</v>
      </c>
      <c r="H49" s="266" t="n">
        <v>25.2224</v>
      </c>
      <c r="I49" s="266" t="n">
        <f aca="false">47.3134-0.06</f>
        <v>47.2534</v>
      </c>
      <c r="J49" s="266" t="n">
        <f aca="false">I49-H49</f>
        <v>22.031</v>
      </c>
      <c r="K49" s="266"/>
      <c r="L49" s="266"/>
      <c r="M49" s="267" t="n">
        <v>0.939500183763476</v>
      </c>
      <c r="N49" s="268" t="n">
        <v>0</v>
      </c>
      <c r="O49" s="268" t="n">
        <f aca="false">M49-N49</f>
        <v>0.939500183763476</v>
      </c>
      <c r="P49" s="269" t="n">
        <v>0.109999632473048</v>
      </c>
      <c r="Q49" s="267" t="n">
        <f aca="false">O49/P49</f>
        <v>8.54093929808058</v>
      </c>
      <c r="R49" s="269"/>
      <c r="S49" s="268"/>
      <c r="T49" s="270" t="n">
        <f aca="false">(I49-H49)*O49/100</f>
        <v>0.206981285484931</v>
      </c>
      <c r="U49" s="267" t="n">
        <f aca="false">1000*T49/G49</f>
        <v>9.36579616397197</v>
      </c>
      <c r="V49" s="268"/>
      <c r="W49" s="268"/>
      <c r="X49" s="267" t="n">
        <f aca="false">U49*0.04*1*'Available water-holding capacit'!R19*10000/1000</f>
        <v>6.13062195743244</v>
      </c>
      <c r="Y49" s="268"/>
      <c r="Z49" s="268"/>
      <c r="AA49" s="267"/>
      <c r="AB49" s="268"/>
      <c r="AC49" s="268"/>
      <c r="AD49" s="267" t="n">
        <f aca="false">100*U49/(U34+U41+U49)</f>
        <v>94.9965007643773</v>
      </c>
      <c r="AE49" s="269"/>
      <c r="AF49" s="268"/>
      <c r="AG49" s="262"/>
    </row>
    <row r="50" customFormat="false" ht="14.4" hidden="false" customHeight="true" outlineLevel="0" collapsed="false">
      <c r="B50" s="258"/>
      <c r="C50" s="263"/>
      <c r="D50" s="263"/>
      <c r="E50" s="284" t="s">
        <v>168</v>
      </c>
      <c r="F50" s="284" t="s">
        <v>198</v>
      </c>
      <c r="G50" s="265" t="n">
        <f aca="false">G35</f>
        <v>21.3358</v>
      </c>
      <c r="H50" s="270" t="n">
        <v>25.5822</v>
      </c>
      <c r="I50" s="270" t="n">
        <f aca="false">47.8044-0.935</f>
        <v>46.8694</v>
      </c>
      <c r="J50" s="270" t="n">
        <f aca="false">I50-H50</f>
        <v>21.2872</v>
      </c>
      <c r="K50" s="270"/>
      <c r="L50" s="270"/>
      <c r="M50" s="267" t="n">
        <v>0.904498330797836</v>
      </c>
      <c r="N50" s="268" t="n">
        <v>0</v>
      </c>
      <c r="O50" s="268" t="n">
        <f aca="false">M50-N50</f>
        <v>0.904498330797836</v>
      </c>
      <c r="P50" s="268" t="n">
        <v>0.107003338404327</v>
      </c>
      <c r="Q50" s="267" t="n">
        <f aca="false">O50/P50</f>
        <v>8.45299169433446</v>
      </c>
      <c r="R50" s="268"/>
      <c r="S50" s="268"/>
      <c r="T50" s="270" t="n">
        <f aca="false">(I50-H50)*O50/100</f>
        <v>0.192542368673597</v>
      </c>
      <c r="U50" s="267" t="n">
        <f aca="false">1000*T50/G50</f>
        <v>9.02438008762723</v>
      </c>
      <c r="V50" s="268"/>
      <c r="W50" s="268"/>
      <c r="X50" s="267" t="n">
        <f aca="false">U50*0.04*1*'Available water-holding capacit'!R20*10000/1000</f>
        <v>5.83822897713427</v>
      </c>
      <c r="Y50" s="268"/>
      <c r="Z50" s="268"/>
      <c r="AA50" s="267"/>
      <c r="AB50" s="268"/>
      <c r="AC50" s="268"/>
      <c r="AD50" s="267" t="n">
        <f aca="false">100*U50/(U35+U42+U50)</f>
        <v>95.3840772825629</v>
      </c>
      <c r="AE50" s="268"/>
      <c r="AF50" s="268"/>
      <c r="AG50" s="262"/>
    </row>
    <row r="51" customFormat="false" ht="14.4" hidden="false" customHeight="true" outlineLevel="0" collapsed="false">
      <c r="B51" s="258"/>
      <c r="C51" s="263"/>
      <c r="D51" s="263"/>
      <c r="E51" s="284" t="s">
        <v>39</v>
      </c>
      <c r="F51" s="284" t="s">
        <v>198</v>
      </c>
      <c r="G51" s="265" t="n">
        <f aca="false">G83</f>
        <v>21.5946</v>
      </c>
      <c r="H51" s="270" t="n">
        <v>26.4966</v>
      </c>
      <c r="I51" s="270" t="n">
        <f aca="false">48.174-0.094</f>
        <v>48.08</v>
      </c>
      <c r="J51" s="270" t="n">
        <f aca="false">I51-H51</f>
        <v>21.5834</v>
      </c>
      <c r="K51" s="270"/>
      <c r="L51" s="270"/>
      <c r="M51" s="267" t="n">
        <v>1.20093717431501</v>
      </c>
      <c r="N51" s="268" t="n">
        <v>0.002</v>
      </c>
      <c r="O51" s="268" t="n">
        <f aca="false">M51-N51</f>
        <v>1.19893717431501</v>
      </c>
      <c r="P51" s="268" t="n">
        <v>0.138422534929341</v>
      </c>
      <c r="Q51" s="267" t="n">
        <f aca="false">O51/P51</f>
        <v>8.66143056061658</v>
      </c>
      <c r="R51" s="268"/>
      <c r="S51" s="268"/>
      <c r="T51" s="270" t="n">
        <f aca="false">(I51-H51)*O51/100</f>
        <v>0.258771406081106</v>
      </c>
      <c r="U51" s="267" t="n">
        <f aca="false">1000*T51/G51</f>
        <v>11.9831534773094</v>
      </c>
      <c r="V51" s="268"/>
      <c r="W51" s="268"/>
      <c r="X51" s="267" t="n">
        <f aca="false">U51*0.04*1*'Available water-holding capacit'!R21*10000/1000</f>
        <v>7.66029792766566</v>
      </c>
      <c r="Y51" s="268"/>
      <c r="Z51" s="268"/>
      <c r="AA51" s="267"/>
      <c r="AB51" s="268"/>
      <c r="AC51" s="268"/>
      <c r="AD51" s="267" t="n">
        <f aca="false">100*U51/(U83+U43+U51)</f>
        <v>100.196433067857</v>
      </c>
      <c r="AE51" s="268"/>
      <c r="AF51" s="268"/>
      <c r="AG51" s="262"/>
    </row>
    <row r="52" customFormat="false" ht="14.4" hidden="false" customHeight="true" outlineLevel="0" collapsed="false">
      <c r="B52" s="258"/>
      <c r="C52" s="263"/>
      <c r="D52" s="263"/>
      <c r="E52" s="284" t="s">
        <v>169</v>
      </c>
      <c r="F52" s="284" t="s">
        <v>198</v>
      </c>
      <c r="G52" s="265" t="n">
        <f aca="false">G36</f>
        <v>21.7479</v>
      </c>
      <c r="H52" s="270" t="n">
        <v>24.3842</v>
      </c>
      <c r="I52" s="270" t="n">
        <f aca="false">46.374-0.28</f>
        <v>46.094</v>
      </c>
      <c r="J52" s="270" t="n">
        <f aca="false">I52-H52</f>
        <v>21.7098</v>
      </c>
      <c r="K52" s="270"/>
      <c r="L52" s="270"/>
      <c r="M52" s="267" t="n">
        <v>1.0355249407164</v>
      </c>
      <c r="N52" s="268" t="n">
        <v>0</v>
      </c>
      <c r="O52" s="268" t="n">
        <f aca="false">M52-N52</f>
        <v>1.0355249407164</v>
      </c>
      <c r="P52" s="268" t="n">
        <v>0.124497732662146</v>
      </c>
      <c r="Q52" s="267" t="n">
        <f aca="false">O52/P52</f>
        <v>8.31762088010503</v>
      </c>
      <c r="R52" s="268"/>
      <c r="S52" s="268"/>
      <c r="T52" s="270" t="n">
        <f aca="false">(I52-H52)*O52/100</f>
        <v>0.224810393579649</v>
      </c>
      <c r="U52" s="267" t="n">
        <f aca="false">1000*T52/G52</f>
        <v>10.3371081152502</v>
      </c>
      <c r="V52" s="268"/>
      <c r="W52" s="268"/>
      <c r="X52" s="267" t="n">
        <f aca="false">U52*0.04*1*'Available water-holding capacit'!R22*10000/1000</f>
        <v>6.67835339444082</v>
      </c>
      <c r="Y52" s="268"/>
      <c r="Z52" s="268"/>
      <c r="AA52" s="267"/>
      <c r="AB52" s="268"/>
      <c r="AC52" s="268"/>
      <c r="AD52" s="267" t="n">
        <f aca="false">100*U52/(U36+U44+U52)</f>
        <v>96.3875083467793</v>
      </c>
      <c r="AE52" s="268"/>
      <c r="AF52" s="268"/>
      <c r="AG52" s="262"/>
    </row>
    <row r="53" customFormat="false" ht="14.4" hidden="false" customHeight="true" outlineLevel="0" collapsed="false">
      <c r="B53" s="258"/>
      <c r="C53" s="263"/>
      <c r="D53" s="263"/>
      <c r="E53" s="279" t="s">
        <v>170</v>
      </c>
      <c r="F53" s="279" t="s">
        <v>198</v>
      </c>
      <c r="G53" s="265" t="n">
        <f aca="false">G37</f>
        <v>21.3201</v>
      </c>
      <c r="H53" s="281" t="n">
        <v>24.5965</v>
      </c>
      <c r="I53" s="281" t="n">
        <f aca="false">45.9669-0.097</f>
        <v>45.8699</v>
      </c>
      <c r="J53" s="281" t="n">
        <f aca="false">I53-H53</f>
        <v>21.2734</v>
      </c>
      <c r="K53" s="281"/>
      <c r="L53" s="281"/>
      <c r="M53" s="282" t="n">
        <v>1.36417477459224</v>
      </c>
      <c r="N53" s="283" t="n">
        <v>0.001</v>
      </c>
      <c r="O53" s="283" t="n">
        <f aca="false">M53-N53</f>
        <v>1.36317477459224</v>
      </c>
      <c r="P53" s="283" t="n">
        <v>0.153</v>
      </c>
      <c r="Q53" s="282" t="n">
        <f aca="false">O53/P53</f>
        <v>8.90963904962248</v>
      </c>
      <c r="R53" s="283"/>
      <c r="S53" s="283"/>
      <c r="T53" s="270" t="n">
        <f aca="false">(I53-H53)*O53/100</f>
        <v>0.289993622498106</v>
      </c>
      <c r="U53" s="282" t="n">
        <f aca="false">1000*T53/G53</f>
        <v>13.601888476044</v>
      </c>
      <c r="V53" s="283"/>
      <c r="W53" s="283"/>
      <c r="X53" s="267" t="n">
        <f aca="false">U53*0.04*1*'Available water-holding capacit'!R23*10000/1000</f>
        <v>9.14072864452637</v>
      </c>
      <c r="Y53" s="288"/>
      <c r="Z53" s="288"/>
      <c r="AA53" s="282"/>
      <c r="AB53" s="283"/>
      <c r="AC53" s="283"/>
      <c r="AD53" s="282" t="n">
        <f aca="false">100*U53/(U37+U45+U53)</f>
        <v>96.9572118012259</v>
      </c>
      <c r="AE53" s="283"/>
      <c r="AF53" s="283"/>
      <c r="AG53" s="262"/>
    </row>
    <row r="54" customFormat="false" ht="14.4" hidden="false" customHeight="true" outlineLevel="0" collapsed="false">
      <c r="B54" s="258"/>
      <c r="C54" s="232"/>
      <c r="D54" s="232" t="s">
        <v>56</v>
      </c>
      <c r="E54" s="289" t="s">
        <v>172</v>
      </c>
      <c r="F54" s="289" t="n">
        <v>0</v>
      </c>
      <c r="G54" s="236" t="n">
        <f aca="false">J54+J62+J70</f>
        <v>21.5993</v>
      </c>
      <c r="H54" s="259" t="n">
        <v>5.3114</v>
      </c>
      <c r="I54" s="259" t="n">
        <v>5.3209</v>
      </c>
      <c r="J54" s="259" t="n">
        <f aca="false">I54-H54</f>
        <v>0.00950000000000006</v>
      </c>
      <c r="K54" s="259" t="n">
        <f aca="false">AVERAGE(J54:J61)</f>
        <v>0.0134874999999999</v>
      </c>
      <c r="L54" s="259" t="n">
        <f aca="false">STDEV(J54:J61)</f>
        <v>0.00399944192535483</v>
      </c>
      <c r="M54" s="290" t="n">
        <v>18.259</v>
      </c>
      <c r="N54" s="261" t="n">
        <v>0</v>
      </c>
      <c r="O54" s="261" t="n">
        <f aca="false">M54-N54</f>
        <v>18.259</v>
      </c>
      <c r="P54" s="261" t="n">
        <v>1.464</v>
      </c>
      <c r="Q54" s="290" t="n">
        <f aca="false">O54/P54</f>
        <v>12.4719945355191</v>
      </c>
      <c r="R54" s="261" t="n">
        <f aca="false">AVERAGE(Q54:Q61)</f>
        <v>13.3455369310218</v>
      </c>
      <c r="S54" s="261" t="n">
        <f aca="false">STDEV(Q54:Q61)</f>
        <v>1.18656309743792</v>
      </c>
      <c r="T54" s="259" t="n">
        <f aca="false">(I54-H54)*O54/100</f>
        <v>0.00173460500000001</v>
      </c>
      <c r="U54" s="290" t="n">
        <f aca="false">1000*T54/G54</f>
        <v>0.0803083896237384</v>
      </c>
      <c r="V54" s="261" t="n">
        <f aca="false">AVERAGE(U54:U61)</f>
        <v>0.111541891060684</v>
      </c>
      <c r="W54" s="261" t="n">
        <f aca="false">STDEV(U54:U61)</f>
        <v>0.0286318338756865</v>
      </c>
      <c r="X54" s="290"/>
      <c r="Y54" s="261"/>
      <c r="Z54" s="261"/>
      <c r="AA54" s="290" t="n">
        <f aca="false">U54+U62+U70</f>
        <v>11.1284882710668</v>
      </c>
      <c r="AB54" s="261" t="n">
        <f aca="false">AVERAGE(AA54:AA61)</f>
        <v>11.7575529488017</v>
      </c>
      <c r="AC54" s="261" t="n">
        <f aca="false">STDEV(AA54:AA61)</f>
        <v>1.6683150287772</v>
      </c>
      <c r="AD54" s="290" t="n">
        <f aca="false">100*U54/(U54+U62+U70)</f>
        <v>0.721646891002563</v>
      </c>
      <c r="AE54" s="261" t="n">
        <f aca="false">AVERAGE(AD54:AD61)</f>
        <v>0.957001091139898</v>
      </c>
      <c r="AF54" s="261" t="n">
        <f aca="false">STDEV(AD54:AD61)</f>
        <v>0.250810141858967</v>
      </c>
      <c r="AG54" s="262"/>
    </row>
    <row r="55" customFormat="false" ht="14.4" hidden="false" customHeight="true" outlineLevel="0" collapsed="false">
      <c r="B55" s="258"/>
      <c r="C55" s="263"/>
      <c r="D55" s="263"/>
      <c r="E55" s="264" t="s">
        <v>173</v>
      </c>
      <c r="F55" s="264" t="n">
        <v>0</v>
      </c>
      <c r="G55" s="265" t="n">
        <f aca="false">J55+J63+J71</f>
        <v>21.8827</v>
      </c>
      <c r="H55" s="266" t="n">
        <v>5.2772</v>
      </c>
      <c r="I55" s="266" t="n">
        <v>5.2943</v>
      </c>
      <c r="J55" s="266" t="n">
        <f aca="false">I55-H55</f>
        <v>0.0171000000000001</v>
      </c>
      <c r="K55" s="266"/>
      <c r="L55" s="266"/>
      <c r="M55" s="267" t="n">
        <v>17.792</v>
      </c>
      <c r="N55" s="268" t="n">
        <v>0</v>
      </c>
      <c r="O55" s="268" t="n">
        <f aca="false">M55-N55</f>
        <v>17.792</v>
      </c>
      <c r="P55" s="269" t="n">
        <v>1.426</v>
      </c>
      <c r="Q55" s="267" t="n">
        <f aca="false">O55/P55</f>
        <v>12.476858345021</v>
      </c>
      <c r="R55" s="269"/>
      <c r="S55" s="268"/>
      <c r="T55" s="270" t="n">
        <f aca="false">(I55-H55)*O55/100</f>
        <v>0.00304243200000002</v>
      </c>
      <c r="U55" s="267" t="n">
        <f aca="false">1000*T55/G55</f>
        <v>0.139033665863903</v>
      </c>
      <c r="V55" s="271" t="n">
        <f aca="false">PERCENTILE(U54:U61, 25%)-1.5*(PERCENTILE(U54:U61, 75%)-PERCENTILE(U54:U61, 25%))</f>
        <v>0.0159559264620581</v>
      </c>
      <c r="W55" s="268"/>
      <c r="X55" s="267"/>
      <c r="Y55" s="268"/>
      <c r="Z55" s="268"/>
      <c r="AA55" s="267" t="n">
        <f aca="false">U55+U63+U71</f>
        <v>10.7313859807062</v>
      </c>
      <c r="AB55" s="268"/>
      <c r="AC55" s="268"/>
      <c r="AD55" s="267" t="n">
        <f aca="false">100*U55/(U55+U63+U71)</f>
        <v>1.29557977053355</v>
      </c>
      <c r="AE55" s="269"/>
      <c r="AF55" s="268"/>
      <c r="AG55" s="262"/>
    </row>
    <row r="56" customFormat="false" ht="14.4" hidden="false" customHeight="true" outlineLevel="0" collapsed="false">
      <c r="B56" s="258"/>
      <c r="C56" s="263"/>
      <c r="D56" s="263"/>
      <c r="E56" s="264" t="s">
        <v>36</v>
      </c>
      <c r="F56" s="264" t="n">
        <v>0</v>
      </c>
      <c r="G56" s="265" t="n">
        <f aca="false">J56+J64+J72</f>
        <v>21.6773</v>
      </c>
      <c r="H56" s="266" t="n">
        <v>5.2295</v>
      </c>
      <c r="I56" s="266" t="n">
        <v>5.2399</v>
      </c>
      <c r="J56" s="266" t="n">
        <f aca="false">I56-H56</f>
        <v>0.0103999999999997</v>
      </c>
      <c r="K56" s="266"/>
      <c r="L56" s="266"/>
      <c r="M56" s="267" t="n">
        <v>22.5567978669375</v>
      </c>
      <c r="N56" s="268" t="n">
        <v>0</v>
      </c>
      <c r="O56" s="268" t="n">
        <f aca="false">M56-N56</f>
        <v>22.5567978669375</v>
      </c>
      <c r="P56" s="269" t="n">
        <v>1.63768765871001</v>
      </c>
      <c r="Q56" s="267" t="n">
        <f aca="false">O56/P56</f>
        <v>13.7735652747761</v>
      </c>
      <c r="R56" s="269"/>
      <c r="S56" s="268"/>
      <c r="T56" s="270" t="n">
        <f aca="false">(I56-H56)*O56/100</f>
        <v>0.00234590697816144</v>
      </c>
      <c r="U56" s="267" t="n">
        <f aca="false">1000*T56/G56</f>
        <v>0.108219518951227</v>
      </c>
      <c r="V56" s="271" t="n">
        <f aca="false">PERCENTILE(U54:U61, 75%)+1.5*(PERCENTILE(U54:U61, 75%)-PERCENTILE(U54:U61, 25%))</f>
        <v>0.19721987341478</v>
      </c>
      <c r="W56" s="268"/>
      <c r="X56" s="267"/>
      <c r="Y56" s="268"/>
      <c r="Z56" s="268"/>
      <c r="AA56" s="267" t="n">
        <f aca="false">U56+U64+U72</f>
        <v>10.7407758210861</v>
      </c>
      <c r="AB56" s="268"/>
      <c r="AC56" s="268"/>
      <c r="AD56" s="267" t="n">
        <f aca="false">100*U56/(U56+U64+U72)</f>
        <v>1.00755774772594</v>
      </c>
      <c r="AE56" s="269"/>
      <c r="AF56" s="268"/>
      <c r="AG56" s="262"/>
    </row>
    <row r="57" customFormat="false" ht="14.4" hidden="false" customHeight="true" outlineLevel="0" collapsed="false">
      <c r="B57" s="258"/>
      <c r="C57" s="263"/>
      <c r="D57" s="263"/>
      <c r="E57" s="264" t="s">
        <v>174</v>
      </c>
      <c r="F57" s="264" t="n">
        <v>0</v>
      </c>
      <c r="G57" s="265" t="n">
        <f aca="false">J57+J65+J73</f>
        <v>21.6081</v>
      </c>
      <c r="H57" s="266" t="n">
        <v>5.3292</v>
      </c>
      <c r="I57" s="266" t="n">
        <v>5.3477</v>
      </c>
      <c r="J57" s="266" t="n">
        <f aca="false">I57-H57</f>
        <v>0.0184999999999995</v>
      </c>
      <c r="K57" s="266"/>
      <c r="L57" s="266"/>
      <c r="M57" s="267" t="n">
        <v>17.7369025</v>
      </c>
      <c r="N57" s="268" t="n">
        <v>0</v>
      </c>
      <c r="O57" s="268" t="n">
        <f aca="false">M57-N57</f>
        <v>17.7369025</v>
      </c>
      <c r="P57" s="269" t="n">
        <v>1.2298975</v>
      </c>
      <c r="Q57" s="267" t="n">
        <f aca="false">O57/P57</f>
        <v>14.4214477222695</v>
      </c>
      <c r="R57" s="269"/>
      <c r="S57" s="268"/>
      <c r="T57" s="270" t="n">
        <f aca="false">(I57-H57)*O57/100</f>
        <v>0.00328132696249991</v>
      </c>
      <c r="U57" s="267" t="n">
        <f aca="false">1000*T57/G57</f>
        <v>0.151856339173732</v>
      </c>
      <c r="V57" s="268"/>
      <c r="W57" s="268"/>
      <c r="X57" s="267"/>
      <c r="Y57" s="268"/>
      <c r="Z57" s="268"/>
      <c r="AA57" s="267" t="n">
        <f aca="false">U57+U65+U73</f>
        <v>11.6600108722482</v>
      </c>
      <c r="AB57" s="268"/>
      <c r="AC57" s="268"/>
      <c r="AD57" s="267" t="n">
        <f aca="false">100*U57/(U57+U65+U73)</f>
        <v>1.30236876138051</v>
      </c>
      <c r="AE57" s="269"/>
      <c r="AF57" s="268"/>
      <c r="AG57" s="262"/>
    </row>
    <row r="58" customFormat="false" ht="14.4" hidden="false" customHeight="true" outlineLevel="0" collapsed="false">
      <c r="B58" s="258"/>
      <c r="C58" s="263"/>
      <c r="D58" s="263"/>
      <c r="E58" s="264" t="s">
        <v>175</v>
      </c>
      <c r="F58" s="264" t="n">
        <v>0</v>
      </c>
      <c r="G58" s="265" t="n">
        <f aca="false">J58+J66+J74</f>
        <v>21.4692</v>
      </c>
      <c r="H58" s="266" t="n">
        <v>5.3105</v>
      </c>
      <c r="I58" s="266" t="n">
        <v>5.3292</v>
      </c>
      <c r="J58" s="266" t="n">
        <f aca="false">I58-H58</f>
        <v>0.0186999999999999</v>
      </c>
      <c r="K58" s="266"/>
      <c r="L58" s="266"/>
      <c r="M58" s="267" t="n">
        <v>14.441</v>
      </c>
      <c r="N58" s="268" t="n">
        <v>0</v>
      </c>
      <c r="O58" s="268" t="n">
        <f aca="false">M58-N58</f>
        <v>14.441</v>
      </c>
      <c r="P58" s="269" t="n">
        <v>1.001</v>
      </c>
      <c r="Q58" s="267" t="n">
        <f aca="false">O58/P58</f>
        <v>14.4265734265734</v>
      </c>
      <c r="R58" s="269"/>
      <c r="S58" s="268"/>
      <c r="T58" s="270" t="n">
        <f aca="false">(I58-H58)*O58/100</f>
        <v>0.00270046699999999</v>
      </c>
      <c r="U58" s="267" t="n">
        <f aca="false">1000*T58/G58</f>
        <v>0.125783308181022</v>
      </c>
      <c r="V58" s="268"/>
      <c r="W58" s="268"/>
      <c r="X58" s="267"/>
      <c r="Y58" s="268"/>
      <c r="Z58" s="268"/>
      <c r="AA58" s="267" t="n">
        <f aca="false">U58+U66+U74</f>
        <v>12.1229718414753</v>
      </c>
      <c r="AB58" s="268"/>
      <c r="AC58" s="268"/>
      <c r="AD58" s="267" t="n">
        <f aca="false">100*U58/(U58+U66+U74)</f>
        <v>1.03756166248519</v>
      </c>
      <c r="AE58" s="269"/>
      <c r="AF58" s="268"/>
      <c r="AG58" s="262"/>
    </row>
    <row r="59" customFormat="false" ht="14.4" hidden="false" customHeight="true" outlineLevel="0" collapsed="false">
      <c r="B59" s="258"/>
      <c r="C59" s="263"/>
      <c r="D59" s="263"/>
      <c r="E59" s="264" t="s">
        <v>37</v>
      </c>
      <c r="F59" s="264" t="n">
        <v>0</v>
      </c>
      <c r="G59" s="265" t="n">
        <f aca="false">J59+J67+J75</f>
        <v>21.7362</v>
      </c>
      <c r="H59" s="266" t="n">
        <v>5.31</v>
      </c>
      <c r="I59" s="266" t="n">
        <v>5.3231</v>
      </c>
      <c r="J59" s="266" t="n">
        <f aca="false">I59-H59</f>
        <v>0.0131000000000006</v>
      </c>
      <c r="K59" s="266"/>
      <c r="L59" s="266"/>
      <c r="M59" s="267" t="n">
        <v>12.6125587004186</v>
      </c>
      <c r="N59" s="268" t="n">
        <v>0</v>
      </c>
      <c r="O59" s="268" t="n">
        <f aca="false">M59-N59</f>
        <v>12.6125587004186</v>
      </c>
      <c r="P59" s="269" t="n">
        <v>1.10924765796293</v>
      </c>
      <c r="Q59" s="267" t="n">
        <f aca="false">O59/P59</f>
        <v>11.3703721706123</v>
      </c>
      <c r="R59" s="269"/>
      <c r="S59" s="268"/>
      <c r="T59" s="270" t="n">
        <f aca="false">(I59-H59)*O59/100</f>
        <v>0.00165224518975491</v>
      </c>
      <c r="U59" s="267" t="n">
        <f aca="false">1000*T59/G59</f>
        <v>0.0760135253519432</v>
      </c>
      <c r="V59" s="268"/>
      <c r="W59" s="268"/>
      <c r="X59" s="267"/>
      <c r="Y59" s="268"/>
      <c r="Z59" s="268"/>
      <c r="AA59" s="267" t="n">
        <f aca="false">U59+U67+U75</f>
        <v>9.46102658817214</v>
      </c>
      <c r="AB59" s="268"/>
      <c r="AC59" s="268"/>
      <c r="AD59" s="267" t="n">
        <f aca="false">100*U59/(U59+U67+U75)</f>
        <v>0.803438449765829</v>
      </c>
      <c r="AE59" s="269"/>
      <c r="AF59" s="268"/>
      <c r="AG59" s="262"/>
    </row>
    <row r="60" customFormat="false" ht="14.4" hidden="false" customHeight="true" outlineLevel="0" collapsed="false">
      <c r="B60" s="258"/>
      <c r="C60" s="263"/>
      <c r="D60" s="263"/>
      <c r="E60" s="264" t="s">
        <v>176</v>
      </c>
      <c r="F60" s="264" t="n">
        <v>0</v>
      </c>
      <c r="G60" s="265" t="n">
        <f aca="false">J60+J68+J76</f>
        <v>21.2323</v>
      </c>
      <c r="H60" s="266" t="n">
        <v>5.2746</v>
      </c>
      <c r="I60" s="266" t="n">
        <v>5.2855</v>
      </c>
      <c r="J60" s="266" t="n">
        <f aca="false">I60-H60</f>
        <v>0.0108999999999995</v>
      </c>
      <c r="K60" s="266"/>
      <c r="L60" s="266"/>
      <c r="M60" s="267" t="n">
        <v>16.584</v>
      </c>
      <c r="N60" s="268" t="n">
        <v>0</v>
      </c>
      <c r="O60" s="268" t="n">
        <f aca="false">M60-N60</f>
        <v>16.584</v>
      </c>
      <c r="P60" s="269" t="n">
        <v>1.265</v>
      </c>
      <c r="Q60" s="267" t="n">
        <f aca="false">O60/P60</f>
        <v>13.1098814229249</v>
      </c>
      <c r="R60" s="269"/>
      <c r="S60" s="268"/>
      <c r="T60" s="270" t="n">
        <f aca="false">(I60-H60)*O60/100</f>
        <v>0.00180765599999991</v>
      </c>
      <c r="U60" s="267" t="n">
        <f aca="false">1000*T60/G60</f>
        <v>0.0851370788845255</v>
      </c>
      <c r="V60" s="268"/>
      <c r="W60" s="268"/>
      <c r="X60" s="267"/>
      <c r="Y60" s="268"/>
      <c r="Z60" s="268"/>
      <c r="AA60" s="267" t="n">
        <f aca="false">U60+U68+U76</f>
        <v>13.5905932892594</v>
      </c>
      <c r="AB60" s="268"/>
      <c r="AC60" s="268"/>
      <c r="AD60" s="267" t="n">
        <f aca="false">100*U60/(U60+U68+U76)</f>
        <v>0.626441223517513</v>
      </c>
      <c r="AE60" s="269"/>
      <c r="AF60" s="268"/>
      <c r="AG60" s="262"/>
    </row>
    <row r="61" customFormat="false" ht="14.4" hidden="false" customHeight="true" outlineLevel="0" collapsed="false">
      <c r="B61" s="258"/>
      <c r="C61" s="263"/>
      <c r="D61" s="263"/>
      <c r="E61" s="264" t="s">
        <v>177</v>
      </c>
      <c r="F61" s="264" t="n">
        <v>0</v>
      </c>
      <c r="G61" s="265" t="n">
        <f aca="false">J61+J69+J77</f>
        <v>21.3205</v>
      </c>
      <c r="H61" s="266" t="n">
        <v>5.2601</v>
      </c>
      <c r="I61" s="266" t="n">
        <v>5.2698</v>
      </c>
      <c r="J61" s="266" t="n">
        <f aca="false">I61-H61</f>
        <v>0.0096999999999996</v>
      </c>
      <c r="K61" s="266"/>
      <c r="L61" s="266"/>
      <c r="M61" s="267" t="n">
        <v>27.691</v>
      </c>
      <c r="N61" s="268" t="n">
        <v>0</v>
      </c>
      <c r="O61" s="268" t="n">
        <f aca="false">M61-N61</f>
        <v>27.691</v>
      </c>
      <c r="P61" s="269" t="n">
        <v>1.882</v>
      </c>
      <c r="Q61" s="267" t="n">
        <f aca="false">O61/P61</f>
        <v>14.7136025504782</v>
      </c>
      <c r="R61" s="269"/>
      <c r="S61" s="268"/>
      <c r="T61" s="270" t="n">
        <f aca="false">(I61-H61)*O61/100</f>
        <v>0.00268602699999989</v>
      </c>
      <c r="U61" s="267" t="n">
        <f aca="false">1000*T61/G61</f>
        <v>0.125983302455378</v>
      </c>
      <c r="V61" s="283"/>
      <c r="W61" s="283"/>
      <c r="X61" s="267"/>
      <c r="Y61" s="268"/>
      <c r="Z61" s="268"/>
      <c r="AA61" s="267" t="n">
        <f aca="false">U61+U69+U77</f>
        <v>14.6251709263999</v>
      </c>
      <c r="AB61" s="268"/>
      <c r="AC61" s="268"/>
      <c r="AD61" s="267" t="n">
        <f aca="false">100*U61/(U61+U69+U77)</f>
        <v>0.861414222708094</v>
      </c>
      <c r="AE61" s="269"/>
      <c r="AF61" s="268"/>
      <c r="AG61" s="262"/>
    </row>
    <row r="62" customFormat="false" ht="14.4" hidden="false" customHeight="true" outlineLevel="0" collapsed="false">
      <c r="B62" s="258"/>
      <c r="C62" s="263"/>
      <c r="D62" s="263"/>
      <c r="E62" s="272" t="s">
        <v>172</v>
      </c>
      <c r="F62" s="272" t="n">
        <v>50</v>
      </c>
      <c r="G62" s="273" t="n">
        <f aca="false">G54</f>
        <v>21.5993</v>
      </c>
      <c r="H62" s="274" t="n">
        <v>5.2503</v>
      </c>
      <c r="I62" s="274" t="n">
        <v>5.2905</v>
      </c>
      <c r="J62" s="274" t="n">
        <f aca="false">I62-H62</f>
        <v>0.0401999999999996</v>
      </c>
      <c r="K62" s="274" t="n">
        <f aca="false">AVERAGE(J62:J69)</f>
        <v>0.0369375</v>
      </c>
      <c r="L62" s="274" t="n">
        <f aca="false">STDEV(J62:J69)</f>
        <v>0.0087615943591498</v>
      </c>
      <c r="M62" s="275" t="n">
        <v>16.2780092369478</v>
      </c>
      <c r="N62" s="276" t="n">
        <v>0</v>
      </c>
      <c r="O62" s="276" t="n">
        <f aca="false">M62-N62</f>
        <v>16.2780092369478</v>
      </c>
      <c r="P62" s="276" t="n">
        <v>1.77206465863454</v>
      </c>
      <c r="Q62" s="275" t="n">
        <f aca="false">O62/P62</f>
        <v>9.18590027606034</v>
      </c>
      <c r="R62" s="276" t="n">
        <f aca="false">AVERAGE(Q62:Q69)</f>
        <v>11.0072546246562</v>
      </c>
      <c r="S62" s="276" t="n">
        <f aca="false">STDEV(Q62:Q69)</f>
        <v>1.61440779284656</v>
      </c>
      <c r="T62" s="274" t="n">
        <f aca="false">(I62-H62)*O62/100</f>
        <v>0.00654375971325295</v>
      </c>
      <c r="U62" s="275" t="n">
        <f aca="false">1000*T62/G62</f>
        <v>0.302961656778365</v>
      </c>
      <c r="V62" s="276" t="n">
        <f aca="false">AVERAGE(U62:U69)</f>
        <v>0.328995215720766</v>
      </c>
      <c r="W62" s="276" t="n">
        <f aca="false">STDEV(U62:U69)</f>
        <v>0.0747366899290627</v>
      </c>
      <c r="X62" s="275"/>
      <c r="Y62" s="276"/>
      <c r="Z62" s="276"/>
      <c r="AA62" s="275"/>
      <c r="AB62" s="276"/>
      <c r="AC62" s="276"/>
      <c r="AD62" s="275" t="n">
        <f aca="false">100*U62/(U54+U62+U70)</f>
        <v>2.72239723310885</v>
      </c>
      <c r="AE62" s="276" t="n">
        <f aca="false">AVERAGE(AD62:AD69)</f>
        <v>2.78627346741177</v>
      </c>
      <c r="AF62" s="276" t="n">
        <f aca="false">STDEV(AD62:AD69)</f>
        <v>0.429730288479403</v>
      </c>
      <c r="AG62" s="262"/>
    </row>
    <row r="63" customFormat="false" ht="14.4" hidden="false" customHeight="true" outlineLevel="0" collapsed="false">
      <c r="B63" s="258"/>
      <c r="C63" s="263"/>
      <c r="D63" s="263"/>
      <c r="E63" s="264" t="s">
        <v>173</v>
      </c>
      <c r="F63" s="264" t="n">
        <v>50</v>
      </c>
      <c r="G63" s="277" t="n">
        <f aca="false">G55</f>
        <v>21.8827</v>
      </c>
      <c r="H63" s="266" t="n">
        <v>5.2544</v>
      </c>
      <c r="I63" s="266" t="n">
        <v>5.2791</v>
      </c>
      <c r="J63" s="266" t="n">
        <f aca="false">I63-H63</f>
        <v>0.0246999999999993</v>
      </c>
      <c r="K63" s="266"/>
      <c r="L63" s="266"/>
      <c r="M63" s="267" t="n">
        <v>17.917</v>
      </c>
      <c r="N63" s="268" t="n">
        <v>0</v>
      </c>
      <c r="O63" s="268" t="n">
        <f aca="false">M63-N63</f>
        <v>17.917</v>
      </c>
      <c r="P63" s="269" t="n">
        <v>1.616</v>
      </c>
      <c r="Q63" s="267" t="n">
        <f aca="false">O63/P63</f>
        <v>11.0872524752475</v>
      </c>
      <c r="R63" s="269"/>
      <c r="S63" s="268"/>
      <c r="T63" s="270" t="n">
        <f aca="false">(I63-H63)*O63/100</f>
        <v>0.00442549899999987</v>
      </c>
      <c r="U63" s="267" t="n">
        <f aca="false">1000*T63/G63</f>
        <v>0.202237338171244</v>
      </c>
      <c r="V63" s="271" t="n">
        <f aca="false">PERCENTILE(U62:U69, 25%)-1.5*(PERCENTILE(U62:U69, 75%)-PERCENTILE(U62:U69, 25%))</f>
        <v>0.15125351541192</v>
      </c>
      <c r="W63" s="268"/>
      <c r="X63" s="267"/>
      <c r="Y63" s="268"/>
      <c r="Z63" s="268"/>
      <c r="AA63" s="267"/>
      <c r="AB63" s="268"/>
      <c r="AC63" s="268"/>
      <c r="AD63" s="267" t="n">
        <f aca="false">100*U63/(U55+U63+U71)</f>
        <v>1.8845407157551</v>
      </c>
      <c r="AE63" s="269"/>
      <c r="AF63" s="268"/>
      <c r="AG63" s="262"/>
    </row>
    <row r="64" customFormat="false" ht="14.4" hidden="false" customHeight="true" outlineLevel="0" collapsed="false">
      <c r="B64" s="258"/>
      <c r="C64" s="263"/>
      <c r="D64" s="263"/>
      <c r="E64" s="264" t="s">
        <v>36</v>
      </c>
      <c r="F64" s="264" t="n">
        <v>50</v>
      </c>
      <c r="G64" s="277" t="n">
        <f aca="false">G56</f>
        <v>21.6773</v>
      </c>
      <c r="H64" s="278" t="n">
        <v>5.2909</v>
      </c>
      <c r="I64" s="266" t="n">
        <v>5.3143</v>
      </c>
      <c r="J64" s="266" t="n">
        <f aca="false">I64-H64</f>
        <v>0.0234000000000005</v>
      </c>
      <c r="K64" s="266"/>
      <c r="L64" s="266"/>
      <c r="M64" s="267" t="n">
        <v>24.8956526849037</v>
      </c>
      <c r="N64" s="268" t="n">
        <v>0</v>
      </c>
      <c r="O64" s="268" t="n">
        <f aca="false">M64-N64</f>
        <v>24.8956526849037</v>
      </c>
      <c r="P64" s="269" t="n">
        <v>1.69845167173252</v>
      </c>
      <c r="Q64" s="267" t="n">
        <f aca="false">O64/P64</f>
        <v>14.6578516770564</v>
      </c>
      <c r="R64" s="269"/>
      <c r="S64" s="268"/>
      <c r="T64" s="270" t="n">
        <f aca="false">(I64-H64)*O64/100</f>
        <v>0.0058255827282676</v>
      </c>
      <c r="U64" s="267" t="n">
        <f aca="false">1000*T64/G64</f>
        <v>0.268741159105036</v>
      </c>
      <c r="V64" s="271" t="n">
        <f aca="false">PERCENTILE(U62:U69, 75%)+1.5*(PERCENTILE(U62:U69, 75%)-PERCENTILE(U62:U69, 25%))</f>
        <v>0.521122058387928</v>
      </c>
      <c r="W64" s="268"/>
      <c r="X64" s="267"/>
      <c r="Y64" s="268"/>
      <c r="Z64" s="268"/>
      <c r="AA64" s="267"/>
      <c r="AB64" s="268"/>
      <c r="AC64" s="268"/>
      <c r="AD64" s="267" t="n">
        <f aca="false">100*U64/(U56+U64+U72)</f>
        <v>2.50206468863682</v>
      </c>
      <c r="AE64" s="269"/>
      <c r="AF64" s="268"/>
      <c r="AG64" s="262"/>
    </row>
    <row r="65" customFormat="false" ht="14.4" hidden="false" customHeight="true" outlineLevel="0" collapsed="false">
      <c r="B65" s="258"/>
      <c r="C65" s="263"/>
      <c r="D65" s="263"/>
      <c r="E65" s="264" t="s">
        <v>174</v>
      </c>
      <c r="F65" s="264" t="n">
        <v>50</v>
      </c>
      <c r="G65" s="277" t="n">
        <f aca="false">G57</f>
        <v>21.6081</v>
      </c>
      <c r="H65" s="266" t="n">
        <v>5.3454</v>
      </c>
      <c r="I65" s="266" t="n">
        <v>5.3836</v>
      </c>
      <c r="J65" s="266" t="n">
        <f aca="false">I65-H65</f>
        <v>0.0382000000000007</v>
      </c>
      <c r="K65" s="266"/>
      <c r="L65" s="266"/>
      <c r="M65" s="267" t="n">
        <v>21.3500784453557</v>
      </c>
      <c r="N65" s="268" t="n">
        <v>0</v>
      </c>
      <c r="O65" s="268" t="n">
        <f aca="false">M65-N65</f>
        <v>21.3500784453557</v>
      </c>
      <c r="P65" s="269" t="n">
        <v>1.96347833838474</v>
      </c>
      <c r="Q65" s="267" t="n">
        <f aca="false">O65/P65</f>
        <v>10.8736001961292</v>
      </c>
      <c r="R65" s="269"/>
      <c r="S65" s="268"/>
      <c r="T65" s="270" t="n">
        <f aca="false">(I65-H65)*O65/100</f>
        <v>0.00815572996612602</v>
      </c>
      <c r="U65" s="267" t="n">
        <f aca="false">1000*T65/G65</f>
        <v>0.377438551567515</v>
      </c>
      <c r="V65" s="268"/>
      <c r="W65" s="268"/>
      <c r="X65" s="267"/>
      <c r="Y65" s="268"/>
      <c r="Z65" s="268"/>
      <c r="AA65" s="267"/>
      <c r="AB65" s="268"/>
      <c r="AC65" s="268"/>
      <c r="AD65" s="267" t="n">
        <f aca="false">100*U65/(U57+U65+U73)</f>
        <v>3.23703430213647</v>
      </c>
      <c r="AE65" s="269"/>
      <c r="AF65" s="268"/>
      <c r="AG65" s="262"/>
    </row>
    <row r="66" customFormat="false" ht="14.4" hidden="false" customHeight="true" outlineLevel="0" collapsed="false">
      <c r="B66" s="258"/>
      <c r="C66" s="263"/>
      <c r="D66" s="263"/>
      <c r="E66" s="264" t="s">
        <v>175</v>
      </c>
      <c r="F66" s="264" t="n">
        <v>50</v>
      </c>
      <c r="G66" s="277" t="n">
        <f aca="false">G58</f>
        <v>21.4692</v>
      </c>
      <c r="H66" s="266" t="n">
        <v>5.3623</v>
      </c>
      <c r="I66" s="266" t="n">
        <v>5.4003</v>
      </c>
      <c r="J66" s="266" t="n">
        <f aca="false">I66-H66</f>
        <v>0.0379999999999994</v>
      </c>
      <c r="K66" s="266"/>
      <c r="L66" s="266"/>
      <c r="M66" s="267" t="n">
        <v>20.2267501552657</v>
      </c>
      <c r="N66" s="268" t="n">
        <v>0</v>
      </c>
      <c r="O66" s="268" t="n">
        <f aca="false">M66-N66</f>
        <v>20.2267501552657</v>
      </c>
      <c r="P66" s="269" t="n">
        <v>1.86221311329962</v>
      </c>
      <c r="Q66" s="267" t="n">
        <f aca="false">O66/P66</f>
        <v>10.8616731408503</v>
      </c>
      <c r="R66" s="269"/>
      <c r="S66" s="268"/>
      <c r="T66" s="270" t="n">
        <f aca="false">(I66-H66)*O66/100</f>
        <v>0.00768616505900084</v>
      </c>
      <c r="U66" s="267" t="n">
        <f aca="false">1000*T66/G66</f>
        <v>0.358008917845138</v>
      </c>
      <c r="V66" s="268"/>
      <c r="W66" s="268"/>
      <c r="X66" s="267"/>
      <c r="Y66" s="268"/>
      <c r="Z66" s="268"/>
      <c r="AA66" s="267"/>
      <c r="AB66" s="268"/>
      <c r="AC66" s="268"/>
      <c r="AD66" s="267" t="n">
        <f aca="false">100*U66/(U58+U66+U74)</f>
        <v>2.95314484374461</v>
      </c>
      <c r="AE66" s="269"/>
      <c r="AF66" s="268"/>
      <c r="AG66" s="262"/>
    </row>
    <row r="67" customFormat="false" ht="14.4" hidden="false" customHeight="true" outlineLevel="0" collapsed="false">
      <c r="B67" s="258"/>
      <c r="C67" s="263"/>
      <c r="D67" s="263"/>
      <c r="E67" s="264" t="s">
        <v>37</v>
      </c>
      <c r="F67" s="264" t="n">
        <v>50</v>
      </c>
      <c r="G67" s="277" t="n">
        <f aca="false">G59</f>
        <v>21.7362</v>
      </c>
      <c r="H67" s="266" t="n">
        <v>5.2752</v>
      </c>
      <c r="I67" s="266" t="n">
        <v>5.3136</v>
      </c>
      <c r="J67" s="266" t="n">
        <f aca="false">I67-H67</f>
        <v>0.0384000000000002</v>
      </c>
      <c r="K67" s="266"/>
      <c r="L67" s="266"/>
      <c r="M67" s="267" t="n">
        <v>16.8130208333333</v>
      </c>
      <c r="N67" s="268" t="n">
        <v>0</v>
      </c>
      <c r="O67" s="268" t="n">
        <f aca="false">M67-N67</f>
        <v>16.8130208333333</v>
      </c>
      <c r="P67" s="269" t="n">
        <v>1.69515625</v>
      </c>
      <c r="Q67" s="267" t="n">
        <f aca="false">O67/P67</f>
        <v>9.91827203736134</v>
      </c>
      <c r="R67" s="269"/>
      <c r="S67" s="268"/>
      <c r="T67" s="270" t="n">
        <f aca="false">(I67-H67)*O67/100</f>
        <v>0.00645620000000002</v>
      </c>
      <c r="U67" s="267" t="n">
        <f aca="false">1000*T67/G67</f>
        <v>0.297025239002219</v>
      </c>
      <c r="V67" s="268"/>
      <c r="W67" s="268"/>
      <c r="X67" s="267"/>
      <c r="Y67" s="268"/>
      <c r="Z67" s="268"/>
      <c r="AA67" s="267"/>
      <c r="AB67" s="268"/>
      <c r="AC67" s="268"/>
      <c r="AD67" s="267" t="n">
        <f aca="false">100*U67/(U59+U67+U75)</f>
        <v>3.13946099013768</v>
      </c>
      <c r="AE67" s="269"/>
      <c r="AF67" s="268"/>
      <c r="AG67" s="262"/>
    </row>
    <row r="68" customFormat="false" ht="14.4" hidden="false" customHeight="true" outlineLevel="0" collapsed="false">
      <c r="B68" s="258"/>
      <c r="C68" s="263"/>
      <c r="D68" s="263"/>
      <c r="E68" s="264" t="s">
        <v>176</v>
      </c>
      <c r="F68" s="264" t="n">
        <v>50</v>
      </c>
      <c r="G68" s="277" t="n">
        <f aca="false">G60</f>
        <v>21.2323</v>
      </c>
      <c r="H68" s="266" t="n">
        <v>5.2937</v>
      </c>
      <c r="I68" s="266" t="n">
        <v>5.3426</v>
      </c>
      <c r="J68" s="266" t="n">
        <f aca="false">I68-H68</f>
        <v>0.0488999999999997</v>
      </c>
      <c r="K68" s="266"/>
      <c r="L68" s="266"/>
      <c r="M68" s="267" t="n">
        <v>17.2537301602351</v>
      </c>
      <c r="N68" s="268" t="n">
        <v>0</v>
      </c>
      <c r="O68" s="268" t="n">
        <f aca="false">M68-N68</f>
        <v>17.2537301602351</v>
      </c>
      <c r="P68" s="269" t="n">
        <v>1.65847852469897</v>
      </c>
      <c r="Q68" s="267" t="n">
        <f aca="false">O68/P68</f>
        <v>10.4033485530763</v>
      </c>
      <c r="R68" s="269"/>
      <c r="S68" s="268"/>
      <c r="T68" s="270" t="n">
        <f aca="false">(I68-H68)*O68/100</f>
        <v>0.00843707404835492</v>
      </c>
      <c r="U68" s="267" t="n">
        <f aca="false">1000*T68/G68</f>
        <v>0.397369764385155</v>
      </c>
      <c r="V68" s="268"/>
      <c r="W68" s="268"/>
      <c r="X68" s="267"/>
      <c r="Y68" s="268"/>
      <c r="Z68" s="268"/>
      <c r="AA68" s="267"/>
      <c r="AB68" s="268"/>
      <c r="AC68" s="268"/>
      <c r="AD68" s="267" t="n">
        <f aca="false">100*U68/(U60+U68+U76)</f>
        <v>2.92385884801067</v>
      </c>
      <c r="AE68" s="269"/>
      <c r="AF68" s="268"/>
      <c r="AG68" s="262"/>
    </row>
    <row r="69" customFormat="false" ht="14.4" hidden="false" customHeight="true" outlineLevel="0" collapsed="false">
      <c r="B69" s="258"/>
      <c r="C69" s="263"/>
      <c r="D69" s="263"/>
      <c r="E69" s="279" t="s">
        <v>177</v>
      </c>
      <c r="F69" s="279" t="n">
        <v>50</v>
      </c>
      <c r="G69" s="280" t="n">
        <f aca="false">G61</f>
        <v>21.3205</v>
      </c>
      <c r="H69" s="281" t="n">
        <v>5.2577</v>
      </c>
      <c r="I69" s="281" t="n">
        <v>5.3014</v>
      </c>
      <c r="J69" s="281" t="n">
        <f aca="false">I69-H69</f>
        <v>0.0437000000000003</v>
      </c>
      <c r="K69" s="281"/>
      <c r="L69" s="281"/>
      <c r="M69" s="282" t="n">
        <v>20.8901429710337</v>
      </c>
      <c r="N69" s="283" t="n">
        <v>0</v>
      </c>
      <c r="O69" s="283" t="n">
        <f aca="false">M69-N69</f>
        <v>20.8901429710337</v>
      </c>
      <c r="P69" s="283" t="n">
        <v>1.88707148551687</v>
      </c>
      <c r="Q69" s="282" t="n">
        <f aca="false">O69/P69</f>
        <v>11.0701386414685</v>
      </c>
      <c r="R69" s="283"/>
      <c r="S69" s="283"/>
      <c r="T69" s="281" t="n">
        <f aca="false">(I69-H69)*O69/100</f>
        <v>0.00912899247834179</v>
      </c>
      <c r="U69" s="282" t="n">
        <f aca="false">1000*T69/G69</f>
        <v>0.42817909891146</v>
      </c>
      <c r="V69" s="283"/>
      <c r="W69" s="283"/>
      <c r="X69" s="282"/>
      <c r="Y69" s="283"/>
      <c r="Z69" s="283"/>
      <c r="AA69" s="282"/>
      <c r="AB69" s="283"/>
      <c r="AC69" s="283"/>
      <c r="AD69" s="282" t="n">
        <f aca="false">100*U69/(U61+U69+U77)</f>
        <v>2.92768611776395</v>
      </c>
      <c r="AE69" s="283"/>
      <c r="AF69" s="283"/>
      <c r="AG69" s="262"/>
    </row>
    <row r="70" customFormat="false" ht="14.4" hidden="false" customHeight="true" outlineLevel="0" collapsed="false">
      <c r="B70" s="258"/>
      <c r="C70" s="263"/>
      <c r="D70" s="263"/>
      <c r="E70" s="264" t="s">
        <v>172</v>
      </c>
      <c r="F70" s="264" t="s">
        <v>198</v>
      </c>
      <c r="G70" s="273" t="n">
        <f aca="false">G54</f>
        <v>21.5993</v>
      </c>
      <c r="H70" s="270" t="n">
        <v>24.6469</v>
      </c>
      <c r="I70" s="266" t="n">
        <f aca="false">46.4425-0.246</f>
        <v>46.1965</v>
      </c>
      <c r="J70" s="266" t="n">
        <f aca="false">I70-H70</f>
        <v>21.5496</v>
      </c>
      <c r="K70" s="266" t="n">
        <f aca="false">AVERAGE(J70:J77)</f>
        <v>21.515275</v>
      </c>
      <c r="L70" s="266" t="n">
        <f aca="false">STDEV(J70:J77)</f>
        <v>0.221459307774588</v>
      </c>
      <c r="M70" s="267" t="n">
        <v>1.09</v>
      </c>
      <c r="N70" s="268" t="n">
        <v>0.013</v>
      </c>
      <c r="O70" s="268" t="n">
        <f aca="false">M70-N70</f>
        <v>1.077</v>
      </c>
      <c r="P70" s="269" t="n">
        <v>0.122501968713419</v>
      </c>
      <c r="Q70" s="267" t="n">
        <f aca="false">O70/P70</f>
        <v>8.79169544221394</v>
      </c>
      <c r="R70" s="269" t="n">
        <f aca="false">AVERAGE(Q70:Q77)</f>
        <v>8.63078502607174</v>
      </c>
      <c r="S70" s="268" t="n">
        <f aca="false">STDEV(Q70:Q77)</f>
        <v>0.231131880328398</v>
      </c>
      <c r="T70" s="274" t="n">
        <f aca="false">(I70-H70)*O70/100</f>
        <v>0.232089192</v>
      </c>
      <c r="U70" s="267" t="n">
        <f aca="false">1000*T70/G70</f>
        <v>10.7452182246647</v>
      </c>
      <c r="V70" s="268" t="n">
        <f aca="false">AVERAGE(U70:U77)</f>
        <v>11.3170158420203</v>
      </c>
      <c r="W70" s="268" t="n">
        <f aca="false">STDEV(U70:U77)</f>
        <v>1.60330738293932</v>
      </c>
      <c r="X70" s="267" t="n">
        <f aca="false">U70*0.04*1*'Available water-holding capacit'!R26*10000/1000</f>
        <v>6.83228667383541</v>
      </c>
      <c r="Y70" s="268" t="n">
        <f aca="false">AVERAGE(X70:X77)</f>
        <v>7.36225547655023</v>
      </c>
      <c r="Z70" s="268" t="n">
        <f aca="false">STDEV(X70:X77)</f>
        <v>1.03718339100521</v>
      </c>
      <c r="AA70" s="267"/>
      <c r="AB70" s="268"/>
      <c r="AC70" s="268"/>
      <c r="AD70" s="267" t="n">
        <f aca="false">100*U70/(U54+U62+U70)</f>
        <v>96.5559558758886</v>
      </c>
      <c r="AE70" s="269" t="n">
        <f aca="false">AVERAGE(AD70:AD77)</f>
        <v>96.2567254414483</v>
      </c>
      <c r="AF70" s="268" t="n">
        <f aca="false">STDEV(AD70:AD77)</f>
        <v>0.420120236112834</v>
      </c>
      <c r="AG70" s="262"/>
    </row>
    <row r="71" customFormat="false" ht="14.4" hidden="false" customHeight="true" outlineLevel="0" collapsed="false">
      <c r="B71" s="258"/>
      <c r="C71" s="263"/>
      <c r="D71" s="263"/>
      <c r="E71" s="264" t="s">
        <v>173</v>
      </c>
      <c r="F71" s="264" t="s">
        <v>198</v>
      </c>
      <c r="G71" s="277" t="n">
        <f aca="false">G55</f>
        <v>21.8827</v>
      </c>
      <c r="H71" s="266" t="n">
        <v>26.4217</v>
      </c>
      <c r="I71" s="266" t="n">
        <f aca="false">48.4096-0.147</f>
        <v>48.2626</v>
      </c>
      <c r="J71" s="266" t="n">
        <f aca="false">I71-H71</f>
        <v>21.8409</v>
      </c>
      <c r="K71" s="266"/>
      <c r="L71" s="266"/>
      <c r="M71" s="267" t="n">
        <v>1.05</v>
      </c>
      <c r="N71" s="268" t="n">
        <v>0.009</v>
      </c>
      <c r="O71" s="268" t="n">
        <f aca="false">M71-N71</f>
        <v>1.041</v>
      </c>
      <c r="P71" s="269" t="n">
        <v>0.124891454385745</v>
      </c>
      <c r="Q71" s="267" t="n">
        <f aca="false">O71/P71</f>
        <v>8.33523802825391</v>
      </c>
      <c r="R71" s="269"/>
      <c r="S71" s="268"/>
      <c r="T71" s="270" t="n">
        <f aca="false">(I71-H71)*O71/100</f>
        <v>0.227363769</v>
      </c>
      <c r="U71" s="267" t="n">
        <f aca="false">1000*T71/G71</f>
        <v>10.3901149766711</v>
      </c>
      <c r="V71" s="271" t="n">
        <f aca="false">PERCENTILE(U70:U77, 25%)-1.5*(PERCENTILE(U70:U77, 75%)-PERCENTILE(U70:U77, 25%))</f>
        <v>7.9492405610255</v>
      </c>
      <c r="W71" s="268"/>
      <c r="X71" s="267" t="n">
        <f aca="false">U71*0.04*1*'Available water-holding capacit'!R27*10000/1000</f>
        <v>6.75178249168831</v>
      </c>
      <c r="Y71" s="271"/>
      <c r="Z71" s="268"/>
      <c r="AA71" s="267"/>
      <c r="AB71" s="268"/>
      <c r="AC71" s="268"/>
      <c r="AD71" s="267" t="n">
        <f aca="false">100*U71/(U55+U63+U71)</f>
        <v>96.8198795137114</v>
      </c>
      <c r="AE71" s="269"/>
      <c r="AF71" s="268"/>
      <c r="AG71" s="262"/>
    </row>
    <row r="72" customFormat="false" ht="14.4" hidden="false" customHeight="true" outlineLevel="0" collapsed="false">
      <c r="B72" s="258"/>
      <c r="C72" s="263"/>
      <c r="D72" s="263"/>
      <c r="E72" s="264" t="s">
        <v>36</v>
      </c>
      <c r="F72" s="264" t="s">
        <v>198</v>
      </c>
      <c r="G72" s="277" t="n">
        <f aca="false">G56</f>
        <v>21.6773</v>
      </c>
      <c r="H72" s="266" t="n">
        <v>26.5208</v>
      </c>
      <c r="I72" s="266" t="n">
        <f aca="false">48.3283-0.164</f>
        <v>48.1643</v>
      </c>
      <c r="J72" s="266" t="n">
        <f aca="false">I72-H72</f>
        <v>21.6435</v>
      </c>
      <c r="K72" s="266"/>
      <c r="L72" s="266"/>
      <c r="M72" s="267" t="n">
        <v>1.04</v>
      </c>
      <c r="N72" s="268" t="n">
        <v>0.002</v>
      </c>
      <c r="O72" s="268" t="n">
        <f aca="false">M72-N72</f>
        <v>1.038</v>
      </c>
      <c r="P72" s="269" t="n">
        <v>0.122932740740741</v>
      </c>
      <c r="Q72" s="267" t="n">
        <f aca="false">O72/P72</f>
        <v>8.4436415697352</v>
      </c>
      <c r="R72" s="269"/>
      <c r="S72" s="268"/>
      <c r="T72" s="270" t="n">
        <f aca="false">(I72-H72)*O72/100</f>
        <v>0.22465953</v>
      </c>
      <c r="U72" s="267" t="n">
        <f aca="false">1000*T72/G72</f>
        <v>10.3638151430298</v>
      </c>
      <c r="V72" s="271" t="n">
        <f aca="false">PERCENTILE(U70:U77, 75%)+1.5*(PERCENTILE(U70:U77, 75%)-PERCENTILE(U70:U77, 25%))</f>
        <v>14.4407057803195</v>
      </c>
      <c r="W72" s="268"/>
      <c r="X72" s="267" t="n">
        <f aca="false">U72*0.04*1*'Available water-holding capacit'!R28*10000/1000</f>
        <v>6.86072883861507</v>
      </c>
      <c r="Y72" s="271"/>
      <c r="Z72" s="268"/>
      <c r="AA72" s="267"/>
      <c r="AB72" s="268"/>
      <c r="AC72" s="268"/>
      <c r="AD72" s="267" t="n">
        <f aca="false">100*U72/(U56+U64+U72)</f>
        <v>96.4903775636372</v>
      </c>
      <c r="AE72" s="269"/>
      <c r="AF72" s="268"/>
      <c r="AG72" s="262"/>
    </row>
    <row r="73" customFormat="false" ht="14.4" hidden="false" customHeight="true" outlineLevel="0" collapsed="false">
      <c r="B73" s="258"/>
      <c r="C73" s="263"/>
      <c r="D73" s="263"/>
      <c r="E73" s="264" t="s">
        <v>174</v>
      </c>
      <c r="F73" s="264" t="s">
        <v>198</v>
      </c>
      <c r="G73" s="277" t="n">
        <f aca="false">G57</f>
        <v>21.6081</v>
      </c>
      <c r="H73" s="266" t="n">
        <v>25.2546</v>
      </c>
      <c r="I73" s="266" t="n">
        <f aca="false">47.008-0.202</f>
        <v>46.806</v>
      </c>
      <c r="J73" s="266" t="n">
        <f aca="false">I73-H73</f>
        <v>21.5514</v>
      </c>
      <c r="K73" s="266"/>
      <c r="L73" s="266"/>
      <c r="M73" s="267" t="n">
        <v>1.12</v>
      </c>
      <c r="N73" s="268" t="n">
        <v>0.004</v>
      </c>
      <c r="O73" s="268" t="n">
        <f aca="false">M73-N73</f>
        <v>1.116</v>
      </c>
      <c r="P73" s="269" t="n">
        <v>0.129035847232791</v>
      </c>
      <c r="Q73" s="267" t="n">
        <f aca="false">O73/P73</f>
        <v>8.64875942563966</v>
      </c>
      <c r="R73" s="269"/>
      <c r="S73" s="268"/>
      <c r="T73" s="270" t="n">
        <f aca="false">(I73-H73)*O73/100</f>
        <v>0.240513624</v>
      </c>
      <c r="U73" s="267" t="n">
        <f aca="false">1000*T73/G73</f>
        <v>11.1307159815069</v>
      </c>
      <c r="V73" s="268"/>
      <c r="W73" s="268"/>
      <c r="X73" s="267" t="n">
        <f aca="false">U73*0.04*1*'Available water-holding capacit'!R29*10000/1000</f>
        <v>7.11417439150681</v>
      </c>
      <c r="Y73" s="268"/>
      <c r="Z73" s="268"/>
      <c r="AA73" s="267"/>
      <c r="AB73" s="268"/>
      <c r="AC73" s="268"/>
      <c r="AD73" s="267" t="n">
        <f aca="false">100*U73/(U57+U65+U73)</f>
        <v>95.460596936483</v>
      </c>
      <c r="AE73" s="269"/>
      <c r="AF73" s="268"/>
      <c r="AG73" s="262"/>
    </row>
    <row r="74" customFormat="false" ht="14.4" hidden="false" customHeight="true" outlineLevel="0" collapsed="false">
      <c r="B74" s="258"/>
      <c r="C74" s="263"/>
      <c r="D74" s="263"/>
      <c r="E74" s="284" t="s">
        <v>175</v>
      </c>
      <c r="F74" s="284" t="s">
        <v>198</v>
      </c>
      <c r="G74" s="265" t="n">
        <f aca="false">G58</f>
        <v>21.4692</v>
      </c>
      <c r="H74" s="270" t="n">
        <v>24.8181</v>
      </c>
      <c r="I74" s="270" t="n">
        <f aca="false">46.4926-0.262</f>
        <v>46.2306</v>
      </c>
      <c r="J74" s="270" t="n">
        <f aca="false">I74-H74</f>
        <v>21.4125</v>
      </c>
      <c r="K74" s="270"/>
      <c r="L74" s="270"/>
      <c r="M74" s="267" t="n">
        <v>1.17</v>
      </c>
      <c r="N74" s="268" t="n">
        <v>0.003</v>
      </c>
      <c r="O74" s="268" t="n">
        <f aca="false">M74-N74</f>
        <v>1.167</v>
      </c>
      <c r="P74" s="268" t="n">
        <v>0.134513141990863</v>
      </c>
      <c r="Q74" s="267" t="n">
        <f aca="false">O74/P74</f>
        <v>8.67573222012218</v>
      </c>
      <c r="R74" s="268"/>
      <c r="S74" s="268"/>
      <c r="T74" s="270" t="n">
        <f aca="false">(I74-H74)*O74/100</f>
        <v>0.249883875</v>
      </c>
      <c r="U74" s="267" t="n">
        <f aca="false">1000*T74/G74</f>
        <v>11.6391796154491</v>
      </c>
      <c r="V74" s="268"/>
      <c r="W74" s="268"/>
      <c r="X74" s="267" t="n">
        <f aca="false">U74*0.04*1*'Available water-holding capacit'!R30*10000/1000</f>
        <v>7.72619341971118</v>
      </c>
      <c r="Y74" s="268"/>
      <c r="Z74" s="268"/>
      <c r="AA74" s="267"/>
      <c r="AB74" s="268"/>
      <c r="AC74" s="268"/>
      <c r="AD74" s="267" t="n">
        <f aca="false">100*U74/(U58+U66+U74)</f>
        <v>96.0092934937702</v>
      </c>
      <c r="AE74" s="268"/>
      <c r="AF74" s="268"/>
      <c r="AG74" s="262"/>
    </row>
    <row r="75" customFormat="false" ht="14.4" hidden="false" customHeight="true" outlineLevel="0" collapsed="false">
      <c r="B75" s="258"/>
      <c r="C75" s="263"/>
      <c r="D75" s="263"/>
      <c r="E75" s="284" t="s">
        <v>37</v>
      </c>
      <c r="F75" s="284" t="s">
        <v>198</v>
      </c>
      <c r="G75" s="265" t="n">
        <f aca="false">G59</f>
        <v>21.7362</v>
      </c>
      <c r="H75" s="270" t="n">
        <v>24.9411</v>
      </c>
      <c r="I75" s="270" t="n">
        <f aca="false">46.7898-0.164</f>
        <v>46.6258</v>
      </c>
      <c r="J75" s="270" t="n">
        <f aca="false">I75-H75</f>
        <v>21.6847</v>
      </c>
      <c r="K75" s="270"/>
      <c r="L75" s="270"/>
      <c r="M75" s="267" t="n">
        <v>0.910957130769954</v>
      </c>
      <c r="N75" s="268" t="n">
        <v>0</v>
      </c>
      <c r="O75" s="268" t="n">
        <f aca="false">M75-N75</f>
        <v>0.910957130769954</v>
      </c>
      <c r="P75" s="268" t="n">
        <v>0.10832857008555</v>
      </c>
      <c r="Q75" s="267" t="n">
        <f aca="false">O75/P75</f>
        <v>8.40920479288655</v>
      </c>
      <c r="R75" s="268"/>
      <c r="S75" s="268"/>
      <c r="T75" s="270" t="n">
        <f aca="false">(I75-H75)*O75/100</f>
        <v>0.197538320936072</v>
      </c>
      <c r="U75" s="267" t="n">
        <f aca="false">1000*T75/G75</f>
        <v>9.08798782381797</v>
      </c>
      <c r="V75" s="268"/>
      <c r="W75" s="268"/>
      <c r="X75" s="267" t="n">
        <f aca="false">U75*0.04*1*'Available water-holding capacit'!R31*10000/1000</f>
        <v>5.93597649452821</v>
      </c>
      <c r="Y75" s="268"/>
      <c r="Z75" s="268"/>
      <c r="AA75" s="267"/>
      <c r="AB75" s="268"/>
      <c r="AC75" s="268"/>
      <c r="AD75" s="267" t="n">
        <f aca="false">100*U75/(U59+U67+U75)</f>
        <v>96.0571005600965</v>
      </c>
      <c r="AE75" s="268"/>
      <c r="AF75" s="268"/>
      <c r="AG75" s="262"/>
    </row>
    <row r="76" customFormat="false" ht="14.4" hidden="false" customHeight="true" outlineLevel="0" collapsed="false">
      <c r="B76" s="258"/>
      <c r="C76" s="263"/>
      <c r="D76" s="263"/>
      <c r="E76" s="284" t="s">
        <v>176</v>
      </c>
      <c r="F76" s="284" t="s">
        <v>198</v>
      </c>
      <c r="G76" s="265" t="n">
        <f aca="false">G60</f>
        <v>21.2323</v>
      </c>
      <c r="H76" s="270" t="n">
        <v>25.1368</v>
      </c>
      <c r="I76" s="270" t="n">
        <f aca="false">46.7993-0.49</f>
        <v>46.3093</v>
      </c>
      <c r="J76" s="270" t="n">
        <f aca="false">I76-H76</f>
        <v>21.1725</v>
      </c>
      <c r="K76" s="270"/>
      <c r="L76" s="270"/>
      <c r="M76" s="267" t="n">
        <v>1.32451091674194</v>
      </c>
      <c r="N76" s="268" t="n">
        <v>0.01</v>
      </c>
      <c r="O76" s="268" t="n">
        <f aca="false">M76-N76</f>
        <v>1.31451091674194</v>
      </c>
      <c r="P76" s="268" t="n">
        <v>0.151102183348388</v>
      </c>
      <c r="Q76" s="267" t="n">
        <f aca="false">O76/P76</f>
        <v>8.69948327424988</v>
      </c>
      <c r="R76" s="268"/>
      <c r="S76" s="268"/>
      <c r="T76" s="270" t="n">
        <f aca="false">(I76-H76)*O76/100</f>
        <v>0.278314823847187</v>
      </c>
      <c r="U76" s="267" t="n">
        <f aca="false">1000*T76/G76</f>
        <v>13.1080864459897</v>
      </c>
      <c r="V76" s="268"/>
      <c r="W76" s="268"/>
      <c r="X76" s="267" t="n">
        <f aca="false">U76*0.04*1*'Available water-holding capacit'!R32*10000/1000</f>
        <v>8.69952491410828</v>
      </c>
      <c r="Y76" s="268"/>
      <c r="Z76" s="268"/>
      <c r="AA76" s="267"/>
      <c r="AB76" s="268"/>
      <c r="AC76" s="268"/>
      <c r="AD76" s="267" t="n">
        <f aca="false">100*U76/(U60+U68+U76)</f>
        <v>96.4496999284718</v>
      </c>
      <c r="AE76" s="268"/>
      <c r="AF76" s="268"/>
      <c r="AG76" s="262"/>
    </row>
    <row r="77" customFormat="false" ht="14.4" hidden="false" customHeight="true" outlineLevel="0" collapsed="false">
      <c r="B77" s="258"/>
      <c r="C77" s="263"/>
      <c r="D77" s="263"/>
      <c r="E77" s="284" t="s">
        <v>177</v>
      </c>
      <c r="F77" s="284" t="s">
        <v>198</v>
      </c>
      <c r="G77" s="265" t="n">
        <f aca="false">G61</f>
        <v>21.3205</v>
      </c>
      <c r="H77" s="270" t="n">
        <v>25.1507</v>
      </c>
      <c r="I77" s="270" t="n">
        <f aca="false">46.6038-0.186</f>
        <v>46.4178</v>
      </c>
      <c r="J77" s="270" t="n">
        <f aca="false">I77-H77</f>
        <v>21.2671</v>
      </c>
      <c r="K77" s="270"/>
      <c r="L77" s="270"/>
      <c r="M77" s="267" t="n">
        <v>1.41763397105373</v>
      </c>
      <c r="N77" s="268" t="n">
        <v>0.007</v>
      </c>
      <c r="O77" s="268" t="n">
        <f aca="false">M77-N77</f>
        <v>1.41063397105373</v>
      </c>
      <c r="P77" s="268" t="n">
        <v>0.156</v>
      </c>
      <c r="Q77" s="267" t="n">
        <f aca="false">O77/P77</f>
        <v>9.04252545547263</v>
      </c>
      <c r="R77" s="268"/>
      <c r="S77" s="268"/>
      <c r="T77" s="270" t="n">
        <f aca="false">(I77-H77)*O77/100</f>
        <v>0.300000937257968</v>
      </c>
      <c r="U77" s="267" t="n">
        <f aca="false">1000*T77/G77</f>
        <v>14.0710085250331</v>
      </c>
      <c r="V77" s="268"/>
      <c r="W77" s="268"/>
      <c r="X77" s="267" t="n">
        <f aca="false">U77*0.04*1*'Available water-holding capacit'!R33*10000/1000</f>
        <v>8.97737658840859</v>
      </c>
      <c r="Y77" s="268"/>
      <c r="Z77" s="268"/>
      <c r="AA77" s="267"/>
      <c r="AB77" s="268"/>
      <c r="AC77" s="268"/>
      <c r="AD77" s="267" t="n">
        <f aca="false">100*U77/(U61+U69+U77)</f>
        <v>96.2108996595279</v>
      </c>
      <c r="AE77" s="268"/>
      <c r="AF77" s="268"/>
      <c r="AG77" s="262"/>
    </row>
    <row r="78" customFormat="false" ht="14.4" hidden="false" customHeight="true" outlineLevel="0" collapsed="false">
      <c r="B78" s="291"/>
      <c r="C78" s="292"/>
      <c r="D78" s="292"/>
      <c r="E78" s="293"/>
      <c r="F78" s="293"/>
      <c r="G78" s="294"/>
      <c r="H78" s="295"/>
      <c r="I78" s="295"/>
      <c r="J78" s="295"/>
      <c r="K78" s="295"/>
      <c r="L78" s="295"/>
      <c r="M78" s="295"/>
      <c r="N78" s="294"/>
      <c r="O78" s="294"/>
      <c r="P78" s="294"/>
      <c r="Q78" s="294"/>
      <c r="R78" s="294"/>
      <c r="S78" s="294"/>
      <c r="T78" s="295"/>
      <c r="U78" s="294"/>
      <c r="V78" s="294"/>
      <c r="W78" s="294"/>
      <c r="X78" s="295"/>
      <c r="Y78" s="295"/>
      <c r="Z78" s="295"/>
      <c r="AA78" s="294"/>
      <c r="AB78" s="294"/>
      <c r="AC78" s="294"/>
      <c r="AD78" s="296"/>
      <c r="AE78" s="296"/>
      <c r="AF78" s="296"/>
      <c r="AG78" s="297"/>
    </row>
    <row r="79" customFormat="false" ht="14.4" hidden="false" customHeight="true" outlineLevel="0" collapsed="false">
      <c r="B79" s="298"/>
      <c r="C79" s="299"/>
      <c r="D79" s="299"/>
      <c r="E79" s="300"/>
      <c r="F79" s="300"/>
      <c r="G79" s="301"/>
      <c r="H79" s="302"/>
      <c r="I79" s="302"/>
      <c r="J79" s="302"/>
      <c r="K79" s="302"/>
      <c r="L79" s="302"/>
      <c r="M79" s="302"/>
      <c r="N79" s="301"/>
      <c r="O79" s="301"/>
      <c r="P79" s="301"/>
      <c r="Q79" s="301"/>
      <c r="R79" s="301"/>
      <c r="S79" s="301"/>
      <c r="T79" s="302"/>
      <c r="U79" s="301"/>
      <c r="V79" s="301"/>
      <c r="W79" s="301"/>
      <c r="X79" s="302"/>
      <c r="Y79" s="302"/>
      <c r="Z79" s="302"/>
      <c r="AA79" s="301"/>
      <c r="AB79" s="301"/>
      <c r="AC79" s="301"/>
      <c r="AD79" s="303"/>
      <c r="AE79" s="303"/>
      <c r="AF79" s="303"/>
      <c r="AG79" s="298"/>
    </row>
    <row r="80" customFormat="false" ht="14.4" hidden="false" customHeight="true" outlineLevel="0" collapsed="false">
      <c r="B80" s="298"/>
      <c r="C80" s="299"/>
      <c r="D80" s="299"/>
      <c r="E80" s="300"/>
      <c r="F80" s="300"/>
      <c r="G80" s="301"/>
      <c r="H80" s="302"/>
      <c r="I80" s="302"/>
      <c r="J80" s="302"/>
      <c r="K80" s="302"/>
      <c r="L80" s="302"/>
      <c r="M80" s="302"/>
      <c r="N80" s="301"/>
      <c r="O80" s="301"/>
      <c r="P80" s="301"/>
      <c r="Q80" s="301"/>
      <c r="R80" s="301"/>
      <c r="S80" s="301"/>
      <c r="T80" s="302"/>
      <c r="U80" s="301"/>
      <c r="V80" s="301"/>
      <c r="W80" s="301"/>
      <c r="X80" s="302"/>
      <c r="Y80" s="302"/>
      <c r="Z80" s="302"/>
      <c r="AA80" s="301"/>
      <c r="AB80" s="301"/>
      <c r="AC80" s="301"/>
      <c r="AD80" s="303"/>
      <c r="AE80" s="303"/>
      <c r="AF80" s="303"/>
      <c r="AG80" s="298"/>
    </row>
    <row r="81" customFormat="false" ht="14.4" hidden="false" customHeight="true" outlineLevel="0" collapsed="false">
      <c r="B81" s="13"/>
      <c r="C81" s="304"/>
      <c r="D81" s="304"/>
      <c r="E81" s="62"/>
      <c r="F81" s="62"/>
      <c r="G81" s="202"/>
      <c r="H81" s="305"/>
      <c r="I81" s="305"/>
      <c r="J81" s="305"/>
      <c r="K81" s="305"/>
      <c r="L81" s="305"/>
      <c r="M81" s="305"/>
      <c r="N81" s="202"/>
      <c r="O81" s="202"/>
      <c r="P81" s="202"/>
      <c r="Q81" s="202"/>
      <c r="R81" s="202"/>
      <c r="S81" s="202"/>
      <c r="T81" s="305"/>
      <c r="U81" s="202"/>
      <c r="V81" s="202"/>
      <c r="W81" s="202"/>
      <c r="X81" s="305"/>
      <c r="Y81" s="305"/>
      <c r="Z81" s="305"/>
      <c r="AA81" s="202"/>
      <c r="AB81" s="202"/>
      <c r="AC81" s="202"/>
      <c r="AD81" s="203"/>
      <c r="AE81" s="203"/>
      <c r="AF81" s="203"/>
      <c r="AG81" s="15"/>
    </row>
    <row r="82" customFormat="false" ht="14.4" hidden="false" customHeight="true" outlineLevel="0" collapsed="false">
      <c r="B82" s="63"/>
      <c r="C82" s="306" t="s">
        <v>199</v>
      </c>
      <c r="D82" s="22"/>
      <c r="E82" s="67"/>
      <c r="F82" s="67"/>
      <c r="G82" s="215"/>
      <c r="H82" s="307"/>
      <c r="I82" s="307"/>
      <c r="J82" s="307"/>
      <c r="K82" s="307"/>
      <c r="L82" s="307"/>
      <c r="M82" s="307"/>
      <c r="N82" s="215"/>
      <c r="O82" s="215"/>
      <c r="P82" s="215"/>
      <c r="Q82" s="215"/>
      <c r="R82" s="215"/>
      <c r="S82" s="215"/>
      <c r="T82" s="307"/>
      <c r="U82" s="215"/>
      <c r="V82" s="215"/>
      <c r="W82" s="215"/>
      <c r="X82" s="307"/>
      <c r="Y82" s="307"/>
      <c r="Z82" s="307"/>
      <c r="AA82" s="215"/>
      <c r="AB82" s="215"/>
      <c r="AC82" s="215"/>
      <c r="AD82" s="80"/>
      <c r="AE82" s="80"/>
      <c r="AF82" s="80"/>
      <c r="AG82" s="65"/>
    </row>
    <row r="83" customFormat="false" ht="14.4" hidden="false" customHeight="true" outlineLevel="0" collapsed="false">
      <c r="B83" s="63"/>
      <c r="C83" s="156" t="s">
        <v>197</v>
      </c>
      <c r="D83" s="156" t="s">
        <v>55</v>
      </c>
      <c r="E83" s="264" t="s">
        <v>39</v>
      </c>
      <c r="F83" s="264" t="n">
        <v>0</v>
      </c>
      <c r="G83" s="265" t="n">
        <f aca="false">J83+J43+J51</f>
        <v>21.5946</v>
      </c>
      <c r="H83" s="266" t="n">
        <v>5.4257</v>
      </c>
      <c r="I83" s="266" t="n">
        <v>5.3947</v>
      </c>
      <c r="J83" s="266" t="n">
        <f aca="false">I83-H83</f>
        <v>-0.0309999999999997</v>
      </c>
      <c r="K83" s="266"/>
      <c r="L83" s="266"/>
      <c r="M83" s="267" t="n">
        <v>25.203</v>
      </c>
      <c r="N83" s="268" t="n">
        <v>0</v>
      </c>
      <c r="O83" s="268" t="n">
        <f aca="false">M83-N83</f>
        <v>25.203</v>
      </c>
      <c r="P83" s="269" t="n">
        <v>1.397</v>
      </c>
      <c r="Q83" s="267" t="n">
        <f aca="false">O83/P83</f>
        <v>18.0408017179671</v>
      </c>
      <c r="R83" s="269"/>
      <c r="S83" s="268"/>
      <c r="T83" s="270" t="n">
        <f aca="false">(I83-H83)*O83/100</f>
        <v>-0.00781292999999992</v>
      </c>
      <c r="U83" s="267" t="n">
        <f aca="false">1000*T83/G83</f>
        <v>-0.361800172265285</v>
      </c>
      <c r="V83" s="268"/>
      <c r="W83" s="270"/>
      <c r="X83" s="267"/>
      <c r="Y83" s="270"/>
      <c r="Z83" s="308"/>
      <c r="AA83" s="267" t="n">
        <f aca="false">U83+U43+U51</f>
        <v>11.9596607487953</v>
      </c>
      <c r="AB83" s="268"/>
      <c r="AC83" s="268"/>
      <c r="AD83" s="267" t="n">
        <f aca="false">100*U83/(U83+U43+U51)</f>
        <v>-3.0251708628251</v>
      </c>
      <c r="AE83" s="269"/>
      <c r="AF83" s="268"/>
      <c r="AG83" s="65"/>
    </row>
    <row r="84" customFormat="false" ht="14.4" hidden="false" customHeight="true" outlineLevel="0" collapsed="false">
      <c r="B84" s="87"/>
      <c r="C84" s="309"/>
      <c r="D84" s="309"/>
      <c r="E84" s="89"/>
      <c r="F84" s="73"/>
      <c r="G84" s="194"/>
      <c r="H84" s="310"/>
      <c r="I84" s="310"/>
      <c r="J84" s="310"/>
      <c r="K84" s="310"/>
      <c r="L84" s="310"/>
      <c r="M84" s="310"/>
      <c r="N84" s="194"/>
      <c r="O84" s="194"/>
      <c r="P84" s="194"/>
      <c r="Q84" s="194"/>
      <c r="R84" s="194"/>
      <c r="S84" s="194"/>
      <c r="T84" s="310"/>
      <c r="U84" s="194"/>
      <c r="V84" s="194"/>
      <c r="W84" s="194"/>
      <c r="X84" s="310"/>
      <c r="Y84" s="310"/>
      <c r="Z84" s="310"/>
      <c r="AA84" s="194"/>
      <c r="AB84" s="194"/>
      <c r="AC84" s="194"/>
      <c r="AD84" s="198"/>
      <c r="AE84" s="198"/>
      <c r="AF84" s="198"/>
      <c r="AG84" s="90"/>
    </row>
    <row r="85" customFormat="false" ht="14.4" hidden="false" customHeight="true" outlineLevel="0" collapsed="false">
      <c r="F85" s="45"/>
    </row>
    <row r="86" customFormat="false" ht="14.4" hidden="false" customHeight="true" outlineLevel="0" collapsed="false">
      <c r="F86" s="45"/>
    </row>
    <row r="87" customFormat="false" ht="14.4" hidden="false" customHeight="true" outlineLevel="0" collapsed="false">
      <c r="F87" s="45"/>
    </row>
    <row r="93" customFormat="false" ht="14.4" hidden="false" customHeight="true" outlineLevel="0" collapsed="false">
      <c r="F93" s="229"/>
    </row>
    <row r="94" customFormat="false" ht="14.4" hidden="false" customHeight="true" outlineLevel="0" collapsed="false">
      <c r="F94" s="229"/>
    </row>
    <row r="95" customFormat="false" ht="14.4" hidden="false" customHeight="true" outlineLevel="0" collapsed="false">
      <c r="F95" s="229"/>
    </row>
    <row r="96" customFormat="false" ht="14.4" hidden="false" customHeight="true" outlineLevel="0" collapsed="false">
      <c r="F96" s="229"/>
    </row>
    <row r="97" customFormat="false" ht="14.4" hidden="false" customHeight="true" outlineLevel="0" collapsed="false">
      <c r="F97" s="229"/>
    </row>
    <row r="98" customFormat="false" ht="14.4" hidden="false" customHeight="true" outlineLevel="0" collapsed="false">
      <c r="F98" s="229"/>
    </row>
    <row r="99" customFormat="false" ht="14.4" hidden="false" customHeight="true" outlineLevel="0" collapsed="false">
      <c r="F99" s="229"/>
    </row>
    <row r="100" customFormat="false" ht="14.4" hidden="false" customHeight="true" outlineLevel="0" collapsed="false">
      <c r="F100" s="229"/>
    </row>
    <row r="101" customFormat="false" ht="14.4" hidden="false" customHeight="true" outlineLevel="0" collapsed="false">
      <c r="F101" s="229"/>
    </row>
    <row r="102" customFormat="false" ht="14.4" hidden="false" customHeight="true" outlineLevel="0" collapsed="false">
      <c r="F102" s="229"/>
    </row>
    <row r="103" customFormat="false" ht="14.4" hidden="false" customHeight="true" outlineLevel="0" collapsed="false">
      <c r="F103" s="229"/>
    </row>
    <row r="104" customFormat="false" ht="14.4" hidden="false" customHeight="true" outlineLevel="0" collapsed="false">
      <c r="F104" s="229"/>
    </row>
    <row r="105" customFormat="false" ht="14.4" hidden="false" customHeight="true" outlineLevel="0" collapsed="false">
      <c r="F105" s="229"/>
    </row>
    <row r="106" customFormat="false" ht="14.4" hidden="false" customHeight="true" outlineLevel="0" collapsed="false">
      <c r="F106" s="229"/>
    </row>
    <row r="107" customFormat="false" ht="14.4" hidden="false" customHeight="true" outlineLevel="0" collapsed="false">
      <c r="F107" s="229"/>
    </row>
    <row r="108" customFormat="false" ht="14.4" hidden="false" customHeight="true" outlineLevel="0" collapsed="false">
      <c r="F108" s="229"/>
    </row>
    <row r="109" customFormat="false" ht="14.4" hidden="false" customHeight="true" outlineLevel="0" collapsed="false">
      <c r="F109" s="229"/>
    </row>
    <row r="110" customFormat="false" ht="14.4" hidden="false" customHeight="true" outlineLevel="0" collapsed="false">
      <c r="F110" s="229"/>
    </row>
    <row r="111" customFormat="false" ht="14.4" hidden="false" customHeight="true" outlineLevel="0" collapsed="false">
      <c r="F111" s="229"/>
    </row>
    <row r="112" customFormat="false" ht="14.4" hidden="false" customHeight="true" outlineLevel="0" collapsed="false">
      <c r="F112" s="229"/>
    </row>
    <row r="113" customFormat="false" ht="14.4" hidden="false" customHeight="true" outlineLevel="0" collapsed="false">
      <c r="F113" s="229"/>
    </row>
    <row r="114" customFormat="false" ht="14.4" hidden="false" customHeight="true" outlineLevel="0" collapsed="false">
      <c r="F114" s="229"/>
    </row>
    <row r="115" customFormat="false" ht="14.4" hidden="false" customHeight="true" outlineLevel="0" collapsed="false">
      <c r="F115" s="229"/>
    </row>
    <row r="1048576" customFormat="false" ht="12.8" hidden="false" customHeight="true" outlineLevel="0" collapsed="false"/>
  </sheetData>
  <mergeCells count="5">
    <mergeCell ref="U3:AC3"/>
    <mergeCell ref="AD3:AF3"/>
    <mergeCell ref="X4:Z4"/>
    <mergeCell ref="C5:D6"/>
    <mergeCell ref="E5:E6"/>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B2:AMJ116"/>
  <sheetViews>
    <sheetView showFormulas="false" showGridLines="true" showRowColHeaders="true" showZeros="true" rightToLeft="false" tabSelected="false" showOutlineSymbols="true" defaultGridColor="true" view="normal" topLeftCell="A1" colorId="64" zoomScale="110" zoomScaleNormal="110" zoomScalePageLayoutView="100" workbookViewId="0">
      <selection pane="topLeft" activeCell="P50" activeCellId="0" sqref="P50"/>
    </sheetView>
  </sheetViews>
  <sheetFormatPr defaultColWidth="11.53515625" defaultRowHeight="12.8" zeroHeight="false" outlineLevelRow="0" outlineLevelCol="0"/>
  <cols>
    <col collapsed="false" customWidth="true" hidden="false" outlineLevel="0" max="1" min="1" style="20" width="3.43"/>
    <col collapsed="false" customWidth="true" hidden="false" outlineLevel="0" max="2" min="2" style="300" width="3.27"/>
    <col collapsed="false" customWidth="true" hidden="false" outlineLevel="0" max="3" min="3" style="300" width="15.56"/>
    <col collapsed="false" customWidth="true" hidden="false" outlineLevel="0" max="4" min="4" style="300" width="10.12"/>
    <col collapsed="false" customWidth="true" hidden="false" outlineLevel="0" max="5" min="5" style="300" width="5.2"/>
    <col collapsed="false" customWidth="true" hidden="false" outlineLevel="0" max="6" min="6" style="302" width="10.92"/>
    <col collapsed="false" customWidth="true" hidden="false" outlineLevel="0" max="7" min="7" style="302" width="8.33"/>
    <col collapsed="false" customWidth="true" hidden="false" outlineLevel="0" max="8" min="8" style="302" width="11.64"/>
    <col collapsed="false" customWidth="true" hidden="false" outlineLevel="0" max="9" min="9" style="302" width="8.67"/>
    <col collapsed="false" customWidth="true" hidden="false" outlineLevel="0" max="10" min="10" style="303" width="7.64"/>
    <col collapsed="false" customWidth="true" hidden="false" outlineLevel="0" max="11" min="11" style="303" width="7.48"/>
    <col collapsed="false" customWidth="true" hidden="false" outlineLevel="0" max="12" min="12" style="303" width="6.42"/>
    <col collapsed="false" customWidth="true" hidden="false" outlineLevel="0" max="13" min="13" style="302" width="8.33"/>
    <col collapsed="false" customWidth="true" hidden="false" outlineLevel="0" max="14" min="14" style="302" width="12.96"/>
    <col collapsed="false" customWidth="true" hidden="false" outlineLevel="0" max="15" min="15" style="302" width="7.12"/>
    <col collapsed="false" customWidth="true" hidden="false" outlineLevel="0" max="16" min="16" style="303" width="6.23"/>
    <col collapsed="false" customWidth="true" hidden="false" outlineLevel="0" max="17" min="17" style="300" width="5.89"/>
    <col collapsed="false" customWidth="true" hidden="false" outlineLevel="0" max="18" min="18" style="300" width="5.72"/>
    <col collapsed="false" customWidth="true" hidden="false" outlineLevel="0" max="19" min="19" style="302" width="8.67"/>
    <col collapsed="false" customWidth="true" hidden="false" outlineLevel="0" max="20" min="20" style="302" width="11.11"/>
    <col collapsed="false" customWidth="true" hidden="false" outlineLevel="0" max="21" min="21" style="302" width="8.13"/>
    <col collapsed="false" customWidth="true" hidden="false" outlineLevel="0" max="22" min="22" style="303" width="8.48"/>
    <col collapsed="false" customWidth="true" hidden="false" outlineLevel="0" max="23" min="23" style="303" width="5.2"/>
    <col collapsed="false" customWidth="true" hidden="false" outlineLevel="0" max="24" min="24" style="303" width="5.55"/>
    <col collapsed="false" customWidth="true" hidden="false" outlineLevel="0" max="25" min="25" style="303" width="6.62"/>
    <col collapsed="false" customWidth="true" hidden="false" outlineLevel="0" max="26" min="26" style="303" width="5.96"/>
    <col collapsed="false" customWidth="true" hidden="false" outlineLevel="0" max="27" min="27" style="303" width="5.55"/>
    <col collapsed="false" customWidth="true" hidden="false" outlineLevel="0" max="28" min="28" style="300" width="15.15"/>
    <col collapsed="false" customWidth="true" hidden="false" outlineLevel="0" max="29" min="29" style="300" width="9.64"/>
    <col collapsed="false" customWidth="true" hidden="false" outlineLevel="0" max="30" min="30" style="300" width="4.29"/>
    <col collapsed="false" customWidth="true" hidden="false" outlineLevel="0" max="31" min="31" style="300" width="12.39"/>
    <col collapsed="false" customWidth="true" hidden="false" outlineLevel="0" max="32" min="32" style="300" width="7.87"/>
    <col collapsed="false" customWidth="true" hidden="false" outlineLevel="0" max="33" min="33" style="300" width="12.5"/>
    <col collapsed="false" customWidth="true" hidden="false" outlineLevel="0" max="34" min="34" style="300" width="7.26"/>
    <col collapsed="false" customWidth="true" hidden="false" outlineLevel="0" max="36" min="35" style="300" width="5.7"/>
    <col collapsed="false" customWidth="true" hidden="false" outlineLevel="0" max="37" min="37" style="300" width="4.63"/>
    <col collapsed="false" customWidth="true" hidden="false" outlineLevel="0" max="39" min="38" style="300" width="7.87"/>
    <col collapsed="false" customWidth="true" hidden="false" outlineLevel="0" max="40" min="40" style="300" width="6.81"/>
    <col collapsed="false" customWidth="true" hidden="false" outlineLevel="0" max="43" min="41" style="300" width="5.7"/>
    <col collapsed="false" customWidth="true" hidden="false" outlineLevel="0" max="44" min="44" style="300" width="7.87"/>
    <col collapsed="false" customWidth="true" hidden="false" outlineLevel="0" max="45" min="45" style="300" width="12.78"/>
    <col collapsed="false" customWidth="true" hidden="false" outlineLevel="0" max="46" min="46" style="300" width="6.81"/>
    <col collapsed="false" customWidth="true" hidden="false" outlineLevel="0" max="48" min="47" style="300" width="5.7"/>
    <col collapsed="false" customWidth="true" hidden="false" outlineLevel="0" max="49" min="49" style="300" width="4.63"/>
    <col collapsed="false" customWidth="true" hidden="false" outlineLevel="0" max="50" min="50" style="300" width="7.41"/>
    <col collapsed="false" customWidth="true" hidden="false" outlineLevel="0" max="51" min="51" style="301" width="6.02"/>
    <col collapsed="false" customWidth="true" hidden="false" outlineLevel="0" max="52" min="52" style="301" width="6.16"/>
    <col collapsed="false" customWidth="true" hidden="false" outlineLevel="0" max="53" min="53" style="301" width="6.14"/>
    <col collapsed="false" customWidth="true" hidden="false" outlineLevel="0" max="54" min="54" style="302" width="7.98"/>
    <col collapsed="false" customWidth="true" hidden="false" outlineLevel="0" max="55" min="55" style="300" width="7.64"/>
    <col collapsed="false" customWidth="true" hidden="false" outlineLevel="0" max="56" min="56" style="300" width="5.99"/>
    <col collapsed="false" customWidth="true" hidden="false" outlineLevel="0" max="57" min="57" style="300" width="6.28"/>
    <col collapsed="false" customWidth="true" hidden="false" outlineLevel="0" max="58" min="58" style="300" width="7.64"/>
    <col collapsed="false" customWidth="true" hidden="false" outlineLevel="0" max="59" min="59" style="300" width="6.42"/>
    <col collapsed="false" customWidth="true" hidden="false" outlineLevel="0" max="61" min="60" style="300" width="5.86"/>
    <col collapsed="false" customWidth="true" hidden="false" outlineLevel="0" max="62" min="62" style="301" width="6.23"/>
    <col collapsed="false" customWidth="true" hidden="false" outlineLevel="0" max="63" min="63" style="300" width="6.88"/>
    <col collapsed="false" customWidth="true" hidden="false" outlineLevel="0" max="64" min="64" style="300" width="10.73"/>
    <col collapsed="false" customWidth="true" hidden="false" outlineLevel="0" max="65" min="65" style="303" width="6.62"/>
    <col collapsed="false" customWidth="true" hidden="false" outlineLevel="0" max="66" min="66" style="303" width="6.16"/>
    <col collapsed="false" customWidth="true" hidden="false" outlineLevel="0" max="67" min="67" style="303" width="5.86"/>
    <col collapsed="false" customWidth="true" hidden="false" outlineLevel="0" max="68" min="68" style="167" width="4.47"/>
    <col collapsed="false" customWidth="true" hidden="false" outlineLevel="0" max="69" min="69" style="167" width="6.77"/>
    <col collapsed="false" customWidth="false" hidden="false" outlineLevel="0" max="70" min="70" style="167" width="11.52"/>
    <col collapsed="false" customWidth="false" hidden="false" outlineLevel="0" max="977" min="71" style="20" width="11.52"/>
    <col collapsed="false" customWidth="false" hidden="false" outlineLevel="0" max="979" min="978" style="1" width="11.54"/>
    <col collapsed="false" customWidth="false" hidden="false" outlineLevel="0" max="1024" min="980" style="1" width="11.52"/>
  </cols>
  <sheetData>
    <row r="2" customFormat="false" ht="13.15" hidden="false" customHeight="true" outlineLevel="0" collapsed="false">
      <c r="B2" s="311"/>
      <c r="C2" s="312"/>
      <c r="D2" s="313"/>
      <c r="E2" s="313"/>
      <c r="F2" s="314"/>
      <c r="G2" s="314"/>
      <c r="H2" s="314"/>
      <c r="I2" s="314"/>
      <c r="J2" s="315"/>
      <c r="K2" s="315"/>
      <c r="L2" s="315"/>
      <c r="M2" s="314"/>
      <c r="N2" s="314"/>
      <c r="O2" s="314"/>
      <c r="P2" s="315"/>
      <c r="Q2" s="313"/>
      <c r="R2" s="313"/>
      <c r="S2" s="314"/>
      <c r="T2" s="314"/>
      <c r="U2" s="314"/>
      <c r="V2" s="315"/>
      <c r="W2" s="315"/>
      <c r="X2" s="315"/>
      <c r="Y2" s="315"/>
      <c r="Z2" s="315"/>
      <c r="AA2" s="315"/>
      <c r="AB2" s="313"/>
      <c r="AC2" s="313"/>
      <c r="AD2" s="313"/>
      <c r="AE2" s="313"/>
      <c r="AF2" s="312"/>
      <c r="AG2" s="313"/>
      <c r="AH2" s="313"/>
      <c r="AI2" s="313"/>
      <c r="AJ2" s="313"/>
      <c r="AK2" s="313"/>
      <c r="AL2" s="313"/>
      <c r="AM2" s="313"/>
      <c r="AN2" s="313"/>
      <c r="AO2" s="313"/>
      <c r="AP2" s="313"/>
      <c r="AQ2" s="313"/>
      <c r="AR2" s="313"/>
      <c r="AS2" s="313"/>
      <c r="AT2" s="313"/>
      <c r="AU2" s="313"/>
      <c r="AV2" s="313"/>
      <c r="AW2" s="313"/>
      <c r="AX2" s="313"/>
      <c r="AY2" s="316"/>
      <c r="AZ2" s="316"/>
      <c r="BA2" s="316"/>
      <c r="BB2" s="314"/>
      <c r="BC2" s="313"/>
      <c r="BD2" s="313"/>
      <c r="BE2" s="313"/>
      <c r="BF2" s="313"/>
      <c r="BG2" s="313"/>
      <c r="BH2" s="313"/>
      <c r="BI2" s="313"/>
      <c r="BJ2" s="316"/>
      <c r="BK2" s="313"/>
      <c r="BL2" s="313"/>
      <c r="BM2" s="315"/>
      <c r="BN2" s="315"/>
      <c r="BO2" s="315"/>
      <c r="BP2" s="317"/>
    </row>
    <row r="3" s="318" customFormat="true" ht="28.45" hidden="false" customHeight="true" outlineLevel="0" collapsed="false">
      <c r="B3" s="319"/>
      <c r="C3" s="320" t="s">
        <v>200</v>
      </c>
      <c r="D3" s="320"/>
      <c r="E3" s="320"/>
      <c r="F3" s="320"/>
      <c r="G3" s="321" t="s">
        <v>201</v>
      </c>
      <c r="H3" s="321"/>
      <c r="I3" s="321"/>
      <c r="J3" s="321"/>
      <c r="K3" s="321"/>
      <c r="L3" s="321"/>
      <c r="M3" s="322" t="s">
        <v>202</v>
      </c>
      <c r="N3" s="322"/>
      <c r="O3" s="322"/>
      <c r="P3" s="322"/>
      <c r="Q3" s="322"/>
      <c r="R3" s="322"/>
      <c r="S3" s="321" t="s">
        <v>203</v>
      </c>
      <c r="T3" s="321"/>
      <c r="U3" s="321"/>
      <c r="V3" s="321"/>
      <c r="W3" s="321"/>
      <c r="X3" s="321"/>
      <c r="Y3" s="323" t="s">
        <v>204</v>
      </c>
      <c r="Z3" s="323"/>
      <c r="AA3" s="323"/>
      <c r="AB3" s="324" t="s">
        <v>205</v>
      </c>
      <c r="AC3" s="325"/>
      <c r="AD3" s="325"/>
      <c r="AE3" s="326"/>
      <c r="AF3" s="321" t="s">
        <v>201</v>
      </c>
      <c r="AG3" s="321"/>
      <c r="AH3" s="321"/>
      <c r="AI3" s="321"/>
      <c r="AJ3" s="321"/>
      <c r="AK3" s="321"/>
      <c r="AL3" s="71" t="s">
        <v>202</v>
      </c>
      <c r="AM3" s="71"/>
      <c r="AN3" s="71"/>
      <c r="AO3" s="71"/>
      <c r="AP3" s="71"/>
      <c r="AQ3" s="71"/>
      <c r="AR3" s="321" t="s">
        <v>203</v>
      </c>
      <c r="AS3" s="321"/>
      <c r="AT3" s="321"/>
      <c r="AU3" s="321"/>
      <c r="AV3" s="321"/>
      <c r="AW3" s="321"/>
      <c r="AX3" s="327" t="s">
        <v>206</v>
      </c>
      <c r="AY3" s="327"/>
      <c r="AZ3" s="327"/>
      <c r="BA3" s="327"/>
      <c r="BB3" s="71" t="s">
        <v>207</v>
      </c>
      <c r="BC3" s="71"/>
      <c r="BD3" s="71"/>
      <c r="BE3" s="71"/>
      <c r="BF3" s="71" t="s">
        <v>208</v>
      </c>
      <c r="BG3" s="71"/>
      <c r="BH3" s="71"/>
      <c r="BI3" s="71"/>
      <c r="BJ3" s="328" t="s">
        <v>209</v>
      </c>
      <c r="BK3" s="328"/>
      <c r="BL3" s="328"/>
      <c r="BM3" s="329" t="s">
        <v>210</v>
      </c>
      <c r="BN3" s="329"/>
      <c r="BO3" s="329"/>
      <c r="BP3" s="330"/>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row>
    <row r="4" s="331" customFormat="true" ht="37.75" hidden="false" customHeight="true" outlineLevel="0" collapsed="false">
      <c r="B4" s="332"/>
      <c r="C4" s="69" t="s">
        <v>46</v>
      </c>
      <c r="D4" s="69"/>
      <c r="E4" s="70" t="s">
        <v>211</v>
      </c>
      <c r="F4" s="252" t="s">
        <v>212</v>
      </c>
      <c r="G4" s="333" t="s">
        <v>213</v>
      </c>
      <c r="H4" s="252" t="s">
        <v>214</v>
      </c>
      <c r="I4" s="252" t="s">
        <v>215</v>
      </c>
      <c r="J4" s="190" t="s">
        <v>215</v>
      </c>
      <c r="K4" s="190" t="s">
        <v>49</v>
      </c>
      <c r="L4" s="334" t="s">
        <v>50</v>
      </c>
      <c r="M4" s="252" t="s">
        <v>213</v>
      </c>
      <c r="N4" s="252" t="s">
        <v>214</v>
      </c>
      <c r="O4" s="252" t="s">
        <v>216</v>
      </c>
      <c r="P4" s="190" t="s">
        <v>216</v>
      </c>
      <c r="Q4" s="190" t="s">
        <v>49</v>
      </c>
      <c r="R4" s="334" t="s">
        <v>50</v>
      </c>
      <c r="S4" s="333" t="s">
        <v>213</v>
      </c>
      <c r="T4" s="252" t="s">
        <v>214</v>
      </c>
      <c r="U4" s="335" t="s">
        <v>217</v>
      </c>
      <c r="V4" s="190" t="s">
        <v>218</v>
      </c>
      <c r="W4" s="190" t="s">
        <v>49</v>
      </c>
      <c r="X4" s="334" t="s">
        <v>50</v>
      </c>
      <c r="Y4" s="190" t="s">
        <v>219</v>
      </c>
      <c r="Z4" s="190" t="s">
        <v>49</v>
      </c>
      <c r="AA4" s="336" t="s">
        <v>50</v>
      </c>
      <c r="AB4" s="337" t="s">
        <v>46</v>
      </c>
      <c r="AC4" s="337"/>
      <c r="AD4" s="70" t="s">
        <v>211</v>
      </c>
      <c r="AE4" s="252" t="s">
        <v>212</v>
      </c>
      <c r="AF4" s="333" t="s">
        <v>213</v>
      </c>
      <c r="AG4" s="252" t="s">
        <v>220</v>
      </c>
      <c r="AH4" s="252" t="s">
        <v>215</v>
      </c>
      <c r="AI4" s="190" t="s">
        <v>215</v>
      </c>
      <c r="AJ4" s="190" t="s">
        <v>49</v>
      </c>
      <c r="AK4" s="334" t="s">
        <v>50</v>
      </c>
      <c r="AL4" s="333" t="s">
        <v>213</v>
      </c>
      <c r="AM4" s="252" t="s">
        <v>221</v>
      </c>
      <c r="AN4" s="252" t="s">
        <v>216</v>
      </c>
      <c r="AO4" s="190" t="s">
        <v>216</v>
      </c>
      <c r="AP4" s="190" t="s">
        <v>49</v>
      </c>
      <c r="AQ4" s="334" t="s">
        <v>50</v>
      </c>
      <c r="AR4" s="333" t="s">
        <v>213</v>
      </c>
      <c r="AS4" s="252" t="s">
        <v>221</v>
      </c>
      <c r="AT4" s="335" t="s">
        <v>222</v>
      </c>
      <c r="AU4" s="190" t="s">
        <v>222</v>
      </c>
      <c r="AV4" s="190" t="s">
        <v>49</v>
      </c>
      <c r="AW4" s="334" t="s">
        <v>50</v>
      </c>
      <c r="AX4" s="338" t="s">
        <v>223</v>
      </c>
      <c r="AY4" s="211" t="s">
        <v>223</v>
      </c>
      <c r="AZ4" s="211" t="s">
        <v>49</v>
      </c>
      <c r="BA4" s="339" t="s">
        <v>50</v>
      </c>
      <c r="BB4" s="97" t="s">
        <v>223</v>
      </c>
      <c r="BC4" s="211" t="s">
        <v>223</v>
      </c>
      <c r="BD4" s="211" t="s">
        <v>49</v>
      </c>
      <c r="BE4" s="339" t="s">
        <v>50</v>
      </c>
      <c r="BF4" s="97" t="s">
        <v>223</v>
      </c>
      <c r="BG4" s="211" t="s">
        <v>223</v>
      </c>
      <c r="BH4" s="211" t="s">
        <v>49</v>
      </c>
      <c r="BI4" s="339" t="s">
        <v>50</v>
      </c>
      <c r="BJ4" s="211" t="s">
        <v>223</v>
      </c>
      <c r="BK4" s="211" t="s">
        <v>49</v>
      </c>
      <c r="BL4" s="339" t="s">
        <v>50</v>
      </c>
      <c r="BM4" s="340" t="s">
        <v>219</v>
      </c>
      <c r="BN4" s="340" t="s">
        <v>49</v>
      </c>
      <c r="BO4" s="341" t="s">
        <v>50</v>
      </c>
      <c r="BP4" s="342"/>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row>
    <row r="5" customFormat="false" ht="14.9" hidden="false" customHeight="true" outlineLevel="0" collapsed="false">
      <c r="B5" s="343"/>
      <c r="C5" s="72"/>
      <c r="D5" s="72"/>
      <c r="E5" s="72"/>
      <c r="F5" s="344" t="s">
        <v>193</v>
      </c>
      <c r="G5" s="345" t="s">
        <v>193</v>
      </c>
      <c r="H5" s="286" t="s">
        <v>193</v>
      </c>
      <c r="I5" s="286" t="s">
        <v>193</v>
      </c>
      <c r="J5" s="346" t="s">
        <v>194</v>
      </c>
      <c r="K5" s="346" t="s">
        <v>194</v>
      </c>
      <c r="L5" s="347" t="s">
        <v>194</v>
      </c>
      <c r="M5" s="345" t="s">
        <v>193</v>
      </c>
      <c r="N5" s="286" t="s">
        <v>193</v>
      </c>
      <c r="O5" s="286" t="s">
        <v>193</v>
      </c>
      <c r="P5" s="346" t="s">
        <v>194</v>
      </c>
      <c r="Q5" s="346" t="s">
        <v>194</v>
      </c>
      <c r="R5" s="347" t="s">
        <v>194</v>
      </c>
      <c r="S5" s="345" t="s">
        <v>193</v>
      </c>
      <c r="T5" s="286" t="s">
        <v>193</v>
      </c>
      <c r="U5" s="286" t="s">
        <v>193</v>
      </c>
      <c r="V5" s="346" t="s">
        <v>194</v>
      </c>
      <c r="W5" s="346" t="s">
        <v>194</v>
      </c>
      <c r="X5" s="347" t="s">
        <v>194</v>
      </c>
      <c r="Y5" s="346" t="s">
        <v>194</v>
      </c>
      <c r="Z5" s="346" t="s">
        <v>194</v>
      </c>
      <c r="AA5" s="346" t="s">
        <v>194</v>
      </c>
      <c r="AB5" s="348"/>
      <c r="AC5" s="349"/>
      <c r="AD5" s="349"/>
      <c r="AE5" s="350" t="s">
        <v>193</v>
      </c>
      <c r="AF5" s="345" t="s">
        <v>193</v>
      </c>
      <c r="AG5" s="286" t="s">
        <v>75</v>
      </c>
      <c r="AH5" s="286" t="s">
        <v>193</v>
      </c>
      <c r="AI5" s="346" t="s">
        <v>194</v>
      </c>
      <c r="AJ5" s="346" t="s">
        <v>194</v>
      </c>
      <c r="AK5" s="347" t="s">
        <v>194</v>
      </c>
      <c r="AL5" s="345" t="s">
        <v>75</v>
      </c>
      <c r="AM5" s="286" t="s">
        <v>75</v>
      </c>
      <c r="AN5" s="286" t="s">
        <v>193</v>
      </c>
      <c r="AO5" s="346" t="s">
        <v>194</v>
      </c>
      <c r="AP5" s="346" t="s">
        <v>194</v>
      </c>
      <c r="AQ5" s="347" t="s">
        <v>194</v>
      </c>
      <c r="AR5" s="345" t="s">
        <v>75</v>
      </c>
      <c r="AS5" s="286" t="s">
        <v>75</v>
      </c>
      <c r="AT5" s="286" t="s">
        <v>193</v>
      </c>
      <c r="AU5" s="346" t="s">
        <v>194</v>
      </c>
      <c r="AV5" s="346" t="s">
        <v>194</v>
      </c>
      <c r="AW5" s="347" t="s">
        <v>194</v>
      </c>
      <c r="AX5" s="351" t="s">
        <v>193</v>
      </c>
      <c r="AY5" s="352" t="s">
        <v>224</v>
      </c>
      <c r="AZ5" s="352" t="s">
        <v>224</v>
      </c>
      <c r="BA5" s="353" t="s">
        <v>224</v>
      </c>
      <c r="BB5" s="72" t="s">
        <v>193</v>
      </c>
      <c r="BC5" s="352" t="s">
        <v>224</v>
      </c>
      <c r="BD5" s="352" t="s">
        <v>224</v>
      </c>
      <c r="BE5" s="353" t="s">
        <v>224</v>
      </c>
      <c r="BF5" s="72" t="s">
        <v>193</v>
      </c>
      <c r="BG5" s="352" t="s">
        <v>224</v>
      </c>
      <c r="BH5" s="352" t="s">
        <v>224</v>
      </c>
      <c r="BI5" s="353" t="s">
        <v>224</v>
      </c>
      <c r="BJ5" s="352" t="s">
        <v>224</v>
      </c>
      <c r="BK5" s="352" t="s">
        <v>224</v>
      </c>
      <c r="BL5" s="353" t="s">
        <v>224</v>
      </c>
      <c r="BM5" s="352" t="s">
        <v>224</v>
      </c>
      <c r="BN5" s="352" t="s">
        <v>224</v>
      </c>
      <c r="BO5" s="352" t="s">
        <v>224</v>
      </c>
      <c r="BP5" s="65"/>
      <c r="BQ5" s="20"/>
      <c r="BR5" s="20"/>
    </row>
    <row r="6" customFormat="false" ht="12.8" hidden="false" customHeight="false" outlineLevel="0" collapsed="false">
      <c r="B6" s="343"/>
      <c r="C6" s="76" t="s">
        <v>156</v>
      </c>
      <c r="D6" s="76" t="s">
        <v>157</v>
      </c>
      <c r="E6" s="76" t="n">
        <v>1</v>
      </c>
      <c r="F6" s="354" t="n">
        <f aca="false">I6+O6+U6</f>
        <v>4.49</v>
      </c>
      <c r="G6" s="355" t="n">
        <v>57.266</v>
      </c>
      <c r="H6" s="278" t="n">
        <v>57.8083</v>
      </c>
      <c r="I6" s="278" t="n">
        <f aca="false">H6-G6</f>
        <v>0.542300000000004</v>
      </c>
      <c r="J6" s="356" t="n">
        <f aca="false">100*I6/F6</f>
        <v>12.0779510022273</v>
      </c>
      <c r="K6" s="356" t="n">
        <f aca="false">AVERAGE(J6:J12)</f>
        <v>11.5361523757259</v>
      </c>
      <c r="L6" s="357" t="n">
        <f aca="false">STDEV(J6:J12)</f>
        <v>2.20342992368416</v>
      </c>
      <c r="M6" s="314" t="n">
        <v>55.773</v>
      </c>
      <c r="N6" s="314" t="n">
        <v>58.5743</v>
      </c>
      <c r="O6" s="358" t="n">
        <f aca="false">N6-M6</f>
        <v>2.8013</v>
      </c>
      <c r="P6" s="356" t="n">
        <f aca="false">100*O6/F6</f>
        <v>62.3897550111358</v>
      </c>
      <c r="Q6" s="356" t="n">
        <f aca="false">AVERAGE(P6:P12)</f>
        <v>67.6454181543748</v>
      </c>
      <c r="R6" s="357" t="n">
        <f aca="false">STDEV(P6:P12)</f>
        <v>2.93950138283059</v>
      </c>
      <c r="S6" s="314" t="n">
        <v>56.162</v>
      </c>
      <c r="T6" s="278" t="n">
        <v>57.3084</v>
      </c>
      <c r="U6" s="278" t="n">
        <f aca="false">T6-S6</f>
        <v>1.1464</v>
      </c>
      <c r="V6" s="356" t="n">
        <f aca="false">100*U6/F6</f>
        <v>25.532293986637</v>
      </c>
      <c r="W6" s="356" t="n">
        <f aca="false">AVERAGE(V6:V12)</f>
        <v>20.8184294698992</v>
      </c>
      <c r="X6" s="357" t="n">
        <f aca="false">STDEV(V6:V12)</f>
        <v>2.45750998279909</v>
      </c>
      <c r="Y6" s="356" t="n">
        <f aca="false">100*O6/(I6+O6+U6)</f>
        <v>62.3897550111358</v>
      </c>
      <c r="Z6" s="356" t="n">
        <f aca="false">AVERAGE(Y6:Y12)</f>
        <v>67.6454181543748</v>
      </c>
      <c r="AA6" s="359" t="n">
        <f aca="false">STDEV(Y6:Y12)</f>
        <v>2.93950138283059</v>
      </c>
      <c r="AB6" s="360" t="s">
        <v>156</v>
      </c>
      <c r="AC6" s="76" t="s">
        <v>157</v>
      </c>
      <c r="AD6" s="76" t="n">
        <v>1</v>
      </c>
      <c r="AE6" s="354" t="n">
        <f aca="false">AH6+AN6+AT6</f>
        <v>4.33620000000001</v>
      </c>
      <c r="AF6" s="355" t="n">
        <v>57.266</v>
      </c>
      <c r="AG6" s="278" t="n">
        <v>57.7879</v>
      </c>
      <c r="AH6" s="278" t="n">
        <f aca="false">AG6-AF6</f>
        <v>0.521900000000002</v>
      </c>
      <c r="AI6" s="356" t="n">
        <f aca="false">100*AH6/AE6</f>
        <v>12.0358839536922</v>
      </c>
      <c r="AJ6" s="356" t="n">
        <f aca="false">AVERAGE(AI6:AI12)</f>
        <v>11.4846677845387</v>
      </c>
      <c r="AK6" s="357" t="n">
        <f aca="false">STDEV(AI6:AI12)</f>
        <v>2.13210038966792</v>
      </c>
      <c r="AL6" s="314" t="n">
        <v>55.773</v>
      </c>
      <c r="AM6" s="314" t="n">
        <v>58.4513</v>
      </c>
      <c r="AN6" s="358" t="n">
        <f aca="false">AM6-AL6</f>
        <v>2.6783</v>
      </c>
      <c r="AO6" s="356" t="n">
        <f aca="false">100*AN6/AE6</f>
        <v>61.7660624509939</v>
      </c>
      <c r="AP6" s="356" t="n">
        <f aca="false">AVERAGE(AO6:AO12)</f>
        <v>66.8381142379716</v>
      </c>
      <c r="AQ6" s="357" t="n">
        <f aca="false">STDEV(AO6:AO12)</f>
        <v>2.88313982513997</v>
      </c>
      <c r="AR6" s="314" t="n">
        <v>56.162</v>
      </c>
      <c r="AS6" s="278" t="n">
        <v>57.298</v>
      </c>
      <c r="AT6" s="278" t="n">
        <f aca="false">AS6-AR6</f>
        <v>1.136</v>
      </c>
      <c r="AU6" s="356" t="n">
        <f aca="false">100*AT6/AE6</f>
        <v>26.1980535953139</v>
      </c>
      <c r="AV6" s="356" t="n">
        <f aca="false">AVERAGE(AU6:AU12)</f>
        <v>21.6772179774896</v>
      </c>
      <c r="AW6" s="357" t="n">
        <f aca="false">STDEV(AU6:AU12)</f>
        <v>2.37412478874229</v>
      </c>
      <c r="AX6" s="361" t="n">
        <f aca="false">I6-AH6</f>
        <v>0.0204000000000022</v>
      </c>
      <c r="AY6" s="271" t="n">
        <f aca="false">100*AX6/F6</f>
        <v>0.454342984409848</v>
      </c>
      <c r="AZ6" s="356" t="n">
        <f aca="false">AVERAGE(AY6:AY12)</f>
        <v>0.671377776856795</v>
      </c>
      <c r="BA6" s="357" t="n">
        <f aca="false">STDEV(AY6:AY12)</f>
        <v>0.314260182481312</v>
      </c>
      <c r="BB6" s="278" t="n">
        <f aca="false">O6-AN6</f>
        <v>0.122999999999998</v>
      </c>
      <c r="BC6" s="271" t="n">
        <f aca="false">100*BB6/F6</f>
        <v>2.73942093541197</v>
      </c>
      <c r="BD6" s="271" t="n">
        <f aca="false">AVERAGE(BC6:BC12)</f>
        <v>4.32541824539172</v>
      </c>
      <c r="BE6" s="362" t="n">
        <f aca="false">STDEV(BC6:BC12)</f>
        <v>1.56785464236681</v>
      </c>
      <c r="BF6" s="278" t="n">
        <f aca="false">U6-AT6</f>
        <v>0.0103999999999971</v>
      </c>
      <c r="BG6" s="271" t="n">
        <f aca="false">100*BF6/F6</f>
        <v>0.231625835189244</v>
      </c>
      <c r="BH6" s="356" t="n">
        <f aca="false">AVERAGE(BG6:BG12)</f>
        <v>0.262072609670567</v>
      </c>
      <c r="BI6" s="357" t="n">
        <f aca="false">STDEV(BG6:BG12)</f>
        <v>0.117424687846337</v>
      </c>
      <c r="BJ6" s="271" t="n">
        <f aca="false">AY6+BC6+BG6</f>
        <v>3.42538975501106</v>
      </c>
      <c r="BK6" s="271" t="n">
        <f aca="false">AVERAGE(BJ6:BJ12)</f>
        <v>5.25886863191908</v>
      </c>
      <c r="BL6" s="362" t="n">
        <f aca="false">STDEV(BJ6:BJ12)</f>
        <v>1.86885774028497</v>
      </c>
      <c r="BM6" s="271" t="n">
        <f aca="false">100*BB6/O6</f>
        <v>4.39081854853096</v>
      </c>
      <c r="BN6" s="271" t="n">
        <f aca="false">AVERAGE(BM6:BM12)</f>
        <v>6.38088498647476</v>
      </c>
      <c r="BO6" s="363" t="n">
        <f aca="false">STDEV(BM6:BM12)</f>
        <v>2.23987775623469</v>
      </c>
      <c r="BP6" s="65"/>
      <c r="BQ6" s="20"/>
      <c r="BR6" s="20"/>
    </row>
    <row r="7" customFormat="false" ht="12.8" hidden="false" customHeight="false" outlineLevel="0" collapsed="false">
      <c r="B7" s="343"/>
      <c r="C7" s="76"/>
      <c r="D7" s="76"/>
      <c r="E7" s="76" t="n">
        <v>2</v>
      </c>
      <c r="F7" s="354" t="n">
        <f aca="false">I7+O7+U7</f>
        <v>4.4786</v>
      </c>
      <c r="G7" s="278" t="n">
        <v>59.063</v>
      </c>
      <c r="H7" s="278" t="n">
        <v>59.6705</v>
      </c>
      <c r="I7" s="278" t="n">
        <f aca="false">H7-G7</f>
        <v>0.607499999999995</v>
      </c>
      <c r="J7" s="356" t="n">
        <f aca="false">100*I7/F7</f>
        <v>13.564506765507</v>
      </c>
      <c r="K7" s="356"/>
      <c r="L7" s="357"/>
      <c r="M7" s="278" t="n">
        <v>59.958</v>
      </c>
      <c r="N7" s="278" t="n">
        <v>62.9533</v>
      </c>
      <c r="O7" s="358" t="n">
        <f aca="false">N7-M7</f>
        <v>2.9953</v>
      </c>
      <c r="P7" s="356" t="n">
        <f aca="false">100*O7/F7</f>
        <v>66.8802750859644</v>
      </c>
      <c r="Q7" s="356"/>
      <c r="R7" s="357"/>
      <c r="S7" s="278" t="n">
        <v>61.111</v>
      </c>
      <c r="T7" s="278" t="n">
        <v>61.9868</v>
      </c>
      <c r="U7" s="278" t="n">
        <f aca="false">T7-S7</f>
        <v>0.875800000000005</v>
      </c>
      <c r="V7" s="356" t="n">
        <f aca="false">100*U7/F7</f>
        <v>19.5552181485287</v>
      </c>
      <c r="W7" s="356"/>
      <c r="X7" s="357"/>
      <c r="Y7" s="356" t="n">
        <f aca="false">100*O7/(I7+O7+U7)</f>
        <v>66.8802750859644</v>
      </c>
      <c r="Z7" s="356"/>
      <c r="AA7" s="359"/>
      <c r="AB7" s="360"/>
      <c r="AC7" s="76"/>
      <c r="AD7" s="76" t="n">
        <v>2</v>
      </c>
      <c r="AE7" s="354" t="n">
        <f aca="false">AH7+AN7+AT7</f>
        <v>4.2398</v>
      </c>
      <c r="AF7" s="278" t="n">
        <v>59.063</v>
      </c>
      <c r="AG7" s="278" t="n">
        <v>59.6229</v>
      </c>
      <c r="AH7" s="278" t="n">
        <f aca="false">AG7-AF7</f>
        <v>0.559899999999999</v>
      </c>
      <c r="AI7" s="356" t="n">
        <f aca="false">100*AH7/AE7</f>
        <v>13.2058115948865</v>
      </c>
      <c r="AJ7" s="356"/>
      <c r="AK7" s="357"/>
      <c r="AL7" s="278" t="n">
        <v>59.958</v>
      </c>
      <c r="AM7" s="278" t="n">
        <v>62.7712</v>
      </c>
      <c r="AN7" s="358" t="n">
        <f aca="false">AM7-AL7</f>
        <v>2.8132</v>
      </c>
      <c r="AO7" s="356" t="n">
        <f aca="false">100*AN7/AE7</f>
        <v>66.3521864238879</v>
      </c>
      <c r="AP7" s="356"/>
      <c r="AQ7" s="357"/>
      <c r="AR7" s="278" t="n">
        <v>61.111</v>
      </c>
      <c r="AS7" s="278" t="n">
        <v>61.9777</v>
      </c>
      <c r="AT7" s="278" t="n">
        <f aca="false">AS7-AR7</f>
        <v>0.866700000000002</v>
      </c>
      <c r="AU7" s="356" t="n">
        <f aca="false">100*AT7/AE7</f>
        <v>20.4420019812256</v>
      </c>
      <c r="AV7" s="356"/>
      <c r="AW7" s="357"/>
      <c r="AX7" s="361" t="n">
        <f aca="false">I7-AH7</f>
        <v>0.0475999999999956</v>
      </c>
      <c r="AY7" s="271" t="n">
        <f aca="false">100*AX7/F7</f>
        <v>1.0628321350421</v>
      </c>
      <c r="AZ7" s="356"/>
      <c r="BA7" s="357"/>
      <c r="BB7" s="278" t="n">
        <f aca="false">O7-AN7</f>
        <v>0.182099999999998</v>
      </c>
      <c r="BC7" s="271" t="n">
        <f aca="false">100*BB7/F7</f>
        <v>4.06600276872233</v>
      </c>
      <c r="BD7" s="271"/>
      <c r="BE7" s="362"/>
      <c r="BF7" s="278" t="n">
        <f aca="false">U7-AT7</f>
        <v>0.00910000000000366</v>
      </c>
      <c r="BG7" s="271" t="n">
        <f aca="false">100*BF7/F7</f>
        <v>0.203188496405208</v>
      </c>
      <c r="BH7" s="356"/>
      <c r="BI7" s="357"/>
      <c r="BJ7" s="271" t="n">
        <f aca="false">AY7+BC7+BG7</f>
        <v>5.33202340016964</v>
      </c>
      <c r="BK7" s="271"/>
      <c r="BL7" s="362"/>
      <c r="BM7" s="271" t="n">
        <f aca="false">100*BB7/O7</f>
        <v>6.07952458852196</v>
      </c>
      <c r="BN7" s="271"/>
      <c r="BO7" s="363"/>
      <c r="BP7" s="65"/>
      <c r="BQ7" s="20"/>
      <c r="BR7" s="20"/>
    </row>
    <row r="8" customFormat="false" ht="12.8" hidden="false" customHeight="false" outlineLevel="0" collapsed="false">
      <c r="B8" s="343"/>
      <c r="C8" s="76"/>
      <c r="D8" s="76"/>
      <c r="E8" s="76" t="n">
        <v>3</v>
      </c>
      <c r="F8" s="354" t="n">
        <f aca="false">I8+O8+U8</f>
        <v>4.6924</v>
      </c>
      <c r="G8" s="278" t="n">
        <v>61.921</v>
      </c>
      <c r="H8" s="278" t="n">
        <v>62.4083</v>
      </c>
      <c r="I8" s="278" t="n">
        <f aca="false">H8-G8</f>
        <v>0.487299999999998</v>
      </c>
      <c r="J8" s="356" t="n">
        <f aca="false">100*I8/F8</f>
        <v>10.3848776745375</v>
      </c>
      <c r="K8" s="356"/>
      <c r="L8" s="357"/>
      <c r="M8" s="278" t="n">
        <v>55.205</v>
      </c>
      <c r="N8" s="278" t="n">
        <v>58.4819</v>
      </c>
      <c r="O8" s="358" t="n">
        <f aca="false">N8-M8</f>
        <v>3.2769</v>
      </c>
      <c r="P8" s="356" t="n">
        <f aca="false">100*O8/F8</f>
        <v>69.8341999829513</v>
      </c>
      <c r="Q8" s="356"/>
      <c r="R8" s="357"/>
      <c r="S8" s="278" t="n">
        <v>54.579</v>
      </c>
      <c r="T8" s="278" t="n">
        <v>55.5072</v>
      </c>
      <c r="U8" s="278" t="n">
        <f aca="false">T8-S8</f>
        <v>0.928199999999997</v>
      </c>
      <c r="V8" s="356" t="n">
        <f aca="false">100*U8/F8</f>
        <v>19.7809223425112</v>
      </c>
      <c r="W8" s="356"/>
      <c r="X8" s="357"/>
      <c r="Y8" s="356" t="n">
        <f aca="false">100*O8/(I8+O8+U8)</f>
        <v>69.8341999829513</v>
      </c>
      <c r="Z8" s="356"/>
      <c r="AA8" s="359"/>
      <c r="AB8" s="360"/>
      <c r="AC8" s="76"/>
      <c r="AD8" s="76" t="n">
        <v>3</v>
      </c>
      <c r="AE8" s="354" t="n">
        <f aca="false">AH8+AN8+AT8</f>
        <v>4.5577</v>
      </c>
      <c r="AF8" s="278" t="n">
        <v>61.921</v>
      </c>
      <c r="AG8" s="278" t="n">
        <v>62.3911</v>
      </c>
      <c r="AH8" s="278" t="n">
        <f aca="false">AG8-AF8</f>
        <v>0.470100000000002</v>
      </c>
      <c r="AI8" s="356" t="n">
        <f aca="false">100*AH8/AE8</f>
        <v>10.3144129714549</v>
      </c>
      <c r="AJ8" s="356"/>
      <c r="AK8" s="357"/>
      <c r="AL8" s="278" t="n">
        <v>55.205</v>
      </c>
      <c r="AM8" s="278" t="n">
        <v>58.3695</v>
      </c>
      <c r="AN8" s="358" t="n">
        <f aca="false">AM8-AL8</f>
        <v>3.1645</v>
      </c>
      <c r="AO8" s="356" t="n">
        <f aca="false">100*AN8/AE8</f>
        <v>69.4319503258223</v>
      </c>
      <c r="AP8" s="356"/>
      <c r="AQ8" s="357"/>
      <c r="AR8" s="278" t="n">
        <v>54.579</v>
      </c>
      <c r="AS8" s="278" t="n">
        <v>55.5021</v>
      </c>
      <c r="AT8" s="278" t="n">
        <f aca="false">AS8-AR8</f>
        <v>0.923099999999998</v>
      </c>
      <c r="AU8" s="356" t="n">
        <f aca="false">100*AT8/AE8</f>
        <v>20.2536367027228</v>
      </c>
      <c r="AV8" s="356"/>
      <c r="AW8" s="357"/>
      <c r="AX8" s="361" t="n">
        <f aca="false">I8-AH8</f>
        <v>0.0171999999999954</v>
      </c>
      <c r="AY8" s="271" t="n">
        <f aca="false">100*AX8/F8</f>
        <v>0.366550166226141</v>
      </c>
      <c r="AZ8" s="356"/>
      <c r="BA8" s="357"/>
      <c r="BB8" s="278" t="n">
        <f aca="false">O8-AN8</f>
        <v>0.112400000000001</v>
      </c>
      <c r="BC8" s="271" t="n">
        <f aca="false">100*BB8/F8</f>
        <v>2.39536271417613</v>
      </c>
      <c r="BD8" s="271"/>
      <c r="BE8" s="362"/>
      <c r="BF8" s="278" t="n">
        <f aca="false">U8-AT8</f>
        <v>0.00509999999999877</v>
      </c>
      <c r="BG8" s="271" t="n">
        <f aca="false">100*BF8/F8</f>
        <v>0.108686386497289</v>
      </c>
      <c r="BH8" s="356"/>
      <c r="BI8" s="357"/>
      <c r="BJ8" s="271" t="n">
        <f aca="false">AY8+BC8+BG8</f>
        <v>2.87059926689956</v>
      </c>
      <c r="BK8" s="271"/>
      <c r="BL8" s="362"/>
      <c r="BM8" s="271" t="n">
        <f aca="false">100*BB8/O8</f>
        <v>3.43007110378714</v>
      </c>
      <c r="BN8" s="271"/>
      <c r="BO8" s="363"/>
      <c r="BP8" s="65"/>
      <c r="BQ8" s="20"/>
      <c r="BR8" s="20"/>
    </row>
    <row r="9" customFormat="false" ht="12.8" hidden="false" customHeight="false" outlineLevel="0" collapsed="false">
      <c r="B9" s="343"/>
      <c r="C9" s="76"/>
      <c r="D9" s="76"/>
      <c r="E9" s="76" t="n">
        <v>4</v>
      </c>
      <c r="F9" s="354" t="n">
        <f aca="false">I9+O9+U9</f>
        <v>4.45589999999999</v>
      </c>
      <c r="G9" s="278" t="n">
        <v>60.032</v>
      </c>
      <c r="H9" s="278" t="n">
        <v>60.3689</v>
      </c>
      <c r="I9" s="278" t="n">
        <f aca="false">H9-G9</f>
        <v>0.3369</v>
      </c>
      <c r="J9" s="356" t="n">
        <f aca="false">100*I9/F9</f>
        <v>7.56076213559552</v>
      </c>
      <c r="K9" s="356"/>
      <c r="L9" s="357"/>
      <c r="M9" s="278" t="n">
        <v>68.9</v>
      </c>
      <c r="N9" s="278" t="n">
        <v>72.0204</v>
      </c>
      <c r="O9" s="358" t="n">
        <f aca="false">N9-M9</f>
        <v>3.12039999999999</v>
      </c>
      <c r="P9" s="356" t="n">
        <f aca="false">100*O9/F9</f>
        <v>70.0285015372875</v>
      </c>
      <c r="Q9" s="356"/>
      <c r="R9" s="357"/>
      <c r="S9" s="278" t="n">
        <v>53.934</v>
      </c>
      <c r="T9" s="278" t="n">
        <v>54.9326</v>
      </c>
      <c r="U9" s="278" t="n">
        <f aca="false">T9-S9</f>
        <v>0.998600000000003</v>
      </c>
      <c r="V9" s="356" t="n">
        <f aca="false">100*U9/F9</f>
        <v>22.410736327117</v>
      </c>
      <c r="W9" s="356"/>
      <c r="X9" s="357"/>
      <c r="Y9" s="356" t="n">
        <f aca="false">100*O9/(I9+O9+U9)</f>
        <v>70.0285015372875</v>
      </c>
      <c r="Z9" s="356"/>
      <c r="AA9" s="359"/>
      <c r="AB9" s="360"/>
      <c r="AC9" s="76"/>
      <c r="AD9" s="76" t="n">
        <v>4</v>
      </c>
      <c r="AE9" s="354" t="n">
        <f aca="false">AH9+AN9+AT9</f>
        <v>4.28000000000001</v>
      </c>
      <c r="AF9" s="278" t="n">
        <v>60.032</v>
      </c>
      <c r="AG9" s="278" t="n">
        <v>60.3558</v>
      </c>
      <c r="AH9" s="278" t="n">
        <f aca="false">AG9-AF9</f>
        <v>0.323800000000006</v>
      </c>
      <c r="AI9" s="356" t="n">
        <f aca="false">100*AH9/AE9</f>
        <v>7.56542056074778</v>
      </c>
      <c r="AJ9" s="356"/>
      <c r="AK9" s="357"/>
      <c r="AL9" s="278" t="n">
        <v>68.9</v>
      </c>
      <c r="AM9" s="278" t="n">
        <v>71.8649</v>
      </c>
      <c r="AN9" s="358" t="n">
        <f aca="false">AM9-AL9</f>
        <v>2.9649</v>
      </c>
      <c r="AO9" s="356" t="n">
        <f aca="false">100*AN9/AE9</f>
        <v>69.2733644859812</v>
      </c>
      <c r="AP9" s="356"/>
      <c r="AQ9" s="357"/>
      <c r="AR9" s="278" t="n">
        <v>53.934</v>
      </c>
      <c r="AS9" s="278" t="n">
        <v>54.9253</v>
      </c>
      <c r="AT9" s="278" t="n">
        <f aca="false">AS9-AR9</f>
        <v>0.991300000000003</v>
      </c>
      <c r="AU9" s="356" t="n">
        <f aca="false">100*AT9/AE9</f>
        <v>23.161214953271</v>
      </c>
      <c r="AV9" s="356"/>
      <c r="AW9" s="357"/>
      <c r="AX9" s="361" t="n">
        <f aca="false">I9-AH9</f>
        <v>0.0130999999999943</v>
      </c>
      <c r="AY9" s="271" t="n">
        <f aca="false">100*AX9/F9</f>
        <v>0.293992235014124</v>
      </c>
      <c r="AZ9" s="356"/>
      <c r="BA9" s="357"/>
      <c r="BB9" s="278" t="n">
        <f aca="false">O9-AN9</f>
        <v>0.155499999999989</v>
      </c>
      <c r="BC9" s="271" t="n">
        <f aca="false">100*BB9/F9</f>
        <v>3.48975515608496</v>
      </c>
      <c r="BD9" s="271"/>
      <c r="BE9" s="362"/>
      <c r="BF9" s="278" t="n">
        <f aca="false">U9-AT9</f>
        <v>0.00730000000000075</v>
      </c>
      <c r="BG9" s="271" t="n">
        <f aca="false">100*BF9/F9</f>
        <v>0.163827734015592</v>
      </c>
      <c r="BH9" s="356"/>
      <c r="BI9" s="357"/>
      <c r="BJ9" s="271" t="n">
        <f aca="false">AY9+BC9+BG9</f>
        <v>3.94757512511467</v>
      </c>
      <c r="BK9" s="271"/>
      <c r="BL9" s="362"/>
      <c r="BM9" s="271" t="n">
        <f aca="false">100*BB9/O9</f>
        <v>4.98333546981124</v>
      </c>
      <c r="BN9" s="271"/>
      <c r="BO9" s="363"/>
      <c r="BP9" s="65"/>
      <c r="BQ9" s="20"/>
      <c r="BR9" s="20"/>
    </row>
    <row r="10" customFormat="false" ht="12.8" hidden="false" customHeight="false" outlineLevel="0" collapsed="false">
      <c r="B10" s="343"/>
      <c r="C10" s="76"/>
      <c r="D10" s="76"/>
      <c r="E10" s="76" t="n">
        <v>5</v>
      </c>
      <c r="F10" s="354" t="n">
        <f aca="false">I10+O10+U10</f>
        <v>4.0067</v>
      </c>
      <c r="G10" s="278" t="n">
        <v>54.308</v>
      </c>
      <c r="H10" s="278" t="n">
        <v>54.7578</v>
      </c>
      <c r="I10" s="278" t="n">
        <f aca="false">H10-G10</f>
        <v>0.449800000000003</v>
      </c>
      <c r="J10" s="356" t="n">
        <f aca="false">100*I10/F10</f>
        <v>11.2261961214966</v>
      </c>
      <c r="K10" s="356"/>
      <c r="L10" s="357"/>
      <c r="M10" s="278" t="n">
        <v>55.945</v>
      </c>
      <c r="N10" s="278" t="n">
        <v>58.6929</v>
      </c>
      <c r="O10" s="358" t="n">
        <f aca="false">N10-M10</f>
        <v>2.7479</v>
      </c>
      <c r="P10" s="356" t="n">
        <f aca="false">100*O10/F10</f>
        <v>68.5826241046248</v>
      </c>
      <c r="Q10" s="356"/>
      <c r="R10" s="357"/>
      <c r="S10" s="278" t="n">
        <v>53.548</v>
      </c>
      <c r="T10" s="278" t="n">
        <v>54.357</v>
      </c>
      <c r="U10" s="278" t="n">
        <f aca="false">T10-S10</f>
        <v>0.808999999999998</v>
      </c>
      <c r="V10" s="356" t="n">
        <f aca="false">100*U10/F10</f>
        <v>20.1911797738787</v>
      </c>
      <c r="W10" s="356"/>
      <c r="X10" s="357"/>
      <c r="Y10" s="356" t="n">
        <f aca="false">100*O10/(I10+O10+U10)</f>
        <v>68.5826241046248</v>
      </c>
      <c r="Z10" s="356"/>
      <c r="AA10" s="359"/>
      <c r="AB10" s="360"/>
      <c r="AC10" s="76"/>
      <c r="AD10" s="76" t="n">
        <v>5</v>
      </c>
      <c r="AE10" s="354" t="n">
        <f aca="false">AH10+AN10+AT10</f>
        <v>3.71429999999999</v>
      </c>
      <c r="AF10" s="278" t="n">
        <v>54.308</v>
      </c>
      <c r="AG10" s="278" t="n">
        <v>54.7285</v>
      </c>
      <c r="AH10" s="278" t="n">
        <f aca="false">AG10-AF10</f>
        <v>0.420499999999997</v>
      </c>
      <c r="AI10" s="356" t="n">
        <f aca="false">100*AH10/AE10</f>
        <v>11.3211103034218</v>
      </c>
      <c r="AJ10" s="356"/>
      <c r="AK10" s="357"/>
      <c r="AL10" s="278" t="n">
        <v>55.945</v>
      </c>
      <c r="AM10" s="278" t="n">
        <v>58.4424</v>
      </c>
      <c r="AN10" s="358" t="n">
        <f aca="false">AM10-AL10</f>
        <v>2.4974</v>
      </c>
      <c r="AO10" s="356" t="n">
        <f aca="false">100*AN10/AE10</f>
        <v>67.2374337021781</v>
      </c>
      <c r="AP10" s="356"/>
      <c r="AQ10" s="357"/>
      <c r="AR10" s="278" t="n">
        <v>53.548</v>
      </c>
      <c r="AS10" s="278" t="n">
        <v>54.3444</v>
      </c>
      <c r="AT10" s="278" t="n">
        <f aca="false">AS10-AR10</f>
        <v>0.796399999999998</v>
      </c>
      <c r="AU10" s="356" t="n">
        <f aca="false">100*AT10/AE10</f>
        <v>21.4414559944</v>
      </c>
      <c r="AV10" s="356"/>
      <c r="AW10" s="357"/>
      <c r="AX10" s="361" t="n">
        <f aca="false">I10-AH10</f>
        <v>0.0293000000000063</v>
      </c>
      <c r="AY10" s="271" t="n">
        <f aca="false">100*AX10/F10</f>
        <v>0.7312751141839</v>
      </c>
      <c r="AZ10" s="356"/>
      <c r="BA10" s="357"/>
      <c r="BB10" s="278" t="n">
        <f aca="false">O10-AN10</f>
        <v>0.250500000000002</v>
      </c>
      <c r="BC10" s="271" t="n">
        <f aca="false">100*BB10/F10</f>
        <v>6.2520278533457</v>
      </c>
      <c r="BD10" s="271"/>
      <c r="BE10" s="362"/>
      <c r="BF10" s="278" t="n">
        <f aca="false">U10-AT10</f>
        <v>0.0125999999999991</v>
      </c>
      <c r="BG10" s="271" t="n">
        <f aca="false">100*BF10/F10</f>
        <v>0.314473257294009</v>
      </c>
      <c r="BH10" s="356"/>
      <c r="BI10" s="357"/>
      <c r="BJ10" s="271" t="n">
        <f aca="false">AY10+BC10+BG10</f>
        <v>7.29777622482361</v>
      </c>
      <c r="BK10" s="271"/>
      <c r="BL10" s="362"/>
      <c r="BM10" s="271" t="n">
        <f aca="false">100*BB10/O10</f>
        <v>9.11605225808808</v>
      </c>
      <c r="BN10" s="271"/>
      <c r="BO10" s="363"/>
      <c r="BP10" s="364"/>
    </row>
    <row r="11" customFormat="false" ht="12.8" hidden="false" customHeight="false" outlineLevel="0" collapsed="false">
      <c r="B11" s="343"/>
      <c r="C11" s="76"/>
      <c r="D11" s="76"/>
      <c r="E11" s="76" t="n">
        <v>6</v>
      </c>
      <c r="F11" s="354" t="n">
        <f aca="false">I11+O11+U11</f>
        <v>4.22460000000001</v>
      </c>
      <c r="G11" s="278" t="n">
        <v>52.397</v>
      </c>
      <c r="H11" s="278" t="n">
        <v>52.9999</v>
      </c>
      <c r="I11" s="278" t="n">
        <f aca="false">H11-G11</f>
        <v>0.602899999999998</v>
      </c>
      <c r="J11" s="356" t="n">
        <f aca="false">100*I11/F11</f>
        <v>14.2711736022345</v>
      </c>
      <c r="K11" s="356"/>
      <c r="L11" s="357"/>
      <c r="M11" s="278" t="n">
        <v>57.378</v>
      </c>
      <c r="N11" s="278" t="n">
        <v>60.1424</v>
      </c>
      <c r="O11" s="358" t="n">
        <f aca="false">N11-M11</f>
        <v>2.7644</v>
      </c>
      <c r="P11" s="356" t="n">
        <f aca="false">100*O11/F11</f>
        <v>65.4357809023338</v>
      </c>
      <c r="Q11" s="356"/>
      <c r="R11" s="357"/>
      <c r="S11" s="278" t="n">
        <v>70.6065</v>
      </c>
      <c r="T11" s="278" t="n">
        <v>71.4638</v>
      </c>
      <c r="U11" s="278" t="n">
        <f aca="false">T11-S11</f>
        <v>0.857300000000009</v>
      </c>
      <c r="V11" s="356" t="n">
        <f aca="false">100*U11/F11</f>
        <v>20.2930454954317</v>
      </c>
      <c r="W11" s="356"/>
      <c r="X11" s="357"/>
      <c r="Y11" s="356" t="n">
        <f aca="false">100*O11/(I11+O11+U11)</f>
        <v>65.4357809023338</v>
      </c>
      <c r="Z11" s="356"/>
      <c r="AA11" s="359"/>
      <c r="AB11" s="360"/>
      <c r="AC11" s="76"/>
      <c r="AD11" s="76" t="n">
        <v>6</v>
      </c>
      <c r="AE11" s="354" t="n">
        <f aca="false">AH11+AN11+AT11</f>
        <v>3.94200000000001</v>
      </c>
      <c r="AF11" s="278" t="n">
        <v>52.397</v>
      </c>
      <c r="AG11" s="278" t="n">
        <v>52.9552</v>
      </c>
      <c r="AH11" s="278" t="n">
        <f aca="false">AG11-AF11</f>
        <v>0.558199999999999</v>
      </c>
      <c r="AI11" s="356" t="n">
        <f aca="false">100*AH11/AE11</f>
        <v>14.1603247082699</v>
      </c>
      <c r="AJ11" s="356"/>
      <c r="AK11" s="357"/>
      <c r="AL11" s="278" t="n">
        <v>57.378</v>
      </c>
      <c r="AM11" s="278" t="n">
        <v>59.9225</v>
      </c>
      <c r="AN11" s="358" t="n">
        <f aca="false">AM11-AL11</f>
        <v>2.5445</v>
      </c>
      <c r="AO11" s="356" t="n">
        <f aca="false">100*AN11/AE11</f>
        <v>64.5484525621511</v>
      </c>
      <c r="AP11" s="356"/>
      <c r="AQ11" s="357"/>
      <c r="AR11" s="278" t="n">
        <v>70.6065</v>
      </c>
      <c r="AS11" s="278" t="n">
        <v>71.4458</v>
      </c>
      <c r="AT11" s="278" t="n">
        <f aca="false">AS11-AR11</f>
        <v>0.839300000000009</v>
      </c>
      <c r="AU11" s="356" t="n">
        <f aca="false">100*AT11/AE11</f>
        <v>21.2912227295791</v>
      </c>
      <c r="AV11" s="356"/>
      <c r="AW11" s="357"/>
      <c r="AX11" s="361" t="n">
        <f aca="false">I11-AH11</f>
        <v>0.0446999999999989</v>
      </c>
      <c r="AY11" s="271" t="n">
        <f aca="false">100*AX11/F11</f>
        <v>1.05808833972444</v>
      </c>
      <c r="AZ11" s="356"/>
      <c r="BA11" s="357"/>
      <c r="BB11" s="278" t="n">
        <f aca="false">O11-AN11</f>
        <v>0.219900000000003</v>
      </c>
      <c r="BC11" s="271" t="n">
        <f aca="false">100*BB11/F11</f>
        <v>5.20522653032245</v>
      </c>
      <c r="BD11" s="271"/>
      <c r="BE11" s="362"/>
      <c r="BF11" s="278" t="n">
        <f aca="false">U11-AT11</f>
        <v>0.0180000000000007</v>
      </c>
      <c r="BG11" s="271" t="n">
        <f aca="false">100*BF11/F11</f>
        <v>0.426075841499802</v>
      </c>
      <c r="BH11" s="356"/>
      <c r="BI11" s="357"/>
      <c r="BJ11" s="271" t="n">
        <f aca="false">AY11+BC11+BG11</f>
        <v>6.68939071154669</v>
      </c>
      <c r="BK11" s="271"/>
      <c r="BL11" s="362"/>
      <c r="BM11" s="271" t="n">
        <f aca="false">100*BB11/O11</f>
        <v>7.95470988279563</v>
      </c>
      <c r="BN11" s="271"/>
      <c r="BO11" s="363"/>
      <c r="BP11" s="65"/>
      <c r="BQ11" s="20"/>
      <c r="BR11" s="20"/>
    </row>
    <row r="12" customFormat="false" ht="12.8" hidden="false" customHeight="false" outlineLevel="0" collapsed="false">
      <c r="B12" s="343"/>
      <c r="C12" s="84"/>
      <c r="D12" s="84"/>
      <c r="E12" s="84" t="n">
        <v>8</v>
      </c>
      <c r="F12" s="365" t="n">
        <f aca="false">I12+O12+U12</f>
        <v>3.93139999999999</v>
      </c>
      <c r="G12" s="366" t="n">
        <v>68.322</v>
      </c>
      <c r="H12" s="366" t="n">
        <v>68.7807</v>
      </c>
      <c r="I12" s="366" t="n">
        <f aca="false">H12-G12</f>
        <v>0.458699999999993</v>
      </c>
      <c r="J12" s="367" t="n">
        <f aca="false">100*I12/F12</f>
        <v>11.6675993284834</v>
      </c>
      <c r="K12" s="367"/>
      <c r="L12" s="368"/>
      <c r="M12" s="366" t="n">
        <v>57.685</v>
      </c>
      <c r="N12" s="366" t="n">
        <v>60.4514</v>
      </c>
      <c r="O12" s="366" t="n">
        <f aca="false">N12-M12</f>
        <v>2.7664</v>
      </c>
      <c r="P12" s="367" t="n">
        <f aca="false">100*O12/F12</f>
        <v>70.3667904563261</v>
      </c>
      <c r="Q12" s="367"/>
      <c r="R12" s="368"/>
      <c r="S12" s="366" t="n">
        <v>54.126</v>
      </c>
      <c r="T12" s="366" t="n">
        <v>54.8323</v>
      </c>
      <c r="U12" s="366" t="n">
        <f aca="false">T12-S12</f>
        <v>0.706299999999999</v>
      </c>
      <c r="V12" s="367" t="n">
        <f aca="false">100*U12/F12</f>
        <v>17.9656102151905</v>
      </c>
      <c r="W12" s="367"/>
      <c r="X12" s="368"/>
      <c r="Y12" s="367" t="n">
        <f aca="false">100*O12/(I12+O12+U12)</f>
        <v>70.3667904563261</v>
      </c>
      <c r="Z12" s="367"/>
      <c r="AA12" s="367"/>
      <c r="AB12" s="369"/>
      <c r="AC12" s="84"/>
      <c r="AD12" s="84" t="n">
        <v>8</v>
      </c>
      <c r="AE12" s="365" t="n">
        <f aca="false">AH12+AN12+AT12</f>
        <v>3.64640000000001</v>
      </c>
      <c r="AF12" s="366" t="n">
        <v>68.322</v>
      </c>
      <c r="AG12" s="366" t="n">
        <v>68.7519</v>
      </c>
      <c r="AH12" s="366" t="n">
        <f aca="false">AG12-AF12</f>
        <v>0.429900000000004</v>
      </c>
      <c r="AI12" s="367" t="n">
        <f aca="false">100*AH12/AE12</f>
        <v>11.789710399298</v>
      </c>
      <c r="AJ12" s="367"/>
      <c r="AK12" s="368"/>
      <c r="AL12" s="366" t="n">
        <v>57.685</v>
      </c>
      <c r="AM12" s="366" t="n">
        <v>60.2104</v>
      </c>
      <c r="AN12" s="366" t="n">
        <f aca="false">AM12-AL12</f>
        <v>2.5254</v>
      </c>
      <c r="AO12" s="367" t="n">
        <f aca="false">100*AN12/AE12</f>
        <v>69.257349714787</v>
      </c>
      <c r="AP12" s="367"/>
      <c r="AQ12" s="368"/>
      <c r="AR12" s="366" t="n">
        <v>54.126</v>
      </c>
      <c r="AS12" s="366" t="n">
        <v>54.8171</v>
      </c>
      <c r="AT12" s="366" t="n">
        <f aca="false">AS12-AR12</f>
        <v>0.691100000000006</v>
      </c>
      <c r="AU12" s="367" t="n">
        <f aca="false">100*AT12/AE12</f>
        <v>18.952939885915</v>
      </c>
      <c r="AV12" s="367"/>
      <c r="AW12" s="368"/>
      <c r="AX12" s="370" t="n">
        <f aca="false">I12-AH12</f>
        <v>0.0287999999999897</v>
      </c>
      <c r="AY12" s="371" t="n">
        <f aca="false">100*AX12/F12</f>
        <v>0.732563463397004</v>
      </c>
      <c r="AZ12" s="367"/>
      <c r="BA12" s="368"/>
      <c r="BB12" s="366" t="n">
        <f aca="false">O12-AN12</f>
        <v>0.241</v>
      </c>
      <c r="BC12" s="371" t="n">
        <f aca="false">100*BB12/F12</f>
        <v>6.13013175967849</v>
      </c>
      <c r="BD12" s="371"/>
      <c r="BE12" s="372"/>
      <c r="BF12" s="366" t="n">
        <f aca="false">U12-AT12</f>
        <v>0.015199999999993</v>
      </c>
      <c r="BG12" s="371" t="n">
        <f aca="false">100*BF12/F12</f>
        <v>0.386630716792823</v>
      </c>
      <c r="BH12" s="367"/>
      <c r="BI12" s="368"/>
      <c r="BJ12" s="371" t="n">
        <f aca="false">AY12+BC12+BG12</f>
        <v>7.24932593986832</v>
      </c>
      <c r="BK12" s="371"/>
      <c r="BL12" s="372"/>
      <c r="BM12" s="371" t="n">
        <f aca="false">100*BB12/O12</f>
        <v>8.71168305378831</v>
      </c>
      <c r="BN12" s="371"/>
      <c r="BO12" s="371"/>
      <c r="BP12" s="65"/>
      <c r="BQ12" s="20"/>
      <c r="BR12" s="20"/>
    </row>
    <row r="13" customFormat="false" ht="12.8" hidden="false" customHeight="false" outlineLevel="0" collapsed="false">
      <c r="B13" s="343"/>
      <c r="C13" s="76" t="s">
        <v>156</v>
      </c>
      <c r="D13" s="81" t="s">
        <v>225</v>
      </c>
      <c r="E13" s="81" t="n">
        <v>1</v>
      </c>
      <c r="F13" s="373" t="n">
        <f aca="false">I13+O13+U13</f>
        <v>4.6816</v>
      </c>
      <c r="G13" s="374" t="n">
        <v>52.154</v>
      </c>
      <c r="H13" s="374" t="n">
        <v>52.5509</v>
      </c>
      <c r="I13" s="374" t="n">
        <f aca="false">H13-G13</f>
        <v>0.396899999999995</v>
      </c>
      <c r="J13" s="375" t="n">
        <f aca="false">100*I13/F13</f>
        <v>8.47787081339703</v>
      </c>
      <c r="K13" s="375" t="n">
        <f aca="false">AVERAGE(J13:J20)</f>
        <v>9.36279351127934</v>
      </c>
      <c r="L13" s="376" t="n">
        <f aca="false">STDEV(J13:J20)</f>
        <v>3.29789872637735</v>
      </c>
      <c r="M13" s="374" t="n">
        <v>56.08</v>
      </c>
      <c r="N13" s="374" t="n">
        <v>59.2286</v>
      </c>
      <c r="O13" s="374" t="n">
        <f aca="false">N13-M13</f>
        <v>3.1486</v>
      </c>
      <c r="P13" s="375" t="n">
        <f aca="false">100*O13/F13</f>
        <v>67.2547846889953</v>
      </c>
      <c r="Q13" s="375" t="n">
        <f aca="false">AVERAGE(P13:P20)</f>
        <v>69.2345483851709</v>
      </c>
      <c r="R13" s="376" t="n">
        <f aca="false">STDEV(P13:P20)</f>
        <v>4.61551181050672</v>
      </c>
      <c r="S13" s="374" t="n">
        <v>71.737</v>
      </c>
      <c r="T13" s="374" t="n">
        <v>72.8731</v>
      </c>
      <c r="U13" s="374" t="n">
        <f aca="false">T13-S13</f>
        <v>1.1361</v>
      </c>
      <c r="V13" s="375" t="n">
        <f aca="false">100*U13/F13</f>
        <v>24.2673444976077</v>
      </c>
      <c r="W13" s="375" t="n">
        <f aca="false">AVERAGE(V13:V20)</f>
        <v>21.4026581035498</v>
      </c>
      <c r="X13" s="376" t="n">
        <f aca="false">STDEV(V13:V20)</f>
        <v>1.97909841151111</v>
      </c>
      <c r="Y13" s="375" t="n">
        <f aca="false">100*O13/(I13+O13+U13)</f>
        <v>67.2547846889953</v>
      </c>
      <c r="Z13" s="375" t="n">
        <f aca="false">AVERAGE(Y13:Y20)</f>
        <v>69.2345483851709</v>
      </c>
      <c r="AA13" s="375" t="n">
        <f aca="false">STDEV(Y13:Y20)</f>
        <v>4.61551181050672</v>
      </c>
      <c r="AB13" s="377"/>
      <c r="AC13" s="81" t="s">
        <v>225</v>
      </c>
      <c r="AD13" s="81" t="n">
        <v>1</v>
      </c>
      <c r="AE13" s="373" t="n">
        <f aca="false">AH13+AN13+AT13</f>
        <v>4.5497</v>
      </c>
      <c r="AF13" s="374" t="n">
        <v>52.154</v>
      </c>
      <c r="AG13" s="374" t="n">
        <v>52.5404</v>
      </c>
      <c r="AH13" s="374" t="n">
        <f aca="false">AG13-AF13</f>
        <v>0.386399999999995</v>
      </c>
      <c r="AI13" s="375" t="n">
        <f aca="false">100*AH13/AE13</f>
        <v>8.49286766160394</v>
      </c>
      <c r="AJ13" s="375" t="n">
        <f aca="false">AVERAGE(AI13:AI20)</f>
        <v>9.34737295656818</v>
      </c>
      <c r="AK13" s="376" t="n">
        <f aca="false">STDEV(AI13:AI20)</f>
        <v>3.29003288851959</v>
      </c>
      <c r="AL13" s="374" t="n">
        <v>56.08</v>
      </c>
      <c r="AM13" s="374" t="n">
        <v>59.1118</v>
      </c>
      <c r="AN13" s="374" t="n">
        <f aca="false">AM13-AL13</f>
        <v>3.0318</v>
      </c>
      <c r="AO13" s="375" t="n">
        <f aca="false">100*AN13/AE13</f>
        <v>66.6373607051015</v>
      </c>
      <c r="AP13" s="375" t="n">
        <f aca="false">AVERAGE(AO13:AO20)</f>
        <v>68.7352384684113</v>
      </c>
      <c r="AQ13" s="376" t="n">
        <f aca="false">STDEV(AO13:AO20)</f>
        <v>4.64027954334667</v>
      </c>
      <c r="AR13" s="374" t="n">
        <v>71.737</v>
      </c>
      <c r="AS13" s="374" t="n">
        <v>72.8685</v>
      </c>
      <c r="AT13" s="374" t="n">
        <f aca="false">AS13-AR13</f>
        <v>1.1315</v>
      </c>
      <c r="AU13" s="375" t="n">
        <f aca="false">100*AT13/AE13</f>
        <v>24.8697716332946</v>
      </c>
      <c r="AV13" s="375" t="n">
        <f aca="false">AVERAGE(AU13:AU20)</f>
        <v>21.9173885750206</v>
      </c>
      <c r="AW13" s="376" t="n">
        <f aca="false">STDEV(AU13:AU20)</f>
        <v>2.01134560024583</v>
      </c>
      <c r="AX13" s="378" t="n">
        <f aca="false">I13-AH13</f>
        <v>0.0105000000000004</v>
      </c>
      <c r="AY13" s="379" t="n">
        <f aca="false">100*AX13/F13</f>
        <v>0.224282296650726</v>
      </c>
      <c r="AZ13" s="375" t="n">
        <f aca="false">AVERAGE(AY13:AY20)</f>
        <v>0.270958965517817</v>
      </c>
      <c r="BA13" s="376" t="n">
        <f aca="false">STDEV(AY13:AY20)</f>
        <v>0.0919405583901521</v>
      </c>
      <c r="BB13" s="374" t="n">
        <f aca="false">O13-AN13</f>
        <v>0.116799999999998</v>
      </c>
      <c r="BC13" s="379" t="n">
        <f aca="false">100*BB13/F13</f>
        <v>2.49487354750508</v>
      </c>
      <c r="BD13" s="379" t="n">
        <f aca="false">AVERAGE(BC13:BC20)</f>
        <v>2.39575944388156</v>
      </c>
      <c r="BE13" s="380" t="n">
        <f aca="false">STDEV(BC13:BC20)</f>
        <v>0.329928522325316</v>
      </c>
      <c r="BF13" s="374" t="n">
        <f aca="false">U13-AT13</f>
        <v>0.00459999999999639</v>
      </c>
      <c r="BG13" s="379" t="n">
        <f aca="false">100*BF13/F13</f>
        <v>0.0982570061516659</v>
      </c>
      <c r="BH13" s="375" t="n">
        <f aca="false">AVERAGE(BG13:BG20)</f>
        <v>0.0874066372244262</v>
      </c>
      <c r="BI13" s="376" t="n">
        <f aca="false">STDEV(BG13:BG20)</f>
        <v>0.0254991402134025</v>
      </c>
      <c r="BJ13" s="379" t="n">
        <f aca="false">AY13+BC13+BG13</f>
        <v>2.81741285030747</v>
      </c>
      <c r="BK13" s="379" t="n">
        <f aca="false">AVERAGE(BJ13:BJ20)</f>
        <v>2.7541250466238</v>
      </c>
      <c r="BL13" s="380" t="n">
        <f aca="false">STDEV(BJ13:BJ20)</f>
        <v>0.318276668842124</v>
      </c>
      <c r="BM13" s="379" t="n">
        <f aca="false">100*BB13/O13</f>
        <v>3.70958521247531</v>
      </c>
      <c r="BN13" s="379" t="n">
        <f aca="false">AVERAGE(BM13:BM20)</f>
        <v>3.46019712545504</v>
      </c>
      <c r="BO13" s="379" t="n">
        <f aca="false">STDEV(BM13:BM20)</f>
        <v>0.400737262854614</v>
      </c>
      <c r="BP13" s="65"/>
      <c r="BQ13" s="20"/>
      <c r="BR13" s="20"/>
    </row>
    <row r="14" customFormat="false" ht="12.8" hidden="false" customHeight="false" outlineLevel="0" collapsed="false">
      <c r="B14" s="343"/>
      <c r="C14" s="76"/>
      <c r="D14" s="76"/>
      <c r="E14" s="76" t="n">
        <v>2</v>
      </c>
      <c r="F14" s="354" t="n">
        <f aca="false">I14+O14+U14</f>
        <v>4.59849999999999</v>
      </c>
      <c r="G14" s="278" t="n">
        <v>57.384</v>
      </c>
      <c r="H14" s="278" t="n">
        <v>57.8198</v>
      </c>
      <c r="I14" s="278" t="n">
        <f aca="false">H14-G14</f>
        <v>0.4358</v>
      </c>
      <c r="J14" s="356" t="n">
        <f aca="false">100*I14/F14</f>
        <v>9.47700337066437</v>
      </c>
      <c r="K14" s="356"/>
      <c r="L14" s="357"/>
      <c r="M14" s="278" t="n">
        <v>56.517</v>
      </c>
      <c r="N14" s="278" t="n">
        <v>59.6566</v>
      </c>
      <c r="O14" s="358" t="n">
        <f aca="false">N14-M14</f>
        <v>3.13959999999999</v>
      </c>
      <c r="P14" s="356" t="n">
        <f aca="false">100*O14/F14</f>
        <v>68.2744373165162</v>
      </c>
      <c r="Q14" s="356"/>
      <c r="R14" s="357"/>
      <c r="S14" s="278" t="n">
        <v>97.568</v>
      </c>
      <c r="T14" s="278" t="n">
        <v>98.5911</v>
      </c>
      <c r="U14" s="278" t="n">
        <f aca="false">T14-S14</f>
        <v>1.0231</v>
      </c>
      <c r="V14" s="356" t="n">
        <f aca="false">100*U14/F14</f>
        <v>22.2485593128194</v>
      </c>
      <c r="W14" s="356"/>
      <c r="X14" s="357"/>
      <c r="Y14" s="356" t="n">
        <f aca="false">100*O14/(I14+O14+U14)</f>
        <v>68.2744373165162</v>
      </c>
      <c r="Z14" s="356"/>
      <c r="AA14" s="359"/>
      <c r="AB14" s="360"/>
      <c r="AC14" s="76"/>
      <c r="AD14" s="76" t="n">
        <v>2</v>
      </c>
      <c r="AE14" s="354" t="n">
        <f aca="false">AH14+AN14+AT14</f>
        <v>4.48029999999999</v>
      </c>
      <c r="AF14" s="278" t="n">
        <v>57.384</v>
      </c>
      <c r="AG14" s="278" t="n">
        <v>57.808</v>
      </c>
      <c r="AH14" s="278" t="n">
        <f aca="false">AG14-AF14</f>
        <v>0.424</v>
      </c>
      <c r="AI14" s="356" t="n">
        <f aca="false">100*AH14/AE14</f>
        <v>9.46365198759012</v>
      </c>
      <c r="AJ14" s="356"/>
      <c r="AK14" s="357"/>
      <c r="AL14" s="278" t="n">
        <v>56.517</v>
      </c>
      <c r="AM14" s="278" t="n">
        <v>59.5541</v>
      </c>
      <c r="AN14" s="358" t="n">
        <f aca="false">AM14-AL14</f>
        <v>3.0371</v>
      </c>
      <c r="AO14" s="356" t="n">
        <f aca="false">100*AN14/AE14</f>
        <v>67.7878713479008</v>
      </c>
      <c r="AP14" s="356"/>
      <c r="AQ14" s="357"/>
      <c r="AR14" s="278" t="n">
        <v>97.568</v>
      </c>
      <c r="AS14" s="278" t="n">
        <v>98.5872</v>
      </c>
      <c r="AT14" s="278" t="n">
        <f aca="false">AS14-AR14</f>
        <v>1.0192</v>
      </c>
      <c r="AU14" s="356" t="n">
        <f aca="false">100*AT14/AE14</f>
        <v>22.7484766645091</v>
      </c>
      <c r="AV14" s="356"/>
      <c r="AW14" s="357"/>
      <c r="AX14" s="361" t="n">
        <f aca="false">I14-AH14</f>
        <v>0.0118000000000009</v>
      </c>
      <c r="AY14" s="271" t="n">
        <f aca="false">100*AX14/F14</f>
        <v>0.256605414809197</v>
      </c>
      <c r="AZ14" s="356"/>
      <c r="BA14" s="357"/>
      <c r="BB14" s="278" t="n">
        <f aca="false">O14-AN14</f>
        <v>0.102499999999999</v>
      </c>
      <c r="BC14" s="271" t="n">
        <f aca="false">100*BB14/F14</f>
        <v>2.22898771338478</v>
      </c>
      <c r="BD14" s="271"/>
      <c r="BE14" s="362"/>
      <c r="BF14" s="278" t="n">
        <f aca="false">U14-AT14</f>
        <v>0.00390000000000157</v>
      </c>
      <c r="BG14" s="271" t="n">
        <f aca="false">100*BF14/F14</f>
        <v>0.0848102642166266</v>
      </c>
      <c r="BH14" s="356"/>
      <c r="BI14" s="357"/>
      <c r="BJ14" s="271" t="n">
        <f aca="false">AY14+BC14+BG14</f>
        <v>2.57040339241061</v>
      </c>
      <c r="BK14" s="271"/>
      <c r="BL14" s="362"/>
      <c r="BM14" s="271" t="n">
        <f aca="false">100*BB14/O14</f>
        <v>3.26474710154158</v>
      </c>
      <c r="BN14" s="271"/>
      <c r="BO14" s="363"/>
      <c r="BP14" s="65"/>
      <c r="BQ14" s="20"/>
      <c r="BR14" s="20"/>
    </row>
    <row r="15" customFormat="false" ht="12.8" hidden="false" customHeight="false" outlineLevel="0" collapsed="false">
      <c r="B15" s="343"/>
      <c r="C15" s="76"/>
      <c r="D15" s="76"/>
      <c r="E15" s="76" t="n">
        <v>3</v>
      </c>
      <c r="F15" s="354" t="n">
        <f aca="false">I15+O15+U15</f>
        <v>4.7031</v>
      </c>
      <c r="G15" s="278" t="n">
        <v>53.328</v>
      </c>
      <c r="H15" s="278" t="n">
        <v>53.6336</v>
      </c>
      <c r="I15" s="278" t="n">
        <f aca="false">H15-G15</f>
        <v>0.305599999999998</v>
      </c>
      <c r="J15" s="356" t="n">
        <f aca="false">100*I15/F15</f>
        <v>6.49784184899318</v>
      </c>
      <c r="K15" s="356"/>
      <c r="L15" s="357"/>
      <c r="M15" s="278" t="n">
        <v>56.35</v>
      </c>
      <c r="N15" s="278" t="n">
        <v>59.8355</v>
      </c>
      <c r="O15" s="358" t="n">
        <f aca="false">N15-M15</f>
        <v>3.4855</v>
      </c>
      <c r="P15" s="356" t="n">
        <f aca="false">100*O15/F15</f>
        <v>74.1106929472051</v>
      </c>
      <c r="Q15" s="356"/>
      <c r="R15" s="357"/>
      <c r="S15" s="278" t="n">
        <v>55.434</v>
      </c>
      <c r="T15" s="278" t="n">
        <v>56.346</v>
      </c>
      <c r="U15" s="278" t="n">
        <f aca="false">T15-S15</f>
        <v>0.911999999999999</v>
      </c>
      <c r="V15" s="356" t="n">
        <f aca="false">100*U15/F15</f>
        <v>19.3914652038017</v>
      </c>
      <c r="W15" s="356"/>
      <c r="X15" s="357"/>
      <c r="Y15" s="356" t="n">
        <f aca="false">100*O15/(I15+O15+U15)</f>
        <v>74.1106929472051</v>
      </c>
      <c r="Z15" s="356"/>
      <c r="AA15" s="359"/>
      <c r="AB15" s="360"/>
      <c r="AC15" s="76"/>
      <c r="AD15" s="76" t="n">
        <v>3</v>
      </c>
      <c r="AE15" s="354" t="n">
        <f aca="false">AH15+AN15+AT15</f>
        <v>4.5768</v>
      </c>
      <c r="AF15" s="278" t="n">
        <v>53.328</v>
      </c>
      <c r="AG15" s="278" t="n">
        <v>53.6246</v>
      </c>
      <c r="AH15" s="278" t="n">
        <f aca="false">AG15-AF15</f>
        <v>0.296599999999998</v>
      </c>
      <c r="AI15" s="356" t="n">
        <f aca="false">100*AH15/AE15</f>
        <v>6.48051040027963</v>
      </c>
      <c r="AJ15" s="356"/>
      <c r="AK15" s="357"/>
      <c r="AL15" s="278" t="n">
        <v>56.35</v>
      </c>
      <c r="AM15" s="278" t="n">
        <v>59.7207</v>
      </c>
      <c r="AN15" s="358" t="n">
        <f aca="false">AM15-AL15</f>
        <v>3.3707</v>
      </c>
      <c r="AO15" s="356" t="n">
        <f aca="false">100*AN15/AE15</f>
        <v>73.647526656179</v>
      </c>
      <c r="AP15" s="356"/>
      <c r="AQ15" s="357"/>
      <c r="AR15" s="278" t="n">
        <v>55.434</v>
      </c>
      <c r="AS15" s="278" t="n">
        <v>56.3435</v>
      </c>
      <c r="AT15" s="278" t="n">
        <f aca="false">AS15-AR15</f>
        <v>0.909500000000001</v>
      </c>
      <c r="AU15" s="356" t="n">
        <f aca="false">100*AT15/AE15</f>
        <v>19.8719629435414</v>
      </c>
      <c r="AV15" s="356"/>
      <c r="AW15" s="357"/>
      <c r="AX15" s="361" t="n">
        <f aca="false">I15-AH15</f>
        <v>0.00900000000000034</v>
      </c>
      <c r="AY15" s="271" t="n">
        <f aca="false">100*AX15/F15</f>
        <v>0.191363143458577</v>
      </c>
      <c r="AZ15" s="356"/>
      <c r="BA15" s="357"/>
      <c r="BB15" s="278" t="n">
        <f aca="false">O15-AN15</f>
        <v>0.114800000000002</v>
      </c>
      <c r="BC15" s="271" t="n">
        <f aca="false">100*BB15/F15</f>
        <v>2.44094320767159</v>
      </c>
      <c r="BD15" s="271"/>
      <c r="BE15" s="362"/>
      <c r="BF15" s="278" t="n">
        <f aca="false">U15-AT15</f>
        <v>0.00249999999999773</v>
      </c>
      <c r="BG15" s="271" t="n">
        <f aca="false">100*BF15/F15</f>
        <v>0.0531564287384433</v>
      </c>
      <c r="BH15" s="356"/>
      <c r="BI15" s="357"/>
      <c r="BJ15" s="271" t="n">
        <f aca="false">AY15+BC15+BG15</f>
        <v>2.68546277986861</v>
      </c>
      <c r="BK15" s="271"/>
      <c r="BL15" s="362"/>
      <c r="BM15" s="271" t="n">
        <f aca="false">100*BB15/O15</f>
        <v>3.29364510113334</v>
      </c>
      <c r="BN15" s="271"/>
      <c r="BO15" s="363"/>
      <c r="BP15" s="65"/>
      <c r="BQ15" s="20"/>
      <c r="BR15" s="20"/>
    </row>
    <row r="16" customFormat="false" ht="12.8" hidden="false" customHeight="false" outlineLevel="0" collapsed="false">
      <c r="B16" s="343"/>
      <c r="C16" s="76"/>
      <c r="D16" s="76"/>
      <c r="E16" s="76" t="n">
        <v>4</v>
      </c>
      <c r="F16" s="354" t="n">
        <f aca="false">I16+O16+U16</f>
        <v>4.8231</v>
      </c>
      <c r="G16" s="278" t="n">
        <v>60.946</v>
      </c>
      <c r="H16" s="278" t="n">
        <v>61.2611</v>
      </c>
      <c r="I16" s="278" t="n">
        <f aca="false">H16-G16</f>
        <v>0.315100000000001</v>
      </c>
      <c r="J16" s="356" t="n">
        <f aca="false">100*I16/F16</f>
        <v>6.53314258464475</v>
      </c>
      <c r="K16" s="356"/>
      <c r="L16" s="357"/>
      <c r="M16" s="278" t="n">
        <v>58.884</v>
      </c>
      <c r="N16" s="278" t="n">
        <v>62.3995</v>
      </c>
      <c r="O16" s="358" t="n">
        <f aca="false">N16-M16</f>
        <v>3.5155</v>
      </c>
      <c r="P16" s="356" t="n">
        <f aca="false">100*O16/F16</f>
        <v>72.8888059546765</v>
      </c>
      <c r="Q16" s="356"/>
      <c r="R16" s="357"/>
      <c r="S16" s="278" t="n">
        <v>57.228</v>
      </c>
      <c r="T16" s="278" t="n">
        <v>58.2205</v>
      </c>
      <c r="U16" s="278" t="n">
        <f aca="false">T16-S16</f>
        <v>0.9925</v>
      </c>
      <c r="V16" s="356" t="n">
        <f aca="false">100*U16/F16</f>
        <v>20.5780514606788</v>
      </c>
      <c r="W16" s="356"/>
      <c r="X16" s="357"/>
      <c r="Y16" s="356" t="n">
        <f aca="false">100*O16/(I16+O16+U16)</f>
        <v>72.8888059546765</v>
      </c>
      <c r="Z16" s="356"/>
      <c r="AA16" s="359"/>
      <c r="AB16" s="360"/>
      <c r="AC16" s="76"/>
      <c r="AD16" s="76" t="n">
        <v>4</v>
      </c>
      <c r="AE16" s="354" t="n">
        <f aca="false">AH16+AN16+AT16</f>
        <v>4.7103</v>
      </c>
      <c r="AF16" s="278" t="n">
        <v>60.946</v>
      </c>
      <c r="AG16" s="278" t="n">
        <v>61.2532</v>
      </c>
      <c r="AH16" s="278" t="n">
        <f aca="false">AG16-AF16</f>
        <v>0.307200000000002</v>
      </c>
      <c r="AI16" s="356" t="n">
        <f aca="false">100*AH16/AE16</f>
        <v>6.52187758741485</v>
      </c>
      <c r="AJ16" s="356"/>
      <c r="AK16" s="357"/>
      <c r="AL16" s="278" t="n">
        <v>58.884</v>
      </c>
      <c r="AM16" s="278" t="n">
        <v>62.3012</v>
      </c>
      <c r="AN16" s="358" t="n">
        <f aca="false">AM16-AL16</f>
        <v>3.4172</v>
      </c>
      <c r="AO16" s="356" t="n">
        <f aca="false">100*AN16/AE16</f>
        <v>72.5473961318812</v>
      </c>
      <c r="AP16" s="356"/>
      <c r="AQ16" s="357"/>
      <c r="AR16" s="278" t="n">
        <v>57.228</v>
      </c>
      <c r="AS16" s="278" t="n">
        <v>58.2139</v>
      </c>
      <c r="AT16" s="278" t="n">
        <f aca="false">AS16-AR16</f>
        <v>0.985900000000001</v>
      </c>
      <c r="AU16" s="356" t="n">
        <f aca="false">100*AT16/AE16</f>
        <v>20.930726280704</v>
      </c>
      <c r="AV16" s="356"/>
      <c r="AW16" s="357"/>
      <c r="AX16" s="361" t="n">
        <f aca="false">I16-AH16</f>
        <v>0.00789999999999935</v>
      </c>
      <c r="AY16" s="271" t="n">
        <f aca="false">100*AX16/F16</f>
        <v>0.163795069561057</v>
      </c>
      <c r="AZ16" s="356"/>
      <c r="BA16" s="357"/>
      <c r="BB16" s="278" t="n">
        <f aca="false">O16-AN16</f>
        <v>0.0983000000000018</v>
      </c>
      <c r="BC16" s="271" t="n">
        <f aca="false">100*BB16/F16</f>
        <v>2.03810827061437</v>
      </c>
      <c r="BD16" s="271"/>
      <c r="BE16" s="362"/>
      <c r="BF16" s="278" t="n">
        <f aca="false">U16-AT16</f>
        <v>0.00659999999999883</v>
      </c>
      <c r="BG16" s="271" t="n">
        <f aca="false">100*BF16/F16</f>
        <v>0.136841450519351</v>
      </c>
      <c r="BH16" s="356"/>
      <c r="BI16" s="357"/>
      <c r="BJ16" s="271" t="n">
        <f aca="false">AY16+BC16+BG16</f>
        <v>2.33874479069478</v>
      </c>
      <c r="BK16" s="271"/>
      <c r="BL16" s="362"/>
      <c r="BM16" s="271" t="n">
        <f aca="false">100*BB16/O16</f>
        <v>2.7961883089177</v>
      </c>
      <c r="BN16" s="271"/>
      <c r="BO16" s="363"/>
      <c r="BP16" s="65"/>
      <c r="BQ16" s="20"/>
      <c r="BR16" s="20"/>
    </row>
    <row r="17" customFormat="false" ht="12.8" hidden="false" customHeight="false" outlineLevel="0" collapsed="false">
      <c r="B17" s="343"/>
      <c r="C17" s="76"/>
      <c r="D17" s="76"/>
      <c r="E17" s="76" t="n">
        <v>5</v>
      </c>
      <c r="F17" s="354" t="n">
        <f aca="false">I17+O17+U17</f>
        <v>4.6205</v>
      </c>
      <c r="G17" s="278" t="n">
        <v>53.077</v>
      </c>
      <c r="H17" s="278" t="n">
        <v>53.8207</v>
      </c>
      <c r="I17" s="278" t="n">
        <f aca="false">H17-G17</f>
        <v>0.743700000000004</v>
      </c>
      <c r="J17" s="356" t="n">
        <f aca="false">100*I17/F17</f>
        <v>16.0956606427877</v>
      </c>
      <c r="K17" s="356"/>
      <c r="L17" s="357"/>
      <c r="M17" s="278" t="n">
        <v>63.231</v>
      </c>
      <c r="N17" s="278" t="n">
        <v>65.9877</v>
      </c>
      <c r="O17" s="358" t="n">
        <f aca="false">N17-M17</f>
        <v>2.7567</v>
      </c>
      <c r="P17" s="356" t="n">
        <f aca="false">100*O17/F17</f>
        <v>59.6623742019262</v>
      </c>
      <c r="Q17" s="356"/>
      <c r="R17" s="357"/>
      <c r="S17" s="278" t="n">
        <v>57.017</v>
      </c>
      <c r="T17" s="278" t="n">
        <v>58.1371</v>
      </c>
      <c r="U17" s="278" t="n">
        <f aca="false">T17-S17</f>
        <v>1.12009999999999</v>
      </c>
      <c r="V17" s="356" t="n">
        <f aca="false">100*U17/F17</f>
        <v>24.2419651552861</v>
      </c>
      <c r="W17" s="356"/>
      <c r="X17" s="357"/>
      <c r="Y17" s="356" t="n">
        <f aca="false">100*O17/(I17+O17+U17)</f>
        <v>59.6623742019262</v>
      </c>
      <c r="Z17" s="356"/>
      <c r="AA17" s="359"/>
      <c r="AB17" s="360"/>
      <c r="AC17" s="76"/>
      <c r="AD17" s="76" t="n">
        <v>5</v>
      </c>
      <c r="AE17" s="354" t="n">
        <f aca="false">AH17+AN17+AT17</f>
        <v>4.50450000000001</v>
      </c>
      <c r="AF17" s="278" t="n">
        <v>53.077</v>
      </c>
      <c r="AG17" s="278" t="n">
        <v>53.8004</v>
      </c>
      <c r="AH17" s="278" t="n">
        <f aca="false">AG17-AF17</f>
        <v>0.723400000000005</v>
      </c>
      <c r="AI17" s="356" t="n">
        <f aca="false">100*AH17/AE17</f>
        <v>16.0594960594961</v>
      </c>
      <c r="AJ17" s="356"/>
      <c r="AK17" s="357"/>
      <c r="AL17" s="278" t="n">
        <v>63.231</v>
      </c>
      <c r="AM17" s="278" t="n">
        <v>65.8953</v>
      </c>
      <c r="AN17" s="358" t="n">
        <f aca="false">AM17-AL17</f>
        <v>2.6643</v>
      </c>
      <c r="AO17" s="356" t="n">
        <f aca="false">100*AN17/AE17</f>
        <v>59.1475191475191</v>
      </c>
      <c r="AP17" s="356"/>
      <c r="AQ17" s="357"/>
      <c r="AR17" s="278" t="n">
        <v>57.017</v>
      </c>
      <c r="AS17" s="278" t="n">
        <v>58.1338</v>
      </c>
      <c r="AT17" s="278" t="n">
        <f aca="false">AS17-AR17</f>
        <v>1.1168</v>
      </c>
      <c r="AU17" s="356" t="n">
        <f aca="false">100*AT17/AE17</f>
        <v>24.7929847929847</v>
      </c>
      <c r="AV17" s="356"/>
      <c r="AW17" s="357"/>
      <c r="AX17" s="361" t="n">
        <f aca="false">I17-AH17</f>
        <v>0.0202999999999989</v>
      </c>
      <c r="AY17" s="271" t="n">
        <f aca="false">100*AX17/F17</f>
        <v>0.439346391083192</v>
      </c>
      <c r="AZ17" s="356"/>
      <c r="BA17" s="357"/>
      <c r="BB17" s="278" t="n">
        <f aca="false">O17-AN17</f>
        <v>0.0923999999999978</v>
      </c>
      <c r="BC17" s="271" t="n">
        <f aca="false">100*BB17/F17</f>
        <v>1.99978357320632</v>
      </c>
      <c r="BD17" s="271"/>
      <c r="BE17" s="362"/>
      <c r="BF17" s="278" t="n">
        <f aca="false">U17-AT17</f>
        <v>0.00329999999999586</v>
      </c>
      <c r="BG17" s="271" t="n">
        <f aca="false">100*BF17/F17</f>
        <v>0.0714208419001377</v>
      </c>
      <c r="BH17" s="356"/>
      <c r="BI17" s="357"/>
      <c r="BJ17" s="271" t="n">
        <f aca="false">AY17+BC17+BG17</f>
        <v>2.51055080618965</v>
      </c>
      <c r="BK17" s="271"/>
      <c r="BL17" s="362"/>
      <c r="BM17" s="271" t="n">
        <f aca="false">100*BB17/O17</f>
        <v>3.35183371422345</v>
      </c>
      <c r="BN17" s="271"/>
      <c r="BO17" s="363"/>
      <c r="BP17" s="65"/>
      <c r="BQ17" s="20"/>
      <c r="BR17" s="20"/>
    </row>
    <row r="18" customFormat="false" ht="12.8" hidden="false" customHeight="false" outlineLevel="0" collapsed="false">
      <c r="B18" s="343"/>
      <c r="C18" s="76"/>
      <c r="D18" s="76"/>
      <c r="E18" s="76" t="n">
        <v>6</v>
      </c>
      <c r="F18" s="354" t="n">
        <f aca="false">I18+O18+U18</f>
        <v>4.3897</v>
      </c>
      <c r="G18" s="278" t="n">
        <v>65.203</v>
      </c>
      <c r="H18" s="278" t="n">
        <v>65.7334</v>
      </c>
      <c r="I18" s="278" t="n">
        <f aca="false">H18-G18</f>
        <v>0.5304</v>
      </c>
      <c r="J18" s="356" t="n">
        <f aca="false">100*I18/F18</f>
        <v>12.0828302617491</v>
      </c>
      <c r="K18" s="356"/>
      <c r="L18" s="357"/>
      <c r="M18" s="278" t="n">
        <v>56.636</v>
      </c>
      <c r="N18" s="278" t="n">
        <v>59.6423</v>
      </c>
      <c r="O18" s="358" t="n">
        <f aca="false">N18-M18</f>
        <v>3.0063</v>
      </c>
      <c r="P18" s="356" t="n">
        <f aca="false">100*O18/F18</f>
        <v>68.4853179032735</v>
      </c>
      <c r="Q18" s="356"/>
      <c r="R18" s="357"/>
      <c r="S18" s="278" t="n">
        <v>57.783</v>
      </c>
      <c r="T18" s="278" t="n">
        <v>58.636</v>
      </c>
      <c r="U18" s="278" t="n">
        <f aca="false">T18-S18</f>
        <v>0.853000000000002</v>
      </c>
      <c r="V18" s="356" t="n">
        <f aca="false">100*U18/F18</f>
        <v>19.4318518349774</v>
      </c>
      <c r="W18" s="356"/>
      <c r="X18" s="357"/>
      <c r="Y18" s="356" t="n">
        <f aca="false">100*O18/(I18+O18+U18)</f>
        <v>68.4853179032735</v>
      </c>
      <c r="Z18" s="356"/>
      <c r="AA18" s="359"/>
      <c r="AB18" s="360"/>
      <c r="AC18" s="76"/>
      <c r="AD18" s="76" t="n">
        <v>6</v>
      </c>
      <c r="AE18" s="354" t="n">
        <f aca="false">AH18+AN18+AT18</f>
        <v>4.2619</v>
      </c>
      <c r="AF18" s="278" t="n">
        <v>65.203</v>
      </c>
      <c r="AG18" s="278" t="n">
        <v>65.7171</v>
      </c>
      <c r="AH18" s="278" t="n">
        <f aca="false">AG18-AF18</f>
        <v>0.514099999999999</v>
      </c>
      <c r="AI18" s="356" t="n">
        <f aca="false">100*AH18/AE18</f>
        <v>12.0626950421174</v>
      </c>
      <c r="AJ18" s="356"/>
      <c r="AK18" s="357"/>
      <c r="AL18" s="278" t="n">
        <v>56.636</v>
      </c>
      <c r="AM18" s="278" t="n">
        <v>59.5337</v>
      </c>
      <c r="AN18" s="358" t="n">
        <f aca="false">AM18-AL18</f>
        <v>2.8977</v>
      </c>
      <c r="AO18" s="356" t="n">
        <f aca="false">100*AN18/AE18</f>
        <v>67.9908022243601</v>
      </c>
      <c r="AP18" s="356"/>
      <c r="AQ18" s="357"/>
      <c r="AR18" s="278" t="n">
        <v>57.783</v>
      </c>
      <c r="AS18" s="278" t="n">
        <v>58.6331</v>
      </c>
      <c r="AT18" s="278" t="n">
        <f aca="false">AS18-AR18</f>
        <v>0.850099999999998</v>
      </c>
      <c r="AU18" s="356" t="n">
        <f aca="false">100*AT18/AE18</f>
        <v>19.9465027335226</v>
      </c>
      <c r="AV18" s="356"/>
      <c r="AW18" s="357"/>
      <c r="AX18" s="361" t="n">
        <f aca="false">I18-AH18</f>
        <v>0.0163000000000011</v>
      </c>
      <c r="AY18" s="271" t="n">
        <f aca="false">100*AX18/F18</f>
        <v>0.371323780668408</v>
      </c>
      <c r="AZ18" s="356"/>
      <c r="BA18" s="357"/>
      <c r="BB18" s="278" t="n">
        <f aca="false">O18-AN18</f>
        <v>0.108599999999996</v>
      </c>
      <c r="BC18" s="271" t="n">
        <f aca="false">100*BB18/F18</f>
        <v>2.47397316445305</v>
      </c>
      <c r="BD18" s="271"/>
      <c r="BE18" s="362"/>
      <c r="BF18" s="278" t="n">
        <f aca="false">U18-AT18</f>
        <v>0.0029000000000039</v>
      </c>
      <c r="BG18" s="271" t="n">
        <f aca="false">100*BF18/F18</f>
        <v>0.0660637401190036</v>
      </c>
      <c r="BH18" s="356"/>
      <c r="BI18" s="357"/>
      <c r="BJ18" s="271" t="n">
        <f aca="false">AY18+BC18+BG18</f>
        <v>2.91136068524046</v>
      </c>
      <c r="BK18" s="271"/>
      <c r="BL18" s="362"/>
      <c r="BM18" s="271" t="n">
        <f aca="false">100*BB18/O18</f>
        <v>3.61241393074529</v>
      </c>
      <c r="BN18" s="271"/>
      <c r="BO18" s="363"/>
      <c r="BP18" s="65"/>
      <c r="BQ18" s="20"/>
      <c r="BR18" s="20"/>
    </row>
    <row r="19" customFormat="false" ht="12.8" hidden="false" customHeight="false" outlineLevel="0" collapsed="false">
      <c r="B19" s="343"/>
      <c r="C19" s="76"/>
      <c r="D19" s="76"/>
      <c r="E19" s="76" t="n">
        <v>7</v>
      </c>
      <c r="F19" s="354" t="n">
        <f aca="false">I19+O19+U19</f>
        <v>4.5034</v>
      </c>
      <c r="G19" s="278" t="n">
        <v>99.31</v>
      </c>
      <c r="H19" s="278" t="n">
        <v>99.7086</v>
      </c>
      <c r="I19" s="278" t="n">
        <f aca="false">H19-G19</f>
        <v>0.398600000000002</v>
      </c>
      <c r="J19" s="356" t="n">
        <f aca="false">100*I19/F19</f>
        <v>8.8510902873385</v>
      </c>
      <c r="K19" s="356"/>
      <c r="L19" s="357"/>
      <c r="M19" s="278" t="n">
        <v>70.117</v>
      </c>
      <c r="N19" s="278" t="n">
        <v>73.2796</v>
      </c>
      <c r="O19" s="358" t="n">
        <f aca="false">N19-M19</f>
        <v>3.1626</v>
      </c>
      <c r="P19" s="356" t="n">
        <f aca="false">100*O19/F19</f>
        <v>70.2269396456011</v>
      </c>
      <c r="Q19" s="356"/>
      <c r="R19" s="357"/>
      <c r="S19" s="278" t="n">
        <v>52.745</v>
      </c>
      <c r="T19" s="278" t="n">
        <v>53.6872</v>
      </c>
      <c r="U19" s="278" t="n">
        <f aca="false">T19-S19</f>
        <v>0.9422</v>
      </c>
      <c r="V19" s="356" t="n">
        <f aca="false">100*U19/F19</f>
        <v>20.9219700670604</v>
      </c>
      <c r="W19" s="356"/>
      <c r="X19" s="357"/>
      <c r="Y19" s="356" t="n">
        <f aca="false">100*O19/(I19+O19+U19)</f>
        <v>70.2269396456011</v>
      </c>
      <c r="Z19" s="356"/>
      <c r="AA19" s="359"/>
      <c r="AB19" s="360"/>
      <c r="AC19" s="76"/>
      <c r="AD19" s="76" t="n">
        <v>7</v>
      </c>
      <c r="AE19" s="354" t="n">
        <f aca="false">AH19+AN19+AT19</f>
        <v>4.37699999999998</v>
      </c>
      <c r="AF19" s="278" t="n">
        <v>99.31</v>
      </c>
      <c r="AG19" s="278" t="n">
        <v>99.6963</v>
      </c>
      <c r="AH19" s="278" t="n">
        <f aca="false">AG19-AF19</f>
        <v>0.386299999999991</v>
      </c>
      <c r="AI19" s="356" t="n">
        <f aca="false">100*AH19/AE19</f>
        <v>8.82567968928474</v>
      </c>
      <c r="AJ19" s="356"/>
      <c r="AK19" s="357"/>
      <c r="AL19" s="278" t="n">
        <v>70.117</v>
      </c>
      <c r="AM19" s="278" t="n">
        <v>73.1698</v>
      </c>
      <c r="AN19" s="358" t="n">
        <f aca="false">AM19-AL19</f>
        <v>3.05279999999999</v>
      </c>
      <c r="AO19" s="356" t="n">
        <f aca="false">100*AN19/AE19</f>
        <v>69.7464016449624</v>
      </c>
      <c r="AP19" s="356"/>
      <c r="AQ19" s="357"/>
      <c r="AR19" s="278" t="n">
        <v>52.745</v>
      </c>
      <c r="AS19" s="278" t="n">
        <v>53.6829</v>
      </c>
      <c r="AT19" s="278" t="n">
        <f aca="false">AS19-AR19</f>
        <v>0.937899999999999</v>
      </c>
      <c r="AU19" s="356" t="n">
        <f aca="false">100*AT19/AE19</f>
        <v>21.4279186657529</v>
      </c>
      <c r="AV19" s="356"/>
      <c r="AW19" s="357"/>
      <c r="AX19" s="361" t="n">
        <f aca="false">I19-AH19</f>
        <v>0.0123000000000104</v>
      </c>
      <c r="AY19" s="271" t="n">
        <f aca="false">100*AX19/F19</f>
        <v>0.273126970733455</v>
      </c>
      <c r="AZ19" s="356"/>
      <c r="BA19" s="357"/>
      <c r="BB19" s="278" t="n">
        <f aca="false">O19-AN19</f>
        <v>0.109800000000007</v>
      </c>
      <c r="BC19" s="271" t="n">
        <f aca="false">100*BB19/F19</f>
        <v>2.43815783630162</v>
      </c>
      <c r="BD19" s="271"/>
      <c r="BE19" s="362"/>
      <c r="BF19" s="278" t="n">
        <f aca="false">U19-AT19</f>
        <v>0.00430000000000064</v>
      </c>
      <c r="BG19" s="271" t="n">
        <f aca="false">100*BF19/F19</f>
        <v>0.0954834125327672</v>
      </c>
      <c r="BH19" s="356"/>
      <c r="BI19" s="357"/>
      <c r="BJ19" s="271" t="n">
        <f aca="false">AY19+BC19+BG19</f>
        <v>2.80676821956784</v>
      </c>
      <c r="BK19" s="271"/>
      <c r="BL19" s="362"/>
      <c r="BM19" s="271" t="n">
        <f aca="false">100*BB19/O19</f>
        <v>3.4718269778033</v>
      </c>
      <c r="BN19" s="271"/>
      <c r="BO19" s="363"/>
      <c r="BP19" s="65"/>
      <c r="BQ19" s="20"/>
      <c r="BR19" s="20"/>
    </row>
    <row r="20" customFormat="false" ht="12.8" hidden="false" customHeight="false" outlineLevel="0" collapsed="false">
      <c r="B20" s="343"/>
      <c r="C20" s="84"/>
      <c r="D20" s="84"/>
      <c r="E20" s="84" t="n">
        <v>8</v>
      </c>
      <c r="F20" s="365" t="n">
        <f aca="false">I20+O20+U20</f>
        <v>4.3982</v>
      </c>
      <c r="G20" s="366" t="n">
        <v>58.63</v>
      </c>
      <c r="H20" s="366" t="n">
        <v>58.9329</v>
      </c>
      <c r="I20" s="366" t="n">
        <f aca="false">H20-G20</f>
        <v>0.302899999999994</v>
      </c>
      <c r="J20" s="367" t="n">
        <f aca="false">100*I20/F20</f>
        <v>6.88690828066014</v>
      </c>
      <c r="K20" s="367"/>
      <c r="L20" s="368"/>
      <c r="M20" s="366" t="n">
        <v>70.734</v>
      </c>
      <c r="N20" s="366" t="n">
        <v>73.9435</v>
      </c>
      <c r="O20" s="366" t="n">
        <f aca="false">N20-M20</f>
        <v>3.20950000000001</v>
      </c>
      <c r="P20" s="367" t="n">
        <f aca="false">100*O20/F20</f>
        <v>72.9730344231733</v>
      </c>
      <c r="Q20" s="367"/>
      <c r="R20" s="368"/>
      <c r="S20" s="366" t="n">
        <v>58.587</v>
      </c>
      <c r="T20" s="366" t="n">
        <v>59.4728</v>
      </c>
      <c r="U20" s="366" t="n">
        <f aca="false">T20-S20</f>
        <v>0.885799999999996</v>
      </c>
      <c r="V20" s="367" t="n">
        <f aca="false">100*U20/F20</f>
        <v>20.1400572961665</v>
      </c>
      <c r="W20" s="367"/>
      <c r="X20" s="368"/>
      <c r="Y20" s="367" t="n">
        <f aca="false">100*O20/(I20+O20+U20)</f>
        <v>72.9730344231733</v>
      </c>
      <c r="Z20" s="367"/>
      <c r="AA20" s="367"/>
      <c r="AB20" s="369"/>
      <c r="AC20" s="84"/>
      <c r="AD20" s="84" t="n">
        <v>8</v>
      </c>
      <c r="AE20" s="365" t="n">
        <f aca="false">AH20+AN20+AT20</f>
        <v>4.24899999999999</v>
      </c>
      <c r="AF20" s="366" t="n">
        <v>58.63</v>
      </c>
      <c r="AG20" s="366" t="n">
        <v>58.922</v>
      </c>
      <c r="AH20" s="366" t="n">
        <f aca="false">AG20-AF20</f>
        <v>0.291999999999994</v>
      </c>
      <c r="AI20" s="367" t="n">
        <f aca="false">100*AH20/AE20</f>
        <v>6.87220522475866</v>
      </c>
      <c r="AJ20" s="367"/>
      <c r="AK20" s="368"/>
      <c r="AL20" s="366" t="n">
        <v>70.734</v>
      </c>
      <c r="AM20" s="366" t="n">
        <v>73.8093</v>
      </c>
      <c r="AN20" s="366" t="n">
        <f aca="false">AM20-AL20</f>
        <v>3.0753</v>
      </c>
      <c r="AO20" s="367" t="n">
        <f aca="false">100*AN20/AE20</f>
        <v>72.3770298893859</v>
      </c>
      <c r="AP20" s="367"/>
      <c r="AQ20" s="368"/>
      <c r="AR20" s="366" t="n">
        <v>58.587</v>
      </c>
      <c r="AS20" s="366" t="n">
        <v>59.4687</v>
      </c>
      <c r="AT20" s="366" t="n">
        <f aca="false">AS20-AR20</f>
        <v>0.881699999999995</v>
      </c>
      <c r="AU20" s="367" t="n">
        <f aca="false">100*AT20/AE20</f>
        <v>20.7507648858554</v>
      </c>
      <c r="AV20" s="367"/>
      <c r="AW20" s="368"/>
      <c r="AX20" s="370" t="n">
        <f aca="false">I20-AH20</f>
        <v>0.0108999999999995</v>
      </c>
      <c r="AY20" s="371" t="n">
        <f aca="false">100*AX20/F20</f>
        <v>0.247828657177924</v>
      </c>
      <c r="AZ20" s="367"/>
      <c r="BA20" s="368"/>
      <c r="BB20" s="366" t="n">
        <f aca="false">O20-AN20</f>
        <v>0.134200000000007</v>
      </c>
      <c r="BC20" s="371" t="n">
        <f aca="false">100*BB20/F20</f>
        <v>3.05124823791567</v>
      </c>
      <c r="BD20" s="371"/>
      <c r="BE20" s="372"/>
      <c r="BF20" s="366" t="n">
        <f aca="false">U20-AT20</f>
        <v>0.0041000000000011</v>
      </c>
      <c r="BG20" s="371" t="n">
        <f aca="false">100*BF20/F20</f>
        <v>0.0932199536174141</v>
      </c>
      <c r="BH20" s="367"/>
      <c r="BI20" s="368"/>
      <c r="BJ20" s="371" t="n">
        <f aca="false">AY20+BC20+BG20</f>
        <v>3.39229684871101</v>
      </c>
      <c r="BK20" s="371"/>
      <c r="BL20" s="372"/>
      <c r="BM20" s="371" t="n">
        <f aca="false">100*BB20/O20</f>
        <v>4.18133665680034</v>
      </c>
      <c r="BN20" s="371"/>
      <c r="BO20" s="371"/>
      <c r="BP20" s="65"/>
      <c r="BQ20" s="20"/>
      <c r="BR20" s="20"/>
    </row>
    <row r="21" customFormat="false" ht="12.8" hidden="false" customHeight="false" outlineLevel="0" collapsed="false">
      <c r="B21" s="343"/>
      <c r="C21" s="76" t="s">
        <v>156</v>
      </c>
      <c r="D21" s="76" t="s">
        <v>171</v>
      </c>
      <c r="E21" s="76" t="n">
        <v>2</v>
      </c>
      <c r="F21" s="354" t="n">
        <f aca="false">I21+O21+U21</f>
        <v>4.50789999999999</v>
      </c>
      <c r="G21" s="278" t="n">
        <v>63.23</v>
      </c>
      <c r="H21" s="278" t="n">
        <v>63.7376</v>
      </c>
      <c r="I21" s="278" t="n">
        <f aca="false">H21-G21</f>
        <v>0.507600000000004</v>
      </c>
      <c r="J21" s="356" t="n">
        <f aca="false">100*I21/F21</f>
        <v>11.2602320370905</v>
      </c>
      <c r="K21" s="375" t="n">
        <f aca="false">AVERAGE(J21:J27)</f>
        <v>10.6291111327831</v>
      </c>
      <c r="L21" s="376" t="n">
        <f aca="false">STDEV(J21:J27)</f>
        <v>2.51319908716622</v>
      </c>
      <c r="M21" s="278" t="n">
        <v>61.932</v>
      </c>
      <c r="N21" s="278" t="n">
        <v>64.877</v>
      </c>
      <c r="O21" s="358" t="n">
        <f aca="false">N21-M21</f>
        <v>2.94499999999999</v>
      </c>
      <c r="P21" s="356" t="n">
        <f aca="false">100*O21/F21</f>
        <v>65.3297544311098</v>
      </c>
      <c r="Q21" s="375" t="n">
        <f aca="false">AVERAGE(P21:P27)</f>
        <v>66.2771958987949</v>
      </c>
      <c r="R21" s="376" t="n">
        <f aca="false">STDEV(P21:P27)</f>
        <v>2.46334190612882</v>
      </c>
      <c r="S21" s="278" t="n">
        <v>59.124</v>
      </c>
      <c r="T21" s="278" t="n">
        <v>60.1793</v>
      </c>
      <c r="U21" s="278" t="n">
        <f aca="false">T21-S21</f>
        <v>1.0553</v>
      </c>
      <c r="V21" s="356" t="n">
        <f aca="false">100*U21/F21</f>
        <v>23.4100135317997</v>
      </c>
      <c r="W21" s="356" t="n">
        <f aca="false">QUARTILE(V21:V27,1)-(1.5*(QUARTILE(V21:V27,3)-QUARTILE(V21:V27,1)))</f>
        <v>18.0007585134572</v>
      </c>
      <c r="X21" s="357"/>
      <c r="Y21" s="356" t="n">
        <f aca="false">100*O21/(I21+O21+U21)</f>
        <v>65.3297544311098</v>
      </c>
      <c r="Z21" s="375" t="n">
        <f aca="false">AVERAGE(Y21:Y27)</f>
        <v>66.2771958987949</v>
      </c>
      <c r="AA21" s="375" t="n">
        <f aca="false">STDEV(Y21:Y27)</f>
        <v>2.46334190612882</v>
      </c>
      <c r="AB21" s="360"/>
      <c r="AC21" s="76"/>
      <c r="AD21" s="76" t="n">
        <v>2</v>
      </c>
      <c r="AE21" s="354" t="n">
        <f aca="false">AH21+AN21+AT21</f>
        <v>4.402</v>
      </c>
      <c r="AF21" s="278" t="n">
        <v>63.23</v>
      </c>
      <c r="AG21" s="278" t="n">
        <v>63.7218</v>
      </c>
      <c r="AH21" s="278" t="n">
        <f aca="false">AG21-AF21</f>
        <v>0.491800000000005</v>
      </c>
      <c r="AI21" s="356" t="n">
        <f aca="false">100*AH21/AE21</f>
        <v>11.1721944570651</v>
      </c>
      <c r="AJ21" s="375" t="n">
        <f aca="false">AVERAGE(AI21:AI28)</f>
        <v>10.584151860834</v>
      </c>
      <c r="AK21" s="376" t="n">
        <f aca="false">STDEV(AI21:AI28)</f>
        <v>2.50749457914245</v>
      </c>
      <c r="AL21" s="278" t="n">
        <v>61.932</v>
      </c>
      <c r="AM21" s="278" t="n">
        <v>64.7885</v>
      </c>
      <c r="AN21" s="358" t="n">
        <f aca="false">AM21-AL21</f>
        <v>2.8565</v>
      </c>
      <c r="AO21" s="356" t="n">
        <f aca="false">100*AN21/AE21</f>
        <v>64.8909586551567</v>
      </c>
      <c r="AP21" s="375" t="n">
        <f aca="false">AVERAGE(AO21:AO28)</f>
        <v>65.7050161056007</v>
      </c>
      <c r="AQ21" s="376" t="n">
        <f aca="false">STDEV(AO21:AO28)</f>
        <v>2.48159766049191</v>
      </c>
      <c r="AR21" s="278" t="n">
        <v>59.124</v>
      </c>
      <c r="AS21" s="278" t="n">
        <v>60.1777</v>
      </c>
      <c r="AT21" s="278" t="n">
        <f aca="false">AS21-AR21</f>
        <v>1.0537</v>
      </c>
      <c r="AU21" s="356" t="n">
        <f aca="false">100*AT21/AE21</f>
        <v>23.9368468877783</v>
      </c>
      <c r="AV21" s="375" t="n">
        <f aca="false">AVERAGE(AU21:AU28)</f>
        <v>23.7108320335654</v>
      </c>
      <c r="AW21" s="376" t="n">
        <f aca="false">STDEV(AU21:AU28)</f>
        <v>2.81107858575985</v>
      </c>
      <c r="AX21" s="361" t="n">
        <f aca="false">I21-AH21</f>
        <v>0.0157999999999987</v>
      </c>
      <c r="AY21" s="271" t="n">
        <f aca="false">100*AX21/F21</f>
        <v>0.350495796268744</v>
      </c>
      <c r="AZ21" s="375" t="n">
        <f aca="false">AVERAGE(AY21:AY27)</f>
        <v>0.360158718425261</v>
      </c>
      <c r="BA21" s="376" t="n">
        <f aca="false">STDEV(AY21:AY27)</f>
        <v>0.0829563449648994</v>
      </c>
      <c r="BB21" s="278" t="n">
        <f aca="false">O21-AN21</f>
        <v>0.0884999999999963</v>
      </c>
      <c r="BC21" s="271" t="n">
        <f aca="false">100*BB21/F21</f>
        <v>1.96322012466994</v>
      </c>
      <c r="BD21" s="379" t="n">
        <f aca="false">AVERAGE(BC21:BC27)</f>
        <v>2.54658463227648</v>
      </c>
      <c r="BE21" s="380" t="n">
        <f aca="false">STDEV(BC21:BC27)</f>
        <v>0.351747316296439</v>
      </c>
      <c r="BF21" s="278" t="n">
        <f aca="false">U21-AT21</f>
        <v>0.00159999999999627</v>
      </c>
      <c r="BG21" s="271" t="n">
        <f aca="false">100*BF21/F21</f>
        <v>0.0354932451916918</v>
      </c>
      <c r="BH21" s="375" t="n">
        <f aca="false">AVERAGE(BG21:BG27)</f>
        <v>0.0948430925622763</v>
      </c>
      <c r="BI21" s="376" t="n">
        <f aca="false">STDEV(BG21:BG27)</f>
        <v>0.0372793668169469</v>
      </c>
      <c r="BJ21" s="271" t="n">
        <f aca="false">AY21+BC21+BG21</f>
        <v>2.34920916613038</v>
      </c>
      <c r="BK21" s="379" t="n">
        <f aca="false">AVERAGE(BJ21:BJ27)</f>
        <v>3.00158644326402</v>
      </c>
      <c r="BL21" s="380" t="n">
        <f aca="false">STDEV(BJ21:BJ27)</f>
        <v>0.385445966066179</v>
      </c>
      <c r="BM21" s="271" t="n">
        <f aca="false">100*BB21/O21</f>
        <v>3.00509337860769</v>
      </c>
      <c r="BN21" s="379" t="n">
        <f aca="false">AVERAGE(BM21:BM27)</f>
        <v>3.84036233451508</v>
      </c>
      <c r="BO21" s="379" t="n">
        <f aca="false">STDEV(BM21:BM27)</f>
        <v>0.498385396241668</v>
      </c>
      <c r="BP21" s="65"/>
      <c r="BQ21" s="20"/>
      <c r="BR21" s="20"/>
    </row>
    <row r="22" customFormat="false" ht="12.8" hidden="false" customHeight="false" outlineLevel="0" collapsed="false">
      <c r="B22" s="343"/>
      <c r="C22" s="76"/>
      <c r="D22" s="76"/>
      <c r="E22" s="76" t="n">
        <v>3</v>
      </c>
      <c r="F22" s="354" t="n">
        <f aca="false">I22+O22+U22</f>
        <v>3.8968</v>
      </c>
      <c r="G22" s="278" t="n">
        <v>67.714</v>
      </c>
      <c r="H22" s="278" t="n">
        <v>68.1437</v>
      </c>
      <c r="I22" s="278" t="n">
        <f aca="false">H22-G22</f>
        <v>0.429699999999997</v>
      </c>
      <c r="J22" s="356" t="n">
        <f aca="false">100*I22/F22</f>
        <v>11.0269965099568</v>
      </c>
      <c r="K22" s="356"/>
      <c r="L22" s="357"/>
      <c r="M22" s="278" t="n">
        <v>64.977</v>
      </c>
      <c r="N22" s="278" t="n">
        <v>67.5571</v>
      </c>
      <c r="O22" s="358" t="n">
        <f aca="false">N22-M22</f>
        <v>2.5801</v>
      </c>
      <c r="P22" s="356" t="n">
        <f aca="false">100*O22/F22</f>
        <v>66.2107370149867</v>
      </c>
      <c r="Q22" s="356"/>
      <c r="R22" s="357"/>
      <c r="S22" s="278" t="n">
        <v>62.589</v>
      </c>
      <c r="T22" s="278" t="n">
        <v>63.476</v>
      </c>
      <c r="U22" s="278" t="n">
        <f aca="false">T22-S22</f>
        <v>0.887</v>
      </c>
      <c r="V22" s="356" t="n">
        <f aca="false">100*U22/F22</f>
        <v>22.7622664750565</v>
      </c>
      <c r="W22" s="356"/>
      <c r="X22" s="357"/>
      <c r="Y22" s="356" t="n">
        <f aca="false">100*O22/(I22+O22+U22)</f>
        <v>66.2107370149867</v>
      </c>
      <c r="Z22" s="356"/>
      <c r="AA22" s="359"/>
      <c r="AB22" s="360"/>
      <c r="AC22" s="76"/>
      <c r="AD22" s="76" t="n">
        <v>3</v>
      </c>
      <c r="AE22" s="354" t="n">
        <f aca="false">AH22+AN22+AT22</f>
        <v>3.7717</v>
      </c>
      <c r="AF22" s="278" t="n">
        <v>67.714</v>
      </c>
      <c r="AG22" s="278" t="n">
        <v>68.1265</v>
      </c>
      <c r="AH22" s="278" t="n">
        <f aca="false">AG22-AF22</f>
        <v>0.412499999999994</v>
      </c>
      <c r="AI22" s="356" t="n">
        <f aca="false">100*AH22/AE22</f>
        <v>10.9367128880875</v>
      </c>
      <c r="AJ22" s="356"/>
      <c r="AK22" s="357"/>
      <c r="AL22" s="278" t="n">
        <v>64.977</v>
      </c>
      <c r="AM22" s="278" t="n">
        <v>67.4525</v>
      </c>
      <c r="AN22" s="358" t="n">
        <f aca="false">AM22-AL22</f>
        <v>2.4755</v>
      </c>
      <c r="AO22" s="356" t="n">
        <f aca="false">100*AN22/AE22</f>
        <v>65.6335339502081</v>
      </c>
      <c r="AP22" s="356"/>
      <c r="AQ22" s="357"/>
      <c r="AR22" s="278" t="n">
        <v>62.589</v>
      </c>
      <c r="AS22" s="278" t="n">
        <v>63.4727</v>
      </c>
      <c r="AT22" s="278" t="n">
        <f aca="false">AS22-AR22</f>
        <v>0.883700000000005</v>
      </c>
      <c r="AU22" s="356" t="n">
        <f aca="false">100*AT22/AE22</f>
        <v>23.4297531617044</v>
      </c>
      <c r="AV22" s="356"/>
      <c r="AW22" s="357"/>
      <c r="AX22" s="361" t="n">
        <f aca="false">I22-AH22</f>
        <v>0.0172000000000025</v>
      </c>
      <c r="AY22" s="271" t="n">
        <f aca="false">100*AX22/F22</f>
        <v>0.441387805378838</v>
      </c>
      <c r="AZ22" s="356"/>
      <c r="BA22" s="357"/>
      <c r="BB22" s="278" t="n">
        <f aca="false">O22-AN22</f>
        <v>0.104600000000005</v>
      </c>
      <c r="BC22" s="271" t="n">
        <f aca="false">100*BB22/F22</f>
        <v>2.68425374666406</v>
      </c>
      <c r="BD22" s="271"/>
      <c r="BE22" s="362"/>
      <c r="BF22" s="278" t="n">
        <f aca="false">U22-AT22</f>
        <v>0.00329999999999586</v>
      </c>
      <c r="BG22" s="271" t="n">
        <f aca="false">100*BF22/F22</f>
        <v>0.0846848696365188</v>
      </c>
      <c r="BH22" s="356"/>
      <c r="BI22" s="357"/>
      <c r="BJ22" s="271" t="n">
        <f aca="false">AY22+BC22+BG22</f>
        <v>3.21032642167941</v>
      </c>
      <c r="BK22" s="271"/>
      <c r="BL22" s="362"/>
      <c r="BM22" s="271" t="n">
        <f aca="false">100*BB22/O22</f>
        <v>4.05410642998352</v>
      </c>
      <c r="BN22" s="271"/>
      <c r="BO22" s="363"/>
      <c r="BP22" s="65"/>
      <c r="BQ22" s="20"/>
      <c r="BR22" s="20"/>
    </row>
    <row r="23" customFormat="false" ht="12.8" hidden="false" customHeight="false" outlineLevel="0" collapsed="false">
      <c r="B23" s="343"/>
      <c r="C23" s="76"/>
      <c r="D23" s="76"/>
      <c r="E23" s="76" t="n">
        <v>4</v>
      </c>
      <c r="F23" s="354" t="n">
        <f aca="false">I23+O23+U23</f>
        <v>4.37439999999999</v>
      </c>
      <c r="G23" s="278" t="n">
        <v>66.62</v>
      </c>
      <c r="H23" s="278" t="n">
        <v>67.2893</v>
      </c>
      <c r="I23" s="278" t="n">
        <f aca="false">H23-G23</f>
        <v>0.669299999999993</v>
      </c>
      <c r="J23" s="356" t="n">
        <f aca="false">100*I23/F23</f>
        <v>15.3003840526699</v>
      </c>
      <c r="K23" s="356"/>
      <c r="L23" s="357"/>
      <c r="M23" s="278" t="n">
        <v>64.263</v>
      </c>
      <c r="N23" s="278" t="n">
        <v>67.1828</v>
      </c>
      <c r="O23" s="358" t="n">
        <f aca="false">N23-M23</f>
        <v>2.9198</v>
      </c>
      <c r="P23" s="356" t="n">
        <f aca="false">100*O23/F23</f>
        <v>66.7474396488661</v>
      </c>
      <c r="Q23" s="356"/>
      <c r="R23" s="357"/>
      <c r="S23" s="278" t="n">
        <v>63.366</v>
      </c>
      <c r="T23" s="278" t="n">
        <v>64.1513</v>
      </c>
      <c r="U23" s="278" t="n">
        <f aca="false">T23-S23</f>
        <v>0.785300000000007</v>
      </c>
      <c r="V23" s="356" t="n">
        <f aca="false">100*U23/F23</f>
        <v>17.952176298464</v>
      </c>
      <c r="W23" s="356"/>
      <c r="X23" s="357"/>
      <c r="Y23" s="356" t="n">
        <f aca="false">100*O23/(I23+O23+U23)</f>
        <v>66.7474396488661</v>
      </c>
      <c r="Z23" s="356"/>
      <c r="AA23" s="359"/>
      <c r="AB23" s="360"/>
      <c r="AC23" s="76"/>
      <c r="AD23" s="76" t="n">
        <v>4</v>
      </c>
      <c r="AE23" s="354" t="n">
        <f aca="false">AH23+AN23+AT23</f>
        <v>4.2426</v>
      </c>
      <c r="AF23" s="278" t="n">
        <v>66.62</v>
      </c>
      <c r="AG23" s="278" t="n">
        <v>67.2677</v>
      </c>
      <c r="AH23" s="278" t="n">
        <f aca="false">AG23-AF23</f>
        <v>0.6477</v>
      </c>
      <c r="AI23" s="356" t="n">
        <f aca="false">100*AH23/AE23</f>
        <v>15.2665818130392</v>
      </c>
      <c r="AJ23" s="356"/>
      <c r="AK23" s="357"/>
      <c r="AL23" s="278" t="n">
        <v>64.263</v>
      </c>
      <c r="AM23" s="278" t="n">
        <v>67.0756</v>
      </c>
      <c r="AN23" s="358" t="n">
        <f aca="false">AM23-AL23</f>
        <v>2.81259999999999</v>
      </c>
      <c r="AO23" s="356" t="n">
        <f aca="false">100*AN23/AE23</f>
        <v>66.2942535237824</v>
      </c>
      <c r="AP23" s="356"/>
      <c r="AQ23" s="357"/>
      <c r="AR23" s="278" t="n">
        <v>63.366</v>
      </c>
      <c r="AS23" s="278" t="n">
        <v>64.1483</v>
      </c>
      <c r="AT23" s="278" t="n">
        <f aca="false">AS23-AR23</f>
        <v>0.782300000000006</v>
      </c>
      <c r="AU23" s="356" t="n">
        <f aca="false">100*AT23/AE23</f>
        <v>18.4391646631784</v>
      </c>
      <c r="AV23" s="356"/>
      <c r="AW23" s="357"/>
      <c r="AX23" s="361" t="n">
        <f aca="false">I23-AH23</f>
        <v>0.0215999999999923</v>
      </c>
      <c r="AY23" s="271" t="n">
        <f aca="false">100*AX23/F23</f>
        <v>0.493782004388998</v>
      </c>
      <c r="AZ23" s="356"/>
      <c r="BA23" s="357"/>
      <c r="BB23" s="278" t="n">
        <f aca="false">O23-AN23</f>
        <v>0.107200000000006</v>
      </c>
      <c r="BC23" s="271" t="n">
        <f aca="false">100*BB23/F23</f>
        <v>2.45062179956122</v>
      </c>
      <c r="BD23" s="271"/>
      <c r="BE23" s="362"/>
      <c r="BF23" s="278" t="n">
        <f aca="false">U23-AT23</f>
        <v>0.00300000000000011</v>
      </c>
      <c r="BG23" s="271" t="n">
        <f aca="false">100*BF23/F23</f>
        <v>0.0685808339429434</v>
      </c>
      <c r="BH23" s="356"/>
      <c r="BI23" s="357"/>
      <c r="BJ23" s="271" t="n">
        <f aca="false">AY23+BC23+BG23</f>
        <v>3.01298463789316</v>
      </c>
      <c r="BK23" s="271"/>
      <c r="BL23" s="362"/>
      <c r="BM23" s="271" t="n">
        <f aca="false">100*BB23/O23</f>
        <v>3.67148434824324</v>
      </c>
      <c r="BN23" s="271"/>
      <c r="BO23" s="363"/>
      <c r="BP23" s="65"/>
      <c r="BQ23" s="20"/>
      <c r="BR23" s="20"/>
    </row>
    <row r="24" customFormat="false" ht="12.8" hidden="false" customHeight="false" outlineLevel="0" collapsed="false">
      <c r="B24" s="343"/>
      <c r="C24" s="76"/>
      <c r="D24" s="76"/>
      <c r="E24" s="76" t="n">
        <v>5</v>
      </c>
      <c r="F24" s="354" t="n">
        <f aca="false">I24+O24+U24</f>
        <v>4.29290000000001</v>
      </c>
      <c r="G24" s="278" t="n">
        <v>67.001</v>
      </c>
      <c r="H24" s="278" t="n">
        <v>67.3251</v>
      </c>
      <c r="I24" s="278" t="n">
        <f aca="false">H24-G24</f>
        <v>0.324100000000001</v>
      </c>
      <c r="J24" s="356" t="n">
        <f aca="false">100*I24/F24</f>
        <v>7.5496750448415</v>
      </c>
      <c r="K24" s="356"/>
      <c r="L24" s="357"/>
      <c r="M24" s="278" t="n">
        <v>62.62</v>
      </c>
      <c r="N24" s="278" t="n">
        <v>65.6641</v>
      </c>
      <c r="O24" s="358" t="n">
        <f aca="false">N24-M24</f>
        <v>3.04410000000001</v>
      </c>
      <c r="P24" s="356" t="n">
        <f aca="false">100*O24/F24</f>
        <v>70.9101073866151</v>
      </c>
      <c r="Q24" s="356"/>
      <c r="R24" s="357"/>
      <c r="S24" s="278" t="n">
        <v>61.777</v>
      </c>
      <c r="T24" s="278" t="n">
        <v>62.7017</v>
      </c>
      <c r="U24" s="278" t="n">
        <f aca="false">T24-S24</f>
        <v>0.924700000000001</v>
      </c>
      <c r="V24" s="356" t="n">
        <f aca="false">100*U24/F24</f>
        <v>21.5402175685434</v>
      </c>
      <c r="W24" s="356"/>
      <c r="X24" s="357"/>
      <c r="Y24" s="356" t="n">
        <f aca="false">100*O24/(I24+O24+U24)</f>
        <v>70.9101073866151</v>
      </c>
      <c r="Z24" s="356"/>
      <c r="AA24" s="359"/>
      <c r="AB24" s="360"/>
      <c r="AC24" s="76"/>
      <c r="AD24" s="76" t="n">
        <v>5</v>
      </c>
      <c r="AE24" s="354" t="n">
        <f aca="false">AH24+AN24+AT24</f>
        <v>4.16409999999998</v>
      </c>
      <c r="AF24" s="278" t="n">
        <v>67.001</v>
      </c>
      <c r="AG24" s="278" t="n">
        <v>67.3145</v>
      </c>
      <c r="AH24" s="278" t="n">
        <f aca="false">AG24-AF24</f>
        <v>0.313499999999991</v>
      </c>
      <c r="AI24" s="356" t="n">
        <f aca="false">100*AH24/AE24</f>
        <v>7.52863764078653</v>
      </c>
      <c r="AJ24" s="356"/>
      <c r="AK24" s="357"/>
      <c r="AL24" s="278" t="n">
        <v>62.62</v>
      </c>
      <c r="AM24" s="278" t="n">
        <v>65.5503</v>
      </c>
      <c r="AN24" s="358" t="n">
        <f aca="false">AM24-AL24</f>
        <v>2.9303</v>
      </c>
      <c r="AO24" s="356" t="n">
        <f aca="false">100*AN24/AE24</f>
        <v>70.3705482577269</v>
      </c>
      <c r="AP24" s="356"/>
      <c r="AQ24" s="357"/>
      <c r="AR24" s="278" t="n">
        <v>61.777</v>
      </c>
      <c r="AS24" s="278" t="n">
        <v>62.6973</v>
      </c>
      <c r="AT24" s="278" t="n">
        <f aca="false">AS24-AR24</f>
        <v>0.920299999999997</v>
      </c>
      <c r="AU24" s="356" t="n">
        <f aca="false">100*AT24/AE24</f>
        <v>22.1008141014865</v>
      </c>
      <c r="AV24" s="356"/>
      <c r="AW24" s="357"/>
      <c r="AX24" s="361" t="n">
        <f aca="false">I24-AH24</f>
        <v>0.0106000000000108</v>
      </c>
      <c r="AY24" s="271" t="n">
        <f aca="false">100*AX24/F24</f>
        <v>0.246919331920399</v>
      </c>
      <c r="AZ24" s="356"/>
      <c r="BA24" s="357"/>
      <c r="BB24" s="278" t="n">
        <f aca="false">O24-AN24</f>
        <v>0.113800000000012</v>
      </c>
      <c r="BC24" s="271" t="n">
        <f aca="false">100*BB24/F24</f>
        <v>2.65088867665242</v>
      </c>
      <c r="BD24" s="271"/>
      <c r="BE24" s="362"/>
      <c r="BF24" s="278" t="n">
        <f aca="false">U24-AT24</f>
        <v>0.00440000000000396</v>
      </c>
      <c r="BG24" s="271" t="n">
        <f aca="false">100*BF24/F24</f>
        <v>0.102494817023549</v>
      </c>
      <c r="BH24" s="356"/>
      <c r="BI24" s="357"/>
      <c r="BJ24" s="271" t="n">
        <f aca="false">AY24+BC24+BG24</f>
        <v>3.00030282559637</v>
      </c>
      <c r="BK24" s="271"/>
      <c r="BL24" s="362"/>
      <c r="BM24" s="271" t="n">
        <f aca="false">100*BB24/O24</f>
        <v>3.73837915968633</v>
      </c>
      <c r="BN24" s="271"/>
      <c r="BO24" s="363"/>
      <c r="BP24" s="65"/>
      <c r="BQ24" s="20"/>
      <c r="BR24" s="20"/>
    </row>
    <row r="25" customFormat="false" ht="12.8" hidden="false" customHeight="false" outlineLevel="0" collapsed="false">
      <c r="B25" s="343"/>
      <c r="C25" s="76"/>
      <c r="D25" s="76"/>
      <c r="E25" s="76" t="n">
        <v>6</v>
      </c>
      <c r="F25" s="354" t="n">
        <f aca="false">I25+O25+U25</f>
        <v>4.42750000000001</v>
      </c>
      <c r="G25" s="278" t="n">
        <v>62.297</v>
      </c>
      <c r="H25" s="278" t="n">
        <v>62.7864</v>
      </c>
      <c r="I25" s="278" t="n">
        <f aca="false">H25-G25</f>
        <v>0.489400000000003</v>
      </c>
      <c r="J25" s="356" t="n">
        <f aca="false">100*I25/F25</f>
        <v>11.0536420101638</v>
      </c>
      <c r="K25" s="356"/>
      <c r="L25" s="357"/>
      <c r="M25" s="278" t="n">
        <v>53.745</v>
      </c>
      <c r="N25" s="278" t="n">
        <v>56.5251</v>
      </c>
      <c r="O25" s="358" t="n">
        <f aca="false">N25-M25</f>
        <v>2.7801</v>
      </c>
      <c r="P25" s="356" t="n">
        <f aca="false">100*O25/F25</f>
        <v>62.7916431394692</v>
      </c>
      <c r="Q25" s="356"/>
      <c r="R25" s="357"/>
      <c r="S25" s="278" t="n">
        <v>39.657</v>
      </c>
      <c r="T25" s="278" t="n">
        <v>40.815</v>
      </c>
      <c r="U25" s="278" t="n">
        <f aca="false">T25-S25</f>
        <v>1.158</v>
      </c>
      <c r="V25" s="356" t="n">
        <f aca="false">100*U25/F25</f>
        <v>26.154714850367</v>
      </c>
      <c r="W25" s="356"/>
      <c r="X25" s="357"/>
      <c r="Y25" s="356" t="n">
        <f aca="false">100*O25/(I25+O25+U25)</f>
        <v>62.7916431394692</v>
      </c>
      <c r="Z25" s="356"/>
      <c r="AA25" s="359"/>
      <c r="AB25" s="360"/>
      <c r="AC25" s="76"/>
      <c r="AD25" s="76" t="n">
        <v>6</v>
      </c>
      <c r="AE25" s="354" t="n">
        <f aca="false">AH25+AN25+AT25</f>
        <v>4.30880000000001</v>
      </c>
      <c r="AF25" s="278" t="n">
        <v>62.297</v>
      </c>
      <c r="AG25" s="278" t="n">
        <v>62.7727</v>
      </c>
      <c r="AH25" s="278" t="n">
        <f aca="false">AG25-AF25</f>
        <v>0.475700000000003</v>
      </c>
      <c r="AI25" s="356" t="n">
        <f aca="false">100*AH25/AE25</f>
        <v>11.0401968065355</v>
      </c>
      <c r="AJ25" s="356"/>
      <c r="AK25" s="357"/>
      <c r="AL25" s="278" t="n">
        <v>53.745</v>
      </c>
      <c r="AM25" s="278" t="n">
        <v>56.4243</v>
      </c>
      <c r="AN25" s="358" t="n">
        <f aca="false">AM25-AL25</f>
        <v>2.6793</v>
      </c>
      <c r="AO25" s="356" t="n">
        <f aca="false">100*AN25/AE25</f>
        <v>62.1820460453026</v>
      </c>
      <c r="AP25" s="356"/>
      <c r="AQ25" s="357"/>
      <c r="AR25" s="278" t="n">
        <v>39.657</v>
      </c>
      <c r="AS25" s="278" t="n">
        <v>40.8108</v>
      </c>
      <c r="AT25" s="278" t="n">
        <f aca="false">AS25-AR25</f>
        <v>1.1538</v>
      </c>
      <c r="AU25" s="356" t="n">
        <f aca="false">100*AT25/AE25</f>
        <v>26.7777571481619</v>
      </c>
      <c r="AV25" s="356"/>
      <c r="AW25" s="357"/>
      <c r="AX25" s="361" t="n">
        <f aca="false">I25-AH25</f>
        <v>0.0137</v>
      </c>
      <c r="AY25" s="271" t="n">
        <f aca="false">100*AX25/F25</f>
        <v>0.309429700734049</v>
      </c>
      <c r="AZ25" s="356"/>
      <c r="BA25" s="357"/>
      <c r="BB25" s="278" t="n">
        <f aca="false">O25-AN25</f>
        <v>0.1008</v>
      </c>
      <c r="BC25" s="271" t="n">
        <f aca="false">100*BB25/F25</f>
        <v>2.27667984189722</v>
      </c>
      <c r="BD25" s="271"/>
      <c r="BE25" s="362"/>
      <c r="BF25" s="278" t="n">
        <f aca="false">U25-AT25</f>
        <v>0.00419999999999732</v>
      </c>
      <c r="BG25" s="271" t="n">
        <f aca="false">100*BF25/F25</f>
        <v>0.0948616600789906</v>
      </c>
      <c r="BH25" s="356"/>
      <c r="BI25" s="357"/>
      <c r="BJ25" s="271" t="n">
        <f aca="false">AY25+BC25+BG25</f>
        <v>2.68097120271026</v>
      </c>
      <c r="BK25" s="271"/>
      <c r="BL25" s="362"/>
      <c r="BM25" s="271" t="n">
        <f aca="false">100*BB25/O25</f>
        <v>3.62576885723533</v>
      </c>
      <c r="BN25" s="271"/>
      <c r="BO25" s="363"/>
      <c r="BP25" s="65"/>
      <c r="BQ25" s="20"/>
      <c r="BR25" s="20"/>
      <c r="CB25" s="381"/>
    </row>
    <row r="26" customFormat="false" ht="12.8" hidden="false" customHeight="false" outlineLevel="0" collapsed="false">
      <c r="B26" s="343"/>
      <c r="C26" s="76"/>
      <c r="D26" s="76"/>
      <c r="E26" s="76" t="n">
        <v>7</v>
      </c>
      <c r="F26" s="354" t="n">
        <f aca="false">I26+O26+U26</f>
        <v>4.54020000000001</v>
      </c>
      <c r="G26" s="278" t="n">
        <v>62.391</v>
      </c>
      <c r="H26" s="278" t="n">
        <v>62.769</v>
      </c>
      <c r="I26" s="278" t="n">
        <f aca="false">H26-G26</f>
        <v>0.378</v>
      </c>
      <c r="J26" s="356" t="n">
        <f aca="false">100*I26/F26</f>
        <v>8.32562442183163</v>
      </c>
      <c r="K26" s="356"/>
      <c r="L26" s="357"/>
      <c r="M26" s="278" t="n">
        <v>59.385</v>
      </c>
      <c r="N26" s="278" t="n">
        <v>62.4196</v>
      </c>
      <c r="O26" s="358" t="n">
        <f aca="false">N26-M26</f>
        <v>3.0346</v>
      </c>
      <c r="P26" s="356" t="n">
        <f aca="false">100*O26/F26</f>
        <v>66.8384652658474</v>
      </c>
      <c r="Q26" s="356"/>
      <c r="R26" s="357"/>
      <c r="S26" s="278" t="n">
        <v>56.966</v>
      </c>
      <c r="T26" s="278" t="n">
        <v>58.0936</v>
      </c>
      <c r="U26" s="278" t="n">
        <f aca="false">T26-S26</f>
        <v>1.1276</v>
      </c>
      <c r="V26" s="356" t="n">
        <f aca="false">100*U26/F26</f>
        <v>24.835910312321</v>
      </c>
      <c r="W26" s="356"/>
      <c r="X26" s="382"/>
      <c r="Y26" s="356" t="n">
        <f aca="false">100*O26/(I26+O26+U26)</f>
        <v>66.8384652658474</v>
      </c>
      <c r="Z26" s="356"/>
      <c r="AA26" s="359"/>
      <c r="AB26" s="360"/>
      <c r="AC26" s="76"/>
      <c r="AD26" s="76" t="n">
        <v>7</v>
      </c>
      <c r="AE26" s="354" t="n">
        <f aca="false">AH26+AN26+AT26</f>
        <v>4.38080000000001</v>
      </c>
      <c r="AF26" s="278" t="n">
        <v>62.391</v>
      </c>
      <c r="AG26" s="278" t="n">
        <v>62.7543</v>
      </c>
      <c r="AH26" s="278" t="n">
        <f aca="false">AG26-AF26</f>
        <v>0.363300000000002</v>
      </c>
      <c r="AI26" s="356" t="n">
        <f aca="false">100*AH26/AE26</f>
        <v>8.29300584368156</v>
      </c>
      <c r="AJ26" s="356"/>
      <c r="AK26" s="357"/>
      <c r="AL26" s="278" t="n">
        <v>59.385</v>
      </c>
      <c r="AM26" s="278" t="n">
        <v>62.2815</v>
      </c>
      <c r="AN26" s="358" t="n">
        <f aca="false">AM26-AL26</f>
        <v>2.8965</v>
      </c>
      <c r="AO26" s="356" t="n">
        <f aca="false">100*AN26/AE26</f>
        <v>66.1180606281957</v>
      </c>
      <c r="AP26" s="356"/>
      <c r="AQ26" s="357"/>
      <c r="AR26" s="278" t="n">
        <v>56.966</v>
      </c>
      <c r="AS26" s="278" t="n">
        <v>58.087</v>
      </c>
      <c r="AT26" s="278" t="n">
        <f aca="false">AS26-AR26</f>
        <v>1.121</v>
      </c>
      <c r="AU26" s="356" t="n">
        <f aca="false">100*AT26/AE26</f>
        <v>25.5889335281227</v>
      </c>
      <c r="AV26" s="356"/>
      <c r="AW26" s="357"/>
      <c r="AX26" s="361" t="n">
        <f aca="false">I26-AH26</f>
        <v>0.0146999999999977</v>
      </c>
      <c r="AY26" s="271" t="n">
        <f aca="false">100*AX26/F26</f>
        <v>0.32377428307118</v>
      </c>
      <c r="AZ26" s="356"/>
      <c r="BA26" s="357"/>
      <c r="BB26" s="278" t="n">
        <f aca="false">O26-AN26</f>
        <v>0.138100000000001</v>
      </c>
      <c r="BC26" s="271" t="n">
        <f aca="false">100*BB26/F26</f>
        <v>3.04171622395492</v>
      </c>
      <c r="BD26" s="271"/>
      <c r="BE26" s="362"/>
      <c r="BF26" s="278" t="n">
        <f aca="false">U26-AT26</f>
        <v>0.00659999999999883</v>
      </c>
      <c r="BG26" s="271" t="n">
        <f aca="false">100*BF26/F26</f>
        <v>0.145368045460526</v>
      </c>
      <c r="BH26" s="356"/>
      <c r="BI26" s="357"/>
      <c r="BJ26" s="271" t="n">
        <f aca="false">AY26+BC26+BG26</f>
        <v>3.51085855248663</v>
      </c>
      <c r="BK26" s="271"/>
      <c r="BL26" s="362"/>
      <c r="BM26" s="271" t="n">
        <f aca="false">100*BB26/O26</f>
        <v>4.55084689909712</v>
      </c>
      <c r="BN26" s="271"/>
      <c r="BO26" s="363"/>
      <c r="BP26" s="65"/>
      <c r="BQ26" s="20"/>
      <c r="BR26" s="20"/>
    </row>
    <row r="27" customFormat="false" ht="12.8" hidden="false" customHeight="false" outlineLevel="0" collapsed="false">
      <c r="B27" s="343"/>
      <c r="C27" s="76"/>
      <c r="D27" s="76"/>
      <c r="E27" s="76" t="n">
        <v>8</v>
      </c>
      <c r="F27" s="354" t="n">
        <f aca="false">I27+O27+U27</f>
        <v>4.53109999999999</v>
      </c>
      <c r="G27" s="278" t="n">
        <v>59.14</v>
      </c>
      <c r="H27" s="278" t="n">
        <v>59.588</v>
      </c>
      <c r="I27" s="278" t="n">
        <f aca="false">H27-G27</f>
        <v>0.448</v>
      </c>
      <c r="J27" s="356" t="n">
        <f aca="false">100*I27/F27</f>
        <v>9.88722385292758</v>
      </c>
      <c r="K27" s="356"/>
      <c r="L27" s="357"/>
      <c r="M27" s="278" t="n">
        <v>62.904</v>
      </c>
      <c r="N27" s="278" t="n">
        <v>65.8543</v>
      </c>
      <c r="O27" s="358" t="n">
        <f aca="false">N27-M27</f>
        <v>2.95029999999999</v>
      </c>
      <c r="P27" s="356" t="n">
        <f aca="false">100*O27/F27</f>
        <v>65.1122244046699</v>
      </c>
      <c r="Q27" s="356"/>
      <c r="R27" s="357"/>
      <c r="S27" s="278" t="n">
        <v>56.091</v>
      </c>
      <c r="T27" s="278" t="n">
        <v>57.2238</v>
      </c>
      <c r="U27" s="278" t="n">
        <f aca="false">T27-S27</f>
        <v>1.1328</v>
      </c>
      <c r="V27" s="356" t="n">
        <f aca="false">100*U27/F27</f>
        <v>25.0005517424025</v>
      </c>
      <c r="W27" s="356"/>
      <c r="X27" s="357"/>
      <c r="Y27" s="356" t="n">
        <f aca="false">100*O27/(I27+O27+U27)</f>
        <v>65.1122244046699</v>
      </c>
      <c r="Z27" s="356"/>
      <c r="AA27" s="359"/>
      <c r="AB27" s="360"/>
      <c r="AC27" s="76"/>
      <c r="AD27" s="76" t="n">
        <v>8</v>
      </c>
      <c r="AE27" s="354" t="n">
        <f aca="false">AH27+AN27+AT27</f>
        <v>4.38399999999999</v>
      </c>
      <c r="AF27" s="278" t="n">
        <v>59.14</v>
      </c>
      <c r="AG27" s="278" t="n">
        <v>59.5719</v>
      </c>
      <c r="AH27" s="278" t="n">
        <f aca="false">AG27-AF27</f>
        <v>0.431899999999999</v>
      </c>
      <c r="AI27" s="356" t="n">
        <f aca="false">100*AH27/AE27</f>
        <v>9.85173357664234</v>
      </c>
      <c r="AJ27" s="356"/>
      <c r="AK27" s="357"/>
      <c r="AL27" s="278" t="n">
        <v>62.904</v>
      </c>
      <c r="AM27" s="278" t="n">
        <v>65.7293</v>
      </c>
      <c r="AN27" s="358" t="n">
        <f aca="false">AM27-AL27</f>
        <v>2.82529999999999</v>
      </c>
      <c r="AO27" s="356" t="n">
        <f aca="false">100*AN27/AE27</f>
        <v>64.4457116788321</v>
      </c>
      <c r="AP27" s="356"/>
      <c r="AQ27" s="357"/>
      <c r="AR27" s="278" t="n">
        <v>56.091</v>
      </c>
      <c r="AS27" s="278" t="n">
        <v>57.2178</v>
      </c>
      <c r="AT27" s="278" t="n">
        <f aca="false">AS27-AR27</f>
        <v>1.1268</v>
      </c>
      <c r="AU27" s="356" t="n">
        <f aca="false">100*AT27/AE27</f>
        <v>25.7025547445255</v>
      </c>
      <c r="AV27" s="356"/>
      <c r="AW27" s="357"/>
      <c r="AX27" s="361" t="n">
        <f aca="false">I27-AH27</f>
        <v>0.0161000000000016</v>
      </c>
      <c r="AY27" s="363" t="n">
        <f aca="false">100*AX27/F27</f>
        <v>0.355322107214619</v>
      </c>
      <c r="AZ27" s="356"/>
      <c r="BA27" s="357"/>
      <c r="BB27" s="358" t="n">
        <f aca="false">O27-AN27</f>
        <v>0.125</v>
      </c>
      <c r="BC27" s="363" t="n">
        <f aca="false">100*BB27/F27</f>
        <v>2.75871201253559</v>
      </c>
      <c r="BD27" s="271"/>
      <c r="BE27" s="362"/>
      <c r="BF27" s="358" t="n">
        <f aca="false">U27-AT27</f>
        <v>0.00600000000000023</v>
      </c>
      <c r="BG27" s="363" t="n">
        <f aca="false">100*BF27/F27</f>
        <v>0.132418176601714</v>
      </c>
      <c r="BH27" s="356"/>
      <c r="BI27" s="357"/>
      <c r="BJ27" s="363" t="n">
        <f aca="false">AY27+BC27+BG27</f>
        <v>3.24645229635193</v>
      </c>
      <c r="BK27" s="271"/>
      <c r="BL27" s="362"/>
      <c r="BM27" s="363" t="n">
        <f aca="false">100*BB27/O27</f>
        <v>4.23685726875234</v>
      </c>
      <c r="BN27" s="271"/>
      <c r="BO27" s="363"/>
      <c r="BP27" s="65"/>
      <c r="BQ27" s="20"/>
      <c r="BR27" s="20"/>
    </row>
    <row r="28" customFormat="false" ht="12.8" hidden="false" customHeight="false" outlineLevel="0" collapsed="false">
      <c r="B28" s="383"/>
      <c r="C28" s="72"/>
      <c r="D28" s="72"/>
      <c r="E28" s="72"/>
      <c r="F28" s="344"/>
      <c r="G28" s="384"/>
      <c r="H28" s="385"/>
      <c r="I28" s="385"/>
      <c r="J28" s="386"/>
      <c r="K28" s="386"/>
      <c r="L28" s="386"/>
      <c r="M28" s="344"/>
      <c r="N28" s="344"/>
      <c r="O28" s="344"/>
      <c r="P28" s="387"/>
      <c r="Q28" s="72"/>
      <c r="R28" s="72"/>
      <c r="S28" s="344"/>
      <c r="T28" s="344"/>
      <c r="U28" s="344"/>
      <c r="V28" s="387"/>
      <c r="W28" s="387"/>
      <c r="X28" s="387"/>
      <c r="Y28" s="387"/>
      <c r="Z28" s="387"/>
      <c r="AA28" s="387"/>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352"/>
      <c r="AZ28" s="352"/>
      <c r="BA28" s="352"/>
      <c r="BB28" s="344"/>
      <c r="BC28" s="72"/>
      <c r="BD28" s="72"/>
      <c r="BE28" s="72"/>
      <c r="BF28" s="72"/>
      <c r="BG28" s="72"/>
      <c r="BH28" s="72"/>
      <c r="BI28" s="72"/>
      <c r="BJ28" s="352"/>
      <c r="BK28" s="72"/>
      <c r="BL28" s="72"/>
      <c r="BM28" s="387"/>
      <c r="BN28" s="387"/>
      <c r="BO28" s="387"/>
      <c r="BP28" s="388"/>
    </row>
    <row r="29" customFormat="false" ht="12.8" hidden="false" customHeight="false" outlineLevel="0" collapsed="false">
      <c r="AX29" s="389"/>
      <c r="AY29" s="390"/>
      <c r="AZ29" s="390"/>
      <c r="BA29" s="390"/>
      <c r="BB29" s="391"/>
      <c r="BC29" s="389"/>
      <c r="BD29" s="389"/>
      <c r="BE29" s="389"/>
      <c r="BF29" s="389"/>
      <c r="BG29" s="389"/>
      <c r="BH29" s="389"/>
      <c r="BI29" s="389"/>
      <c r="BJ29" s="390"/>
      <c r="BK29" s="389"/>
      <c r="BL29" s="389"/>
      <c r="BM29" s="392"/>
      <c r="BN29" s="392"/>
      <c r="BO29" s="392"/>
      <c r="BP29" s="393"/>
    </row>
    <row r="30" customFormat="false" ht="12.8" hidden="false" customHeight="false" outlineLevel="0" collapsed="false">
      <c r="B30" s="311"/>
      <c r="C30" s="312"/>
      <c r="D30" s="313"/>
      <c r="E30" s="313"/>
      <c r="F30" s="314"/>
      <c r="G30" s="314"/>
      <c r="H30" s="314"/>
      <c r="I30" s="314"/>
      <c r="J30" s="315"/>
      <c r="K30" s="315"/>
      <c r="L30" s="315"/>
      <c r="M30" s="314"/>
      <c r="N30" s="314"/>
      <c r="O30" s="314"/>
      <c r="P30" s="315"/>
      <c r="Q30" s="313"/>
      <c r="R30" s="313"/>
      <c r="S30" s="314"/>
      <c r="T30" s="314"/>
      <c r="U30" s="314"/>
      <c r="V30" s="315"/>
      <c r="W30" s="315"/>
      <c r="X30" s="315"/>
      <c r="Y30" s="315"/>
      <c r="Z30" s="315"/>
      <c r="AA30" s="315"/>
      <c r="AB30" s="313"/>
      <c r="AC30" s="313"/>
      <c r="AD30" s="313"/>
      <c r="AE30" s="313"/>
      <c r="AF30" s="312"/>
      <c r="AG30" s="313"/>
      <c r="AH30" s="313"/>
      <c r="AI30" s="313"/>
      <c r="AJ30" s="313"/>
      <c r="AK30" s="313"/>
      <c r="AL30" s="313"/>
      <c r="AM30" s="313"/>
      <c r="AN30" s="313"/>
      <c r="AO30" s="313"/>
      <c r="AP30" s="313"/>
      <c r="AQ30" s="313"/>
      <c r="AR30" s="313"/>
      <c r="AS30" s="313"/>
      <c r="AT30" s="313"/>
      <c r="AU30" s="313"/>
      <c r="AV30" s="313"/>
      <c r="AW30" s="313"/>
      <c r="AX30" s="313"/>
      <c r="AY30" s="316"/>
      <c r="AZ30" s="316"/>
      <c r="BA30" s="316"/>
      <c r="BB30" s="314"/>
      <c r="BC30" s="313"/>
      <c r="BD30" s="313"/>
      <c r="BE30" s="313"/>
      <c r="BF30" s="313"/>
      <c r="BG30" s="313"/>
      <c r="BH30" s="313"/>
      <c r="BI30" s="313"/>
      <c r="BJ30" s="316"/>
      <c r="BK30" s="313"/>
      <c r="BL30" s="313"/>
      <c r="BM30" s="315"/>
      <c r="BN30" s="315"/>
      <c r="BO30" s="315"/>
      <c r="BP30" s="317"/>
    </row>
    <row r="31" customFormat="false" ht="18.55" hidden="false" customHeight="false" outlineLevel="0" collapsed="false">
      <c r="B31" s="343"/>
      <c r="C31" s="6" t="s">
        <v>226</v>
      </c>
      <c r="D31" s="394"/>
      <c r="E31" s="394"/>
      <c r="F31" s="358"/>
      <c r="G31" s="358"/>
      <c r="H31" s="358"/>
      <c r="I31" s="358"/>
      <c r="J31" s="359"/>
      <c r="K31" s="359"/>
      <c r="L31" s="359"/>
      <c r="M31" s="358"/>
      <c r="N31" s="358"/>
      <c r="O31" s="358"/>
      <c r="P31" s="359"/>
      <c r="Q31" s="394"/>
      <c r="R31" s="394"/>
      <c r="S31" s="358"/>
      <c r="T31" s="358"/>
      <c r="U31" s="358"/>
      <c r="V31" s="359"/>
      <c r="W31" s="359"/>
      <c r="X31" s="359"/>
      <c r="Y31" s="359"/>
      <c r="Z31" s="359"/>
      <c r="AA31" s="359"/>
      <c r="AB31" s="394"/>
      <c r="AC31" s="394"/>
      <c r="AD31" s="394"/>
      <c r="AE31" s="394"/>
      <c r="AF31" s="395"/>
      <c r="AG31" s="394"/>
      <c r="AH31" s="394"/>
      <c r="AI31" s="394"/>
      <c r="AJ31" s="394"/>
      <c r="AK31" s="394"/>
      <c r="AL31" s="394"/>
      <c r="AM31" s="394"/>
      <c r="AN31" s="394"/>
      <c r="AO31" s="394"/>
      <c r="AP31" s="394"/>
      <c r="AQ31" s="394"/>
      <c r="AR31" s="394"/>
      <c r="AS31" s="394"/>
      <c r="AT31" s="394"/>
      <c r="AU31" s="394"/>
      <c r="AV31" s="394"/>
      <c r="AW31" s="394"/>
      <c r="AX31" s="394"/>
      <c r="AY31" s="363"/>
      <c r="AZ31" s="363"/>
      <c r="BA31" s="363"/>
      <c r="BB31" s="358"/>
      <c r="BC31" s="394"/>
      <c r="BD31" s="394"/>
      <c r="BE31" s="394"/>
      <c r="BF31" s="394"/>
      <c r="BG31" s="394"/>
      <c r="BH31" s="394"/>
      <c r="BI31" s="394"/>
      <c r="BJ31" s="363"/>
      <c r="BK31" s="394"/>
      <c r="BL31" s="394"/>
      <c r="BM31" s="359"/>
      <c r="BN31" s="359"/>
      <c r="BO31" s="359"/>
      <c r="BP31" s="364"/>
    </row>
    <row r="32" s="318" customFormat="true" ht="25.35" hidden="false" customHeight="true" outlineLevel="0" collapsed="false">
      <c r="B32" s="319"/>
      <c r="C32" s="320" t="s">
        <v>200</v>
      </c>
      <c r="D32" s="320"/>
      <c r="E32" s="320"/>
      <c r="F32" s="320"/>
      <c r="G32" s="321" t="s">
        <v>201</v>
      </c>
      <c r="H32" s="321"/>
      <c r="I32" s="321"/>
      <c r="J32" s="321"/>
      <c r="K32" s="321"/>
      <c r="L32" s="321"/>
      <c r="M32" s="335" t="s">
        <v>202</v>
      </c>
      <c r="N32" s="335"/>
      <c r="O32" s="335"/>
      <c r="P32" s="335"/>
      <c r="Q32" s="335"/>
      <c r="R32" s="335"/>
      <c r="S32" s="321" t="s">
        <v>203</v>
      </c>
      <c r="T32" s="321"/>
      <c r="U32" s="321"/>
      <c r="V32" s="321"/>
      <c r="W32" s="321"/>
      <c r="X32" s="321"/>
      <c r="Y32" s="323" t="s">
        <v>204</v>
      </c>
      <c r="Z32" s="323"/>
      <c r="AA32" s="323"/>
      <c r="AB32" s="324" t="s">
        <v>205</v>
      </c>
      <c r="AC32" s="325"/>
      <c r="AD32" s="325"/>
      <c r="AE32" s="326"/>
      <c r="AF32" s="321" t="s">
        <v>201</v>
      </c>
      <c r="AG32" s="321"/>
      <c r="AH32" s="321"/>
      <c r="AI32" s="321"/>
      <c r="AJ32" s="321"/>
      <c r="AK32" s="321"/>
      <c r="AL32" s="69" t="s">
        <v>202</v>
      </c>
      <c r="AM32" s="69"/>
      <c r="AN32" s="69"/>
      <c r="AO32" s="69"/>
      <c r="AP32" s="69"/>
      <c r="AQ32" s="69"/>
      <c r="AR32" s="321" t="s">
        <v>203</v>
      </c>
      <c r="AS32" s="321"/>
      <c r="AT32" s="321"/>
      <c r="AU32" s="321"/>
      <c r="AV32" s="321"/>
      <c r="AW32" s="321"/>
      <c r="AX32" s="327" t="s">
        <v>206</v>
      </c>
      <c r="AY32" s="327"/>
      <c r="AZ32" s="327"/>
      <c r="BA32" s="327"/>
      <c r="BB32" s="71" t="s">
        <v>207</v>
      </c>
      <c r="BC32" s="71"/>
      <c r="BD32" s="71"/>
      <c r="BE32" s="71"/>
      <c r="BF32" s="71" t="s">
        <v>208</v>
      </c>
      <c r="BG32" s="71"/>
      <c r="BH32" s="71"/>
      <c r="BI32" s="71"/>
      <c r="BJ32" s="253" t="s">
        <v>227</v>
      </c>
      <c r="BK32" s="253"/>
      <c r="BL32" s="253"/>
      <c r="BM32" s="329" t="s">
        <v>228</v>
      </c>
      <c r="BN32" s="329"/>
      <c r="BO32" s="329"/>
      <c r="BP32" s="330"/>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row>
    <row r="33" s="331" customFormat="true" ht="47.75" hidden="false" customHeight="true" outlineLevel="0" collapsed="false">
      <c r="B33" s="332"/>
      <c r="C33" s="69" t="s">
        <v>46</v>
      </c>
      <c r="D33" s="69"/>
      <c r="E33" s="70" t="s">
        <v>211</v>
      </c>
      <c r="F33" s="252" t="s">
        <v>212</v>
      </c>
      <c r="G33" s="333" t="s">
        <v>213</v>
      </c>
      <c r="H33" s="252" t="s">
        <v>214</v>
      </c>
      <c r="I33" s="252" t="s">
        <v>215</v>
      </c>
      <c r="J33" s="190" t="s">
        <v>215</v>
      </c>
      <c r="K33" s="190" t="s">
        <v>49</v>
      </c>
      <c r="L33" s="334" t="s">
        <v>50</v>
      </c>
      <c r="M33" s="252" t="s">
        <v>213</v>
      </c>
      <c r="N33" s="252" t="s">
        <v>214</v>
      </c>
      <c r="O33" s="252" t="s">
        <v>216</v>
      </c>
      <c r="P33" s="190" t="s">
        <v>216</v>
      </c>
      <c r="Q33" s="190" t="s">
        <v>49</v>
      </c>
      <c r="R33" s="334" t="s">
        <v>50</v>
      </c>
      <c r="S33" s="333" t="s">
        <v>213</v>
      </c>
      <c r="T33" s="252" t="s">
        <v>214</v>
      </c>
      <c r="U33" s="335" t="s">
        <v>217</v>
      </c>
      <c r="V33" s="190" t="s">
        <v>218</v>
      </c>
      <c r="W33" s="190" t="s">
        <v>49</v>
      </c>
      <c r="X33" s="334" t="s">
        <v>50</v>
      </c>
      <c r="Y33" s="190" t="s">
        <v>219</v>
      </c>
      <c r="Z33" s="190" t="s">
        <v>49</v>
      </c>
      <c r="AA33" s="336" t="s">
        <v>50</v>
      </c>
      <c r="AB33" s="337" t="s">
        <v>46</v>
      </c>
      <c r="AC33" s="337"/>
      <c r="AD33" s="70" t="s">
        <v>211</v>
      </c>
      <c r="AE33" s="252" t="s">
        <v>212</v>
      </c>
      <c r="AF33" s="333" t="s">
        <v>213</v>
      </c>
      <c r="AG33" s="252" t="s">
        <v>220</v>
      </c>
      <c r="AH33" s="252" t="s">
        <v>215</v>
      </c>
      <c r="AI33" s="190" t="s">
        <v>215</v>
      </c>
      <c r="AJ33" s="190" t="s">
        <v>49</v>
      </c>
      <c r="AK33" s="336" t="s">
        <v>50</v>
      </c>
      <c r="AL33" s="333" t="s">
        <v>213</v>
      </c>
      <c r="AM33" s="252" t="s">
        <v>221</v>
      </c>
      <c r="AN33" s="252" t="s">
        <v>216</v>
      </c>
      <c r="AO33" s="190" t="s">
        <v>216</v>
      </c>
      <c r="AP33" s="190" t="s">
        <v>49</v>
      </c>
      <c r="AQ33" s="336" t="s">
        <v>50</v>
      </c>
      <c r="AR33" s="333" t="s">
        <v>213</v>
      </c>
      <c r="AS33" s="252" t="s">
        <v>221</v>
      </c>
      <c r="AT33" s="335" t="s">
        <v>222</v>
      </c>
      <c r="AU33" s="190" t="s">
        <v>222</v>
      </c>
      <c r="AV33" s="190" t="s">
        <v>49</v>
      </c>
      <c r="AW33" s="336" t="s">
        <v>50</v>
      </c>
      <c r="AX33" s="338" t="s">
        <v>223</v>
      </c>
      <c r="AY33" s="211" t="s">
        <v>223</v>
      </c>
      <c r="AZ33" s="211" t="s">
        <v>49</v>
      </c>
      <c r="BA33" s="339" t="s">
        <v>50</v>
      </c>
      <c r="BB33" s="141" t="s">
        <v>223</v>
      </c>
      <c r="BC33" s="211" t="s">
        <v>223</v>
      </c>
      <c r="BD33" s="211" t="s">
        <v>49</v>
      </c>
      <c r="BE33" s="339" t="s">
        <v>50</v>
      </c>
      <c r="BF33" s="141" t="s">
        <v>223</v>
      </c>
      <c r="BG33" s="211" t="s">
        <v>223</v>
      </c>
      <c r="BH33" s="211" t="s">
        <v>49</v>
      </c>
      <c r="BI33" s="339" t="s">
        <v>50</v>
      </c>
      <c r="BJ33" s="396" t="s">
        <v>223</v>
      </c>
      <c r="BK33" s="211" t="s">
        <v>49</v>
      </c>
      <c r="BL33" s="339" t="s">
        <v>50</v>
      </c>
      <c r="BM33" s="397" t="s">
        <v>219</v>
      </c>
      <c r="BN33" s="340" t="s">
        <v>49</v>
      </c>
      <c r="BO33" s="340" t="s">
        <v>50</v>
      </c>
      <c r="BP33" s="342"/>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row>
    <row r="34" customFormat="false" ht="14.9" hidden="false" customHeight="true" outlineLevel="0" collapsed="false">
      <c r="B34" s="343"/>
      <c r="C34" s="72"/>
      <c r="D34" s="72"/>
      <c r="E34" s="72"/>
      <c r="F34" s="344" t="s">
        <v>193</v>
      </c>
      <c r="G34" s="345" t="s">
        <v>193</v>
      </c>
      <c r="H34" s="286" t="s">
        <v>193</v>
      </c>
      <c r="I34" s="286" t="s">
        <v>193</v>
      </c>
      <c r="J34" s="346" t="s">
        <v>194</v>
      </c>
      <c r="K34" s="346" t="s">
        <v>194</v>
      </c>
      <c r="L34" s="347" t="s">
        <v>194</v>
      </c>
      <c r="M34" s="345" t="s">
        <v>193</v>
      </c>
      <c r="N34" s="286" t="s">
        <v>193</v>
      </c>
      <c r="O34" s="286" t="s">
        <v>193</v>
      </c>
      <c r="P34" s="346" t="s">
        <v>194</v>
      </c>
      <c r="Q34" s="346" t="s">
        <v>194</v>
      </c>
      <c r="R34" s="347" t="s">
        <v>194</v>
      </c>
      <c r="S34" s="345" t="s">
        <v>193</v>
      </c>
      <c r="T34" s="286" t="s">
        <v>193</v>
      </c>
      <c r="U34" s="286" t="s">
        <v>193</v>
      </c>
      <c r="V34" s="346" t="s">
        <v>194</v>
      </c>
      <c r="W34" s="346" t="s">
        <v>194</v>
      </c>
      <c r="X34" s="347" t="s">
        <v>194</v>
      </c>
      <c r="Y34" s="346" t="s">
        <v>194</v>
      </c>
      <c r="Z34" s="346" t="s">
        <v>194</v>
      </c>
      <c r="AA34" s="346" t="s">
        <v>194</v>
      </c>
      <c r="AB34" s="348"/>
      <c r="AC34" s="349"/>
      <c r="AD34" s="349"/>
      <c r="AE34" s="350" t="s">
        <v>193</v>
      </c>
      <c r="AF34" s="345" t="s">
        <v>193</v>
      </c>
      <c r="AG34" s="286" t="s">
        <v>75</v>
      </c>
      <c r="AH34" s="286" t="s">
        <v>193</v>
      </c>
      <c r="AI34" s="346" t="s">
        <v>194</v>
      </c>
      <c r="AJ34" s="346" t="s">
        <v>194</v>
      </c>
      <c r="AK34" s="346" t="s">
        <v>194</v>
      </c>
      <c r="AL34" s="345" t="s">
        <v>75</v>
      </c>
      <c r="AM34" s="286" t="s">
        <v>75</v>
      </c>
      <c r="AN34" s="286" t="s">
        <v>193</v>
      </c>
      <c r="AO34" s="346" t="s">
        <v>194</v>
      </c>
      <c r="AP34" s="346" t="s">
        <v>194</v>
      </c>
      <c r="AQ34" s="346" t="s">
        <v>194</v>
      </c>
      <c r="AR34" s="345" t="s">
        <v>75</v>
      </c>
      <c r="AS34" s="286" t="s">
        <v>75</v>
      </c>
      <c r="AT34" s="286" t="s">
        <v>193</v>
      </c>
      <c r="AU34" s="346" t="s">
        <v>194</v>
      </c>
      <c r="AV34" s="346" t="s">
        <v>194</v>
      </c>
      <c r="AW34" s="346" t="s">
        <v>194</v>
      </c>
      <c r="AX34" s="351" t="s">
        <v>193</v>
      </c>
      <c r="AY34" s="352" t="s">
        <v>224</v>
      </c>
      <c r="AZ34" s="352" t="s">
        <v>224</v>
      </c>
      <c r="BA34" s="353" t="s">
        <v>224</v>
      </c>
      <c r="BB34" s="383" t="s">
        <v>193</v>
      </c>
      <c r="BC34" s="352" t="s">
        <v>224</v>
      </c>
      <c r="BD34" s="352" t="s">
        <v>224</v>
      </c>
      <c r="BE34" s="353" t="s">
        <v>224</v>
      </c>
      <c r="BF34" s="383" t="s">
        <v>193</v>
      </c>
      <c r="BG34" s="352" t="s">
        <v>224</v>
      </c>
      <c r="BH34" s="352" t="s">
        <v>224</v>
      </c>
      <c r="BI34" s="353" t="s">
        <v>224</v>
      </c>
      <c r="BJ34" s="398" t="s">
        <v>224</v>
      </c>
      <c r="BK34" s="352" t="s">
        <v>224</v>
      </c>
      <c r="BL34" s="353" t="s">
        <v>224</v>
      </c>
      <c r="BM34" s="398" t="s">
        <v>224</v>
      </c>
      <c r="BN34" s="352" t="s">
        <v>224</v>
      </c>
      <c r="BO34" s="352" t="s">
        <v>224</v>
      </c>
      <c r="BP34" s="65"/>
      <c r="BQ34" s="20"/>
      <c r="BR34" s="20"/>
    </row>
    <row r="35" customFormat="false" ht="12.8" hidden="false" customHeight="false" outlineLevel="0" collapsed="false">
      <c r="B35" s="343"/>
      <c r="C35" s="76" t="s">
        <v>156</v>
      </c>
      <c r="D35" s="76" t="s">
        <v>157</v>
      </c>
      <c r="E35" s="76" t="n">
        <v>7</v>
      </c>
      <c r="F35" s="354" t="n">
        <f aca="false">I35+O35+U35</f>
        <v>3.9703</v>
      </c>
      <c r="G35" s="278" t="n">
        <v>61.955</v>
      </c>
      <c r="H35" s="278" t="n">
        <v>62.8114</v>
      </c>
      <c r="I35" s="278" t="n">
        <f aca="false">H35-G35</f>
        <v>0.856400000000001</v>
      </c>
      <c r="J35" s="356" t="n">
        <f aca="false">100*I35/F35</f>
        <v>21.5701584263154</v>
      </c>
      <c r="K35" s="356"/>
      <c r="L35" s="357"/>
      <c r="M35" s="399" t="n">
        <v>57.508</v>
      </c>
      <c r="N35" s="278" t="n">
        <v>59.6739</v>
      </c>
      <c r="O35" s="358" t="n">
        <f aca="false">N35-M35</f>
        <v>2.1659</v>
      </c>
      <c r="P35" s="356" t="n">
        <f aca="false">100*O35/F35</f>
        <v>54.5525527038259</v>
      </c>
      <c r="Q35" s="356"/>
      <c r="R35" s="357"/>
      <c r="S35" s="399" t="n">
        <v>62.058</v>
      </c>
      <c r="T35" s="278" t="n">
        <v>63.006</v>
      </c>
      <c r="U35" s="278" t="n">
        <f aca="false">T35-S35</f>
        <v>0.948</v>
      </c>
      <c r="V35" s="356" t="n">
        <f aca="false">100*U35/F35</f>
        <v>23.8772888698587</v>
      </c>
      <c r="W35" s="356"/>
      <c r="X35" s="357"/>
      <c r="Y35" s="400" t="n">
        <f aca="false">100*O35/(I35+O35+U35)</f>
        <v>54.5525527038259</v>
      </c>
      <c r="Z35" s="356"/>
      <c r="AA35" s="359"/>
      <c r="AB35" s="360"/>
      <c r="AC35" s="76"/>
      <c r="AD35" s="76" t="n">
        <v>7</v>
      </c>
      <c r="AE35" s="354" t="n">
        <f aca="false">AH35+AN35+AT35</f>
        <v>3.7121</v>
      </c>
      <c r="AF35" s="278" t="n">
        <v>61.955</v>
      </c>
      <c r="AG35" s="278" t="n">
        <v>62.7673</v>
      </c>
      <c r="AH35" s="278" t="n">
        <f aca="false">AG35-AF35</f>
        <v>0.8123</v>
      </c>
      <c r="AI35" s="356" t="n">
        <f aca="false">100*AH35/AE35</f>
        <v>21.8824923897524</v>
      </c>
      <c r="AJ35" s="356"/>
      <c r="AK35" s="357"/>
      <c r="AL35" s="399" t="n">
        <v>57.508</v>
      </c>
      <c r="AM35" s="278" t="n">
        <v>59.4763</v>
      </c>
      <c r="AN35" s="358" t="n">
        <f aca="false">AM35-AL35</f>
        <v>1.9683</v>
      </c>
      <c r="AO35" s="356" t="n">
        <f aca="false">100*AN35/AE35</f>
        <v>53.0238948304194</v>
      </c>
      <c r="AP35" s="356"/>
      <c r="AQ35" s="357"/>
      <c r="AR35" s="399" t="n">
        <v>62.058</v>
      </c>
      <c r="AS35" s="278" t="n">
        <v>62.9895</v>
      </c>
      <c r="AT35" s="278" t="n">
        <f aca="false">AS35-AR35</f>
        <v>0.9315</v>
      </c>
      <c r="AU35" s="356" t="n">
        <f aca="false">100*AT35/AE35</f>
        <v>25.0936127798281</v>
      </c>
      <c r="AV35" s="356"/>
      <c r="AW35" s="359"/>
      <c r="AX35" s="361" t="n">
        <f aca="false">I35-AH35</f>
        <v>0.0441000000000003</v>
      </c>
      <c r="AY35" s="271" t="n">
        <f aca="false">100*AX35/F35</f>
        <v>1.1107472986928</v>
      </c>
      <c r="AZ35" s="271"/>
      <c r="BA35" s="362"/>
      <c r="BB35" s="399" t="n">
        <f aca="false">O35-AN35</f>
        <v>0.197600000000001</v>
      </c>
      <c r="BC35" s="271" t="n">
        <f aca="false">100*BB35/F35</f>
        <v>4.97695388257817</v>
      </c>
      <c r="BD35" s="271"/>
      <c r="BE35" s="362"/>
      <c r="BF35" s="399" t="n">
        <f aca="false">U35-AT35</f>
        <v>0.0165000000000006</v>
      </c>
      <c r="BG35" s="271" t="n">
        <f aca="false">100*BF35/F35</f>
        <v>0.415585724000721</v>
      </c>
      <c r="BH35" s="271"/>
      <c r="BI35" s="362"/>
      <c r="BJ35" s="401" t="n">
        <f aca="false">AY35+BC35+BG35</f>
        <v>6.5032869052717</v>
      </c>
      <c r="BK35" s="271"/>
      <c r="BL35" s="362"/>
      <c r="BM35" s="400" t="n">
        <f aca="false">100*BB35/O35</f>
        <v>9.12322821921609</v>
      </c>
      <c r="BN35" s="356"/>
      <c r="BO35" s="359"/>
      <c r="BP35" s="65"/>
      <c r="BQ35" s="20"/>
      <c r="BR35" s="20"/>
    </row>
    <row r="36" customFormat="false" ht="12.8" hidden="false" customHeight="false" outlineLevel="0" collapsed="false">
      <c r="B36" s="343"/>
      <c r="C36" s="394" t="s">
        <v>156</v>
      </c>
      <c r="D36" s="394" t="s">
        <v>171</v>
      </c>
      <c r="E36" s="394" t="n">
        <v>1</v>
      </c>
      <c r="F36" s="354" t="n">
        <f aca="false">I36+O36+U36</f>
        <v>4.49249999999999</v>
      </c>
      <c r="G36" s="358" t="n">
        <v>63.283</v>
      </c>
      <c r="H36" s="358" t="n">
        <v>64.1561</v>
      </c>
      <c r="I36" s="358" t="n">
        <f aca="false">H36-G36</f>
        <v>0.873099999999994</v>
      </c>
      <c r="J36" s="359" t="n">
        <f aca="false">100*I36/F36</f>
        <v>19.4346132442959</v>
      </c>
      <c r="K36" s="9"/>
      <c r="L36" s="65"/>
      <c r="M36" s="399" t="n">
        <v>57.254</v>
      </c>
      <c r="N36" s="358" t="n">
        <v>59.7166</v>
      </c>
      <c r="O36" s="358" t="n">
        <f aca="false">N36-M36</f>
        <v>2.4626</v>
      </c>
      <c r="P36" s="359" t="n">
        <f aca="false">100*O36/F36</f>
        <v>54.8158041179745</v>
      </c>
      <c r="Q36" s="9"/>
      <c r="R36" s="65"/>
      <c r="S36" s="399" t="n">
        <v>56.96</v>
      </c>
      <c r="T36" s="358" t="n">
        <v>58.1168</v>
      </c>
      <c r="U36" s="358" t="n">
        <f aca="false">T36-S36</f>
        <v>1.1568</v>
      </c>
      <c r="V36" s="359" t="n">
        <f aca="false">100*U36/F36</f>
        <v>25.7495826377295</v>
      </c>
      <c r="W36" s="359"/>
      <c r="X36" s="357"/>
      <c r="Y36" s="400" t="n">
        <f aca="false">100*O36/(I36+O36+U36)</f>
        <v>54.8158041179745</v>
      </c>
      <c r="Z36" s="359"/>
      <c r="AA36" s="359"/>
      <c r="AB36" s="360"/>
      <c r="AC36" s="394" t="s">
        <v>171</v>
      </c>
      <c r="AD36" s="394" t="n">
        <v>1</v>
      </c>
      <c r="AE36" s="354" t="n">
        <f aca="false">AH36+AN36+AT36</f>
        <v>4.37570000000001</v>
      </c>
      <c r="AF36" s="358" t="n">
        <v>63.283</v>
      </c>
      <c r="AG36" s="358" t="n">
        <v>64.132</v>
      </c>
      <c r="AH36" s="358" t="n">
        <f aca="false">AG36-AF36</f>
        <v>0.849000000000004</v>
      </c>
      <c r="AI36" s="359" t="n">
        <f aca="false">100*AH36/AE36</f>
        <v>19.4026098681354</v>
      </c>
      <c r="AJ36" s="359"/>
      <c r="AK36" s="357"/>
      <c r="AL36" s="399" t="n">
        <v>57.254</v>
      </c>
      <c r="AM36" s="358" t="n">
        <v>59.6281</v>
      </c>
      <c r="AN36" s="358" t="n">
        <f aca="false">AM36-AL36</f>
        <v>2.37410000000001</v>
      </c>
      <c r="AO36" s="359" t="n">
        <f aca="false">100*AN36/AE36</f>
        <v>54.2564618232512</v>
      </c>
      <c r="AP36" s="359"/>
      <c r="AQ36" s="357"/>
      <c r="AR36" s="399" t="n">
        <v>56.96</v>
      </c>
      <c r="AS36" s="358" t="n">
        <v>58.1126</v>
      </c>
      <c r="AT36" s="358" t="n">
        <f aca="false">AS36-AR36</f>
        <v>1.1526</v>
      </c>
      <c r="AU36" s="359" t="n">
        <f aca="false">100*AT36/AE36</f>
        <v>26.3409283086134</v>
      </c>
      <c r="AV36" s="359"/>
      <c r="AW36" s="359"/>
      <c r="AX36" s="361" t="n">
        <f aca="false">I36-AH36</f>
        <v>0.02409999999999</v>
      </c>
      <c r="AY36" s="363" t="n">
        <f aca="false">100*AX36/F36</f>
        <v>0.536449638285811</v>
      </c>
      <c r="AZ36" s="363"/>
      <c r="BA36" s="362"/>
      <c r="BB36" s="399" t="n">
        <f aca="false">O36-AN36</f>
        <v>0.0884999999999963</v>
      </c>
      <c r="BC36" s="363" t="n">
        <f aca="false">100*BB36/F36</f>
        <v>1.96994991652747</v>
      </c>
      <c r="BD36" s="363"/>
      <c r="BE36" s="362"/>
      <c r="BF36" s="399" t="n">
        <f aca="false">U36-AT36</f>
        <v>0.00419999999999732</v>
      </c>
      <c r="BG36" s="363" t="n">
        <f aca="false">100*BF36/F36</f>
        <v>0.0934891485809087</v>
      </c>
      <c r="BH36" s="363"/>
      <c r="BI36" s="362"/>
      <c r="BJ36" s="401" t="n">
        <f aca="false">AY36+BC36+BG36</f>
        <v>2.59988870339419</v>
      </c>
      <c r="BK36" s="363"/>
      <c r="BL36" s="362"/>
      <c r="BM36" s="400" t="n">
        <f aca="false">100*BB36/O36</f>
        <v>3.59376268983985</v>
      </c>
      <c r="BN36" s="359"/>
      <c r="BO36" s="359"/>
      <c r="BP36" s="65"/>
      <c r="BQ36" s="20"/>
      <c r="BR36" s="20"/>
    </row>
    <row r="37" customFormat="false" ht="12.8" hidden="false" customHeight="false" outlineLevel="0" collapsed="false">
      <c r="B37" s="383"/>
      <c r="C37" s="72"/>
      <c r="D37" s="72"/>
      <c r="E37" s="72"/>
      <c r="F37" s="344"/>
      <c r="G37" s="344"/>
      <c r="H37" s="344"/>
      <c r="I37" s="344"/>
      <c r="J37" s="387"/>
      <c r="K37" s="387"/>
      <c r="L37" s="387"/>
      <c r="M37" s="344"/>
      <c r="N37" s="344"/>
      <c r="O37" s="344"/>
      <c r="P37" s="387"/>
      <c r="Q37" s="72"/>
      <c r="R37" s="72"/>
      <c r="S37" s="344"/>
      <c r="T37" s="344"/>
      <c r="U37" s="344"/>
      <c r="V37" s="387"/>
      <c r="W37" s="387"/>
      <c r="X37" s="387"/>
      <c r="Y37" s="387"/>
      <c r="Z37" s="387"/>
      <c r="AA37" s="387"/>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352"/>
      <c r="AZ37" s="352"/>
      <c r="BA37" s="352"/>
      <c r="BB37" s="344"/>
      <c r="BC37" s="72"/>
      <c r="BD37" s="72"/>
      <c r="BE37" s="72"/>
      <c r="BF37" s="72"/>
      <c r="BG37" s="72"/>
      <c r="BH37" s="72"/>
      <c r="BI37" s="72"/>
      <c r="BJ37" s="352"/>
      <c r="BK37" s="72"/>
      <c r="BL37" s="72"/>
      <c r="BM37" s="387"/>
      <c r="BN37" s="387"/>
      <c r="BO37" s="387"/>
      <c r="BP37" s="388"/>
    </row>
    <row r="38" customFormat="false" ht="12.8" hidden="false" customHeight="false" outlineLevel="0" collapsed="false">
      <c r="AX38" s="389"/>
      <c r="AY38" s="390"/>
      <c r="AZ38" s="390"/>
      <c r="BA38" s="390"/>
      <c r="BB38" s="391"/>
      <c r="BC38" s="389"/>
      <c r="BD38" s="389"/>
      <c r="BE38" s="389"/>
      <c r="BF38" s="389"/>
      <c r="BG38" s="389"/>
      <c r="BH38" s="389"/>
      <c r="BI38" s="389"/>
      <c r="BJ38" s="390"/>
      <c r="BK38" s="389"/>
      <c r="BL38" s="389"/>
      <c r="BM38" s="392"/>
      <c r="BN38" s="392"/>
      <c r="BO38" s="392"/>
      <c r="BP38" s="393"/>
    </row>
    <row r="39" customFormat="false" ht="12.8" hidden="false" customHeight="false" outlineLevel="0" collapsed="false">
      <c r="F39" s="300"/>
      <c r="G39" s="300"/>
      <c r="H39" s="300"/>
      <c r="I39" s="300"/>
      <c r="J39" s="300"/>
      <c r="K39" s="300"/>
      <c r="L39" s="300"/>
      <c r="M39" s="300"/>
      <c r="N39" s="300"/>
      <c r="O39" s="300"/>
      <c r="P39" s="300"/>
      <c r="S39" s="300"/>
      <c r="T39" s="300"/>
      <c r="U39" s="300"/>
      <c r="V39" s="300"/>
      <c r="W39" s="300"/>
      <c r="X39" s="402"/>
      <c r="Y39" s="300"/>
      <c r="Z39" s="300"/>
      <c r="AA39" s="300"/>
      <c r="BC39" s="302"/>
      <c r="BD39" s="303"/>
      <c r="BE39" s="303"/>
      <c r="BF39" s="303"/>
      <c r="BG39" s="302"/>
    </row>
    <row r="40" customFormat="false" ht="12.8" hidden="false" customHeight="false" outlineLevel="0" collapsed="false">
      <c r="F40" s="300"/>
      <c r="G40" s="300"/>
      <c r="H40" s="300"/>
      <c r="I40" s="300"/>
      <c r="J40" s="300"/>
      <c r="K40" s="300"/>
      <c r="L40" s="300"/>
      <c r="M40" s="300"/>
      <c r="N40" s="300"/>
      <c r="O40" s="300"/>
      <c r="P40" s="300"/>
      <c r="S40" s="300"/>
      <c r="T40" s="300"/>
      <c r="U40" s="300"/>
      <c r="V40" s="300"/>
      <c r="W40" s="300"/>
      <c r="X40" s="402"/>
      <c r="Y40" s="300"/>
      <c r="Z40" s="300"/>
      <c r="AA40" s="300"/>
      <c r="BC40" s="302"/>
      <c r="BD40" s="303"/>
      <c r="BE40" s="303"/>
      <c r="BF40" s="303"/>
      <c r="BG40" s="302"/>
    </row>
    <row r="41" customFormat="false" ht="12.8" hidden="false" customHeight="false" outlineLevel="0" collapsed="false">
      <c r="F41" s="300"/>
      <c r="G41" s="300"/>
      <c r="H41" s="300"/>
      <c r="I41" s="300"/>
      <c r="J41" s="300"/>
      <c r="K41" s="300"/>
      <c r="L41" s="300"/>
      <c r="M41" s="300"/>
      <c r="N41" s="300"/>
      <c r="O41" s="300"/>
      <c r="P41" s="300"/>
      <c r="S41" s="300"/>
      <c r="T41" s="300"/>
      <c r="U41" s="300"/>
      <c r="V41" s="300"/>
      <c r="W41" s="300"/>
      <c r="X41" s="402"/>
      <c r="Y41" s="300"/>
      <c r="Z41" s="300"/>
      <c r="AA41" s="300"/>
    </row>
    <row r="42" customFormat="false" ht="12.8" hidden="false" customHeight="false" outlineLevel="0" collapsed="false">
      <c r="F42" s="300"/>
      <c r="G42" s="300"/>
      <c r="H42" s="300"/>
      <c r="I42" s="300"/>
      <c r="J42" s="300"/>
      <c r="K42" s="300"/>
      <c r="L42" s="300"/>
      <c r="M42" s="300"/>
      <c r="N42" s="300"/>
      <c r="O42" s="300"/>
      <c r="P42" s="300"/>
      <c r="S42" s="300"/>
      <c r="T42" s="300"/>
      <c r="U42" s="300"/>
      <c r="V42" s="300"/>
      <c r="W42" s="300"/>
      <c r="X42" s="300"/>
      <c r="Y42" s="300"/>
      <c r="Z42" s="300"/>
      <c r="AA42" s="300"/>
    </row>
    <row r="43" customFormat="false" ht="12.8" hidden="false" customHeight="false" outlineLevel="0" collapsed="false">
      <c r="F43" s="300"/>
      <c r="G43" s="300"/>
      <c r="H43" s="300"/>
      <c r="I43" s="300"/>
      <c r="J43" s="300"/>
      <c r="K43" s="300"/>
      <c r="L43" s="300"/>
      <c r="M43" s="300"/>
      <c r="N43" s="300"/>
      <c r="O43" s="300"/>
      <c r="P43" s="300"/>
      <c r="S43" s="300"/>
      <c r="T43" s="300"/>
      <c r="U43" s="300"/>
      <c r="V43" s="300"/>
      <c r="W43" s="300"/>
      <c r="X43" s="402"/>
      <c r="Y43" s="300"/>
      <c r="Z43" s="300"/>
      <c r="AA43" s="300"/>
    </row>
    <row r="44" customFormat="false" ht="12.8" hidden="false" customHeight="false" outlineLevel="0" collapsed="false">
      <c r="F44" s="300"/>
      <c r="G44" s="300"/>
      <c r="H44" s="300"/>
      <c r="I44" s="300"/>
      <c r="J44" s="300"/>
      <c r="K44" s="300"/>
      <c r="L44" s="300"/>
      <c r="M44" s="300"/>
      <c r="N44" s="300"/>
      <c r="O44" s="300"/>
      <c r="P44" s="300"/>
      <c r="S44" s="300"/>
      <c r="T44" s="300"/>
      <c r="U44" s="300"/>
      <c r="V44" s="300"/>
      <c r="W44" s="300"/>
      <c r="X44" s="402"/>
      <c r="Y44" s="300"/>
      <c r="Z44" s="300"/>
      <c r="AA44" s="300"/>
    </row>
    <row r="45" customFormat="false" ht="12.8" hidden="false" customHeight="false" outlineLevel="0" collapsed="false">
      <c r="F45" s="300"/>
      <c r="G45" s="300"/>
      <c r="H45" s="300"/>
      <c r="I45" s="300"/>
      <c r="J45" s="300"/>
      <c r="K45" s="300"/>
      <c r="L45" s="300"/>
      <c r="M45" s="300"/>
      <c r="N45" s="300"/>
      <c r="O45" s="300"/>
      <c r="P45" s="300"/>
      <c r="S45" s="300"/>
      <c r="T45" s="300"/>
      <c r="U45" s="300"/>
      <c r="V45" s="300"/>
      <c r="W45" s="300"/>
      <c r="X45" s="403"/>
      <c r="Y45" s="300"/>
      <c r="Z45" s="300"/>
      <c r="AA45" s="300"/>
    </row>
    <row r="46" customFormat="false" ht="12.8" hidden="false" customHeight="false" outlineLevel="0" collapsed="false">
      <c r="F46" s="300"/>
      <c r="G46" s="300"/>
      <c r="H46" s="300"/>
      <c r="I46" s="300"/>
      <c r="J46" s="300"/>
      <c r="K46" s="300"/>
      <c r="L46" s="300"/>
      <c r="M46" s="300"/>
      <c r="N46" s="300"/>
      <c r="O46" s="300"/>
      <c r="P46" s="300"/>
      <c r="S46" s="300"/>
      <c r="T46" s="300"/>
      <c r="U46" s="300"/>
      <c r="V46" s="300"/>
      <c r="W46" s="300"/>
      <c r="X46" s="403"/>
      <c r="Y46" s="300"/>
      <c r="Z46" s="300"/>
      <c r="AA46" s="300"/>
    </row>
    <row r="47" customFormat="false" ht="12.8" hidden="false" customHeight="false" outlineLevel="0" collapsed="false">
      <c r="F47" s="300"/>
      <c r="G47" s="300"/>
      <c r="H47" s="300"/>
      <c r="I47" s="300"/>
      <c r="J47" s="300"/>
      <c r="K47" s="300"/>
      <c r="L47" s="300"/>
      <c r="M47" s="300"/>
      <c r="N47" s="300"/>
      <c r="O47" s="300"/>
      <c r="P47" s="300"/>
      <c r="S47" s="300"/>
      <c r="T47" s="300"/>
      <c r="U47" s="300"/>
      <c r="V47" s="300"/>
      <c r="W47" s="300"/>
      <c r="X47" s="402"/>
      <c r="Y47" s="300"/>
      <c r="Z47" s="300"/>
      <c r="AA47" s="300"/>
    </row>
    <row r="48" customFormat="false" ht="12.8" hidden="false" customHeight="false" outlineLevel="0" collapsed="false">
      <c r="F48" s="300"/>
      <c r="G48" s="300"/>
      <c r="H48" s="300"/>
      <c r="I48" s="300"/>
      <c r="J48" s="300"/>
      <c r="K48" s="300"/>
      <c r="L48" s="300"/>
      <c r="M48" s="300"/>
      <c r="N48" s="300"/>
      <c r="O48" s="300"/>
      <c r="P48" s="300"/>
      <c r="S48" s="300"/>
      <c r="T48" s="300"/>
      <c r="U48" s="300"/>
      <c r="V48" s="300"/>
      <c r="W48" s="300"/>
      <c r="X48" s="402"/>
      <c r="Y48" s="300"/>
      <c r="Z48" s="300"/>
      <c r="AA48" s="300"/>
    </row>
    <row r="49" customFormat="false" ht="12.8" hidden="false" customHeight="false" outlineLevel="0" collapsed="false">
      <c r="F49" s="300"/>
      <c r="G49" s="300"/>
      <c r="H49" s="300"/>
      <c r="I49" s="300"/>
      <c r="J49" s="300"/>
      <c r="K49" s="300"/>
      <c r="L49" s="300"/>
      <c r="M49" s="300"/>
      <c r="N49" s="300"/>
      <c r="O49" s="300"/>
      <c r="P49" s="300"/>
      <c r="S49" s="300"/>
      <c r="T49" s="300"/>
      <c r="U49" s="300"/>
      <c r="V49" s="300"/>
      <c r="W49" s="300"/>
      <c r="X49" s="402"/>
      <c r="Y49" s="300"/>
      <c r="Z49" s="300"/>
      <c r="AA49" s="300"/>
    </row>
    <row r="50" customFormat="false" ht="12.8" hidden="false" customHeight="false" outlineLevel="0" collapsed="false">
      <c r="F50" s="300"/>
      <c r="G50" s="300"/>
      <c r="H50" s="300"/>
      <c r="I50" s="300"/>
      <c r="J50" s="300"/>
      <c r="K50" s="300"/>
      <c r="L50" s="300"/>
      <c r="M50" s="300"/>
      <c r="N50" s="300"/>
      <c r="O50" s="300"/>
      <c r="P50" s="300"/>
      <c r="S50" s="300"/>
      <c r="T50" s="300"/>
      <c r="U50" s="300"/>
      <c r="V50" s="300"/>
      <c r="W50" s="300"/>
      <c r="X50" s="300"/>
      <c r="Y50" s="300"/>
      <c r="Z50" s="300"/>
      <c r="AA50" s="300"/>
    </row>
    <row r="51" customFormat="false" ht="12.8" hidden="false" customHeight="false" outlineLevel="0" collapsed="false">
      <c r="F51" s="300"/>
      <c r="G51" s="300"/>
      <c r="H51" s="300"/>
      <c r="I51" s="300"/>
      <c r="J51" s="300"/>
      <c r="K51" s="300"/>
      <c r="L51" s="300"/>
      <c r="M51" s="300"/>
      <c r="N51" s="300"/>
      <c r="O51" s="300"/>
      <c r="P51" s="300"/>
      <c r="S51" s="300"/>
      <c r="T51" s="300"/>
      <c r="U51" s="300"/>
      <c r="V51" s="300"/>
      <c r="W51" s="300"/>
      <c r="X51" s="300"/>
      <c r="Y51" s="300"/>
      <c r="Z51" s="300"/>
      <c r="AA51" s="300"/>
    </row>
    <row r="52" customFormat="false" ht="12.8" hidden="false" customHeight="false" outlineLevel="0" collapsed="false">
      <c r="F52" s="300"/>
      <c r="G52" s="300"/>
      <c r="H52" s="300"/>
      <c r="I52" s="300"/>
      <c r="J52" s="300"/>
      <c r="K52" s="300"/>
      <c r="L52" s="300"/>
      <c r="M52" s="300"/>
      <c r="N52" s="300"/>
      <c r="O52" s="300"/>
      <c r="P52" s="300"/>
      <c r="S52" s="300"/>
      <c r="T52" s="300"/>
      <c r="U52" s="300"/>
      <c r="V52" s="300"/>
      <c r="W52" s="300"/>
      <c r="X52" s="402"/>
      <c r="Y52" s="300"/>
      <c r="Z52" s="300"/>
      <c r="AA52" s="300"/>
    </row>
    <row r="53" customFormat="false" ht="12.8" hidden="false" customHeight="false" outlineLevel="0" collapsed="false">
      <c r="F53" s="300"/>
      <c r="G53" s="300"/>
      <c r="H53" s="300"/>
      <c r="I53" s="300"/>
      <c r="J53" s="300"/>
      <c r="K53" s="300"/>
      <c r="L53" s="300"/>
      <c r="M53" s="300"/>
      <c r="N53" s="300"/>
      <c r="O53" s="300"/>
      <c r="P53" s="300"/>
      <c r="S53" s="300"/>
      <c r="T53" s="300"/>
      <c r="U53" s="300"/>
      <c r="V53" s="300"/>
      <c r="W53" s="300"/>
      <c r="X53" s="402"/>
      <c r="Y53" s="300"/>
      <c r="Z53" s="300"/>
      <c r="AA53" s="300"/>
    </row>
    <row r="54" customFormat="false" ht="12.8" hidden="false" customHeight="false" outlineLevel="0" collapsed="false">
      <c r="F54" s="300"/>
      <c r="G54" s="300"/>
      <c r="H54" s="300"/>
      <c r="I54" s="300"/>
      <c r="J54" s="300"/>
      <c r="K54" s="300"/>
      <c r="L54" s="300"/>
      <c r="M54" s="300"/>
      <c r="N54" s="300"/>
      <c r="O54" s="300"/>
      <c r="P54" s="300"/>
      <c r="S54" s="300"/>
      <c r="T54" s="300"/>
      <c r="U54" s="300"/>
      <c r="V54" s="300"/>
      <c r="W54" s="300"/>
      <c r="X54" s="403"/>
      <c r="Y54" s="300"/>
      <c r="Z54" s="300"/>
      <c r="AA54" s="300"/>
    </row>
    <row r="55" customFormat="false" ht="12.8" hidden="false" customHeight="false" outlineLevel="0" collapsed="false">
      <c r="F55" s="300"/>
      <c r="G55" s="300"/>
      <c r="H55" s="300"/>
      <c r="I55" s="300"/>
      <c r="J55" s="300"/>
      <c r="K55" s="300"/>
      <c r="L55" s="300"/>
      <c r="M55" s="300"/>
      <c r="N55" s="300"/>
      <c r="O55" s="300"/>
      <c r="P55" s="300"/>
      <c r="S55" s="300"/>
      <c r="T55" s="300"/>
      <c r="U55" s="300"/>
      <c r="V55" s="300"/>
      <c r="W55" s="300"/>
      <c r="X55" s="403"/>
      <c r="Y55" s="300"/>
      <c r="Z55" s="300"/>
      <c r="AA55" s="300"/>
    </row>
    <row r="56" customFormat="false" ht="12.8" hidden="false" customHeight="false" outlineLevel="0" collapsed="false">
      <c r="F56" s="300"/>
      <c r="G56" s="300"/>
      <c r="H56" s="300"/>
      <c r="I56" s="300"/>
      <c r="J56" s="300"/>
      <c r="K56" s="300"/>
      <c r="L56" s="300"/>
      <c r="M56" s="300"/>
      <c r="N56" s="300"/>
      <c r="O56" s="300"/>
      <c r="P56" s="300"/>
      <c r="S56" s="300"/>
      <c r="T56" s="300"/>
      <c r="U56" s="300"/>
      <c r="V56" s="300"/>
      <c r="W56" s="300"/>
      <c r="X56" s="402"/>
      <c r="Y56" s="300"/>
      <c r="Z56" s="300"/>
      <c r="AA56" s="300"/>
    </row>
    <row r="57" customFormat="false" ht="12.8" hidden="false" customHeight="false" outlineLevel="0" collapsed="false">
      <c r="F57" s="300"/>
      <c r="G57" s="300"/>
      <c r="H57" s="300"/>
      <c r="I57" s="300"/>
      <c r="J57" s="300"/>
      <c r="K57" s="300"/>
      <c r="L57" s="300"/>
      <c r="M57" s="300"/>
      <c r="N57" s="300"/>
      <c r="O57" s="300"/>
      <c r="P57" s="300"/>
      <c r="S57" s="300"/>
      <c r="T57" s="300"/>
      <c r="U57" s="300"/>
      <c r="V57" s="300"/>
      <c r="W57" s="300"/>
      <c r="X57" s="402"/>
      <c r="Y57" s="300"/>
      <c r="Z57" s="300"/>
      <c r="AA57" s="300"/>
    </row>
    <row r="58" customFormat="false" ht="12.8" hidden="false" customHeight="false" outlineLevel="0" collapsed="false">
      <c r="F58" s="300"/>
      <c r="G58" s="300"/>
      <c r="H58" s="300"/>
      <c r="I58" s="300"/>
      <c r="J58" s="300"/>
      <c r="K58" s="300"/>
      <c r="L58" s="300"/>
      <c r="M58" s="300"/>
      <c r="N58" s="300"/>
      <c r="O58" s="300"/>
      <c r="P58" s="300"/>
      <c r="S58" s="300"/>
      <c r="T58" s="300"/>
      <c r="U58" s="300"/>
      <c r="V58" s="300"/>
      <c r="W58" s="300"/>
      <c r="X58" s="402"/>
      <c r="Y58" s="300"/>
      <c r="Z58" s="300"/>
      <c r="AA58" s="300"/>
    </row>
    <row r="59" customFormat="false" ht="12.8" hidden="false" customHeight="false" outlineLevel="0" collapsed="false">
      <c r="F59" s="300"/>
      <c r="G59" s="300"/>
      <c r="H59" s="300"/>
      <c r="I59" s="300"/>
      <c r="J59" s="300"/>
      <c r="K59" s="300"/>
      <c r="L59" s="300"/>
      <c r="M59" s="300"/>
      <c r="N59" s="300"/>
      <c r="O59" s="300"/>
      <c r="P59" s="300"/>
      <c r="S59" s="300"/>
      <c r="T59" s="300"/>
      <c r="U59" s="300"/>
      <c r="V59" s="300"/>
      <c r="W59" s="300"/>
      <c r="X59" s="300"/>
      <c r="Y59" s="300"/>
      <c r="Z59" s="300"/>
      <c r="AA59" s="300"/>
    </row>
    <row r="60" customFormat="false" ht="12.8" hidden="false" customHeight="false" outlineLevel="0" collapsed="false">
      <c r="F60" s="300"/>
      <c r="G60" s="300"/>
      <c r="H60" s="300"/>
      <c r="I60" s="300"/>
      <c r="J60" s="300"/>
      <c r="K60" s="300"/>
      <c r="L60" s="300"/>
      <c r="M60" s="300"/>
      <c r="N60" s="300"/>
      <c r="O60" s="300"/>
      <c r="P60" s="300"/>
      <c r="S60" s="300"/>
      <c r="T60" s="300"/>
      <c r="U60" s="300"/>
      <c r="V60" s="300"/>
      <c r="W60" s="300"/>
      <c r="X60" s="404"/>
      <c r="Y60" s="300"/>
      <c r="Z60" s="300"/>
      <c r="AA60" s="300"/>
    </row>
    <row r="61" customFormat="false" ht="12.8" hidden="false" customHeight="false" outlineLevel="0" collapsed="false">
      <c r="F61" s="300"/>
      <c r="G61" s="300"/>
      <c r="H61" s="300"/>
      <c r="I61" s="300"/>
      <c r="J61" s="300"/>
      <c r="K61" s="300"/>
      <c r="L61" s="300"/>
      <c r="M61" s="300"/>
      <c r="N61" s="300"/>
      <c r="O61" s="300"/>
      <c r="P61" s="300"/>
      <c r="S61" s="300"/>
      <c r="T61" s="300"/>
      <c r="U61" s="300"/>
      <c r="V61" s="300"/>
      <c r="W61" s="300"/>
      <c r="X61" s="404"/>
      <c r="Y61" s="300"/>
      <c r="Z61" s="300"/>
      <c r="AA61" s="300"/>
    </row>
    <row r="62" customFormat="false" ht="12.8" hidden="false" customHeight="false" outlineLevel="0" collapsed="false">
      <c r="F62" s="300"/>
      <c r="G62" s="300"/>
      <c r="H62" s="300"/>
      <c r="I62" s="300"/>
      <c r="J62" s="300"/>
      <c r="K62" s="300"/>
      <c r="L62" s="300"/>
      <c r="M62" s="300"/>
      <c r="N62" s="300"/>
      <c r="O62" s="300"/>
      <c r="P62" s="300"/>
      <c r="S62" s="300"/>
      <c r="T62" s="300"/>
      <c r="U62" s="300"/>
      <c r="V62" s="300"/>
      <c r="W62" s="300"/>
      <c r="X62" s="404"/>
      <c r="Y62" s="300"/>
      <c r="Z62" s="300"/>
      <c r="AA62" s="300"/>
    </row>
    <row r="63" customFormat="false" ht="12.8" hidden="false" customHeight="false" outlineLevel="0" collapsed="false">
      <c r="F63" s="300"/>
      <c r="G63" s="300"/>
      <c r="H63" s="300"/>
      <c r="I63" s="300"/>
      <c r="J63" s="300"/>
      <c r="K63" s="300"/>
      <c r="L63" s="300"/>
      <c r="M63" s="300"/>
      <c r="N63" s="300"/>
      <c r="O63" s="300"/>
      <c r="P63" s="300"/>
      <c r="S63" s="300"/>
      <c r="T63" s="300"/>
      <c r="U63" s="300"/>
      <c r="V63" s="300"/>
      <c r="W63" s="300"/>
      <c r="X63" s="404"/>
      <c r="Y63" s="300"/>
      <c r="Z63" s="300"/>
      <c r="AA63" s="300"/>
    </row>
    <row r="64" customFormat="false" ht="12.8" hidden="false" customHeight="false" outlineLevel="0" collapsed="false">
      <c r="F64" s="300"/>
      <c r="G64" s="300"/>
      <c r="H64" s="300"/>
      <c r="I64" s="300"/>
      <c r="J64" s="300"/>
      <c r="K64" s="300"/>
      <c r="L64" s="300"/>
      <c r="M64" s="300"/>
      <c r="N64" s="300"/>
      <c r="O64" s="300"/>
      <c r="P64" s="300"/>
      <c r="S64" s="300"/>
      <c r="T64" s="300"/>
      <c r="U64" s="300"/>
      <c r="V64" s="300"/>
      <c r="W64" s="300"/>
      <c r="X64" s="404"/>
      <c r="Y64" s="300"/>
      <c r="Z64" s="300"/>
      <c r="AA64" s="300"/>
    </row>
    <row r="65" customFormat="false" ht="12.8" hidden="false" customHeight="false" outlineLevel="0" collapsed="false">
      <c r="F65" s="300"/>
      <c r="G65" s="300"/>
      <c r="H65" s="300"/>
      <c r="I65" s="300"/>
      <c r="J65" s="300"/>
      <c r="K65" s="300"/>
      <c r="L65" s="300"/>
      <c r="M65" s="300"/>
      <c r="N65" s="300"/>
      <c r="O65" s="300"/>
      <c r="P65" s="300"/>
      <c r="S65" s="300"/>
      <c r="T65" s="300"/>
      <c r="U65" s="300"/>
      <c r="V65" s="300"/>
      <c r="W65" s="300"/>
      <c r="X65" s="404"/>
      <c r="Y65" s="300"/>
      <c r="Z65" s="300"/>
      <c r="AA65" s="300"/>
    </row>
    <row r="66" customFormat="false" ht="12.8" hidden="false" customHeight="false" outlineLevel="0" collapsed="false">
      <c r="F66" s="300"/>
      <c r="G66" s="300"/>
      <c r="H66" s="300"/>
      <c r="I66" s="300"/>
      <c r="J66" s="300"/>
      <c r="K66" s="300"/>
      <c r="L66" s="300"/>
      <c r="M66" s="300"/>
      <c r="N66" s="300"/>
      <c r="O66" s="300"/>
      <c r="P66" s="300"/>
      <c r="S66" s="300"/>
      <c r="T66" s="300"/>
      <c r="U66" s="300"/>
      <c r="V66" s="300"/>
      <c r="W66" s="300"/>
      <c r="X66" s="404"/>
      <c r="Y66" s="300"/>
      <c r="Z66" s="300"/>
      <c r="AA66" s="300"/>
    </row>
    <row r="67" customFormat="false" ht="12.8" hidden="false" customHeight="false" outlineLevel="0" collapsed="false">
      <c r="F67" s="300"/>
      <c r="G67" s="300"/>
      <c r="H67" s="300"/>
      <c r="I67" s="300"/>
      <c r="J67" s="300"/>
      <c r="K67" s="300"/>
      <c r="L67" s="300"/>
      <c r="M67" s="300"/>
      <c r="N67" s="300"/>
      <c r="O67" s="300"/>
      <c r="P67" s="300"/>
      <c r="S67" s="300"/>
      <c r="T67" s="300"/>
      <c r="U67" s="300"/>
      <c r="V67" s="300"/>
      <c r="W67" s="300"/>
      <c r="X67" s="404"/>
      <c r="Y67" s="300"/>
      <c r="Z67" s="300"/>
      <c r="AA67" s="300"/>
    </row>
    <row r="68" customFormat="false" ht="12.8" hidden="false" customHeight="false" outlineLevel="0" collapsed="false">
      <c r="F68" s="300"/>
      <c r="G68" s="300"/>
      <c r="H68" s="300"/>
      <c r="I68" s="300"/>
      <c r="J68" s="300"/>
      <c r="K68" s="300"/>
      <c r="L68" s="300"/>
      <c r="M68" s="300"/>
      <c r="N68" s="300"/>
      <c r="O68" s="300"/>
      <c r="P68" s="300"/>
      <c r="S68" s="300"/>
      <c r="T68" s="300"/>
      <c r="U68" s="300"/>
      <c r="V68" s="300"/>
      <c r="W68" s="300"/>
      <c r="X68" s="404"/>
      <c r="Y68" s="300"/>
      <c r="Z68" s="300"/>
      <c r="AA68" s="300"/>
    </row>
    <row r="69" customFormat="false" ht="12.8" hidden="false" customHeight="false" outlineLevel="0" collapsed="false">
      <c r="F69" s="300"/>
      <c r="G69" s="300"/>
      <c r="H69" s="300"/>
      <c r="I69" s="300"/>
      <c r="J69" s="300"/>
      <c r="K69" s="300"/>
      <c r="L69" s="300"/>
      <c r="M69" s="300"/>
      <c r="N69" s="300"/>
      <c r="O69" s="300"/>
      <c r="P69" s="300"/>
      <c r="S69" s="300"/>
      <c r="T69" s="300"/>
      <c r="U69" s="300"/>
      <c r="V69" s="300"/>
      <c r="W69" s="300"/>
      <c r="X69" s="404"/>
      <c r="Y69" s="300"/>
      <c r="Z69" s="300"/>
      <c r="AA69" s="300"/>
    </row>
    <row r="70" customFormat="false" ht="12.8" hidden="false" customHeight="false" outlineLevel="0" collapsed="false">
      <c r="F70" s="300"/>
      <c r="G70" s="300"/>
      <c r="H70" s="300"/>
      <c r="I70" s="300"/>
      <c r="J70" s="300"/>
      <c r="K70" s="300"/>
      <c r="L70" s="300"/>
      <c r="M70" s="300"/>
      <c r="N70" s="300"/>
      <c r="O70" s="300"/>
      <c r="P70" s="300"/>
      <c r="S70" s="300"/>
      <c r="T70" s="300"/>
      <c r="U70" s="300"/>
      <c r="V70" s="300"/>
      <c r="W70" s="300"/>
      <c r="X70" s="404"/>
      <c r="Y70" s="300"/>
      <c r="Z70" s="300"/>
      <c r="AA70" s="300"/>
    </row>
    <row r="71" customFormat="false" ht="12.8" hidden="false" customHeight="false" outlineLevel="0" collapsed="false">
      <c r="F71" s="300"/>
      <c r="G71" s="300"/>
      <c r="H71" s="300"/>
      <c r="I71" s="300"/>
      <c r="J71" s="300"/>
      <c r="K71" s="300"/>
      <c r="L71" s="300"/>
      <c r="M71" s="300"/>
      <c r="N71" s="300"/>
      <c r="O71" s="300"/>
      <c r="P71" s="300"/>
      <c r="S71" s="300"/>
      <c r="T71" s="300"/>
      <c r="U71" s="300"/>
      <c r="V71" s="300"/>
      <c r="W71" s="300"/>
      <c r="X71" s="404"/>
      <c r="Y71" s="300"/>
      <c r="Z71" s="300"/>
      <c r="AA71" s="300"/>
      <c r="BP71" s="405"/>
    </row>
    <row r="72" customFormat="false" ht="12.8" hidden="false" customHeight="false" outlineLevel="0" collapsed="false">
      <c r="F72" s="300"/>
      <c r="G72" s="300"/>
      <c r="H72" s="300"/>
      <c r="I72" s="300"/>
      <c r="J72" s="300"/>
      <c r="K72" s="300"/>
      <c r="L72" s="300"/>
      <c r="M72" s="300"/>
      <c r="N72" s="300"/>
      <c r="O72" s="300"/>
      <c r="P72" s="300"/>
      <c r="S72" s="300"/>
      <c r="T72" s="300"/>
      <c r="U72" s="300"/>
      <c r="V72" s="300"/>
      <c r="W72" s="300"/>
      <c r="X72" s="404"/>
      <c r="Y72" s="300"/>
      <c r="Z72" s="300"/>
      <c r="AA72" s="300"/>
    </row>
    <row r="73" customFormat="false" ht="12.8" hidden="false" customHeight="false" outlineLevel="0" collapsed="false">
      <c r="F73" s="300"/>
      <c r="G73" s="300"/>
      <c r="H73" s="300"/>
      <c r="I73" s="300"/>
      <c r="J73" s="300"/>
      <c r="K73" s="300"/>
      <c r="L73" s="300"/>
      <c r="M73" s="300"/>
      <c r="N73" s="300"/>
      <c r="O73" s="300"/>
      <c r="P73" s="300"/>
      <c r="S73" s="300"/>
      <c r="T73" s="300"/>
      <c r="U73" s="300"/>
      <c r="V73" s="300"/>
      <c r="W73" s="300"/>
      <c r="X73" s="404"/>
      <c r="Y73" s="300"/>
      <c r="Z73" s="300"/>
      <c r="AA73" s="300"/>
    </row>
    <row r="74" customFormat="false" ht="12.8" hidden="false" customHeight="false" outlineLevel="0" collapsed="false">
      <c r="F74" s="300"/>
      <c r="G74" s="300"/>
      <c r="H74" s="300"/>
      <c r="I74" s="300"/>
      <c r="J74" s="300"/>
      <c r="K74" s="300"/>
      <c r="L74" s="300"/>
      <c r="M74" s="300"/>
      <c r="N74" s="300"/>
      <c r="O74" s="300"/>
      <c r="P74" s="300"/>
      <c r="S74" s="300"/>
      <c r="T74" s="300"/>
      <c r="U74" s="300"/>
      <c r="V74" s="300"/>
      <c r="W74" s="300"/>
      <c r="X74" s="404"/>
      <c r="Y74" s="300"/>
      <c r="Z74" s="300"/>
      <c r="AA74" s="300"/>
    </row>
    <row r="75" customFormat="false" ht="12.8" hidden="false" customHeight="false" outlineLevel="0" collapsed="false">
      <c r="F75" s="300"/>
      <c r="G75" s="300"/>
      <c r="H75" s="300"/>
      <c r="I75" s="300"/>
      <c r="J75" s="300"/>
      <c r="K75" s="300"/>
      <c r="L75" s="300"/>
      <c r="M75" s="300"/>
      <c r="N75" s="300"/>
      <c r="O75" s="300"/>
      <c r="P75" s="300"/>
      <c r="S75" s="300"/>
      <c r="T75" s="300"/>
      <c r="U75" s="300"/>
      <c r="V75" s="300"/>
      <c r="W75" s="300"/>
      <c r="X75" s="300"/>
      <c r="Y75" s="300"/>
      <c r="Z75" s="300"/>
      <c r="AA75" s="300"/>
    </row>
    <row r="76" customFormat="false" ht="12.8" hidden="false" customHeight="false" outlineLevel="0" collapsed="false">
      <c r="F76" s="300"/>
      <c r="G76" s="300"/>
      <c r="H76" s="300"/>
      <c r="I76" s="300"/>
      <c r="J76" s="300"/>
      <c r="K76" s="300"/>
      <c r="L76" s="300"/>
      <c r="M76" s="300"/>
      <c r="N76" s="300"/>
      <c r="O76" s="300"/>
      <c r="P76" s="300"/>
      <c r="S76" s="300"/>
      <c r="T76" s="300"/>
      <c r="U76" s="300"/>
      <c r="V76" s="300"/>
      <c r="W76" s="300"/>
      <c r="X76" s="300"/>
      <c r="Y76" s="300"/>
      <c r="Z76" s="300"/>
      <c r="AA76" s="300"/>
    </row>
    <row r="77" customFormat="false" ht="12.8" hidden="false" customHeight="false" outlineLevel="0" collapsed="false">
      <c r="F77" s="300"/>
      <c r="G77" s="300"/>
      <c r="H77" s="300"/>
      <c r="I77" s="300"/>
      <c r="J77" s="300"/>
      <c r="K77" s="300"/>
      <c r="L77" s="300"/>
      <c r="M77" s="300"/>
      <c r="N77" s="300"/>
      <c r="O77" s="300"/>
      <c r="P77" s="300"/>
      <c r="S77" s="300"/>
      <c r="T77" s="300"/>
      <c r="U77" s="300"/>
      <c r="V77" s="300"/>
      <c r="W77" s="300"/>
      <c r="X77" s="300"/>
      <c r="Y77" s="300"/>
      <c r="Z77" s="300"/>
      <c r="AA77" s="300"/>
    </row>
    <row r="78" customFormat="false" ht="12.8" hidden="false" customHeight="false" outlineLevel="0" collapsed="false">
      <c r="F78" s="300"/>
      <c r="G78" s="300"/>
      <c r="H78" s="300"/>
      <c r="I78" s="300"/>
      <c r="J78" s="300"/>
      <c r="K78" s="300"/>
      <c r="L78" s="300"/>
      <c r="M78" s="300"/>
      <c r="N78" s="300"/>
      <c r="O78" s="300"/>
      <c r="P78" s="300"/>
      <c r="S78" s="300"/>
      <c r="T78" s="300"/>
      <c r="U78" s="300"/>
      <c r="V78" s="300"/>
      <c r="W78" s="300"/>
      <c r="X78" s="300"/>
      <c r="Y78" s="300"/>
      <c r="Z78" s="300"/>
      <c r="AA78" s="300"/>
    </row>
    <row r="79" customFormat="false" ht="12.8" hidden="false" customHeight="false" outlineLevel="0" collapsed="false">
      <c r="F79" s="300"/>
      <c r="G79" s="300"/>
      <c r="H79" s="300"/>
      <c r="I79" s="300"/>
      <c r="J79" s="300"/>
      <c r="K79" s="300"/>
      <c r="L79" s="300"/>
      <c r="M79" s="300"/>
      <c r="N79" s="300"/>
      <c r="O79" s="300"/>
      <c r="P79" s="300"/>
      <c r="S79" s="300"/>
      <c r="T79" s="300"/>
      <c r="U79" s="300"/>
      <c r="V79" s="300"/>
      <c r="W79" s="300"/>
      <c r="X79" s="300"/>
      <c r="Y79" s="300"/>
      <c r="Z79" s="300"/>
      <c r="AA79" s="300"/>
    </row>
    <row r="80" customFormat="false" ht="12.8" hidden="false" customHeight="false" outlineLevel="0" collapsed="false">
      <c r="F80" s="300"/>
      <c r="G80" s="300"/>
      <c r="H80" s="300"/>
      <c r="I80" s="300"/>
      <c r="J80" s="300"/>
      <c r="K80" s="300"/>
      <c r="L80" s="300"/>
      <c r="M80" s="300"/>
      <c r="N80" s="300"/>
      <c r="O80" s="300"/>
      <c r="P80" s="300"/>
      <c r="S80" s="300"/>
      <c r="T80" s="300"/>
      <c r="U80" s="300"/>
      <c r="V80" s="300"/>
      <c r="W80" s="300"/>
      <c r="X80" s="300"/>
      <c r="Y80" s="300"/>
      <c r="Z80" s="300"/>
      <c r="AA80" s="300"/>
    </row>
    <row r="81" customFormat="false" ht="12.8" hidden="false" customHeight="false" outlineLevel="0" collapsed="false">
      <c r="F81" s="300"/>
      <c r="G81" s="300"/>
      <c r="H81" s="300"/>
      <c r="I81" s="300"/>
      <c r="J81" s="300"/>
      <c r="K81" s="300"/>
      <c r="L81" s="300"/>
      <c r="M81" s="300"/>
      <c r="N81" s="300"/>
      <c r="O81" s="300"/>
      <c r="P81" s="300"/>
      <c r="S81" s="300"/>
      <c r="T81" s="300"/>
      <c r="U81" s="300"/>
      <c r="V81" s="300"/>
      <c r="W81" s="300"/>
      <c r="X81" s="300"/>
      <c r="Y81" s="300"/>
      <c r="Z81" s="300"/>
      <c r="AA81" s="300"/>
    </row>
    <row r="82" customFormat="false" ht="12.8" hidden="false" customHeight="false" outlineLevel="0" collapsed="false">
      <c r="F82" s="300"/>
      <c r="G82" s="300"/>
      <c r="H82" s="300"/>
      <c r="I82" s="300"/>
      <c r="J82" s="300"/>
      <c r="K82" s="300"/>
      <c r="L82" s="300"/>
      <c r="M82" s="300"/>
      <c r="N82" s="300"/>
      <c r="O82" s="300"/>
      <c r="P82" s="300"/>
      <c r="S82" s="300"/>
      <c r="T82" s="300"/>
      <c r="U82" s="300"/>
      <c r="V82" s="300"/>
      <c r="W82" s="300"/>
      <c r="X82" s="300"/>
      <c r="Y82" s="300"/>
      <c r="Z82" s="300"/>
      <c r="AA82" s="300"/>
    </row>
    <row r="83" customFormat="false" ht="12.8" hidden="false" customHeight="false" outlineLevel="0" collapsed="false">
      <c r="F83" s="300"/>
      <c r="G83" s="300"/>
      <c r="H83" s="300"/>
      <c r="I83" s="300"/>
      <c r="J83" s="300"/>
      <c r="K83" s="300"/>
      <c r="L83" s="300"/>
      <c r="M83" s="300"/>
      <c r="N83" s="300"/>
      <c r="O83" s="300"/>
      <c r="P83" s="300"/>
      <c r="S83" s="300"/>
      <c r="T83" s="300"/>
      <c r="U83" s="300"/>
      <c r="V83" s="300"/>
      <c r="W83" s="300"/>
      <c r="X83" s="300"/>
      <c r="Y83" s="300"/>
      <c r="Z83" s="300"/>
      <c r="AA83" s="300"/>
    </row>
    <row r="84" customFormat="false" ht="12.8" hidden="false" customHeight="false" outlineLevel="0" collapsed="false">
      <c r="F84" s="300"/>
      <c r="G84" s="300"/>
      <c r="H84" s="300"/>
      <c r="I84" s="300"/>
      <c r="J84" s="300"/>
      <c r="K84" s="300"/>
      <c r="L84" s="300"/>
      <c r="M84" s="300"/>
      <c r="N84" s="300"/>
      <c r="O84" s="300"/>
      <c r="P84" s="300"/>
      <c r="S84" s="300"/>
      <c r="T84" s="300"/>
      <c r="U84" s="300"/>
      <c r="V84" s="300"/>
      <c r="W84" s="300"/>
      <c r="X84" s="300"/>
      <c r="Y84" s="300"/>
      <c r="Z84" s="300"/>
      <c r="AA84" s="300"/>
    </row>
    <row r="85" customFormat="false" ht="12.8" hidden="false" customHeight="false" outlineLevel="0" collapsed="false">
      <c r="F85" s="300"/>
      <c r="G85" s="300"/>
      <c r="H85" s="300"/>
      <c r="I85" s="300"/>
      <c r="J85" s="300"/>
      <c r="K85" s="300"/>
      <c r="L85" s="300"/>
      <c r="M85" s="300"/>
      <c r="N85" s="300"/>
      <c r="O85" s="300"/>
      <c r="P85" s="300"/>
      <c r="S85" s="300"/>
      <c r="T85" s="300"/>
      <c r="U85" s="300"/>
      <c r="V85" s="300"/>
      <c r="W85" s="300"/>
      <c r="X85" s="300"/>
      <c r="Y85" s="300"/>
      <c r="Z85" s="300"/>
      <c r="AA85" s="300"/>
    </row>
    <row r="86" customFormat="false" ht="12.8" hidden="false" customHeight="false" outlineLevel="0" collapsed="false">
      <c r="F86" s="300"/>
      <c r="G86" s="300"/>
      <c r="H86" s="300"/>
      <c r="I86" s="300"/>
      <c r="J86" s="300"/>
      <c r="K86" s="300"/>
      <c r="L86" s="300"/>
      <c r="M86" s="300"/>
      <c r="N86" s="300"/>
      <c r="O86" s="300"/>
      <c r="P86" s="300"/>
      <c r="S86" s="300"/>
      <c r="T86" s="300"/>
      <c r="U86" s="300"/>
      <c r="V86" s="300"/>
      <c r="W86" s="300"/>
      <c r="X86" s="300"/>
      <c r="Y86" s="300"/>
      <c r="Z86" s="300"/>
      <c r="AA86" s="300"/>
    </row>
    <row r="87" customFormat="false" ht="12.8" hidden="false" customHeight="false" outlineLevel="0" collapsed="false">
      <c r="F87" s="300"/>
      <c r="G87" s="300"/>
      <c r="H87" s="300"/>
      <c r="I87" s="300"/>
      <c r="J87" s="300"/>
      <c r="K87" s="300"/>
      <c r="L87" s="300"/>
      <c r="M87" s="300"/>
      <c r="N87" s="300"/>
      <c r="O87" s="300"/>
      <c r="P87" s="300"/>
      <c r="S87" s="300"/>
      <c r="T87" s="300"/>
      <c r="U87" s="300"/>
      <c r="V87" s="300"/>
      <c r="W87" s="300"/>
      <c r="X87" s="300"/>
      <c r="Y87" s="300"/>
      <c r="Z87" s="300"/>
      <c r="AA87" s="300"/>
    </row>
    <row r="88" customFormat="false" ht="12.8" hidden="false" customHeight="false" outlineLevel="0" collapsed="false">
      <c r="F88" s="300"/>
      <c r="G88" s="300"/>
      <c r="H88" s="300"/>
      <c r="I88" s="300"/>
      <c r="J88" s="300"/>
      <c r="K88" s="300"/>
      <c r="L88" s="300"/>
      <c r="M88" s="300"/>
      <c r="N88" s="300"/>
      <c r="O88" s="300"/>
      <c r="P88" s="300"/>
      <c r="S88" s="300"/>
      <c r="T88" s="300"/>
      <c r="U88" s="300"/>
      <c r="V88" s="300"/>
      <c r="W88" s="300"/>
      <c r="X88" s="300"/>
      <c r="Y88" s="300"/>
      <c r="Z88" s="300"/>
      <c r="AA88" s="300"/>
    </row>
    <row r="89" customFormat="false" ht="12.8" hidden="false" customHeight="false" outlineLevel="0" collapsed="false">
      <c r="F89" s="300"/>
      <c r="G89" s="300"/>
      <c r="H89" s="300"/>
      <c r="I89" s="300"/>
      <c r="J89" s="300"/>
      <c r="K89" s="300"/>
      <c r="L89" s="300"/>
      <c r="M89" s="300"/>
      <c r="N89" s="300"/>
      <c r="O89" s="300"/>
      <c r="P89" s="300"/>
      <c r="S89" s="300"/>
      <c r="T89" s="300"/>
      <c r="U89" s="300"/>
      <c r="V89" s="300"/>
      <c r="W89" s="300"/>
      <c r="X89" s="300"/>
      <c r="Y89" s="300"/>
      <c r="Z89" s="300"/>
      <c r="AA89" s="300"/>
    </row>
    <row r="90" customFormat="false" ht="12.8" hidden="false" customHeight="false" outlineLevel="0" collapsed="false">
      <c r="F90" s="300"/>
      <c r="G90" s="300"/>
      <c r="H90" s="300"/>
      <c r="I90" s="300"/>
      <c r="J90" s="300"/>
      <c r="K90" s="300"/>
      <c r="L90" s="300"/>
      <c r="M90" s="300"/>
      <c r="N90" s="300"/>
      <c r="O90" s="300"/>
      <c r="P90" s="300"/>
      <c r="S90" s="300"/>
      <c r="T90" s="300"/>
      <c r="U90" s="300"/>
      <c r="V90" s="300"/>
      <c r="W90" s="300"/>
      <c r="X90" s="300"/>
      <c r="Y90" s="300"/>
      <c r="Z90" s="300"/>
      <c r="AA90" s="300"/>
    </row>
    <row r="91" customFormat="false" ht="12.8" hidden="false" customHeight="false" outlineLevel="0" collapsed="false">
      <c r="F91" s="300"/>
      <c r="G91" s="300"/>
      <c r="H91" s="300"/>
      <c r="I91" s="300"/>
      <c r="J91" s="300"/>
      <c r="K91" s="300"/>
      <c r="L91" s="300"/>
      <c r="M91" s="300"/>
      <c r="N91" s="300"/>
      <c r="O91" s="300"/>
      <c r="P91" s="300"/>
      <c r="S91" s="300"/>
      <c r="T91" s="300"/>
      <c r="U91" s="300"/>
      <c r="V91" s="300"/>
      <c r="W91" s="300"/>
      <c r="X91" s="300"/>
      <c r="Y91" s="300"/>
      <c r="Z91" s="300"/>
      <c r="AA91" s="300"/>
    </row>
    <row r="92" customFormat="false" ht="12.8" hidden="false" customHeight="false" outlineLevel="0" collapsed="false">
      <c r="F92" s="300"/>
      <c r="G92" s="300"/>
      <c r="H92" s="300"/>
      <c r="I92" s="300"/>
      <c r="J92" s="300"/>
      <c r="K92" s="300"/>
      <c r="L92" s="300"/>
      <c r="M92" s="300"/>
      <c r="N92" s="300"/>
      <c r="O92" s="300"/>
      <c r="P92" s="300"/>
      <c r="S92" s="300"/>
      <c r="T92" s="300"/>
      <c r="U92" s="300"/>
      <c r="V92" s="300"/>
      <c r="W92" s="300"/>
      <c r="X92" s="300"/>
      <c r="Y92" s="300"/>
      <c r="Z92" s="300"/>
      <c r="AA92" s="300"/>
    </row>
    <row r="93" customFormat="false" ht="12.8" hidden="false" customHeight="false" outlineLevel="0" collapsed="false">
      <c r="F93" s="300"/>
      <c r="G93" s="300"/>
      <c r="H93" s="300"/>
      <c r="I93" s="300"/>
      <c r="J93" s="300"/>
      <c r="K93" s="300"/>
      <c r="L93" s="300"/>
      <c r="M93" s="300"/>
      <c r="N93" s="300"/>
      <c r="O93" s="300"/>
      <c r="P93" s="300"/>
      <c r="S93" s="300"/>
      <c r="T93" s="300"/>
      <c r="U93" s="300"/>
      <c r="V93" s="300"/>
      <c r="W93" s="300"/>
      <c r="X93" s="300"/>
      <c r="Y93" s="300"/>
      <c r="Z93" s="300"/>
      <c r="AA93" s="300"/>
    </row>
    <row r="94" customFormat="false" ht="12.8" hidden="false" customHeight="false" outlineLevel="0" collapsed="false">
      <c r="F94" s="300"/>
      <c r="G94" s="300"/>
      <c r="H94" s="300"/>
      <c r="I94" s="300"/>
      <c r="J94" s="300"/>
      <c r="K94" s="300"/>
      <c r="L94" s="300"/>
      <c r="M94" s="300"/>
      <c r="N94" s="300"/>
      <c r="O94" s="300"/>
      <c r="P94" s="300"/>
      <c r="S94" s="300"/>
      <c r="T94" s="300"/>
      <c r="U94" s="300"/>
      <c r="V94" s="300"/>
      <c r="W94" s="300"/>
      <c r="X94" s="300"/>
      <c r="Y94" s="300"/>
      <c r="Z94" s="300"/>
      <c r="AA94" s="300"/>
    </row>
    <row r="95" customFormat="false" ht="12.8" hidden="false" customHeight="false" outlineLevel="0" collapsed="false">
      <c r="F95" s="300"/>
      <c r="G95" s="300"/>
      <c r="H95" s="300"/>
      <c r="I95" s="300"/>
      <c r="J95" s="300"/>
      <c r="K95" s="300"/>
      <c r="L95" s="300"/>
      <c r="M95" s="300"/>
      <c r="N95" s="300"/>
      <c r="O95" s="300"/>
      <c r="P95" s="300"/>
      <c r="S95" s="300"/>
      <c r="T95" s="300"/>
      <c r="U95" s="300"/>
      <c r="V95" s="300"/>
      <c r="W95" s="300"/>
      <c r="X95" s="300"/>
      <c r="Y95" s="300"/>
      <c r="Z95" s="300"/>
      <c r="AA95" s="300"/>
    </row>
    <row r="96" customFormat="false" ht="12.8" hidden="false" customHeight="false" outlineLevel="0" collapsed="false">
      <c r="F96" s="300"/>
      <c r="G96" s="300"/>
      <c r="H96" s="300"/>
      <c r="I96" s="300"/>
      <c r="J96" s="300"/>
      <c r="K96" s="300"/>
      <c r="L96" s="300"/>
      <c r="M96" s="300"/>
      <c r="N96" s="300"/>
      <c r="O96" s="300"/>
      <c r="P96" s="300"/>
      <c r="S96" s="300"/>
      <c r="T96" s="300"/>
      <c r="U96" s="300"/>
      <c r="V96" s="300"/>
      <c r="W96" s="300"/>
      <c r="X96" s="300"/>
      <c r="Y96" s="300"/>
      <c r="Z96" s="300"/>
      <c r="AA96" s="300"/>
    </row>
    <row r="97" customFormat="false" ht="12.8" hidden="false" customHeight="false" outlineLevel="0" collapsed="false">
      <c r="F97" s="300"/>
      <c r="G97" s="300"/>
      <c r="H97" s="300"/>
      <c r="I97" s="300"/>
      <c r="J97" s="300"/>
      <c r="K97" s="300"/>
      <c r="L97" s="300"/>
      <c r="M97" s="300"/>
      <c r="N97" s="300"/>
      <c r="O97" s="300"/>
      <c r="P97" s="300"/>
      <c r="S97" s="300"/>
      <c r="T97" s="300"/>
      <c r="U97" s="300"/>
      <c r="V97" s="300"/>
      <c r="W97" s="300"/>
      <c r="X97" s="300"/>
      <c r="Y97" s="300"/>
      <c r="Z97" s="300"/>
      <c r="AA97" s="300"/>
    </row>
    <row r="98" customFormat="false" ht="12.8" hidden="false" customHeight="false" outlineLevel="0" collapsed="false">
      <c r="F98" s="300"/>
      <c r="G98" s="300"/>
      <c r="H98" s="300"/>
      <c r="I98" s="300"/>
      <c r="J98" s="300"/>
      <c r="K98" s="300"/>
      <c r="L98" s="300"/>
      <c r="M98" s="300"/>
      <c r="N98" s="300"/>
      <c r="O98" s="300"/>
      <c r="P98" s="300"/>
      <c r="S98" s="300"/>
      <c r="T98" s="300"/>
      <c r="U98" s="300"/>
      <c r="V98" s="300"/>
      <c r="W98" s="300"/>
      <c r="X98" s="300"/>
      <c r="Y98" s="300"/>
      <c r="Z98" s="300"/>
      <c r="AA98" s="300"/>
    </row>
    <row r="99" customFormat="false" ht="12.8" hidden="false" customHeight="false" outlineLevel="0" collapsed="false">
      <c r="F99" s="300"/>
      <c r="G99" s="300"/>
      <c r="H99" s="300"/>
      <c r="I99" s="300"/>
      <c r="J99" s="300"/>
      <c r="K99" s="300"/>
      <c r="L99" s="300"/>
      <c r="M99" s="300"/>
      <c r="N99" s="300"/>
      <c r="O99" s="300"/>
      <c r="P99" s="300"/>
      <c r="S99" s="300"/>
      <c r="T99" s="300"/>
      <c r="U99" s="300"/>
      <c r="V99" s="300"/>
      <c r="W99" s="300"/>
      <c r="X99" s="300"/>
      <c r="Y99" s="300"/>
      <c r="Z99" s="300"/>
      <c r="AA99" s="300"/>
    </row>
    <row r="100" customFormat="false" ht="12.8" hidden="false" customHeight="false" outlineLevel="0" collapsed="false">
      <c r="F100" s="300"/>
      <c r="G100" s="300"/>
      <c r="H100" s="300"/>
      <c r="I100" s="300"/>
      <c r="J100" s="300"/>
      <c r="K100" s="300"/>
      <c r="L100" s="300"/>
      <c r="M100" s="300"/>
      <c r="N100" s="300"/>
      <c r="O100" s="300"/>
      <c r="P100" s="300"/>
      <c r="S100" s="300"/>
      <c r="T100" s="300"/>
      <c r="U100" s="300"/>
      <c r="V100" s="300"/>
      <c r="W100" s="300"/>
      <c r="X100" s="300"/>
      <c r="Y100" s="300"/>
      <c r="Z100" s="300"/>
      <c r="AA100" s="300"/>
    </row>
    <row r="101" customFormat="false" ht="12.8" hidden="false" customHeight="false" outlineLevel="0" collapsed="false">
      <c r="F101" s="300"/>
      <c r="G101" s="300"/>
      <c r="H101" s="300"/>
      <c r="I101" s="300"/>
      <c r="J101" s="300"/>
      <c r="K101" s="300"/>
      <c r="L101" s="300"/>
      <c r="M101" s="300"/>
      <c r="N101" s="300"/>
      <c r="O101" s="300"/>
      <c r="P101" s="300"/>
      <c r="S101" s="300"/>
      <c r="T101" s="300"/>
      <c r="U101" s="300"/>
      <c r="V101" s="300"/>
      <c r="W101" s="300"/>
      <c r="X101" s="300"/>
      <c r="Y101" s="300"/>
      <c r="Z101" s="300"/>
      <c r="AA101" s="300"/>
      <c r="BP101" s="167" t="s">
        <v>229</v>
      </c>
    </row>
    <row r="102" customFormat="false" ht="12.8" hidden="false" customHeight="false" outlineLevel="0" collapsed="false">
      <c r="F102" s="300"/>
      <c r="G102" s="300"/>
      <c r="H102" s="300"/>
      <c r="I102" s="300"/>
      <c r="J102" s="300"/>
      <c r="K102" s="300"/>
      <c r="L102" s="300"/>
      <c r="M102" s="300"/>
      <c r="N102" s="300"/>
      <c r="O102" s="300"/>
      <c r="P102" s="300"/>
      <c r="S102" s="300"/>
      <c r="T102" s="300"/>
      <c r="U102" s="300"/>
      <c r="V102" s="300"/>
      <c r="W102" s="300"/>
      <c r="X102" s="300"/>
      <c r="Y102" s="300"/>
      <c r="Z102" s="300"/>
      <c r="AA102" s="300"/>
    </row>
    <row r="103" customFormat="false" ht="12.8" hidden="false" customHeight="false" outlineLevel="0" collapsed="false">
      <c r="F103" s="300"/>
      <c r="G103" s="300"/>
      <c r="H103" s="300"/>
      <c r="I103" s="300"/>
      <c r="J103" s="300"/>
      <c r="K103" s="300"/>
      <c r="L103" s="300"/>
      <c r="M103" s="300"/>
      <c r="N103" s="300"/>
      <c r="O103" s="300"/>
      <c r="P103" s="300"/>
      <c r="S103" s="300"/>
      <c r="T103" s="300"/>
      <c r="U103" s="300"/>
      <c r="V103" s="300"/>
      <c r="W103" s="300"/>
      <c r="X103" s="300"/>
      <c r="Y103" s="300"/>
      <c r="Z103" s="300"/>
      <c r="AA103" s="300"/>
    </row>
    <row r="104" customFormat="false" ht="12.8" hidden="false" customHeight="false" outlineLevel="0" collapsed="false">
      <c r="F104" s="300"/>
      <c r="G104" s="300"/>
      <c r="H104" s="300"/>
      <c r="I104" s="300"/>
      <c r="J104" s="300"/>
      <c r="K104" s="300"/>
      <c r="L104" s="300"/>
      <c r="M104" s="300"/>
      <c r="N104" s="300"/>
      <c r="O104" s="300"/>
      <c r="P104" s="300"/>
      <c r="S104" s="300"/>
      <c r="T104" s="300"/>
      <c r="U104" s="300"/>
      <c r="V104" s="300"/>
      <c r="W104" s="300"/>
      <c r="X104" s="300"/>
      <c r="Y104" s="300"/>
      <c r="Z104" s="300"/>
      <c r="AA104" s="300"/>
    </row>
    <row r="105" customFormat="false" ht="12.8" hidden="false" customHeight="false" outlineLevel="0" collapsed="false">
      <c r="F105" s="300"/>
      <c r="G105" s="300"/>
      <c r="H105" s="300"/>
      <c r="I105" s="300"/>
      <c r="J105" s="300"/>
      <c r="K105" s="300"/>
      <c r="L105" s="300"/>
      <c r="M105" s="300"/>
      <c r="N105" s="300"/>
      <c r="O105" s="300"/>
      <c r="P105" s="300"/>
      <c r="S105" s="300"/>
      <c r="T105" s="300"/>
      <c r="U105" s="300"/>
      <c r="V105" s="300"/>
      <c r="W105" s="300"/>
      <c r="X105" s="300"/>
      <c r="Y105" s="300"/>
      <c r="Z105" s="300"/>
      <c r="AA105" s="300"/>
    </row>
    <row r="106" customFormat="false" ht="12.8" hidden="false" customHeight="false" outlineLevel="0" collapsed="false">
      <c r="F106" s="300"/>
      <c r="G106" s="300"/>
      <c r="H106" s="300"/>
      <c r="I106" s="300"/>
      <c r="J106" s="300"/>
      <c r="K106" s="300"/>
      <c r="L106" s="300"/>
      <c r="M106" s="300"/>
      <c r="N106" s="300"/>
      <c r="O106" s="300"/>
      <c r="P106" s="300"/>
      <c r="S106" s="300"/>
      <c r="T106" s="300"/>
      <c r="U106" s="300"/>
      <c r="V106" s="300"/>
      <c r="W106" s="300"/>
      <c r="X106" s="300"/>
      <c r="Y106" s="300"/>
      <c r="Z106" s="300"/>
      <c r="AA106" s="300"/>
    </row>
    <row r="107" customFormat="false" ht="12.8" hidden="false" customHeight="false" outlineLevel="0" collapsed="false">
      <c r="F107" s="300"/>
      <c r="G107" s="300"/>
      <c r="H107" s="300"/>
      <c r="I107" s="300"/>
      <c r="J107" s="300"/>
      <c r="K107" s="300"/>
      <c r="L107" s="300"/>
      <c r="M107" s="300"/>
      <c r="N107" s="300"/>
      <c r="O107" s="300"/>
      <c r="P107" s="300"/>
      <c r="S107" s="300"/>
      <c r="T107" s="300"/>
      <c r="U107" s="300"/>
      <c r="V107" s="300"/>
      <c r="W107" s="300"/>
      <c r="X107" s="300"/>
      <c r="Y107" s="300"/>
      <c r="Z107" s="300"/>
      <c r="AA107" s="300"/>
    </row>
    <row r="108" customFormat="false" ht="12.8" hidden="false" customHeight="false" outlineLevel="0" collapsed="false">
      <c r="F108" s="300"/>
      <c r="G108" s="300"/>
      <c r="H108" s="300"/>
      <c r="I108" s="300"/>
      <c r="J108" s="300"/>
      <c r="K108" s="300"/>
      <c r="L108" s="300"/>
      <c r="M108" s="300"/>
      <c r="N108" s="300"/>
      <c r="O108" s="300"/>
      <c r="P108" s="300"/>
      <c r="S108" s="300"/>
      <c r="T108" s="300"/>
      <c r="U108" s="300"/>
      <c r="V108" s="300"/>
      <c r="W108" s="300"/>
      <c r="X108" s="300"/>
      <c r="Y108" s="300"/>
      <c r="Z108" s="300"/>
      <c r="AA108" s="300"/>
    </row>
    <row r="109" customFormat="false" ht="12.8" hidden="false" customHeight="false" outlineLevel="0" collapsed="false">
      <c r="F109" s="300"/>
      <c r="G109" s="300"/>
      <c r="H109" s="300"/>
      <c r="I109" s="300"/>
      <c r="J109" s="300"/>
      <c r="K109" s="300"/>
      <c r="L109" s="300"/>
      <c r="M109" s="300"/>
      <c r="N109" s="300"/>
      <c r="O109" s="300"/>
      <c r="P109" s="300"/>
      <c r="S109" s="300"/>
      <c r="T109" s="300"/>
      <c r="U109" s="300"/>
      <c r="V109" s="300"/>
      <c r="W109" s="300"/>
      <c r="X109" s="300"/>
      <c r="Y109" s="300"/>
      <c r="Z109" s="300"/>
      <c r="AA109" s="300"/>
    </row>
    <row r="110" customFormat="false" ht="12.8" hidden="false" customHeight="false" outlineLevel="0" collapsed="false">
      <c r="F110" s="300"/>
      <c r="G110" s="300"/>
      <c r="H110" s="300"/>
      <c r="I110" s="300"/>
      <c r="J110" s="300"/>
      <c r="K110" s="300"/>
      <c r="L110" s="300"/>
      <c r="M110" s="300"/>
      <c r="N110" s="300"/>
      <c r="O110" s="300"/>
      <c r="P110" s="300"/>
      <c r="S110" s="300"/>
      <c r="T110" s="300"/>
      <c r="U110" s="300"/>
      <c r="V110" s="300"/>
      <c r="W110" s="300"/>
      <c r="X110" s="300"/>
      <c r="Y110" s="300"/>
      <c r="Z110" s="300"/>
      <c r="AA110" s="300"/>
    </row>
    <row r="111" customFormat="false" ht="12.8" hidden="false" customHeight="false" outlineLevel="0" collapsed="false">
      <c r="F111" s="300"/>
      <c r="G111" s="300"/>
      <c r="H111" s="300"/>
      <c r="I111" s="300"/>
      <c r="J111" s="300"/>
      <c r="K111" s="300"/>
      <c r="L111" s="300"/>
      <c r="M111" s="300"/>
      <c r="N111" s="300"/>
      <c r="O111" s="300"/>
      <c r="P111" s="300"/>
      <c r="S111" s="300"/>
      <c r="T111" s="300"/>
      <c r="U111" s="300"/>
      <c r="V111" s="300"/>
      <c r="W111" s="300"/>
      <c r="X111" s="300"/>
      <c r="Y111" s="300"/>
      <c r="Z111" s="300"/>
      <c r="AA111" s="300"/>
    </row>
    <row r="112" customFormat="false" ht="12.8" hidden="false" customHeight="false" outlineLevel="0" collapsed="false">
      <c r="F112" s="300"/>
      <c r="G112" s="300"/>
      <c r="H112" s="300"/>
      <c r="I112" s="300"/>
      <c r="J112" s="300"/>
      <c r="K112" s="300"/>
      <c r="L112" s="300"/>
      <c r="M112" s="300"/>
      <c r="N112" s="300"/>
      <c r="O112" s="300"/>
      <c r="P112" s="300"/>
      <c r="S112" s="300"/>
      <c r="T112" s="300"/>
      <c r="U112" s="300"/>
      <c r="V112" s="300"/>
      <c r="W112" s="300"/>
      <c r="X112" s="300"/>
      <c r="Y112" s="300"/>
      <c r="Z112" s="300"/>
      <c r="AA112" s="300"/>
    </row>
    <row r="113" customFormat="false" ht="12.8" hidden="false" customHeight="false" outlineLevel="0" collapsed="false">
      <c r="F113" s="300"/>
      <c r="G113" s="300"/>
      <c r="H113" s="300"/>
      <c r="I113" s="300"/>
      <c r="J113" s="300"/>
      <c r="K113" s="300"/>
      <c r="L113" s="300"/>
      <c r="M113" s="300"/>
      <c r="N113" s="300"/>
      <c r="O113" s="300"/>
      <c r="P113" s="300"/>
      <c r="S113" s="300"/>
      <c r="T113" s="300"/>
      <c r="U113" s="300"/>
      <c r="V113" s="300"/>
      <c r="W113" s="300"/>
      <c r="X113" s="300"/>
      <c r="Y113" s="300"/>
      <c r="Z113" s="300"/>
      <c r="AA113" s="300"/>
    </row>
    <row r="114" customFormat="false" ht="12.8" hidden="false" customHeight="false" outlineLevel="0" collapsed="false">
      <c r="F114" s="300"/>
      <c r="G114" s="300"/>
      <c r="H114" s="300"/>
      <c r="I114" s="300"/>
      <c r="J114" s="300"/>
      <c r="K114" s="300"/>
      <c r="L114" s="300"/>
      <c r="M114" s="300"/>
      <c r="N114" s="300"/>
      <c r="O114" s="300"/>
      <c r="P114" s="300"/>
      <c r="S114" s="300"/>
      <c r="T114" s="300"/>
      <c r="U114" s="300"/>
      <c r="V114" s="300"/>
      <c r="W114" s="300"/>
      <c r="X114" s="300"/>
      <c r="Y114" s="300"/>
      <c r="Z114" s="300"/>
      <c r="AA114" s="300"/>
    </row>
    <row r="115" customFormat="false" ht="12.8" hidden="false" customHeight="false" outlineLevel="0" collapsed="false">
      <c r="F115" s="300"/>
      <c r="G115" s="300"/>
      <c r="H115" s="300"/>
      <c r="I115" s="300"/>
      <c r="J115" s="300"/>
      <c r="K115" s="300"/>
      <c r="L115" s="300"/>
      <c r="M115" s="300"/>
      <c r="N115" s="300"/>
      <c r="O115" s="300"/>
      <c r="P115" s="300"/>
      <c r="S115" s="300"/>
      <c r="T115" s="300"/>
      <c r="U115" s="300"/>
      <c r="V115" s="300"/>
      <c r="W115" s="300"/>
      <c r="X115" s="300"/>
      <c r="Y115" s="300"/>
      <c r="Z115" s="300"/>
      <c r="AA115" s="300"/>
    </row>
    <row r="116" customFormat="false" ht="12.8" hidden="false" customHeight="false" outlineLevel="0" collapsed="false">
      <c r="F116" s="300"/>
      <c r="G116" s="300"/>
      <c r="H116" s="300"/>
      <c r="I116" s="300"/>
      <c r="J116" s="300"/>
      <c r="K116" s="300"/>
      <c r="L116" s="300"/>
      <c r="M116" s="300"/>
      <c r="N116" s="300"/>
      <c r="O116" s="300"/>
      <c r="P116" s="300"/>
      <c r="S116" s="300"/>
      <c r="T116" s="300"/>
      <c r="U116" s="300"/>
      <c r="V116" s="300"/>
      <c r="W116" s="300"/>
      <c r="X116" s="300"/>
      <c r="Y116" s="300"/>
      <c r="Z116" s="300"/>
      <c r="AA116" s="300"/>
    </row>
  </sheetData>
  <mergeCells count="33">
    <mergeCell ref="C3:F3"/>
    <mergeCell ref="G3:L3"/>
    <mergeCell ref="M3:R3"/>
    <mergeCell ref="S3:X3"/>
    <mergeCell ref="Y3:AA3"/>
    <mergeCell ref="AF3:AK3"/>
    <mergeCell ref="AL3:AQ3"/>
    <mergeCell ref="AR3:AW3"/>
    <mergeCell ref="AX3:BA3"/>
    <mergeCell ref="BB3:BE3"/>
    <mergeCell ref="BF3:BI3"/>
    <mergeCell ref="BJ3:BL3"/>
    <mergeCell ref="BM3:BO3"/>
    <mergeCell ref="C4:D4"/>
    <mergeCell ref="AB4:AC4"/>
    <mergeCell ref="C32:F32"/>
    <mergeCell ref="G32:L32"/>
    <mergeCell ref="M32:R32"/>
    <mergeCell ref="S32:X32"/>
    <mergeCell ref="Y32:AA32"/>
    <mergeCell ref="AF32:AK32"/>
    <mergeCell ref="AL32:AQ32"/>
    <mergeCell ref="AR32:AW32"/>
    <mergeCell ref="AX32:BA32"/>
    <mergeCell ref="BB32:BE32"/>
    <mergeCell ref="BF32:BI32"/>
    <mergeCell ref="BJ32:BL32"/>
    <mergeCell ref="BM32:BO32"/>
    <mergeCell ref="C33:D33"/>
    <mergeCell ref="AB33:AC33"/>
    <mergeCell ref="X43:X44"/>
    <mergeCell ref="X52:X53"/>
    <mergeCell ref="X60:X74"/>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landscape" blackAndWhite="false" draft="false" cellComments="none" horizontalDpi="300" verticalDpi="300" copies="1"/>
  <headerFooter differentFirst="false" differentOddEven="false">
    <oddHeader>&amp;C&amp;A</oddHeader>
    <oddFooter>&amp;CSeite &amp;P</oddFooter>
  </headerFooter>
</worksheet>
</file>

<file path=docProps/app.xml><?xml version="1.0" encoding="utf-8"?>
<Properties xmlns="http://schemas.openxmlformats.org/officeDocument/2006/extended-properties" xmlns:vt="http://schemas.openxmlformats.org/officeDocument/2006/docPropsVTypes">
  <Template/>
  <TotalTime>55615</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2009-07-23T14:16:02Z</dcterms:created>
  <dc:creator>Markus Graf</dc:creator>
  <dc:description/>
  <dc:language>en-US</dc:language>
  <cp:lastModifiedBy>Fredi Büks</cp:lastModifiedBy>
  <dcterms:modified xsi:type="dcterms:W3CDTF">2026-06-29T10:49:27Z</dcterms:modified>
  <cp:revision>3448</cp:revision>
  <dc:subject/>
  <dc:title/>
</cp:coreProperties>
</file>

<file path=docProps/custom.xml><?xml version="1.0" encoding="utf-8"?>
<Properties xmlns="http://schemas.openxmlformats.org/officeDocument/2006/custom-properties" xmlns:vt="http://schemas.openxmlformats.org/officeDocument/2006/docPropsVTypes"/>
</file>